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1" sheetId="1" r:id="rId1"/>
    <sheet name="zał.2" sheetId="2" r:id="rId2"/>
    <sheet name=" zał.3 " sheetId="3" r:id="rId3"/>
    <sheet name="zał. 4 " sheetId="4" r:id="rId4"/>
    <sheet name="zał 6" sheetId="5" r:id="rId5"/>
    <sheet name="zał 5" sheetId="6" r:id="rId6"/>
    <sheet name="zał.7  " sheetId="7" r:id="rId7"/>
    <sheet name="Zał.8 " sheetId="8" r:id="rId8"/>
    <sheet name="zał. 9" sheetId="9" r:id="rId9"/>
    <sheet name="zał. 10 " sheetId="10" r:id="rId10"/>
  </sheets>
  <definedNames>
    <definedName name="_xlnm.Print_Area" localSheetId="6">'zał.7  '!$A:$IV</definedName>
    <definedName name="_xlnm.Print_Titles" localSheetId="2">' zał.3 '!$7:$7</definedName>
    <definedName name="_xlnm.Print_Titles" localSheetId="5">'zał 5'!$7:$7</definedName>
    <definedName name="_xlnm.Print_Titles" localSheetId="4">'zał 6'!$7:$7</definedName>
    <definedName name="_xlnm.Print_Titles" localSheetId="8">'zał. 9'!$6:$6</definedName>
    <definedName name="_xlnm.Print_Titles" localSheetId="0">'zał.1'!$7:$7</definedName>
    <definedName name="_xlnm.Print_Titles" localSheetId="1">'zał.2'!$8:$8</definedName>
    <definedName name="_xlnm.Print_Titles" localSheetId="6">'zał.7  '!$8:$8</definedName>
  </definedNames>
  <calcPr fullCalcOnLoad="1"/>
</workbook>
</file>

<file path=xl/comments1.xml><?xml version="1.0" encoding="utf-8"?>
<comments xmlns="http://schemas.openxmlformats.org/spreadsheetml/2006/main">
  <authors>
    <author>Zawalniak</author>
  </authors>
  <commentList>
    <comment ref="M1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gruntów rolnych</t>
        </r>
      </text>
    </comment>
    <comment ref="M1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4.720 obwody łowieckie
80.000 dzierżawa gruntów rolnych
</t>
        </r>
      </text>
    </comment>
    <comment ref="M2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80.000 dzierżwa gr.rol.</t>
        </r>
      </text>
    </comment>
    <comment ref="M2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76.000 sprzedaz gr,.rol.</t>
        </r>
      </text>
    </comment>
  </commentList>
</comments>
</file>

<file path=xl/comments2.xml><?xml version="1.0" encoding="utf-8"?>
<comments xmlns="http://schemas.openxmlformats.org/spreadsheetml/2006/main">
  <authors>
    <author>Zawalniak</author>
    <author>izawalniak</author>
  </authors>
  <commentList>
    <comment ref="F4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termomodernizacja TDK,Muzeum, Biblioteka obiekty oświatowe
</t>
        </r>
      </text>
    </comment>
    <comment ref="F15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20.000 PT monitoring w mieście
</t>
        </r>
      </text>
    </comment>
    <comment ref="F232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PT sala gimnastyczna przy G 2 50.000 zł</t>
        </r>
      </text>
    </comment>
    <comment ref="F38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50.000  PT wodociągów Biernatowo, Osiniec II, Siedlisko zatorze
</t>
        </r>
      </text>
    </comment>
    <comment ref="F387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kanalizacja sanitarna i deszczowa Łomnica
150.000 Sarcz 
110.000 Stobno
</t>
        </r>
      </text>
    </comment>
    <comment ref="F2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100.000 modernizacja dróg gminnych
</t>
        </r>
      </text>
    </comment>
    <comment ref="F1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250.000 program PAOW
</t>
        </r>
      </text>
    </comment>
    <comment ref="F19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150.000 budowa boiska sportowego przy SP 3
</t>
        </r>
      </text>
    </comment>
    <comment ref="I43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
 porozumienie
</t>
        </r>
      </text>
    </comment>
    <comment ref="K13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900 soł.</t>
        </r>
      </text>
    </comment>
    <comment ref="K10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 soł.</t>
        </r>
      </text>
    </comment>
    <comment ref="K24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4772 soł.</t>
        </r>
      </text>
    </comment>
    <comment ref="K26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-1772 soł.</t>
        </r>
      </text>
    </comment>
    <comment ref="K39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-400 soł.</t>
        </r>
      </text>
    </comment>
    <comment ref="K393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-3000 soł.</t>
        </r>
      </text>
    </comment>
    <comment ref="K37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252197 dotacja stypendia
</t>
        </r>
      </text>
    </comment>
    <comment ref="O33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10.000 prace spo.uzyt.</t>
        </r>
      </text>
    </comment>
    <comment ref="P435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40 MS</t>
        </r>
      </text>
    </comment>
    <comment ref="P437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15.960 MS środki AA
20.000 AA pozostają 
1.000 poz.śr. Na zajęcia</t>
        </r>
      </text>
    </comment>
    <comment ref="P438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 porozum.Starostwo
7.780 sołeckie
4.000 MS
</t>
        </r>
      </text>
    </comment>
    <comment ref="P439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600 sołeckie
</t>
        </r>
      </text>
    </comment>
    <comment ref="P440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2.000 dzień dziecka
3.200 sołeckie
40.000 MS-4.040 wracają do ogólnego budżetu
4.040 GKRPA
</t>
        </r>
      </text>
    </comment>
    <comment ref="O431" authorId="0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3.000 z nadwyzki
2.000 z zaoszczędzonej dotacji
2.000 z 75075 z 4210
</t>
        </r>
      </text>
    </comment>
    <comment ref="Q7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AA 3542
budżet 5443,60 w tym PUP 3500
</t>
        </r>
      </text>
    </comment>
    <comment ref="Q79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220,15 półkolonie dofin.budzet </t>
        </r>
      </text>
    </comment>
    <comment ref="Q78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1552,70 budżet dofin.półkolonii
 w tym PUP 604,80
</t>
        </r>
      </text>
    </comment>
    <comment ref="Q8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280 półkolonie dofinansowanie z budżetu</t>
        </r>
      </text>
    </comment>
    <comment ref="Q93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352,70 budżet dofinansownie półkolonii</t>
        </r>
      </text>
    </comment>
    <comment ref="Q36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250 soł. 
803 GKRPA i 2.100 tez  GKRP na paliwo z 92605 z zajęć przeniesione 
po zm. 
250 soł. 
8.403 półkolonie AA</t>
        </r>
      </text>
    </comment>
    <comment ref="Q367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po zmianach 1.155 półkolonie AA
1.000 sołeckie</t>
        </r>
      </text>
    </comment>
    <comment ref="R366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6.303 pólkolonie AA
1.250 soł.
2100 półkolonie budżet</t>
        </r>
      </text>
    </comment>
    <comment ref="Q4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350.000 termomod.</t>
        </r>
      </text>
    </comment>
    <comment ref="Q73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11.393 półkolonie w tym: 
AA 3.542
budżet 7.851
</t>
        </r>
      </text>
    </comment>
    <comment ref="Q104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-70.000 do 50.000 sport
20.000 do TDK</t>
        </r>
      </text>
    </comment>
    <comment ref="Q432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
0.000 do podziału na sport przeniesiono z promocji</t>
        </r>
      </text>
    </comment>
    <comment ref="Q411" authorId="1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20.000 przeniesiono z promocji na imprezy letnie dotacja 10.000
10.000 dożynki</t>
        </r>
      </text>
    </comment>
  </commentList>
</comments>
</file>

<file path=xl/sharedStrings.xml><?xml version="1.0" encoding="utf-8"?>
<sst xmlns="http://schemas.openxmlformats.org/spreadsheetml/2006/main" count="2129" uniqueCount="741">
  <si>
    <t>Sołectwo Radolin</t>
  </si>
  <si>
    <t>Sołectwo Runowo</t>
  </si>
  <si>
    <t>Sołectwo Rychlik</t>
  </si>
  <si>
    <t>Sołectwo Sarcz</t>
  </si>
  <si>
    <t>Sołectwo Siedlisko</t>
  </si>
  <si>
    <t>Sołectwo Smolarnia</t>
  </si>
  <si>
    <t>Sołectwo Straduń</t>
  </si>
  <si>
    <t>Sołectwo Wapniarnia I</t>
  </si>
  <si>
    <t>Sołectwo Wapniarnia III</t>
  </si>
  <si>
    <t>Sołectwo Stobno</t>
  </si>
  <si>
    <t>Sołectwo Teresin</t>
  </si>
  <si>
    <t>Sołectwo Biernatowo</t>
  </si>
  <si>
    <t>wydatki na zakupy inwestycyjne jednostek budżerowych</t>
  </si>
  <si>
    <t>4210</t>
  </si>
  <si>
    <t>Sołectwo Wrząca</t>
  </si>
  <si>
    <t>promocja jednostek samorzadu terytorialnego</t>
  </si>
  <si>
    <t>zakup materiałów i wypozażenia</t>
  </si>
  <si>
    <t>oddziały przedszkolne</t>
  </si>
  <si>
    <t>przedszkola</t>
  </si>
  <si>
    <t>zakup usług dostępu do sieci internet</t>
  </si>
  <si>
    <t>kolonie i obozy oraz inne formy wypoczynku dzieci i młodzieży, a także szkolenia młodzieży</t>
  </si>
  <si>
    <t>4300</t>
  </si>
  <si>
    <t>Sołectwo Przyłeki</t>
  </si>
  <si>
    <t>4260</t>
  </si>
  <si>
    <t>sprzedaz gr.rolnych</t>
  </si>
  <si>
    <t>Burmistrza Trzcianki z dnia 30.08.2007 r.</t>
  </si>
  <si>
    <t xml:space="preserve">Burmistrza Trzcianki z dnia 30.08.2007 r. </t>
  </si>
  <si>
    <t>kary i odszkodowania wypłacane na rzecz osób fizycznych</t>
  </si>
  <si>
    <t>odsetki bank.konto.</t>
  </si>
  <si>
    <t>zakup równiarki na potrzeby sołectwa Wapniarnia I</t>
  </si>
  <si>
    <t>budowa chodnika na ulicy Strażackiej</t>
  </si>
  <si>
    <t>drogi publiczne powiatowe</t>
  </si>
  <si>
    <t>budowa kanalizacji sanitarnej na ul.Rzemieślniczej</t>
  </si>
  <si>
    <t>budowa wodociągu przy ul. Zielnej</t>
  </si>
  <si>
    <t>budowa wodociągu przy ul.Rzemieślniczej</t>
  </si>
  <si>
    <t>zwrot środków obrotowych</t>
  </si>
  <si>
    <t>Załącznik Nr  7 do Uchwały Nr XIV/68/07</t>
  </si>
  <si>
    <t>Załącznik Nr 10 do Uchwały Nr XIV/68/07</t>
  </si>
  <si>
    <t>Załącznik Nr 8 do Uchwały Nr XIV/68/07</t>
  </si>
  <si>
    <t>odsetki od dotacji wykorzystanych niezgodnie z przeznaczeniem lub pobranych w nadmiernej wysokości</t>
  </si>
  <si>
    <t>zwrot dotacji wykorzystanych niezgodnie z zprzeznaczeniem lub pobranych w nadmiernej wysokości</t>
  </si>
  <si>
    <t>Rachunek dochodów własnych - 
plan po zmianach</t>
  </si>
  <si>
    <t xml:space="preserve">rozdział 80104 przedszkola - plan </t>
  </si>
  <si>
    <t>pokrycie 
amortyzacji</t>
  </si>
  <si>
    <t>odpisy amortyzacyjne</t>
  </si>
  <si>
    <t>inne formy pomocy dla uczniów</t>
  </si>
  <si>
    <t>składki na ubezpieczenie zdrowotne opłacane za osoby pobierające niektóre świadczenia
z pomocy społecznej oraz niektóre świadczenia rodzinne</t>
  </si>
  <si>
    <t>świadczenia rodzinne, zaliczka alimentacyjna oraz składki na ubezpieczenia emerytalne 
i rentowe z ubezpieczenia społecznego</t>
  </si>
  <si>
    <t>zakup materiałów papierniczych do sprzętu drukarskiego i urządzeń kserograficznych</t>
  </si>
  <si>
    <t>Załącznik Nr 2 do Zarządzenia Nr 121/07</t>
  </si>
  <si>
    <t>Załącznik Nr 1 do Zarządzenia Nr 121/07</t>
  </si>
  <si>
    <t>Załącznik Nr 3 do Zarządzenia Nr 121/07</t>
  </si>
  <si>
    <t>Załącznik Nr 4 do Zarządzenia Nr 121/07</t>
  </si>
  <si>
    <t>spłaty pożyczek otrzymanych na finansowanie zadań realizowanych z udziałem środków pochodzących z budżetu Unii Europejskiej</t>
  </si>
  <si>
    <t>oświata</t>
  </si>
  <si>
    <t>0400</t>
  </si>
  <si>
    <t>wpływy z opłaty produktowej</t>
  </si>
  <si>
    <t>wpływy i wydatki związane z gromadzeniem środków z opłat produktowych</t>
  </si>
  <si>
    <t>opłta produktowa</t>
  </si>
  <si>
    <t>budowa oświetlenia przy ul.Rzemieślniczej</t>
  </si>
  <si>
    <t>budowa oświetlenia przy ul.Krętej</t>
  </si>
  <si>
    <t>budowa oświetlenia przy ul.Bocznej</t>
  </si>
  <si>
    <t xml:space="preserve">przebudowa drogi na ulicy Bocznej </t>
  </si>
  <si>
    <t>rozbudowa chodnika wzdłuż projektowanej jezdni na ul.Krętej</t>
  </si>
  <si>
    <t>przebudowa ulicy Nowej w Białej</t>
  </si>
  <si>
    <t xml:space="preserve">przebudowa ulicy Krętej </t>
  </si>
  <si>
    <t>budowa kanalizacji sanitarnej na ul.Zielnej I etap od ul. Gorzowskiej do ul.Lelewela</t>
  </si>
  <si>
    <t>budowa kanalizacji deszczowej przy ul.Rzemieślniczej</t>
  </si>
  <si>
    <t>budowa wodociągu na os.przy Rzemieślniczej</t>
  </si>
  <si>
    <t>Burmistrza Trzcianki z dnia 30.08.2007 r. zmieniający</t>
  </si>
  <si>
    <t xml:space="preserve">współpraca z Powiatem Czarnkowsko -Trzcianeckim - modernizacja nawierzchni asfaltowej przy ul.Gorzowskiej </t>
  </si>
  <si>
    <t>rolne</t>
  </si>
  <si>
    <t>opłata produktowa</t>
  </si>
  <si>
    <t>Załącznik Nr 2 do Uchwały Nr X/55/07</t>
  </si>
  <si>
    <t>Rady Miejskiej Trzcianki z dnia 28.06.2007 r. zmieniający</t>
  </si>
  <si>
    <t>Załącznik Nr 1 do Uchwały Nr X/55/07</t>
  </si>
  <si>
    <t>Załącznik Nr 3 do Uchwały Nr X/55/07</t>
  </si>
  <si>
    <t>Załącznik Nr 4 do Uchwały Nr X/55/07</t>
  </si>
  <si>
    <t>Załącznik Nr 6 do Uchwały Nr X/55/07</t>
  </si>
  <si>
    <t>Załącznik Nr 5 do Uchwały Nr X/55/07</t>
  </si>
  <si>
    <t>Załącznik Nr  9 do Uchwały Nr X/55/07</t>
  </si>
  <si>
    <t>Załącznik Nr 10 do Uchwały Nr X/55/07</t>
  </si>
  <si>
    <t>Załącznik Nr 8 do Uchwały Nr X/55/07</t>
  </si>
  <si>
    <t>Komendy powiatowe Państwowej Straży Pożarnej</t>
  </si>
  <si>
    <t>dotacje celowe z budżetu na finansowanie lub dofinansowanie kosztów realizacji inwestycji i zakupów inwestycyjnych innych jednostek sektora finanansów publicznych</t>
  </si>
  <si>
    <t>Powiatowa Straż Pożarna</t>
  </si>
  <si>
    <t>2. Dotacje celowe na finansowanie lub dofinansowanie inwestycji innych jednostek sektora finansów publicznych</t>
  </si>
  <si>
    <t>Załącznik Nr 3 do Uchwały Nr XIV/68/07</t>
  </si>
  <si>
    <t>dotacje celowe z budżetu na finansowanie lub dofinansowanie kosztów realizacji inwestycji i zakupów inwestycyjnych innych jednostek sektora finansów publicznych</t>
  </si>
  <si>
    <t xml:space="preserve">Burmistrza Trzcianki z dnia 9.07.2007 r. </t>
  </si>
  <si>
    <t xml:space="preserve">Rady Miejskiej Trzcianki z dnia 9.07.2007 r. </t>
  </si>
  <si>
    <t>zakup łodzi do celów ratownictwa wodnego dla Powiatowej Straży Pożarnej (Jednostka Ratowniczo - Gaśnicza 
w Trzciance)</t>
  </si>
  <si>
    <t>drogi parkowa Strażacka</t>
  </si>
  <si>
    <t>drogi Dąbrow,Broniew,Stobno, Dłużewo</t>
  </si>
  <si>
    <t>łódz PSP</t>
  </si>
  <si>
    <t>budowa nakładki bitumicznej 
w Dłużewie - od drogi powiatowej do Dłużewa</t>
  </si>
  <si>
    <t>Załącznik Nr 1 do Zarządzenia Nr 94/07</t>
  </si>
  <si>
    <t>Burmistrza Trzcianki z dnia 9.07.2007 r. zmieniający</t>
  </si>
  <si>
    <t>Załącznik Nr 2 do Zarządzenia Nr 94/07</t>
  </si>
  <si>
    <t>Załącznik Nr 3 do Zarządzenia Nr 94/07</t>
  </si>
  <si>
    <t>Rady Miejskiej Trzcianki z dnia 9.07.2007 r. zmieniający</t>
  </si>
  <si>
    <t xml:space="preserve">Rady Miejskiej Trzcianki z dnia 28.06.2007 r. </t>
  </si>
  <si>
    <t>budowa ścieżki pieszo - rowerowej łączącej ul. Konopnicką z  ul.Żeromskiego</t>
  </si>
  <si>
    <t>nawierzchnia asfaltowa na ul Mickiewicza (od ul.Staszica do ul.Roosevelta)</t>
  </si>
  <si>
    <t>budowa drogi z miejscami parkingowymi przy ul.Broniewskiego (za Parkiem 1 Maja)</t>
  </si>
  <si>
    <t>budowa boiska w Teresinie</t>
  </si>
  <si>
    <t>projekty techniczne dróg, chodników  i kanalizacji deszczowej - ul.Ogrodowa, os.Modrzewiowe, dróg Przyłeki do stacji PKP i w Stobnie</t>
  </si>
  <si>
    <t>budowa kanliazaji deszczowej w ul.Ogrodowej i na os.Modrzewiowym</t>
  </si>
  <si>
    <t xml:space="preserve">monitoring  strażnic </t>
  </si>
  <si>
    <t>projekt techniczny wodociągu w Siedlisku przed torami</t>
  </si>
  <si>
    <t>zakup łodzi do ratownictwa wodnego dla Powiatowej Straży Pożarnej (Jednostka Ratowniczo - Gaśnicza w Trzciance)</t>
  </si>
  <si>
    <t>zasilanie energetyczne placu budowy działek budowlanych położonych 
w Trzciance przy jez. Okunie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</si>
  <si>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</si>
  <si>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</si>
  <si>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</si>
  <si>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</si>
  <si>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</si>
  <si>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</si>
  <si>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</si>
  <si>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</si>
  <si>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</si>
  <si>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</si>
  <si>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</si>
  <si>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</si>
  <si>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</si>
  <si>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</si>
  <si>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</si>
  <si>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</si>
  <si>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</si>
  <si>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</si>
  <si>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</si>
  <si>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</si>
  <si>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</si>
  <si>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</si>
  <si>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</si>
  <si>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</si>
  <si>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</si>
  <si>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</si>
  <si>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</si>
  <si>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</si>
  <si>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</si>
  <si>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</si>
  <si>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</si>
  <si>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</si>
  <si>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</si>
  <si>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</si>
  <si>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</si>
  <si>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</si>
  <si>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</si>
  <si>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</si>
  <si>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</si>
  <si>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</si>
  <si>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</si>
  <si>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</si>
  <si>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</si>
  <si>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</si>
  <si>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</si>
  <si>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</si>
  <si>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</si>
  <si>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</si>
  <si>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</si>
  <si>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</si>
  <si>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</si>
  <si>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</si>
  <si>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</si>
  <si>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</si>
  <si>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</si>
  <si>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</si>
  <si>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</si>
  <si>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</si>
  <si>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</si>
  <si>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</si>
  <si>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</si>
  <si>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</si>
  <si>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</si>
  <si>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</si>
  <si>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</si>
  <si>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</si>
  <si>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</si>
  <si>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</si>
  <si>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</si>
  <si>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</si>
  <si>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</si>
  <si>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</si>
  <si>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</si>
  <si>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</si>
  <si>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</si>
  <si>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</si>
  <si>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</si>
  <si>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</si>
  <si>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</si>
  <si>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</si>
  <si>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</si>
  <si>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</si>
  <si>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</si>
  <si>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</si>
  <si>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</si>
  <si>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</si>
  <si>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</si>
  <si>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</si>
  <si>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</si>
  <si>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</si>
  <si>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</si>
  <si>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</si>
  <si>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</si>
  <si>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</si>
  <si>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</si>
  <si>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</si>
  <si>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</si>
  <si>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</si>
  <si>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</si>
  <si>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</si>
  <si>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</si>
  <si>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</si>
  <si>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</si>
  <si>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</si>
  <si>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</si>
  <si>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</si>
  <si>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</si>
  <si>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</si>
  <si>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</si>
  <si>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</si>
  <si>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</si>
  <si>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</si>
  <si>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</si>
  <si>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</si>
  <si>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</si>
  <si>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</si>
  <si>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</si>
  <si>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</si>
  <si>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</si>
  <si>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</si>
  <si>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</si>
  <si>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</si>
  <si>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</si>
  <si>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</si>
  <si>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</si>
  <si>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</si>
  <si>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</si>
  <si>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</si>
  <si>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</si>
  <si>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</si>
  <si>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</si>
  <si>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</si>
  <si>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</si>
  <si>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</si>
  <si>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</si>
  <si>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</si>
  <si>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</si>
  <si>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</si>
  <si>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</si>
  <si>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</si>
  <si>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</si>
  <si>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</si>
  <si>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</si>
  <si>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</si>
  <si>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</si>
  <si>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</si>
  <si>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</si>
  <si>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</si>
  <si>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</si>
  <si>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</si>
  <si>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</si>
  <si>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</si>
  <si>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</si>
  <si>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</si>
  <si>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</si>
  <si>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</si>
  <si>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</si>
  <si>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</si>
  <si>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</si>
  <si>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</si>
  <si>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</si>
  <si>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</si>
  <si>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</si>
  <si>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</si>
  <si>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wykup gruntów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</si>
  <si>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</si>
  <si>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</si>
  <si>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</si>
  <si>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</si>
  <si>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</si>
  <si>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</si>
  <si>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</si>
  <si>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</si>
  <si>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</si>
  <si>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</si>
  <si>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</si>
  <si>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</si>
  <si>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</si>
  <si>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</si>
  <si>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</si>
  <si>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</si>
  <si>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</si>
  <si>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</si>
  <si>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</si>
  <si>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</si>
  <si>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</si>
  <si>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</si>
  <si>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</si>
  <si>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</si>
  <si>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</si>
  <si>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</si>
  <si>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</si>
  <si>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</si>
  <si>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</si>
  <si>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</si>
  <si>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</si>
  <si>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</si>
  <si>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</si>
  <si>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</si>
  <si>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</si>
  <si>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</si>
  <si>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</si>
  <si>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</si>
  <si>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</si>
  <si>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</si>
  <si>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</si>
  <si>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</si>
  <si>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</si>
  <si>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</si>
  <si>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</si>
  <si>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</si>
  <si>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</si>
  <si>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</si>
  <si>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</si>
  <si>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</si>
  <si>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</si>
  <si>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</si>
  <si>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</si>
  <si>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</si>
  <si>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</si>
  <si>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</si>
  <si>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</si>
  <si>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</si>
  <si>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</si>
  <si>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</si>
  <si>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</si>
  <si>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</si>
  <si>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</si>
  <si>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wpływy do budżetu nadwyżki środków obrotowych zakładu budżetowego</t>
  </si>
  <si>
    <t>zakup elementów do monitorowania miasta</t>
  </si>
  <si>
    <t>0830</t>
  </si>
  <si>
    <t>wpływy z usług</t>
  </si>
  <si>
    <t>wynagrodzenie bezosobowe</t>
  </si>
  <si>
    <t>0870</t>
  </si>
  <si>
    <t>zwiększenia</t>
  </si>
  <si>
    <t>zmniejszenia</t>
  </si>
  <si>
    <t>15.11.2007 r.</t>
  </si>
  <si>
    <t>Projekt budżetu</t>
  </si>
  <si>
    <t>instytucje kultury fizycznej</t>
  </si>
  <si>
    <t>zmiany</t>
  </si>
  <si>
    <t>wykup innych papierów wartościowych</t>
  </si>
  <si>
    <t>zakup usług zdrowotnych</t>
  </si>
  <si>
    <t>budowa chodnika w Siedlisku</t>
  </si>
  <si>
    <t>różne jednostki obsługi gospodarki mieszkaniowej</t>
  </si>
  <si>
    <t>świadczenia rodzinne oraz składki na ubezpieczenia emerytalne i rentowe z ubezpieczenia społecznego</t>
  </si>
  <si>
    <t>plan po zmianach</t>
  </si>
  <si>
    <t>Załącznik Nr 10 do uchwały nr XXXIII/233/05</t>
  </si>
  <si>
    <t>Rady Miejskiej trzcianki z dnia 10.02.2005 r.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</si>
  <si>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</si>
  <si>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</si>
  <si>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</si>
  <si>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</si>
  <si>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Rady Miejskiej Trzcianki z dnia 28.04.2005 r. zmieniający</t>
  </si>
  <si>
    <t>Załącznik Nr 6 do Uchwały Nr XXXVII/255/05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</si>
  <si>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</si>
  <si>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</si>
  <si>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</si>
  <si>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</si>
  <si>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</si>
  <si>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</si>
  <si>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</si>
  <si>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</si>
  <si>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</si>
  <si>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</si>
  <si>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</si>
  <si>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</si>
  <si>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</si>
  <si>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</si>
  <si>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Załącznik Nr 2 do Uchwały Nr XIV/68/07</t>
  </si>
  <si>
    <t>Rady Miejskiej Trzcianki z dnia 27.09.2007 r. zmieniający</t>
  </si>
  <si>
    <t>Załącznik Nr 1 do Uchwały Nr XIV/68/07</t>
  </si>
  <si>
    <t>Załącznik Nr 4 do Uchwały Nr XIV/68/07</t>
  </si>
  <si>
    <t>Załącznik Nr 6 do Zarządzenia Nr XIV/68/07</t>
  </si>
  <si>
    <t>Załącznik Nr  5  do Uchwały Nr XIV/68/07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</si>
  <si>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</si>
  <si>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</si>
  <si>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</si>
  <si>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</si>
  <si>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</si>
  <si>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</si>
  <si>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</si>
  <si>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</si>
  <si>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</si>
  <si>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budowa chodnika w Stobnie</t>
  </si>
  <si>
    <t xml:space="preserve">      Ochrona zdrowia</t>
  </si>
  <si>
    <t>zasiłki i pomoc w naturze oraz składki na ubezpieczenia emerytalne i rentowe</t>
  </si>
  <si>
    <t xml:space="preserve">                </t>
  </si>
  <si>
    <t>Dochody z tytułu opłat za wydawanie zezwoleń na sprzedaż napojów alkoholowych</t>
  </si>
  <si>
    <t>Wydatki na realizację zadań określonych w programie profilaktyki i rozwiązywania problemów alkoholowych</t>
  </si>
  <si>
    <t>Załącznik Nr 11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</si>
  <si>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</si>
  <si>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</si>
  <si>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przeciwdziałanie narkomanii</t>
  </si>
  <si>
    <t>zwalczanie narkomanii</t>
  </si>
  <si>
    <t>wpływy z opłat za wydawanie zezwoleń na sprzedaż alkoholu</t>
  </si>
  <si>
    <t>0760</t>
  </si>
  <si>
    <t>wpływy z tytułu przekształcenia prawa użytkowania wieczystego przysługującego osobom fizycznym w prawo własności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</si>
  <si>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</si>
  <si>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</si>
  <si>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</si>
  <si>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szkolenia pracowników niebędących członkami służby cywilnej</t>
  </si>
  <si>
    <t>zakup akcesoriów komputerowych, w tym programów i licencji</t>
  </si>
  <si>
    <t>opłaty z tytułu zakupu usług telekomunikacyjnych telefonii komórkowej</t>
  </si>
  <si>
    <t>zakup usług obejmujących wykonanie ekspertyz, analiz i opinii</t>
  </si>
  <si>
    <t>dotacja przedmiotowa dla jednostek nie zaliczanych do sektora finansów publicznych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</si>
  <si>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</si>
  <si>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</si>
  <si>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</si>
  <si>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</si>
  <si>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obiekty sportowe</t>
  </si>
  <si>
    <t>budowa chodnika na ul. Staszica</t>
  </si>
  <si>
    <t xml:space="preserve">modernizacja dróg na ul. Konopnickiej i Wita Stwosza </t>
  </si>
  <si>
    <t>modernizacja ulicy Ogrodowej</t>
  </si>
  <si>
    <t xml:space="preserve">budowa ciągu pieszo - rowerowego przy ul. Ogrodowej </t>
  </si>
  <si>
    <t>budowa chodnika przy ul. Kopernika i Wiosny Ludów</t>
  </si>
  <si>
    <t>modernizacja drogi ul. Mickiewicza</t>
  </si>
  <si>
    <t>budowa chodnika przy ul. Mickiewicza</t>
  </si>
  <si>
    <t>zakup równiarki na potrzeby sołectwa Rychlik</t>
  </si>
  <si>
    <t>budowa chodnika w Białej ul. Radolińska oraz utwardzenie drogi na cmentarz</t>
  </si>
  <si>
    <t>budowa chodnika w Biernatowie</t>
  </si>
  <si>
    <t>budowa chodnika w Radolinie</t>
  </si>
  <si>
    <t>budowa chodnika w Runowie</t>
  </si>
  <si>
    <t>budowa chodnika w Teresinie</t>
  </si>
  <si>
    <t xml:space="preserve">zakup sprzętu komputerowego </t>
  </si>
  <si>
    <t>zakup sprzętu komputerowego</t>
  </si>
  <si>
    <t>budowa placów zabaw</t>
  </si>
  <si>
    <t>budowa wodociągu w Stobnie</t>
  </si>
  <si>
    <t>budowa wodociągu w Sarczu</t>
  </si>
  <si>
    <t>wybory do Sejmu i Senatu</t>
  </si>
  <si>
    <t>budowa oświetlenia na ul. Ogrodowej</t>
  </si>
  <si>
    <t>budowa oświetlenia Nowa Wieś</t>
  </si>
  <si>
    <t>budowa oświetlenia Przyłęki</t>
  </si>
  <si>
    <t>budowa oświetlenia Wapniarnia III</t>
  </si>
  <si>
    <t>budowa oświetlenia Siedlisko</t>
  </si>
  <si>
    <t>modernizacja instalacji grzewczej sali wiejskiej w Straduniu</t>
  </si>
  <si>
    <t>budowa pływalni (kryty basen)</t>
  </si>
  <si>
    <t>budowa sali sportowej we wsi Siedlisko</t>
  </si>
  <si>
    <t>Załącznik Nr 6</t>
  </si>
  <si>
    <t>Wydatki</t>
  </si>
  <si>
    <t>1.</t>
  </si>
  <si>
    <t>2.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</si>
  <si>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</si>
  <si>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</si>
  <si>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</si>
  <si>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</si>
  <si>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</si>
  <si>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</si>
  <si>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</si>
  <si>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</si>
  <si>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I</t>
  </si>
  <si>
    <t>1. Gminne Przedszkole Publiczne Nr 1</t>
  </si>
  <si>
    <t>2. Gminne Przedszkole Publiczne Nr 2</t>
  </si>
  <si>
    <t>3. Gminne Przedszkole Publiczne Nr 3</t>
  </si>
  <si>
    <t>4. Gminne Przedszkole Publiczne Nr 4</t>
  </si>
  <si>
    <t>5. Gminne Przedszkole Publiczne w Białej</t>
  </si>
  <si>
    <t>6. Gminne Przedszkole Publiczne w Siedlisku</t>
  </si>
  <si>
    <t>7. Gminne Przedszkole Publiczne w Runowie</t>
  </si>
  <si>
    <t>II.</t>
  </si>
  <si>
    <t>1. Gimnazjum Nr 2</t>
  </si>
  <si>
    <t>2. Gimnazjum w Siedlisku</t>
  </si>
  <si>
    <t>3. Szkoła Podstawowa Nr 2</t>
  </si>
  <si>
    <t>4. Szkoła Podstawowa Nr 3</t>
  </si>
  <si>
    <t>5. Szkoła Podstawowa w Białej</t>
  </si>
  <si>
    <t>6. Szkoła Podstawowa w Łomnicy</t>
  </si>
  <si>
    <t>7. Szkoła Podstawowa w Rychliku</t>
  </si>
  <si>
    <t>1. Dotacje podmiotowe</t>
  </si>
  <si>
    <t>Nazwa jednostki</t>
  </si>
  <si>
    <t>Zakres dotacji</t>
  </si>
  <si>
    <t>I. Zakłady budżetowe</t>
  </si>
  <si>
    <t>Gminne Przedszkola Publiczne</t>
  </si>
  <si>
    <t>prowadzenie przedszkoli</t>
  </si>
  <si>
    <t>dokształcanie i doskonalenie zawodowe nauczycieli</t>
  </si>
  <si>
    <t xml:space="preserve">II. Niepubliczne jednostki systemu oświaty 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</si>
  <si>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</si>
  <si>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</si>
  <si>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</si>
  <si>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</si>
  <si>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 xml:space="preserve">III. Samorządowe instytucje kultury 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</si>
  <si>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</si>
  <si>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</si>
  <si>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</si>
  <si>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</si>
  <si>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</si>
  <si>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</si>
  <si>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 xml:space="preserve">prowadzenie świetlic środwiskowych </t>
  </si>
  <si>
    <t>realizacja programów o charakterze profilaktyczno - edukacyjnym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</si>
  <si>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</si>
  <si>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</si>
  <si>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</si>
  <si>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</si>
  <si>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 xml:space="preserve">organizacja wypoczynku 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</si>
  <si>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</si>
  <si>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</si>
  <si>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</si>
  <si>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</si>
  <si>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</si>
  <si>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</si>
  <si>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</si>
  <si>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</si>
  <si>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</si>
  <si>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</si>
  <si>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</si>
  <si>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</si>
  <si>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</si>
  <si>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</si>
  <si>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</si>
  <si>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</si>
  <si>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rozdział 80104- przedszkola</t>
  </si>
  <si>
    <t>rozdział 80146 - dokształcanie i doskonalenie zawodowe nauczycieli</t>
  </si>
  <si>
    <t>rekompensaty utraconych dochodów w podatkach i opłatach lokalnych</t>
  </si>
  <si>
    <t>z dnia 8 lutego 2007 r.</t>
  </si>
  <si>
    <t>wniesienie udziałów do TTBS na budowę budynku mieszkalnego przy ul. Matejki</t>
  </si>
  <si>
    <t>rezerwa na inwestycje i zakupy inwestycyjne</t>
  </si>
  <si>
    <t>budowa boiska sportowego przy szkole Podstawowej nr 3</t>
  </si>
  <si>
    <t>budowa oświetlenia w Niekursku
( 20.000 środki budżetu gminy, 4.000 zł środki sołectwa Niekursko)</t>
  </si>
  <si>
    <t>do Uchwały Nr V/25/07</t>
  </si>
  <si>
    <t>01038</t>
  </si>
  <si>
    <t>Rozwój obszarów wiejskich</t>
  </si>
  <si>
    <t>współpraca z WZDW - dokończenie budowy chodnika w Siedlisku oraz budowa chodnika  we Wrzącej</t>
  </si>
  <si>
    <t xml:space="preserve">budowa chodnika przy ul. Konopnickiej i Wita Stwosza </t>
  </si>
  <si>
    <t>Rady Miejskiej Trzcianki z dnia 15.03.2007 r. zmieniający</t>
  </si>
  <si>
    <t>załącznik Nr 1 do Uchwały Nr V/25/07</t>
  </si>
  <si>
    <t>Rady Miejskiej Trzcianki z dnia 8.02.2007 r.</t>
  </si>
  <si>
    <t>załącznik Nr 2 do Uchwały Nr V/25/07</t>
  </si>
  <si>
    <t>Wydatki  budżetu gminy Trzcianka na 2007 rok - plan po zmianach</t>
  </si>
  <si>
    <t>zwiekszenia</t>
  </si>
  <si>
    <t>budowa chodnika ul. Dąbrowskiego
( od ul.Strażackiej do ul. Wieleńskiej)</t>
  </si>
  <si>
    <t>dokończenie budowy drogi ul.Dąbrowskiego( od ul.Strażackiej do ul. Wieleńskiej)</t>
  </si>
  <si>
    <t>Wydatki związane z realizacją zadań z zakresu administracji rządowej i innych zadań zleconych ustawami na rok 2007 - plan po zmianach</t>
  </si>
  <si>
    <t xml:space="preserve">Rady Miejskiej Trzcianki z dnia 08.02.2007 r. </t>
  </si>
  <si>
    <t xml:space="preserve">Załącznik Nr  do Uchwały Nr </t>
  </si>
  <si>
    <t>Załącznik Nr  do Uchwały Nr V/25/07</t>
  </si>
  <si>
    <t>porozumienia</t>
  </si>
  <si>
    <t>udziały os.fiz.</t>
  </si>
  <si>
    <t>subw.oświat.</t>
  </si>
  <si>
    <t>porozumienie</t>
  </si>
  <si>
    <t>852.85212.201</t>
  </si>
  <si>
    <t>852.85213.201</t>
  </si>
  <si>
    <t>852.85214.201</t>
  </si>
  <si>
    <t>852.85214.203</t>
  </si>
  <si>
    <t>subw.równow.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</si>
  <si>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</si>
  <si>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</si>
  <si>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Plan przychodów i rozchodów 2007 - plan po zmianach</t>
  </si>
  <si>
    <t>nadwyżki z lat ubiegłych</t>
  </si>
  <si>
    <t>zmiana</t>
  </si>
  <si>
    <t>plan przed zmianą</t>
  </si>
  <si>
    <t>plan po zmianie</t>
  </si>
  <si>
    <t xml:space="preserve">plan przed zmianą </t>
  </si>
  <si>
    <t>Wydatki majątkowe na 2007 rok - plan po zmianach</t>
  </si>
  <si>
    <t>Załącznik Nr 6 do Uchwały Nr V/25/07</t>
  </si>
  <si>
    <t>Dochody i wydatki na rok 2007 z tytułu opłat za wydawanie zezwoleń na sprzedaż napojów alkoholowych oraz wydatki na realizację zadań określonych w programie profilaktyki i rozwiązywania problemów alkoholowych - plan po zmianach</t>
  </si>
  <si>
    <t>plan 
przed zmianą</t>
  </si>
  <si>
    <t>treść</t>
  </si>
  <si>
    <t>Załącznik Nr 4 do Uchwały Nr V/25/07</t>
  </si>
  <si>
    <t>MKS Lubuszanin</t>
  </si>
  <si>
    <t>Klub Sportów Motorowych i Motorowodnych</t>
  </si>
  <si>
    <t>UKS Kajak</t>
  </si>
  <si>
    <t>UKS Dysk</t>
  </si>
  <si>
    <t>Sekcja "Olompijczyk"</t>
  </si>
  <si>
    <t>UKS Forma</t>
  </si>
  <si>
    <t>UKS Fortuna Biała</t>
  </si>
  <si>
    <t>Trzciancekie Stowarzyszenie Ludowych Zespołów Sportowych</t>
  </si>
  <si>
    <t>LKS Zuch Rychlik</t>
  </si>
  <si>
    <t>"Sprawni razem"</t>
  </si>
  <si>
    <t>I. Jendostki niezaliczane do sektora finansów publicznych oraz stowarzyszenia</t>
  </si>
  <si>
    <t>2. Dotacje przedmiotowe i celowe</t>
  </si>
  <si>
    <t>budowa boiska wielofunkcyjnego przy ul. Broniewskiego w Trzciance</t>
  </si>
  <si>
    <t>budowa boiska piłkarskiego przy ul. Chopina w Trzciance</t>
  </si>
  <si>
    <t>teść</t>
  </si>
  <si>
    <t>Załącznik Nr 10 do Uchwały Nr V/25/07</t>
  </si>
  <si>
    <t>kary i odszkodowania wypłacane na rzecz osób prawnych i innych jednostek organizacyjnych</t>
  </si>
  <si>
    <t>Załącznik Nr 11 do Uchwały Nr V/25/07</t>
  </si>
  <si>
    <t>Załącznik Nr 1 do Uchwały Nr VI/26/07</t>
  </si>
  <si>
    <t>Załącznik Nr 2 do Uchwały Nr VI/26/07</t>
  </si>
  <si>
    <t>Załącznik Nr 3 do Uchwały Nr VI/26/07</t>
  </si>
  <si>
    <t>Załącznik Nr 4 do Uchwały Nr VI/26/07</t>
  </si>
  <si>
    <t>budowa kanalizacji sanitarnej i deszczowej w Trzciance oraz kanalizacji sanitarnej we wsiach Siedlisko, Rychlik, Stobno, Wrząca, Przyłęki, Górnica, Biernatowo i Łomnica</t>
  </si>
  <si>
    <t>Załącznik Nr 5 do Uchwały Nr VI/26/07</t>
  </si>
  <si>
    <t>Załącznik Nr 8 do Uchwały Nr VI/26/07</t>
  </si>
  <si>
    <t>Załącznik Nr 10 do Uchwały Nr VI/26/07</t>
  </si>
  <si>
    <t>Dochody budżetu gminy Trzcianka na 2007 rok - plan po zmianach</t>
  </si>
  <si>
    <t>Burmistrza Trzcianki z dnia 30.03.2007 r. zmieniający</t>
  </si>
  <si>
    <t xml:space="preserve">Rady Miejskiej Trzcianki z dnia 15.03.2007 r. </t>
  </si>
  <si>
    <t>Załącznik Nr 1 do Zarządzenia Nr 47/07</t>
  </si>
  <si>
    <t xml:space="preserve">Burmistrza Trzcianki z dnia 30.03.2007 r. </t>
  </si>
  <si>
    <t>drogi publiczne wojewódzkie</t>
  </si>
  <si>
    <t>dotacja celowa na pomoc finansową udzieloną między jednostkami samorządu terytorialnego na dofiannsowanie własnych zadań inwestycyjnych i zakupów inwestycyjnych</t>
  </si>
  <si>
    <t>dotacaj celowa na pomoc finansową udzielaną między jednostkami samorzadu terytorialnego na dofinansowanie własnych zadań bieżących</t>
  </si>
  <si>
    <t>4. Dotacje celowe na pomoc finansową udzielaną między jednostkami samorządu terytorialnego</t>
  </si>
  <si>
    <t>ZIK</t>
  </si>
  <si>
    <t>Izba Wytrzeźwien</t>
  </si>
  <si>
    <t>sala wiejska</t>
  </si>
  <si>
    <t>rezerwa</t>
  </si>
  <si>
    <t xml:space="preserve">pomoc finansowa </t>
  </si>
  <si>
    <t>M</t>
  </si>
  <si>
    <t>M, D</t>
  </si>
  <si>
    <t>B</t>
  </si>
  <si>
    <t>B, D</t>
  </si>
  <si>
    <t xml:space="preserve">pomoc finansowa dla Województwa Wielkopolskiego na wspólne sfinansowanie kontynuacji przebudowy ciągu pieszo - rowerowego po prawej stronie drogi wojewódzkiej nr 180 relacji Kocien Wielki - Piła w miejscowości Siedlisko </t>
  </si>
  <si>
    <t>podwyższenie udziałów w spółce  Z.I.K. Sp z o.o.</t>
  </si>
  <si>
    <t>plan przed
 zmianą</t>
  </si>
  <si>
    <t xml:space="preserve">rozdział 80104 - przedszkola </t>
  </si>
  <si>
    <t>Zakłady budżetowe (1.+2.)</t>
  </si>
  <si>
    <t>dotacja celowa na pomoc finansową udzielaną między jednostkami samorzadu terytorialnego na dofinansowanie własnych zadań bieżących</t>
  </si>
  <si>
    <t>AA IZBA</t>
  </si>
  <si>
    <t xml:space="preserve">Gmina Piła </t>
  </si>
  <si>
    <t>pomoc finansowa na zakup usług w Ośrodku Profilaktyki i Rozwiązywania Problemów Alkoholowych w Pile</t>
  </si>
  <si>
    <t>Województwo Wielkopolskie</t>
  </si>
  <si>
    <t>pomoc finansowa na wspólne sfinansowanie kontynuacji przebudowy ciągu pieszo - rowerowego po prawiej stronie drogi wojewódzkiej nr 180 relacji Kocien Wielki - Piła 
w miejscowości Siedlisko</t>
  </si>
  <si>
    <t>01095</t>
  </si>
  <si>
    <t>0770</t>
  </si>
  <si>
    <t>wpływy z dywidend</t>
  </si>
  <si>
    <t>wpłaty z tytułu odpłatnego nabycia prawa własności oraz prawa użytkowania wieczystego nieruchomości</t>
  </si>
  <si>
    <t>zakup leków, wyrobów medycznych i produktów biobójczych</t>
  </si>
  <si>
    <t>B,D</t>
  </si>
  <si>
    <t>świetlice AA</t>
  </si>
  <si>
    <t>delegacje AA</t>
  </si>
  <si>
    <t>szkolenia grup AA</t>
  </si>
  <si>
    <t>SP sr.obrotowe</t>
  </si>
  <si>
    <t>Gim.śr.obrotowe</t>
  </si>
  <si>
    <t>specjaliści AA</t>
  </si>
  <si>
    <t>wynagr.PPK</t>
  </si>
  <si>
    <t>broszury</t>
  </si>
  <si>
    <t>wpływy do budżetu nadwyzki dochodów własnych lub środków obrotowych</t>
  </si>
  <si>
    <t>Rady Miejskiej Trzcianki z dnia 26.04.2007 r. zmieniający</t>
  </si>
  <si>
    <t>rozbudowa sieci wodociagowej we wsi Siedlisko - "wybudowanie"  w kierunku Trzcianki</t>
  </si>
  <si>
    <t>I. DOTACJE NA ZADANIA BIEŻĄCE</t>
  </si>
  <si>
    <t>II. DOTACJE NA ZADANIA INWESTYCYJNE</t>
  </si>
  <si>
    <t>1. Dotacje celowe na pomoc finansową udzielaną między jednostkami samorządu terytorialnego</t>
  </si>
  <si>
    <t>Dotacje przekazywane na zadnia bieżące- ogółem (1+2+3+4)</t>
  </si>
  <si>
    <t>Dotacje przekazywane na zadania inwestycyjne- ogółem (1)</t>
  </si>
  <si>
    <t>opłaty za administrowanie i czynsze za budynki, lokale i pomieszczenia garażowe</t>
  </si>
  <si>
    <t>Ogółem dotacje przekazywane (I + II)</t>
  </si>
  <si>
    <t>przedszkola - zmiana</t>
  </si>
  <si>
    <t>Rachunek dochodów własnych - plan</t>
  </si>
  <si>
    <t>Przychody i wydatki zakładów budżetowych oraz rachunek dochodów własnych w 2007 roku - plan po zmianach</t>
  </si>
  <si>
    <t>a)</t>
  </si>
  <si>
    <t>b)</t>
  </si>
  <si>
    <t>Załącznik Nr 5 do Uchwały Nr VIIII/44/07</t>
  </si>
  <si>
    <t>Załącznik Nr 3 do Uchwały Nr VIII/44/07</t>
  </si>
  <si>
    <t>pomoc materialna dla uczniów</t>
  </si>
  <si>
    <t>Załącznik Nr 9 do Uchwały Nr VIII/44/07</t>
  </si>
  <si>
    <t>Załącznik Nr 2 do Uchwały Nr VIII/44/07</t>
  </si>
  <si>
    <t>Załącznik Nr 7 do Uchwały Nr VIII/44/07</t>
  </si>
  <si>
    <t>Załącznik Nr 1 do Uchwały Nr VIII/44/07</t>
  </si>
  <si>
    <t>Załącznik Nr 4 do Uchwały Nr VIII/44/07</t>
  </si>
  <si>
    <t>budowa kanalizacji sanitarnej 
w ul. Gorzowskiej do firmy "Joskin" i "Northstar"</t>
  </si>
  <si>
    <t>dotacje celowe otrzymane 
z budżetu państwa na realizację zadań bieżących z zakresu administracji rządowej oraz innych zadań zleconych gminie (związkom gmin) ustawami</t>
  </si>
  <si>
    <t>dotacje celowe otrzymane 
z gminy na zadania bieżące realizowane na podstawie porozumień  (umów) między jednostkami samorządu terytorialnego</t>
  </si>
  <si>
    <t xml:space="preserve">placówki wychowania pozaszkolengo - działalność sekcji Hercerwskiego Ośrodka Wodnego </t>
  </si>
  <si>
    <t>placówki wychowania pozaszkolnego</t>
  </si>
  <si>
    <t xml:space="preserve">dotacje celowe przekazane dla powiatu na inwestycje i zakupy inwestycyjne realizowane na podstawie porozumień (umów) między jednostkami samorządu terytorialnego </t>
  </si>
  <si>
    <t>dotacje celowe otrzymane 
z powiatu na zadania bieżące realizowane na podstawie porozumień  między jednostkami samorządu terytorialnego</t>
  </si>
  <si>
    <t>wpływy do budżetu nadwyżki dochodów własnych lub środków obrotowych</t>
  </si>
  <si>
    <t>domy i ośrodki kultury, świetlice
i kluby</t>
  </si>
  <si>
    <t xml:space="preserve">Rady Miejskiej Trzcianki z dnia 26.04.2007 r. </t>
  </si>
  <si>
    <t>plan przed  zmianą</t>
  </si>
  <si>
    <t>Rady Miejskiej Trzcianki z dnia 26.04.2007 r.</t>
  </si>
  <si>
    <t>plan przed 
zmianą</t>
  </si>
  <si>
    <t>Burmistrza Trzcianki z dnia 14.05.2007 r. zmieniający</t>
  </si>
  <si>
    <t xml:space="preserve">Załącznik Nr 2 do Zarządzenia Nr 64/07 </t>
  </si>
  <si>
    <t>Załącznik Nr 1 do Zarządzenia Nr 64/07</t>
  </si>
  <si>
    <t xml:space="preserve">Załącznik Nr 3 do Zarządzenia Nr 64/07 </t>
  </si>
  <si>
    <t xml:space="preserve">Załącznik Nr 4 do Zarządzenia Nr 64/07 </t>
  </si>
  <si>
    <t>wpłaty gmin na rzecz izb rolniczych 
w wysokości 2% uzyskanych wpływów 
z podatku rolnego</t>
  </si>
  <si>
    <t>Załącznik Nr 5 do Uchwały Nr V/25/07</t>
  </si>
  <si>
    <t>plan po 
zmianie</t>
  </si>
  <si>
    <t>plan po  zmianie</t>
  </si>
  <si>
    <t>90001.6010</t>
  </si>
  <si>
    <t xml:space="preserve">Burmistrza Trzcianki z dnia 14.05.2007 r. </t>
  </si>
  <si>
    <t>926.92605</t>
  </si>
  <si>
    <t>Burmistrza Trzcianki z dnia 14.05.2007 r.</t>
  </si>
  <si>
    <t xml:space="preserve">Dotacje na 2007 rok - otrzymywane do budżetu- 
plan po zmianach                                     </t>
  </si>
  <si>
    <t>z nadwyżki</t>
  </si>
  <si>
    <t>dotacja Min.Sportu</t>
  </si>
  <si>
    <t>razem (I.+II.+III.)</t>
  </si>
  <si>
    <t>zadania z zakresu kultury fizycznej</t>
  </si>
  <si>
    <t>Zakres i kwoty dotacji dla zakładów budżetowych, niepublicznych jednostek oświaty, samorządowych instytucji kultury, jednostek niezaliczanych do sektora finansów publicznych oraz na realizację porozumień zawartych między jednostkami samorządu terytorialnego - plan po zmianach</t>
  </si>
  <si>
    <t>900.90015</t>
  </si>
  <si>
    <t>Załącznik Nr 1 do Uchwały Nr IX/51/07</t>
  </si>
  <si>
    <t>Rady Miejskiej Trzcianki z dnia 31 maja 2007 r. zmieniający</t>
  </si>
  <si>
    <t xml:space="preserve">Załącznik Nr 2 do Uchwały Nr IX/51/07 </t>
  </si>
  <si>
    <t>Załącznik Nr 3 do Uchwały Nr  IX/51/07</t>
  </si>
  <si>
    <t>Załącznik Nr 4 do Uchwały Nr IX/51/07</t>
  </si>
  <si>
    <t>Załącznik Nr 5 do Uchwały Nr IX/51/07</t>
  </si>
  <si>
    <t xml:space="preserve">Załącznik Nr 6 do Uchwały Nr IX/51/07 </t>
  </si>
  <si>
    <t>Załącznik Nr 8 do Uchwały Nr IX/51/07</t>
  </si>
  <si>
    <t>Rady Miejskiej Trzcianki z dnia 31 maja 2007 r.</t>
  </si>
  <si>
    <t xml:space="preserve">Rady Miejskiej Trzcianki z dnia 31 maja 2007 r. </t>
  </si>
  <si>
    <t>plan przed
zmianą</t>
  </si>
  <si>
    <t>plan po
 zmianie</t>
  </si>
  <si>
    <t>plan przed zmiana</t>
  </si>
  <si>
    <t>pozostałe zadania w zakresie kultury</t>
  </si>
  <si>
    <t>środki na dofinansowanie własnych inwestycji gmin (związków gmin), powiatów (zwiazków powiatów), samorządów województw, pozyskane z innych źródeł</t>
  </si>
  <si>
    <t>Pozostałe zadania w zakresie polityki społecznej</t>
  </si>
  <si>
    <t>plan przed
 zmiana</t>
  </si>
  <si>
    <t>Rady Miejskiej Trzcianki z dnia 28.06.2007 r.</t>
  </si>
  <si>
    <t>rehabilitacja zawodowa i społęczna osób niepełnosprawnych</t>
  </si>
  <si>
    <t>Powiat Czarnkowsko - Trzcianecki</t>
  </si>
  <si>
    <t>pomoc finansowa na sfinansowanie części kosztów działalności Warsztatów Terapii Zajęciowej</t>
  </si>
  <si>
    <t>promocja</t>
  </si>
  <si>
    <t>dot.85214.2030</t>
  </si>
  <si>
    <t>ZPORR</t>
  </si>
  <si>
    <t xml:space="preserve">pod.os spadków </t>
  </si>
  <si>
    <t>odsetki pod.os.pr.</t>
  </si>
  <si>
    <t>sprzedaż działek budowlanych</t>
  </si>
  <si>
    <t>dzierżwa gr.rolnych</t>
  </si>
  <si>
    <t>Załącznik Nr 9 do Uchwały Nr VI/26/07</t>
  </si>
  <si>
    <t>Załącznik Nr 6 do Uchwały Nr VIII/44/07</t>
  </si>
  <si>
    <t xml:space="preserve">Załącznik Nr    do Uchwały Nr </t>
  </si>
  <si>
    <t>Załącznik Nr 7 do Uchwały Nr X/55/07</t>
  </si>
  <si>
    <t>Załącznik Nr 9 do Uchwały Nr XIV/68/07</t>
  </si>
  <si>
    <t>Rady Miejskiej Trzcianki z dnia             r. zmieniający</t>
  </si>
  <si>
    <t>Załącznik Nr 8 do Uchwały Nr V/25/07</t>
  </si>
  <si>
    <t>Załącznik Nr 6 do Uchwały Nr IX/51/07</t>
  </si>
  <si>
    <t xml:space="preserve">Rady Miejskiej Trzcianki z dnia 08.02.2007 r.  </t>
  </si>
  <si>
    <t xml:space="preserve">Rady Miejskiej Trzcianki z dnia 15.03.2007 r.  </t>
  </si>
  <si>
    <t xml:space="preserve">Rady Miejskiej Trzcianki z dnia 26.04.2007 r.  </t>
  </si>
  <si>
    <t xml:space="preserve">Rady Miejskiej Trzcianki z dnia 31.05.2007 r.  </t>
  </si>
  <si>
    <t xml:space="preserve">Rady Miejskiej Trzcianki z dnia 28.06.2007 r.  </t>
  </si>
  <si>
    <t xml:space="preserve">Wydatki jednostek pomocniczych Gminy  - plan po zmianach na rok 2007 </t>
  </si>
  <si>
    <t>Sołectwo Biała</t>
  </si>
  <si>
    <t>Sołectwo Górnica</t>
  </si>
  <si>
    <t>Sołectwo Łomnica</t>
  </si>
  <si>
    <t>Sołectwo Niekursko</t>
  </si>
  <si>
    <t>Sołectwo Nowa Wieś</t>
  </si>
  <si>
    <t>Sołectwo Pokrzywno</t>
  </si>
  <si>
    <t>Sołectwo Przyłęki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</si>
</sst>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6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i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2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4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 indent="1"/>
    </xf>
    <xf numFmtId="4" fontId="8" fillId="33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4" fillId="0" borderId="12" xfId="0" applyFont="1" applyFill="1" applyBorder="1" applyAlignment="1" quotePrefix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 indent="1"/>
    </xf>
    <xf numFmtId="4" fontId="14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 indent="1"/>
    </xf>
    <xf numFmtId="3" fontId="0" fillId="0" borderId="14" xfId="0" applyNumberForma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right" vertical="center" wrapText="1"/>
    </xf>
    <xf numFmtId="0" fontId="16" fillId="0" borderId="0" xfId="0" applyFont="1" applyAlignment="1">
      <alignment/>
    </xf>
    <xf numFmtId="4" fontId="2" fillId="0" borderId="12" xfId="0" applyNumberFormat="1" applyFont="1" applyFill="1" applyBorder="1" applyAlignment="1" quotePrefix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64" fontId="10" fillId="0" borderId="0" xfId="0" applyNumberFormat="1" applyFont="1" applyFill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9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4" fontId="14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 indent="1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" fontId="14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164" fontId="24" fillId="0" borderId="0" xfId="0" applyNumberFormat="1" applyFont="1" applyFill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1"/>
    </xf>
    <xf numFmtId="4" fontId="25" fillId="0" borderId="10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inden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 quotePrefix="1">
      <alignment horizontal="center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 indent="1"/>
    </xf>
    <xf numFmtId="4" fontId="25" fillId="0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 indent="1"/>
    </xf>
    <xf numFmtId="0" fontId="14" fillId="33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vertical="center"/>
    </xf>
    <xf numFmtId="0" fontId="14" fillId="33" borderId="12" xfId="0" applyFont="1" applyFill="1" applyBorder="1" applyAlignment="1" quotePrefix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 indent="1"/>
    </xf>
    <xf numFmtId="0" fontId="14" fillId="33" borderId="10" xfId="0" applyFont="1" applyFill="1" applyBorder="1" applyAlignment="1" quotePrefix="1">
      <alignment horizontal="center" vertical="center"/>
    </xf>
    <xf numFmtId="0" fontId="14" fillId="33" borderId="12" xfId="0" applyFont="1" applyFill="1" applyBorder="1" applyAlignment="1" quotePrefix="1">
      <alignment horizontal="center" vertical="center"/>
    </xf>
    <xf numFmtId="4" fontId="22" fillId="0" borderId="10" xfId="0" applyNumberFormat="1" applyFont="1" applyFill="1" applyBorder="1" applyAlignment="1">
      <alignment vertical="center"/>
    </xf>
    <xf numFmtId="0" fontId="25" fillId="0" borderId="12" xfId="0" applyFont="1" applyFill="1" applyBorder="1" applyAlignment="1" quotePrefix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 indent="2"/>
    </xf>
    <xf numFmtId="4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 indent="2"/>
    </xf>
    <xf numFmtId="4" fontId="27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zoomScalePageLayoutView="0" workbookViewId="0" topLeftCell="A1">
      <selection activeCell="AF8" sqref="AF8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327" bestFit="1" customWidth="1"/>
    <col min="4" max="4" width="32.125" style="327" customWidth="1"/>
    <col min="5" max="5" width="12.25390625" style="329" hidden="1" customWidth="1"/>
    <col min="6" max="6" width="11.00390625" style="329" hidden="1" customWidth="1"/>
    <col min="7" max="7" width="11.625" style="329" hidden="1" customWidth="1"/>
    <col min="8" max="8" width="34.875" style="329" hidden="1" customWidth="1"/>
    <col min="9" max="9" width="10.375" style="329" hidden="1" customWidth="1"/>
    <col min="10" max="10" width="12.875" style="329" hidden="1" customWidth="1"/>
    <col min="11" max="11" width="32.375" style="329" hidden="1" customWidth="1"/>
    <col min="12" max="12" width="34.875" style="329" hidden="1" customWidth="1"/>
    <col min="13" max="13" width="10.375" style="329" hidden="1" customWidth="1"/>
    <col min="14" max="14" width="32.375" style="329" hidden="1" customWidth="1"/>
    <col min="15" max="15" width="10.00390625" style="329" hidden="1" customWidth="1"/>
    <col min="16" max="16" width="36.25390625" style="329" hidden="1" customWidth="1"/>
    <col min="17" max="17" width="10.00390625" style="329" hidden="1" customWidth="1"/>
    <col min="18" max="19" width="0.12890625" style="329" hidden="1" customWidth="1"/>
    <col min="20" max="20" width="12.875" style="329" hidden="1" customWidth="1"/>
    <col min="21" max="21" width="12.25390625" style="329" hidden="1" customWidth="1"/>
    <col min="22" max="22" width="32.375" style="329" hidden="1" customWidth="1"/>
    <col min="23" max="23" width="10.00390625" style="329" hidden="1" customWidth="1"/>
    <col min="24" max="24" width="12.875" style="329" customWidth="1"/>
    <col min="25" max="25" width="12.25390625" style="329" customWidth="1"/>
    <col min="26" max="26" width="12.875" style="329" customWidth="1"/>
  </cols>
  <sheetData>
    <row r="1" spans="1:26" ht="12.75">
      <c r="A1" s="69"/>
      <c r="B1" s="69"/>
      <c r="C1" s="291"/>
      <c r="D1" s="291"/>
      <c r="E1" s="292"/>
      <c r="F1" s="292"/>
      <c r="G1" s="292"/>
      <c r="H1" s="293" t="s">
        <v>585</v>
      </c>
      <c r="I1" s="293"/>
      <c r="J1" s="292"/>
      <c r="K1" s="293" t="s">
        <v>596</v>
      </c>
      <c r="L1" s="293" t="s">
        <v>657</v>
      </c>
      <c r="M1" s="293"/>
      <c r="N1" s="293" t="s">
        <v>674</v>
      </c>
      <c r="O1" s="293"/>
      <c r="P1" s="293" t="s">
        <v>692</v>
      </c>
      <c r="Q1" s="293"/>
      <c r="R1" s="293" t="s">
        <v>75</v>
      </c>
      <c r="S1" s="293"/>
      <c r="T1" s="293" t="s">
        <v>96</v>
      </c>
      <c r="U1" s="293"/>
      <c r="V1" s="293" t="s">
        <v>50</v>
      </c>
      <c r="W1" s="293"/>
      <c r="X1" s="293" t="s">
        <v>382</v>
      </c>
      <c r="Y1" s="293"/>
      <c r="Z1" s="292"/>
    </row>
    <row r="2" spans="1:26" ht="12.75">
      <c r="A2" s="69"/>
      <c r="B2" s="69"/>
      <c r="C2" s="291"/>
      <c r="D2" s="291"/>
      <c r="E2" s="292"/>
      <c r="F2" s="292"/>
      <c r="G2" s="292"/>
      <c r="H2" s="293" t="s">
        <v>532</v>
      </c>
      <c r="I2" s="293"/>
      <c r="J2" s="292"/>
      <c r="K2" s="293" t="s">
        <v>594</v>
      </c>
      <c r="L2" s="293" t="s">
        <v>637</v>
      </c>
      <c r="M2" s="293"/>
      <c r="N2" s="293" t="s">
        <v>672</v>
      </c>
      <c r="O2" s="293"/>
      <c r="P2" s="293" t="s">
        <v>693</v>
      </c>
      <c r="Q2" s="293"/>
      <c r="R2" s="293" t="s">
        <v>74</v>
      </c>
      <c r="S2" s="293"/>
      <c r="T2" s="293" t="s">
        <v>97</v>
      </c>
      <c r="U2" s="293"/>
      <c r="V2" s="293" t="s">
        <v>69</v>
      </c>
      <c r="W2" s="293"/>
      <c r="X2" s="293" t="s">
        <v>381</v>
      </c>
      <c r="Y2" s="293"/>
      <c r="Z2" s="292"/>
    </row>
    <row r="3" spans="1:26" ht="12.75">
      <c r="A3" s="69"/>
      <c r="B3" s="69"/>
      <c r="C3" s="291"/>
      <c r="D3" s="291"/>
      <c r="E3" s="292"/>
      <c r="F3" s="292"/>
      <c r="G3" s="292"/>
      <c r="H3" s="293" t="s">
        <v>533</v>
      </c>
      <c r="I3" s="293"/>
      <c r="J3" s="292"/>
      <c r="K3" s="293" t="s">
        <v>585</v>
      </c>
      <c r="L3" s="293" t="s">
        <v>596</v>
      </c>
      <c r="M3" s="293"/>
      <c r="N3" s="293" t="s">
        <v>657</v>
      </c>
      <c r="O3" s="293"/>
      <c r="P3" s="293" t="s">
        <v>674</v>
      </c>
      <c r="Q3" s="293"/>
      <c r="R3" s="293" t="s">
        <v>692</v>
      </c>
      <c r="S3" s="293"/>
      <c r="T3" s="293" t="s">
        <v>75</v>
      </c>
      <c r="U3" s="293"/>
      <c r="V3" s="293" t="s">
        <v>96</v>
      </c>
      <c r="W3" s="293"/>
      <c r="X3" s="293" t="s">
        <v>50</v>
      </c>
      <c r="Y3" s="293"/>
      <c r="Z3" s="292"/>
    </row>
    <row r="4" spans="1:26" ht="12.75">
      <c r="A4" s="69"/>
      <c r="B4" s="69"/>
      <c r="C4" s="291"/>
      <c r="D4" s="291"/>
      <c r="E4" s="292"/>
      <c r="F4" s="292"/>
      <c r="G4" s="292"/>
      <c r="H4" s="293" t="s">
        <v>534</v>
      </c>
      <c r="I4" s="293"/>
      <c r="J4" s="292"/>
      <c r="K4" s="293" t="s">
        <v>595</v>
      </c>
      <c r="L4" s="293" t="s">
        <v>597</v>
      </c>
      <c r="M4" s="293"/>
      <c r="N4" s="293" t="s">
        <v>668</v>
      </c>
      <c r="O4" s="293"/>
      <c r="P4" s="293" t="s">
        <v>682</v>
      </c>
      <c r="Q4" s="293"/>
      <c r="R4" s="293" t="s">
        <v>700</v>
      </c>
      <c r="S4" s="293"/>
      <c r="T4" s="293" t="s">
        <v>101</v>
      </c>
      <c r="U4" s="293"/>
      <c r="V4" s="293" t="s">
        <v>89</v>
      </c>
      <c r="W4" s="293"/>
      <c r="X4" s="293" t="s">
        <v>25</v>
      </c>
      <c r="Y4" s="293"/>
      <c r="Z4" s="292"/>
    </row>
    <row r="5" spans="1:26" ht="12.75">
      <c r="A5" s="69"/>
      <c r="B5" s="69"/>
      <c r="C5" s="291"/>
      <c r="D5" s="291" t="s">
        <v>374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18.75" customHeight="1">
      <c r="A6" s="216" t="s">
        <v>593</v>
      </c>
      <c r="B6" s="216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s="8" customFormat="1" ht="24.75" customHeight="1">
      <c r="A7" s="6" t="s">
        <v>112</v>
      </c>
      <c r="B7" s="5" t="s">
        <v>113</v>
      </c>
      <c r="C7" s="295" t="s">
        <v>114</v>
      </c>
      <c r="D7" s="296" t="s">
        <v>565</v>
      </c>
      <c r="E7" s="297" t="s">
        <v>270</v>
      </c>
      <c r="F7" s="297" t="s">
        <v>346</v>
      </c>
      <c r="G7" s="297" t="s">
        <v>347</v>
      </c>
      <c r="H7" s="298" t="s">
        <v>558</v>
      </c>
      <c r="I7" s="297" t="s">
        <v>557</v>
      </c>
      <c r="J7" s="298" t="s">
        <v>271</v>
      </c>
      <c r="K7" s="297" t="s">
        <v>557</v>
      </c>
      <c r="L7" s="298" t="s">
        <v>558</v>
      </c>
      <c r="M7" s="297" t="s">
        <v>351</v>
      </c>
      <c r="N7" s="298" t="s">
        <v>558</v>
      </c>
      <c r="O7" s="297" t="s">
        <v>351</v>
      </c>
      <c r="P7" s="298" t="s">
        <v>558</v>
      </c>
      <c r="Q7" s="297" t="s">
        <v>557</v>
      </c>
      <c r="R7" s="298" t="s">
        <v>558</v>
      </c>
      <c r="S7" s="297" t="s">
        <v>557</v>
      </c>
      <c r="T7" s="298" t="s">
        <v>558</v>
      </c>
      <c r="U7" s="297" t="s">
        <v>557</v>
      </c>
      <c r="V7" s="298" t="s">
        <v>702</v>
      </c>
      <c r="W7" s="297" t="s">
        <v>557</v>
      </c>
      <c r="X7" s="298" t="s">
        <v>558</v>
      </c>
      <c r="Y7" s="297" t="s">
        <v>557</v>
      </c>
      <c r="Z7" s="298" t="s">
        <v>559</v>
      </c>
    </row>
    <row r="8" spans="1:26" s="8" customFormat="1" ht="24.75" customHeight="1">
      <c r="A8" s="118" t="s">
        <v>116</v>
      </c>
      <c r="B8" s="5"/>
      <c r="C8" s="295"/>
      <c r="D8" s="299" t="s">
        <v>117</v>
      </c>
      <c r="E8" s="297"/>
      <c r="F8" s="297"/>
      <c r="G8" s="297"/>
      <c r="H8" s="298"/>
      <c r="I8" s="297"/>
      <c r="J8" s="298"/>
      <c r="K8" s="297"/>
      <c r="L8" s="300">
        <f aca="true" t="shared" si="0" ref="L8:Z8">SUM(L9)</f>
        <v>0</v>
      </c>
      <c r="M8" s="300">
        <f t="shared" si="0"/>
        <v>160720</v>
      </c>
      <c r="N8" s="300">
        <f t="shared" si="0"/>
        <v>160720</v>
      </c>
      <c r="O8" s="300">
        <f t="shared" si="0"/>
        <v>98263</v>
      </c>
      <c r="P8" s="300">
        <f t="shared" si="0"/>
        <v>258983</v>
      </c>
      <c r="Q8" s="300">
        <f t="shared" si="0"/>
        <v>0</v>
      </c>
      <c r="R8" s="300">
        <f t="shared" si="0"/>
        <v>258983</v>
      </c>
      <c r="S8" s="300">
        <f t="shared" si="0"/>
        <v>1448500</v>
      </c>
      <c r="T8" s="300">
        <f t="shared" si="0"/>
        <v>1707483</v>
      </c>
      <c r="U8" s="300">
        <f t="shared" si="0"/>
        <v>0</v>
      </c>
      <c r="V8" s="300">
        <f t="shared" si="0"/>
        <v>1707483</v>
      </c>
      <c r="W8" s="300">
        <f t="shared" si="0"/>
        <v>0</v>
      </c>
      <c r="X8" s="300">
        <f t="shared" si="0"/>
        <v>1707483</v>
      </c>
      <c r="Y8" s="300">
        <f t="shared" si="0"/>
        <v>0</v>
      </c>
      <c r="Z8" s="300">
        <f t="shared" si="0"/>
        <v>1707483</v>
      </c>
    </row>
    <row r="9" spans="1:26" s="27" customFormat="1" ht="24.75" customHeight="1">
      <c r="A9" s="93"/>
      <c r="B9" s="91" t="s">
        <v>622</v>
      </c>
      <c r="C9" s="301"/>
      <c r="D9" s="302" t="s">
        <v>118</v>
      </c>
      <c r="E9" s="303"/>
      <c r="F9" s="303"/>
      <c r="G9" s="303"/>
      <c r="H9" s="304"/>
      <c r="I9" s="303"/>
      <c r="J9" s="304"/>
      <c r="K9" s="303"/>
      <c r="L9" s="305">
        <f>SUM(L10:L11)</f>
        <v>0</v>
      </c>
      <c r="M9" s="305">
        <f>SUM(M10:M11)</f>
        <v>160720</v>
      </c>
      <c r="N9" s="305">
        <f aca="true" t="shared" si="1" ref="N9:T9">SUM(N10:N12)</f>
        <v>160720</v>
      </c>
      <c r="O9" s="305">
        <f t="shared" si="1"/>
        <v>98263</v>
      </c>
      <c r="P9" s="305">
        <f t="shared" si="1"/>
        <v>258983</v>
      </c>
      <c r="Q9" s="305">
        <f t="shared" si="1"/>
        <v>0</v>
      </c>
      <c r="R9" s="305">
        <f t="shared" si="1"/>
        <v>258983</v>
      </c>
      <c r="S9" s="305">
        <f t="shared" si="1"/>
        <v>1448500</v>
      </c>
      <c r="T9" s="305">
        <f t="shared" si="1"/>
        <v>1707483</v>
      </c>
      <c r="U9" s="305">
        <f aca="true" t="shared" si="2" ref="U9:Z9">SUM(U10:U12)</f>
        <v>0</v>
      </c>
      <c r="V9" s="305">
        <f t="shared" si="2"/>
        <v>1707483</v>
      </c>
      <c r="W9" s="305">
        <f t="shared" si="2"/>
        <v>0</v>
      </c>
      <c r="X9" s="305">
        <f t="shared" si="2"/>
        <v>1707483</v>
      </c>
      <c r="Y9" s="305">
        <f t="shared" si="2"/>
        <v>0</v>
      </c>
      <c r="Z9" s="305">
        <f t="shared" si="2"/>
        <v>1707483</v>
      </c>
    </row>
    <row r="10" spans="1:26" s="27" customFormat="1" ht="72">
      <c r="A10" s="93"/>
      <c r="B10" s="61"/>
      <c r="C10" s="306" t="s">
        <v>297</v>
      </c>
      <c r="D10" s="172" t="s">
        <v>177</v>
      </c>
      <c r="E10" s="303"/>
      <c r="F10" s="303"/>
      <c r="G10" s="303"/>
      <c r="H10" s="304"/>
      <c r="I10" s="303"/>
      <c r="J10" s="304"/>
      <c r="K10" s="303"/>
      <c r="L10" s="305">
        <v>0</v>
      </c>
      <c r="M10" s="307">
        <f>80000+4720</f>
        <v>84720</v>
      </c>
      <c r="N10" s="305">
        <f>SUM(L10:M10)</f>
        <v>84720</v>
      </c>
      <c r="O10" s="307">
        <v>0</v>
      </c>
      <c r="P10" s="305">
        <f>SUM(N10:O10)</f>
        <v>84720</v>
      </c>
      <c r="Q10" s="307">
        <v>0</v>
      </c>
      <c r="R10" s="305">
        <f>SUM(P10:Q10)</f>
        <v>84720</v>
      </c>
      <c r="S10" s="307">
        <v>18500</v>
      </c>
      <c r="T10" s="305">
        <f>SUM(R10:S10)</f>
        <v>103220</v>
      </c>
      <c r="U10" s="307">
        <v>0</v>
      </c>
      <c r="V10" s="305">
        <f>SUM(T10:U10)</f>
        <v>103220</v>
      </c>
      <c r="W10" s="307">
        <v>0</v>
      </c>
      <c r="X10" s="305">
        <f>SUM(V10:W10)</f>
        <v>103220</v>
      </c>
      <c r="Y10" s="307">
        <v>0</v>
      </c>
      <c r="Z10" s="305">
        <f>SUM(X10:Y10)</f>
        <v>103220</v>
      </c>
    </row>
    <row r="11" spans="1:26" s="27" customFormat="1" ht="36">
      <c r="A11" s="93"/>
      <c r="B11" s="61"/>
      <c r="C11" s="306" t="s">
        <v>623</v>
      </c>
      <c r="D11" s="172" t="s">
        <v>625</v>
      </c>
      <c r="E11" s="303"/>
      <c r="F11" s="303"/>
      <c r="G11" s="303"/>
      <c r="H11" s="304"/>
      <c r="I11" s="303"/>
      <c r="J11" s="304"/>
      <c r="K11" s="303"/>
      <c r="L11" s="305">
        <v>0</v>
      </c>
      <c r="M11" s="307">
        <v>76000</v>
      </c>
      <c r="N11" s="305">
        <f>SUM(L11:M11)</f>
        <v>76000</v>
      </c>
      <c r="O11" s="307">
        <v>0</v>
      </c>
      <c r="P11" s="305">
        <f>SUM(N11:O11)</f>
        <v>76000</v>
      </c>
      <c r="Q11" s="307">
        <v>0</v>
      </c>
      <c r="R11" s="305">
        <f>SUM(P11:Q11)</f>
        <v>76000</v>
      </c>
      <c r="S11" s="307">
        <f>780000+600000+50000</f>
        <v>1430000</v>
      </c>
      <c r="T11" s="305">
        <f>SUM(R11:S11)</f>
        <v>1506000</v>
      </c>
      <c r="U11" s="307">
        <v>0</v>
      </c>
      <c r="V11" s="305">
        <f>SUM(T11:U11)</f>
        <v>1506000</v>
      </c>
      <c r="W11" s="307">
        <v>0</v>
      </c>
      <c r="X11" s="305">
        <f>SUM(V11:W11)</f>
        <v>1506000</v>
      </c>
      <c r="Y11" s="307">
        <v>0</v>
      </c>
      <c r="Z11" s="305">
        <f>SUM(X11:Y11)</f>
        <v>1506000</v>
      </c>
    </row>
    <row r="12" spans="1:26" s="27" customFormat="1" ht="60">
      <c r="A12" s="93"/>
      <c r="B12" s="61"/>
      <c r="C12" s="306">
        <v>2010</v>
      </c>
      <c r="D12" s="172" t="s">
        <v>660</v>
      </c>
      <c r="E12" s="303"/>
      <c r="F12" s="303"/>
      <c r="G12" s="303"/>
      <c r="H12" s="304"/>
      <c r="I12" s="303"/>
      <c r="J12" s="304"/>
      <c r="K12" s="303"/>
      <c r="L12" s="305"/>
      <c r="M12" s="307"/>
      <c r="N12" s="305">
        <v>0</v>
      </c>
      <c r="O12" s="307">
        <v>98263</v>
      </c>
      <c r="P12" s="305">
        <f>SUM(N12:O12)</f>
        <v>98263</v>
      </c>
      <c r="Q12" s="307">
        <v>0</v>
      </c>
      <c r="R12" s="305">
        <f>SUM(P12:Q12)</f>
        <v>98263</v>
      </c>
      <c r="S12" s="307">
        <v>0</v>
      </c>
      <c r="T12" s="305">
        <f>SUM(R12:S12)</f>
        <v>98263</v>
      </c>
      <c r="U12" s="307">
        <v>0</v>
      </c>
      <c r="V12" s="305">
        <f>SUM(T12:U12)</f>
        <v>98263</v>
      </c>
      <c r="W12" s="307">
        <v>0</v>
      </c>
      <c r="X12" s="305">
        <f>SUM(V12:W12)</f>
        <v>98263</v>
      </c>
      <c r="Y12" s="307">
        <v>0</v>
      </c>
      <c r="Z12" s="305">
        <f>SUM(X12:Y12)</f>
        <v>98263</v>
      </c>
    </row>
    <row r="13" spans="1:26" s="8" customFormat="1" ht="12" hidden="1">
      <c r="A13" s="34" t="s">
        <v>120</v>
      </c>
      <c r="B13" s="3"/>
      <c r="C13" s="308"/>
      <c r="D13" s="309" t="s">
        <v>121</v>
      </c>
      <c r="E13" s="310">
        <f aca="true" t="shared" si="3" ref="E13:G14">SUM(E14)</f>
        <v>4720</v>
      </c>
      <c r="F13" s="310">
        <f t="shared" si="3"/>
        <v>0</v>
      </c>
      <c r="G13" s="310">
        <f t="shared" si="3"/>
        <v>0</v>
      </c>
      <c r="H13" s="310">
        <f aca="true" t="shared" si="4" ref="H13:H47">E13+F13-G13</f>
        <v>4720</v>
      </c>
      <c r="I13" s="310">
        <f>SUM(I14)</f>
        <v>0</v>
      </c>
      <c r="J13" s="310">
        <f>SUM(H13:I13)</f>
        <v>4720</v>
      </c>
      <c r="K13" s="310">
        <f>SUM(K14)</f>
        <v>0</v>
      </c>
      <c r="L13" s="310">
        <f>SUM(J13:K13)</f>
        <v>4720</v>
      </c>
      <c r="M13" s="310">
        <f>SUM(M14)</f>
        <v>-4720</v>
      </c>
      <c r="N13" s="310">
        <f>SUM(L13:M13)</f>
        <v>0</v>
      </c>
      <c r="O13" s="310">
        <f>SUM(O14)</f>
        <v>0</v>
      </c>
      <c r="P13" s="310">
        <f>SUM(N13:O13)</f>
        <v>0</v>
      </c>
      <c r="Q13" s="310">
        <f>SUM(Q14)</f>
        <v>0</v>
      </c>
      <c r="R13" s="310">
        <f>SUM(P13:Q13)</f>
        <v>0</v>
      </c>
      <c r="S13" s="310">
        <f>SUM(S14)</f>
        <v>0</v>
      </c>
      <c r="T13" s="310">
        <f>SUM(R13:S13)</f>
        <v>0</v>
      </c>
      <c r="U13" s="310">
        <f>SUM(U14)</f>
        <v>0</v>
      </c>
      <c r="V13" s="310">
        <f>SUM(T13:U13)</f>
        <v>0</v>
      </c>
      <c r="W13" s="310">
        <f>SUM(W14)</f>
        <v>0</v>
      </c>
      <c r="X13" s="310">
        <f>SUM(V13:W13)</f>
        <v>0</v>
      </c>
      <c r="Y13" s="310">
        <f>SUM(Y14)</f>
        <v>0</v>
      </c>
      <c r="Z13" s="310">
        <f>SUM(X13:Y13)</f>
        <v>0</v>
      </c>
    </row>
    <row r="14" spans="1:26" s="27" customFormat="1" ht="11.25" hidden="1">
      <c r="A14" s="90"/>
      <c r="B14" s="87" t="s">
        <v>122</v>
      </c>
      <c r="C14" s="301"/>
      <c r="D14" s="172" t="s">
        <v>118</v>
      </c>
      <c r="E14" s="173">
        <f t="shared" si="3"/>
        <v>4720</v>
      </c>
      <c r="F14" s="173">
        <f t="shared" si="3"/>
        <v>0</v>
      </c>
      <c r="G14" s="173">
        <f t="shared" si="3"/>
        <v>0</v>
      </c>
      <c r="H14" s="173">
        <f t="shared" si="4"/>
        <v>4720</v>
      </c>
      <c r="I14" s="173">
        <f>SUM(I15)</f>
        <v>0</v>
      </c>
      <c r="J14" s="173">
        <f aca="true" t="shared" si="5" ref="J14:J81">SUM(H14:I14)</f>
        <v>4720</v>
      </c>
      <c r="K14" s="173">
        <f>SUM(K15)</f>
        <v>0</v>
      </c>
      <c r="L14" s="173">
        <f aca="true" t="shared" si="6" ref="L14:Z14">SUM(L15:L15)</f>
        <v>4720</v>
      </c>
      <c r="M14" s="173">
        <f t="shared" si="6"/>
        <v>-4720</v>
      </c>
      <c r="N14" s="173">
        <f t="shared" si="6"/>
        <v>0</v>
      </c>
      <c r="O14" s="173">
        <f t="shared" si="6"/>
        <v>0</v>
      </c>
      <c r="P14" s="173">
        <f t="shared" si="6"/>
        <v>0</v>
      </c>
      <c r="Q14" s="173">
        <f t="shared" si="6"/>
        <v>0</v>
      </c>
      <c r="R14" s="173">
        <f t="shared" si="6"/>
        <v>0</v>
      </c>
      <c r="S14" s="173">
        <f t="shared" si="6"/>
        <v>0</v>
      </c>
      <c r="T14" s="173">
        <f t="shared" si="6"/>
        <v>0</v>
      </c>
      <c r="U14" s="173">
        <f t="shared" si="6"/>
        <v>0</v>
      </c>
      <c r="V14" s="173">
        <f t="shared" si="6"/>
        <v>0</v>
      </c>
      <c r="W14" s="173">
        <f t="shared" si="6"/>
        <v>0</v>
      </c>
      <c r="X14" s="173">
        <f t="shared" si="6"/>
        <v>0</v>
      </c>
      <c r="Y14" s="173">
        <f t="shared" si="6"/>
        <v>0</v>
      </c>
      <c r="Z14" s="173">
        <f t="shared" si="6"/>
        <v>0</v>
      </c>
    </row>
    <row r="15" spans="1:26" s="27" customFormat="1" ht="45" hidden="1">
      <c r="A15" s="90"/>
      <c r="B15" s="91"/>
      <c r="C15" s="171" t="s">
        <v>295</v>
      </c>
      <c r="D15" s="172" t="s">
        <v>119</v>
      </c>
      <c r="E15" s="173">
        <v>4720</v>
      </c>
      <c r="F15" s="173"/>
      <c r="G15" s="173"/>
      <c r="H15" s="173">
        <f t="shared" si="4"/>
        <v>4720</v>
      </c>
      <c r="I15" s="173">
        <v>0</v>
      </c>
      <c r="J15" s="173">
        <f t="shared" si="5"/>
        <v>4720</v>
      </c>
      <c r="K15" s="173">
        <v>0</v>
      </c>
      <c r="L15" s="173">
        <f aca="true" t="shared" si="7" ref="L15:L81">SUM(J15:K15)</f>
        <v>4720</v>
      </c>
      <c r="M15" s="173">
        <v>-4720</v>
      </c>
      <c r="N15" s="173">
        <f aca="true" t="shared" si="8" ref="N15:N81">SUM(L15:M15)</f>
        <v>0</v>
      </c>
      <c r="O15" s="173">
        <v>0</v>
      </c>
      <c r="P15" s="173">
        <f aca="true" t="shared" si="9" ref="P15:P82">SUM(N15:O15)</f>
        <v>0</v>
      </c>
      <c r="Q15" s="173">
        <v>0</v>
      </c>
      <c r="R15" s="173">
        <f aca="true" t="shared" si="10" ref="R15:R82">SUM(P15:Q15)</f>
        <v>0</v>
      </c>
      <c r="S15" s="173">
        <v>0</v>
      </c>
      <c r="T15" s="173">
        <f aca="true" t="shared" si="11" ref="T15:T82">SUM(R15:S15)</f>
        <v>0</v>
      </c>
      <c r="U15" s="173">
        <v>0</v>
      </c>
      <c r="V15" s="173">
        <f aca="true" t="shared" si="12" ref="V15:V82">SUM(T15:U15)</f>
        <v>0</v>
      </c>
      <c r="W15" s="173">
        <v>0</v>
      </c>
      <c r="X15" s="173">
        <f aca="true" t="shared" si="13" ref="X15:X82">SUM(V15:W15)</f>
        <v>0</v>
      </c>
      <c r="Y15" s="173">
        <v>0</v>
      </c>
      <c r="Z15" s="173">
        <f aca="true" t="shared" si="14" ref="Z15:Z82">SUM(X15:Y15)</f>
        <v>0</v>
      </c>
    </row>
    <row r="16" spans="1:26" s="48" customFormat="1" ht="24.75" customHeight="1">
      <c r="A16" s="118">
        <v>600</v>
      </c>
      <c r="B16" s="41"/>
      <c r="C16" s="311"/>
      <c r="D16" s="312" t="s">
        <v>197</v>
      </c>
      <c r="E16" s="310">
        <f aca="true" t="shared" si="15" ref="E16:G17">SUM(E17)</f>
        <v>4000</v>
      </c>
      <c r="F16" s="310">
        <f t="shared" si="15"/>
        <v>0</v>
      </c>
      <c r="G16" s="310">
        <f t="shared" si="15"/>
        <v>0</v>
      </c>
      <c r="H16" s="310">
        <f t="shared" si="4"/>
        <v>4000</v>
      </c>
      <c r="I16" s="310">
        <f>SUM(I17)</f>
        <v>0</v>
      </c>
      <c r="J16" s="310">
        <f t="shared" si="5"/>
        <v>4000</v>
      </c>
      <c r="K16" s="310">
        <f>SUM(K17)</f>
        <v>0</v>
      </c>
      <c r="L16" s="310">
        <f t="shared" si="7"/>
        <v>4000</v>
      </c>
      <c r="M16" s="310">
        <f>SUM(M17)</f>
        <v>0</v>
      </c>
      <c r="N16" s="310">
        <f t="shared" si="8"/>
        <v>4000</v>
      </c>
      <c r="O16" s="310">
        <f>SUM(O17)</f>
        <v>0</v>
      </c>
      <c r="P16" s="310">
        <f t="shared" si="9"/>
        <v>4000</v>
      </c>
      <c r="Q16" s="310">
        <f>SUM(Q17)</f>
        <v>0</v>
      </c>
      <c r="R16" s="310">
        <f t="shared" si="10"/>
        <v>4000</v>
      </c>
      <c r="S16" s="310">
        <f>SUM(S17)</f>
        <v>0</v>
      </c>
      <c r="T16" s="310">
        <f t="shared" si="11"/>
        <v>4000</v>
      </c>
      <c r="U16" s="310">
        <f>SUM(U17)</f>
        <v>0</v>
      </c>
      <c r="V16" s="310">
        <f t="shared" si="12"/>
        <v>4000</v>
      </c>
      <c r="W16" s="310">
        <f>SUM(W17)</f>
        <v>0</v>
      </c>
      <c r="X16" s="310">
        <f t="shared" si="13"/>
        <v>4000</v>
      </c>
      <c r="Y16" s="310">
        <f>SUM(Y17)</f>
        <v>20111</v>
      </c>
      <c r="Z16" s="310">
        <f t="shared" si="14"/>
        <v>24111</v>
      </c>
    </row>
    <row r="17" spans="1:26" s="27" customFormat="1" ht="22.5" customHeight="1">
      <c r="A17" s="90"/>
      <c r="B17" s="98" t="s">
        <v>198</v>
      </c>
      <c r="C17" s="313"/>
      <c r="D17" s="268" t="s">
        <v>199</v>
      </c>
      <c r="E17" s="173">
        <f t="shared" si="15"/>
        <v>4000</v>
      </c>
      <c r="F17" s="173">
        <f t="shared" si="15"/>
        <v>0</v>
      </c>
      <c r="G17" s="173">
        <f t="shared" si="15"/>
        <v>0</v>
      </c>
      <c r="H17" s="173">
        <f t="shared" si="4"/>
        <v>4000</v>
      </c>
      <c r="I17" s="173">
        <f>SUM(I18)</f>
        <v>0</v>
      </c>
      <c r="J17" s="173">
        <f t="shared" si="5"/>
        <v>4000</v>
      </c>
      <c r="K17" s="173">
        <f>SUM(K18)</f>
        <v>0</v>
      </c>
      <c r="L17" s="173">
        <f t="shared" si="7"/>
        <v>4000</v>
      </c>
      <c r="M17" s="173">
        <f>SUM(M18)</f>
        <v>0</v>
      </c>
      <c r="N17" s="173">
        <f t="shared" si="8"/>
        <v>4000</v>
      </c>
      <c r="O17" s="173">
        <f>SUM(O18)</f>
        <v>0</v>
      </c>
      <c r="P17" s="173">
        <f t="shared" si="9"/>
        <v>4000</v>
      </c>
      <c r="Q17" s="173">
        <f>SUM(Q18)</f>
        <v>0</v>
      </c>
      <c r="R17" s="173">
        <f t="shared" si="10"/>
        <v>4000</v>
      </c>
      <c r="S17" s="173">
        <f>SUM(S18)</f>
        <v>0</v>
      </c>
      <c r="T17" s="173">
        <f t="shared" si="11"/>
        <v>4000</v>
      </c>
      <c r="U17" s="173">
        <f>SUM(U18)</f>
        <v>0</v>
      </c>
      <c r="V17" s="173">
        <f t="shared" si="12"/>
        <v>4000</v>
      </c>
      <c r="W17" s="173">
        <f>SUM(W18)</f>
        <v>0</v>
      </c>
      <c r="X17" s="173">
        <f t="shared" si="13"/>
        <v>4000</v>
      </c>
      <c r="Y17" s="173">
        <f>SUM(Y18)</f>
        <v>20111</v>
      </c>
      <c r="Z17" s="173">
        <f t="shared" si="14"/>
        <v>24111</v>
      </c>
    </row>
    <row r="18" spans="1:26" s="27" customFormat="1" ht="21.75" customHeight="1">
      <c r="A18" s="90"/>
      <c r="B18" s="156"/>
      <c r="C18" s="171" t="s">
        <v>324</v>
      </c>
      <c r="D18" s="172" t="s">
        <v>277</v>
      </c>
      <c r="E18" s="173">
        <v>4000</v>
      </c>
      <c r="F18" s="173"/>
      <c r="G18" s="173"/>
      <c r="H18" s="173">
        <f t="shared" si="4"/>
        <v>4000</v>
      </c>
      <c r="I18" s="173">
        <v>0</v>
      </c>
      <c r="J18" s="173">
        <f t="shared" si="5"/>
        <v>4000</v>
      </c>
      <c r="K18" s="173">
        <v>0</v>
      </c>
      <c r="L18" s="173">
        <f t="shared" si="7"/>
        <v>4000</v>
      </c>
      <c r="M18" s="173">
        <v>0</v>
      </c>
      <c r="N18" s="173">
        <f t="shared" si="8"/>
        <v>4000</v>
      </c>
      <c r="O18" s="173">
        <v>0</v>
      </c>
      <c r="P18" s="173">
        <f t="shared" si="9"/>
        <v>4000</v>
      </c>
      <c r="Q18" s="173">
        <v>0</v>
      </c>
      <c r="R18" s="173">
        <f t="shared" si="10"/>
        <v>4000</v>
      </c>
      <c r="S18" s="173">
        <v>0</v>
      </c>
      <c r="T18" s="173">
        <f t="shared" si="11"/>
        <v>4000</v>
      </c>
      <c r="U18" s="173">
        <v>0</v>
      </c>
      <c r="V18" s="173">
        <f t="shared" si="12"/>
        <v>4000</v>
      </c>
      <c r="W18" s="173">
        <v>0</v>
      </c>
      <c r="X18" s="173">
        <f t="shared" si="13"/>
        <v>4000</v>
      </c>
      <c r="Y18" s="173">
        <v>20111</v>
      </c>
      <c r="Z18" s="173">
        <f t="shared" si="14"/>
        <v>24111</v>
      </c>
    </row>
    <row r="19" spans="1:26" s="7" customFormat="1" ht="24.75" customHeight="1">
      <c r="A19" s="34" t="s">
        <v>123</v>
      </c>
      <c r="B19" s="4"/>
      <c r="C19" s="314"/>
      <c r="D19" s="309" t="s">
        <v>124</v>
      </c>
      <c r="E19" s="310">
        <f>SUM(E20,)</f>
        <v>1691508</v>
      </c>
      <c r="F19" s="310">
        <f>SUM(F20,)</f>
        <v>0</v>
      </c>
      <c r="G19" s="310">
        <f>SUM(G20,)</f>
        <v>0</v>
      </c>
      <c r="H19" s="310">
        <f t="shared" si="4"/>
        <v>1691508</v>
      </c>
      <c r="I19" s="310">
        <f>SUM(I20,)</f>
        <v>0</v>
      </c>
      <c r="J19" s="310">
        <f t="shared" si="5"/>
        <v>1691508</v>
      </c>
      <c r="K19" s="310">
        <f>SUM(K20,)</f>
        <v>0</v>
      </c>
      <c r="L19" s="310">
        <f t="shared" si="7"/>
        <v>1691508</v>
      </c>
      <c r="M19" s="310">
        <f>SUM(M20,)</f>
        <v>-156000</v>
      </c>
      <c r="N19" s="310">
        <f t="shared" si="8"/>
        <v>1535508</v>
      </c>
      <c r="O19" s="310">
        <f>SUM(O20,)</f>
        <v>0</v>
      </c>
      <c r="P19" s="310">
        <f t="shared" si="9"/>
        <v>1535508</v>
      </c>
      <c r="Q19" s="310">
        <f>SUM(Q20,)</f>
        <v>0</v>
      </c>
      <c r="R19" s="310">
        <f t="shared" si="10"/>
        <v>1535508</v>
      </c>
      <c r="S19" s="310">
        <f>SUM(S20,)</f>
        <v>933500</v>
      </c>
      <c r="T19" s="310">
        <f t="shared" si="11"/>
        <v>2469008</v>
      </c>
      <c r="U19" s="310">
        <f>SUM(U20,)</f>
        <v>0</v>
      </c>
      <c r="V19" s="310">
        <f t="shared" si="12"/>
        <v>2469008</v>
      </c>
      <c r="W19" s="310">
        <f>SUM(W20,)</f>
        <v>0</v>
      </c>
      <c r="X19" s="310">
        <f t="shared" si="13"/>
        <v>2469008</v>
      </c>
      <c r="Y19" s="310">
        <f>SUM(Y20,)</f>
        <v>0</v>
      </c>
      <c r="Z19" s="310">
        <f t="shared" si="14"/>
        <v>2469008</v>
      </c>
    </row>
    <row r="20" spans="1:26" s="27" customFormat="1" ht="21.75" customHeight="1">
      <c r="A20" s="86"/>
      <c r="B20" s="87" t="s">
        <v>125</v>
      </c>
      <c r="C20" s="301"/>
      <c r="D20" s="172" t="s">
        <v>283</v>
      </c>
      <c r="E20" s="173">
        <f>SUM(E21:E26)</f>
        <v>1691508</v>
      </c>
      <c r="F20" s="173">
        <f>SUM(F21:F26)</f>
        <v>0</v>
      </c>
      <c r="G20" s="173">
        <f>SUM(G21:G26)</f>
        <v>0</v>
      </c>
      <c r="H20" s="173">
        <f t="shared" si="4"/>
        <v>1691508</v>
      </c>
      <c r="I20" s="173">
        <f>SUM(I21:I26)</f>
        <v>0</v>
      </c>
      <c r="J20" s="173">
        <f t="shared" si="5"/>
        <v>1691508</v>
      </c>
      <c r="K20" s="173">
        <f>SUM(K21:K26)</f>
        <v>0</v>
      </c>
      <c r="L20" s="173">
        <f t="shared" si="7"/>
        <v>1691508</v>
      </c>
      <c r="M20" s="173">
        <f>SUM(M21:M26)</f>
        <v>-156000</v>
      </c>
      <c r="N20" s="173">
        <f t="shared" si="8"/>
        <v>1535508</v>
      </c>
      <c r="O20" s="173">
        <f>SUM(O21:O26)</f>
        <v>0</v>
      </c>
      <c r="P20" s="173">
        <f t="shared" si="9"/>
        <v>1535508</v>
      </c>
      <c r="Q20" s="173">
        <f>SUM(Q21:Q26)</f>
        <v>0</v>
      </c>
      <c r="R20" s="173">
        <f t="shared" si="10"/>
        <v>1535508</v>
      </c>
      <c r="S20" s="173">
        <f>SUM(S21:S26)</f>
        <v>933500</v>
      </c>
      <c r="T20" s="173">
        <f t="shared" si="11"/>
        <v>2469008</v>
      </c>
      <c r="U20" s="173">
        <f>SUM(U21:U26)</f>
        <v>0</v>
      </c>
      <c r="V20" s="173">
        <f t="shared" si="12"/>
        <v>2469008</v>
      </c>
      <c r="W20" s="173">
        <f>SUM(W21:W26)</f>
        <v>0</v>
      </c>
      <c r="X20" s="173">
        <f t="shared" si="13"/>
        <v>2469008</v>
      </c>
      <c r="Y20" s="173">
        <f>SUM(Y21:Y26)</f>
        <v>0</v>
      </c>
      <c r="Z20" s="173">
        <f t="shared" si="14"/>
        <v>2469008</v>
      </c>
    </row>
    <row r="21" spans="1:26" s="27" customFormat="1" ht="24">
      <c r="A21" s="86"/>
      <c r="B21" s="61"/>
      <c r="C21" s="306" t="s">
        <v>296</v>
      </c>
      <c r="D21" s="172" t="s">
        <v>378</v>
      </c>
      <c r="E21" s="173">
        <v>164000</v>
      </c>
      <c r="F21" s="173"/>
      <c r="G21" s="173"/>
      <c r="H21" s="173">
        <f t="shared" si="4"/>
        <v>164000</v>
      </c>
      <c r="I21" s="173">
        <v>0</v>
      </c>
      <c r="J21" s="173">
        <f t="shared" si="5"/>
        <v>164000</v>
      </c>
      <c r="K21" s="173">
        <v>0</v>
      </c>
      <c r="L21" s="173">
        <f t="shared" si="7"/>
        <v>164000</v>
      </c>
      <c r="M21" s="173">
        <v>0</v>
      </c>
      <c r="N21" s="173">
        <f t="shared" si="8"/>
        <v>164000</v>
      </c>
      <c r="O21" s="173">
        <v>0</v>
      </c>
      <c r="P21" s="173">
        <f t="shared" si="9"/>
        <v>164000</v>
      </c>
      <c r="Q21" s="173">
        <v>0</v>
      </c>
      <c r="R21" s="173">
        <f t="shared" si="10"/>
        <v>164000</v>
      </c>
      <c r="S21" s="173">
        <v>0</v>
      </c>
      <c r="T21" s="173">
        <f t="shared" si="11"/>
        <v>164000</v>
      </c>
      <c r="U21" s="173">
        <v>0</v>
      </c>
      <c r="V21" s="173">
        <f t="shared" si="12"/>
        <v>164000</v>
      </c>
      <c r="W21" s="173">
        <v>0</v>
      </c>
      <c r="X21" s="173">
        <f t="shared" si="13"/>
        <v>164000</v>
      </c>
      <c r="Y21" s="173">
        <v>0</v>
      </c>
      <c r="Z21" s="173">
        <f t="shared" si="14"/>
        <v>164000</v>
      </c>
    </row>
    <row r="22" spans="1:26" s="27" customFormat="1" ht="72">
      <c r="A22" s="86"/>
      <c r="B22" s="61"/>
      <c r="C22" s="171" t="s">
        <v>297</v>
      </c>
      <c r="D22" s="172" t="s">
        <v>177</v>
      </c>
      <c r="E22" s="173">
        <f>181008+4000</f>
        <v>185008</v>
      </c>
      <c r="F22" s="173"/>
      <c r="G22" s="173"/>
      <c r="H22" s="173">
        <f t="shared" si="4"/>
        <v>185008</v>
      </c>
      <c r="I22" s="173">
        <v>0</v>
      </c>
      <c r="J22" s="173">
        <f t="shared" si="5"/>
        <v>185008</v>
      </c>
      <c r="K22" s="173">
        <v>0</v>
      </c>
      <c r="L22" s="173">
        <f t="shared" si="7"/>
        <v>185008</v>
      </c>
      <c r="M22" s="173">
        <v>-80000</v>
      </c>
      <c r="N22" s="173">
        <f t="shared" si="8"/>
        <v>105008</v>
      </c>
      <c r="O22" s="173">
        <v>0</v>
      </c>
      <c r="P22" s="173">
        <f t="shared" si="9"/>
        <v>105008</v>
      </c>
      <c r="Q22" s="173">
        <v>0</v>
      </c>
      <c r="R22" s="173">
        <f t="shared" si="10"/>
        <v>105008</v>
      </c>
      <c r="S22" s="173">
        <v>0</v>
      </c>
      <c r="T22" s="173">
        <f t="shared" si="11"/>
        <v>105008</v>
      </c>
      <c r="U22" s="173">
        <v>0</v>
      </c>
      <c r="V22" s="173">
        <f t="shared" si="12"/>
        <v>105008</v>
      </c>
      <c r="W22" s="173">
        <v>0</v>
      </c>
      <c r="X22" s="173">
        <f t="shared" si="13"/>
        <v>105008</v>
      </c>
      <c r="Y22" s="173">
        <v>0</v>
      </c>
      <c r="Z22" s="173">
        <f t="shared" si="14"/>
        <v>105008</v>
      </c>
    </row>
    <row r="23" spans="1:26" s="27" customFormat="1" ht="33" customHeight="1">
      <c r="A23" s="86"/>
      <c r="B23" s="61"/>
      <c r="C23" s="171" t="s">
        <v>623</v>
      </c>
      <c r="D23" s="172" t="s">
        <v>625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>
        <v>0</v>
      </c>
      <c r="S23" s="173">
        <f>1755000+255000+178500</f>
        <v>2188500</v>
      </c>
      <c r="T23" s="173">
        <f t="shared" si="11"/>
        <v>2188500</v>
      </c>
      <c r="U23" s="173"/>
      <c r="V23" s="173">
        <f t="shared" si="12"/>
        <v>2188500</v>
      </c>
      <c r="W23" s="173"/>
      <c r="X23" s="173">
        <f t="shared" si="13"/>
        <v>2188500</v>
      </c>
      <c r="Y23" s="173"/>
      <c r="Z23" s="173">
        <f t="shared" si="14"/>
        <v>2188500</v>
      </c>
    </row>
    <row r="24" spans="1:26" s="27" customFormat="1" ht="24">
      <c r="A24" s="86"/>
      <c r="B24" s="61"/>
      <c r="C24" s="171" t="s">
        <v>345</v>
      </c>
      <c r="D24" s="172" t="s">
        <v>333</v>
      </c>
      <c r="E24" s="173">
        <f>400000+80000+775000+76000</f>
        <v>1331000</v>
      </c>
      <c r="F24" s="173"/>
      <c r="G24" s="173"/>
      <c r="H24" s="173">
        <f t="shared" si="4"/>
        <v>1331000</v>
      </c>
      <c r="I24" s="173">
        <v>0</v>
      </c>
      <c r="J24" s="173">
        <f t="shared" si="5"/>
        <v>1331000</v>
      </c>
      <c r="K24" s="173">
        <v>0</v>
      </c>
      <c r="L24" s="173">
        <f t="shared" si="7"/>
        <v>1331000</v>
      </c>
      <c r="M24" s="173">
        <f>-76000</f>
        <v>-76000</v>
      </c>
      <c r="N24" s="173">
        <f t="shared" si="8"/>
        <v>1255000</v>
      </c>
      <c r="O24" s="173">
        <v>0</v>
      </c>
      <c r="P24" s="173">
        <f t="shared" si="9"/>
        <v>1255000</v>
      </c>
      <c r="Q24" s="173">
        <v>0</v>
      </c>
      <c r="R24" s="173">
        <f t="shared" si="10"/>
        <v>1255000</v>
      </c>
      <c r="S24" s="173">
        <v>-1255000</v>
      </c>
      <c r="T24" s="173">
        <f t="shared" si="11"/>
        <v>0</v>
      </c>
      <c r="U24" s="173"/>
      <c r="V24" s="173">
        <f t="shared" si="12"/>
        <v>0</v>
      </c>
      <c r="W24" s="173"/>
      <c r="X24" s="173">
        <f t="shared" si="13"/>
        <v>0</v>
      </c>
      <c r="Y24" s="173"/>
      <c r="Z24" s="173">
        <f t="shared" si="14"/>
        <v>0</v>
      </c>
    </row>
    <row r="25" spans="1:26" s="27" customFormat="1" ht="36">
      <c r="A25" s="86"/>
      <c r="B25" s="61"/>
      <c r="C25" s="171" t="s">
        <v>407</v>
      </c>
      <c r="D25" s="172" t="s">
        <v>408</v>
      </c>
      <c r="E25" s="173">
        <v>1500</v>
      </c>
      <c r="F25" s="173"/>
      <c r="G25" s="173"/>
      <c r="H25" s="173">
        <f t="shared" si="4"/>
        <v>1500</v>
      </c>
      <c r="I25" s="173">
        <v>0</v>
      </c>
      <c r="J25" s="173">
        <f t="shared" si="5"/>
        <v>1500</v>
      </c>
      <c r="K25" s="173">
        <v>0</v>
      </c>
      <c r="L25" s="173">
        <f t="shared" si="7"/>
        <v>1500</v>
      </c>
      <c r="M25" s="173">
        <v>0</v>
      </c>
      <c r="N25" s="173">
        <f t="shared" si="8"/>
        <v>1500</v>
      </c>
      <c r="O25" s="173">
        <v>0</v>
      </c>
      <c r="P25" s="173">
        <f t="shared" si="9"/>
        <v>1500</v>
      </c>
      <c r="Q25" s="173">
        <v>0</v>
      </c>
      <c r="R25" s="173">
        <f t="shared" si="10"/>
        <v>1500</v>
      </c>
      <c r="S25" s="173">
        <v>0</v>
      </c>
      <c r="T25" s="173">
        <f t="shared" si="11"/>
        <v>1500</v>
      </c>
      <c r="U25" s="173">
        <v>0</v>
      </c>
      <c r="V25" s="173">
        <f t="shared" si="12"/>
        <v>1500</v>
      </c>
      <c r="W25" s="173">
        <v>0</v>
      </c>
      <c r="X25" s="173">
        <f t="shared" si="13"/>
        <v>1500</v>
      </c>
      <c r="Y25" s="173">
        <v>0</v>
      </c>
      <c r="Z25" s="173">
        <f t="shared" si="14"/>
        <v>1500</v>
      </c>
    </row>
    <row r="26" spans="1:26" s="27" customFormat="1" ht="21.75" customHeight="1">
      <c r="A26" s="86"/>
      <c r="B26" s="61"/>
      <c r="C26" s="171" t="s">
        <v>298</v>
      </c>
      <c r="D26" s="172" t="s">
        <v>126</v>
      </c>
      <c r="E26" s="173">
        <v>10000</v>
      </c>
      <c r="F26" s="173"/>
      <c r="G26" s="173"/>
      <c r="H26" s="173">
        <f t="shared" si="4"/>
        <v>10000</v>
      </c>
      <c r="I26" s="173">
        <v>0</v>
      </c>
      <c r="J26" s="173">
        <f t="shared" si="5"/>
        <v>10000</v>
      </c>
      <c r="K26" s="173">
        <v>0</v>
      </c>
      <c r="L26" s="173">
        <f t="shared" si="7"/>
        <v>10000</v>
      </c>
      <c r="M26" s="173">
        <v>0</v>
      </c>
      <c r="N26" s="173">
        <f t="shared" si="8"/>
        <v>10000</v>
      </c>
      <c r="O26" s="173">
        <v>0</v>
      </c>
      <c r="P26" s="173">
        <f t="shared" si="9"/>
        <v>10000</v>
      </c>
      <c r="Q26" s="173">
        <v>0</v>
      </c>
      <c r="R26" s="173">
        <f t="shared" si="10"/>
        <v>10000</v>
      </c>
      <c r="S26" s="173">
        <v>0</v>
      </c>
      <c r="T26" s="173">
        <f t="shared" si="11"/>
        <v>10000</v>
      </c>
      <c r="U26" s="173">
        <v>0</v>
      </c>
      <c r="V26" s="173">
        <f t="shared" si="12"/>
        <v>10000</v>
      </c>
      <c r="W26" s="173">
        <v>0</v>
      </c>
      <c r="X26" s="173">
        <f t="shared" si="13"/>
        <v>10000</v>
      </c>
      <c r="Y26" s="173">
        <v>0</v>
      </c>
      <c r="Z26" s="173">
        <f t="shared" si="14"/>
        <v>10000</v>
      </c>
    </row>
    <row r="27" spans="1:26" s="7" customFormat="1" ht="24.75" customHeight="1">
      <c r="A27" s="34" t="s">
        <v>130</v>
      </c>
      <c r="B27" s="4"/>
      <c r="C27" s="314"/>
      <c r="D27" s="309" t="s">
        <v>131</v>
      </c>
      <c r="E27" s="310">
        <f>SUM(E28,E31)</f>
        <v>180050</v>
      </c>
      <c r="F27" s="310">
        <f>SUM(F28,F31)</f>
        <v>0</v>
      </c>
      <c r="G27" s="310">
        <f>SUM(G28,G31)</f>
        <v>0</v>
      </c>
      <c r="H27" s="310">
        <f t="shared" si="4"/>
        <v>180050</v>
      </c>
      <c r="I27" s="310">
        <f>SUM(I28,I31)</f>
        <v>0</v>
      </c>
      <c r="J27" s="310">
        <f t="shared" si="5"/>
        <v>180050</v>
      </c>
      <c r="K27" s="310">
        <f>SUM(K28,K31)</f>
        <v>0</v>
      </c>
      <c r="L27" s="310">
        <f t="shared" si="7"/>
        <v>180050</v>
      </c>
      <c r="M27" s="310">
        <f>SUM(M28,M31)</f>
        <v>0</v>
      </c>
      <c r="N27" s="310">
        <f t="shared" si="8"/>
        <v>180050</v>
      </c>
      <c r="O27" s="310">
        <f>SUM(O28,O31)</f>
        <v>0</v>
      </c>
      <c r="P27" s="310">
        <f t="shared" si="9"/>
        <v>180050</v>
      </c>
      <c r="Q27" s="310">
        <f>SUM(Q28,Q31)</f>
        <v>0</v>
      </c>
      <c r="R27" s="310">
        <f t="shared" si="10"/>
        <v>180050</v>
      </c>
      <c r="S27" s="310">
        <f>SUM(S28,S31)</f>
        <v>0</v>
      </c>
      <c r="T27" s="310">
        <f t="shared" si="11"/>
        <v>180050</v>
      </c>
      <c r="U27" s="310">
        <f>SUM(U28,U31)</f>
        <v>0</v>
      </c>
      <c r="V27" s="310">
        <f t="shared" si="12"/>
        <v>180050</v>
      </c>
      <c r="W27" s="310">
        <f>SUM(W28,W31)</f>
        <v>0</v>
      </c>
      <c r="X27" s="310">
        <f t="shared" si="13"/>
        <v>180050</v>
      </c>
      <c r="Y27" s="310">
        <f>SUM(Y28,Y31)</f>
        <v>0</v>
      </c>
      <c r="Z27" s="310">
        <f t="shared" si="14"/>
        <v>180050</v>
      </c>
    </row>
    <row r="28" spans="1:26" s="27" customFormat="1" ht="21" customHeight="1">
      <c r="A28" s="86"/>
      <c r="B28" s="87">
        <v>75011</v>
      </c>
      <c r="C28" s="301"/>
      <c r="D28" s="172" t="s">
        <v>132</v>
      </c>
      <c r="E28" s="173">
        <f>SUM(E29:E30)</f>
        <v>150050</v>
      </c>
      <c r="F28" s="173">
        <f>SUM(F29:F30)</f>
        <v>0</v>
      </c>
      <c r="G28" s="173">
        <f>SUM(G29:G30)</f>
        <v>0</v>
      </c>
      <c r="H28" s="173">
        <f t="shared" si="4"/>
        <v>150050</v>
      </c>
      <c r="I28" s="173">
        <f>SUM(I29:I30)</f>
        <v>0</v>
      </c>
      <c r="J28" s="173">
        <f t="shared" si="5"/>
        <v>150050</v>
      </c>
      <c r="K28" s="173">
        <f>SUM(K29:K30)</f>
        <v>0</v>
      </c>
      <c r="L28" s="173">
        <f t="shared" si="7"/>
        <v>150050</v>
      </c>
      <c r="M28" s="173">
        <f>SUM(M29:M30)</f>
        <v>0</v>
      </c>
      <c r="N28" s="173">
        <f t="shared" si="8"/>
        <v>150050</v>
      </c>
      <c r="O28" s="173">
        <f>SUM(O29:O30)</f>
        <v>0</v>
      </c>
      <c r="P28" s="173">
        <f t="shared" si="9"/>
        <v>150050</v>
      </c>
      <c r="Q28" s="173">
        <f>SUM(Q29:Q30)</f>
        <v>0</v>
      </c>
      <c r="R28" s="173">
        <f t="shared" si="10"/>
        <v>150050</v>
      </c>
      <c r="S28" s="173">
        <f>SUM(S29:S30)</f>
        <v>0</v>
      </c>
      <c r="T28" s="173">
        <f t="shared" si="11"/>
        <v>150050</v>
      </c>
      <c r="U28" s="173">
        <f>SUM(U29:U30)</f>
        <v>0</v>
      </c>
      <c r="V28" s="173">
        <f t="shared" si="12"/>
        <v>150050</v>
      </c>
      <c r="W28" s="173">
        <f>SUM(W29:W30)</f>
        <v>0</v>
      </c>
      <c r="X28" s="173">
        <f t="shared" si="13"/>
        <v>150050</v>
      </c>
      <c r="Y28" s="173">
        <f>SUM(Y29:Y30)</f>
        <v>0</v>
      </c>
      <c r="Z28" s="173">
        <f t="shared" si="14"/>
        <v>150050</v>
      </c>
    </row>
    <row r="29" spans="1:26" s="27" customFormat="1" ht="60">
      <c r="A29" s="86"/>
      <c r="B29" s="61"/>
      <c r="C29" s="171">
        <v>2010</v>
      </c>
      <c r="D29" s="172" t="s">
        <v>660</v>
      </c>
      <c r="E29" s="307">
        <v>144800</v>
      </c>
      <c r="F29" s="307"/>
      <c r="G29" s="307"/>
      <c r="H29" s="173">
        <f t="shared" si="4"/>
        <v>144800</v>
      </c>
      <c r="I29" s="307">
        <v>0</v>
      </c>
      <c r="J29" s="173">
        <f t="shared" si="5"/>
        <v>144800</v>
      </c>
      <c r="K29" s="307">
        <v>0</v>
      </c>
      <c r="L29" s="173">
        <f t="shared" si="7"/>
        <v>144800</v>
      </c>
      <c r="M29" s="307">
        <v>0</v>
      </c>
      <c r="N29" s="173">
        <f t="shared" si="8"/>
        <v>144800</v>
      </c>
      <c r="O29" s="307">
        <v>0</v>
      </c>
      <c r="P29" s="173">
        <f t="shared" si="9"/>
        <v>144800</v>
      </c>
      <c r="Q29" s="307">
        <v>0</v>
      </c>
      <c r="R29" s="173">
        <f t="shared" si="10"/>
        <v>144800</v>
      </c>
      <c r="S29" s="307">
        <v>0</v>
      </c>
      <c r="T29" s="173">
        <f t="shared" si="11"/>
        <v>144800</v>
      </c>
      <c r="U29" s="307">
        <v>0</v>
      </c>
      <c r="V29" s="173">
        <f t="shared" si="12"/>
        <v>144800</v>
      </c>
      <c r="W29" s="307">
        <v>0</v>
      </c>
      <c r="X29" s="173">
        <f t="shared" si="13"/>
        <v>144800</v>
      </c>
      <c r="Y29" s="307">
        <v>0</v>
      </c>
      <c r="Z29" s="173">
        <f t="shared" si="14"/>
        <v>144800</v>
      </c>
    </row>
    <row r="30" spans="1:26" s="27" customFormat="1" ht="48">
      <c r="A30" s="86"/>
      <c r="B30" s="61"/>
      <c r="C30" s="171">
        <v>2360</v>
      </c>
      <c r="D30" s="172" t="s">
        <v>326</v>
      </c>
      <c r="E30" s="173">
        <v>5250</v>
      </c>
      <c r="F30" s="173"/>
      <c r="G30" s="173"/>
      <c r="H30" s="173">
        <f t="shared" si="4"/>
        <v>5250</v>
      </c>
      <c r="I30" s="173">
        <v>0</v>
      </c>
      <c r="J30" s="173">
        <f t="shared" si="5"/>
        <v>5250</v>
      </c>
      <c r="K30" s="173">
        <v>0</v>
      </c>
      <c r="L30" s="173">
        <f t="shared" si="7"/>
        <v>5250</v>
      </c>
      <c r="M30" s="173">
        <v>0</v>
      </c>
      <c r="N30" s="173">
        <f t="shared" si="8"/>
        <v>5250</v>
      </c>
      <c r="O30" s="173">
        <v>0</v>
      </c>
      <c r="P30" s="173">
        <f t="shared" si="9"/>
        <v>5250</v>
      </c>
      <c r="Q30" s="173">
        <v>0</v>
      </c>
      <c r="R30" s="173">
        <f t="shared" si="10"/>
        <v>5250</v>
      </c>
      <c r="S30" s="173">
        <v>0</v>
      </c>
      <c r="T30" s="173">
        <f t="shared" si="11"/>
        <v>5250</v>
      </c>
      <c r="U30" s="173">
        <v>0</v>
      </c>
      <c r="V30" s="173">
        <f t="shared" si="12"/>
        <v>5250</v>
      </c>
      <c r="W30" s="173">
        <v>0</v>
      </c>
      <c r="X30" s="173">
        <f t="shared" si="13"/>
        <v>5250</v>
      </c>
      <c r="Y30" s="173">
        <v>0</v>
      </c>
      <c r="Z30" s="173">
        <f t="shared" si="14"/>
        <v>5250</v>
      </c>
    </row>
    <row r="31" spans="1:26" s="27" customFormat="1" ht="23.25" customHeight="1">
      <c r="A31" s="93"/>
      <c r="B31" s="87" t="s">
        <v>133</v>
      </c>
      <c r="C31" s="301"/>
      <c r="D31" s="172" t="s">
        <v>134</v>
      </c>
      <c r="E31" s="173">
        <f>SUM(E32)</f>
        <v>30000</v>
      </c>
      <c r="F31" s="173">
        <f>SUM(F32)</f>
        <v>0</v>
      </c>
      <c r="G31" s="173">
        <f>SUM(G32)</f>
        <v>0</v>
      </c>
      <c r="H31" s="173">
        <f t="shared" si="4"/>
        <v>30000</v>
      </c>
      <c r="I31" s="173">
        <f>SUM(I32)</f>
        <v>0</v>
      </c>
      <c r="J31" s="173">
        <f t="shared" si="5"/>
        <v>30000</v>
      </c>
      <c r="K31" s="173">
        <f>SUM(K32)</f>
        <v>0</v>
      </c>
      <c r="L31" s="173">
        <f t="shared" si="7"/>
        <v>30000</v>
      </c>
      <c r="M31" s="173">
        <f>SUM(M32)</f>
        <v>0</v>
      </c>
      <c r="N31" s="173">
        <f t="shared" si="8"/>
        <v>30000</v>
      </c>
      <c r="O31" s="173">
        <f>SUM(O32)</f>
        <v>0</v>
      </c>
      <c r="P31" s="173">
        <f t="shared" si="9"/>
        <v>30000</v>
      </c>
      <c r="Q31" s="173">
        <f>SUM(Q32)</f>
        <v>0</v>
      </c>
      <c r="R31" s="173">
        <f t="shared" si="10"/>
        <v>30000</v>
      </c>
      <c r="S31" s="173">
        <f>SUM(S32)</f>
        <v>0</v>
      </c>
      <c r="T31" s="173">
        <f t="shared" si="11"/>
        <v>30000</v>
      </c>
      <c r="U31" s="173">
        <f>SUM(U32)</f>
        <v>0</v>
      </c>
      <c r="V31" s="173">
        <f t="shared" si="12"/>
        <v>30000</v>
      </c>
      <c r="W31" s="173">
        <f>SUM(W32)</f>
        <v>0</v>
      </c>
      <c r="X31" s="173">
        <f t="shared" si="13"/>
        <v>30000</v>
      </c>
      <c r="Y31" s="173">
        <f>SUM(Y32)</f>
        <v>0</v>
      </c>
      <c r="Z31" s="173">
        <f t="shared" si="14"/>
        <v>30000</v>
      </c>
    </row>
    <row r="32" spans="1:26" s="27" customFormat="1" ht="21.75" customHeight="1">
      <c r="A32" s="93"/>
      <c r="B32" s="87"/>
      <c r="C32" s="306" t="s">
        <v>299</v>
      </c>
      <c r="D32" s="172" t="s">
        <v>127</v>
      </c>
      <c r="E32" s="173">
        <v>30000</v>
      </c>
      <c r="F32" s="173"/>
      <c r="G32" s="173"/>
      <c r="H32" s="173">
        <f t="shared" si="4"/>
        <v>30000</v>
      </c>
      <c r="I32" s="173">
        <v>0</v>
      </c>
      <c r="J32" s="173">
        <f t="shared" si="5"/>
        <v>30000</v>
      </c>
      <c r="K32" s="173">
        <v>0</v>
      </c>
      <c r="L32" s="173">
        <f t="shared" si="7"/>
        <v>30000</v>
      </c>
      <c r="M32" s="173">
        <v>0</v>
      </c>
      <c r="N32" s="173">
        <f t="shared" si="8"/>
        <v>30000</v>
      </c>
      <c r="O32" s="173">
        <v>0</v>
      </c>
      <c r="P32" s="173">
        <f t="shared" si="9"/>
        <v>30000</v>
      </c>
      <c r="Q32" s="173">
        <v>0</v>
      </c>
      <c r="R32" s="173">
        <f t="shared" si="10"/>
        <v>30000</v>
      </c>
      <c r="S32" s="173">
        <v>0</v>
      </c>
      <c r="T32" s="173">
        <f t="shared" si="11"/>
        <v>30000</v>
      </c>
      <c r="U32" s="173">
        <v>0</v>
      </c>
      <c r="V32" s="173">
        <f t="shared" si="12"/>
        <v>30000</v>
      </c>
      <c r="W32" s="173">
        <v>0</v>
      </c>
      <c r="X32" s="173">
        <f t="shared" si="13"/>
        <v>30000</v>
      </c>
      <c r="Y32" s="173">
        <v>0</v>
      </c>
      <c r="Z32" s="173">
        <f t="shared" si="14"/>
        <v>30000</v>
      </c>
    </row>
    <row r="33" spans="1:26" s="7" customFormat="1" ht="36">
      <c r="A33" s="34">
        <v>751</v>
      </c>
      <c r="B33" s="5"/>
      <c r="C33" s="295"/>
      <c r="D33" s="309" t="s">
        <v>135</v>
      </c>
      <c r="E33" s="310">
        <f aca="true" t="shared" si="16" ref="E33:G34">SUM(E34)</f>
        <v>3809</v>
      </c>
      <c r="F33" s="310">
        <f t="shared" si="16"/>
        <v>0</v>
      </c>
      <c r="G33" s="310">
        <f t="shared" si="16"/>
        <v>0</v>
      </c>
      <c r="H33" s="310">
        <f t="shared" si="4"/>
        <v>3809</v>
      </c>
      <c r="I33" s="310">
        <f>SUM(I34)</f>
        <v>0</v>
      </c>
      <c r="J33" s="310">
        <f t="shared" si="5"/>
        <v>3809</v>
      </c>
      <c r="K33" s="310">
        <f>SUM(K34)</f>
        <v>0</v>
      </c>
      <c r="L33" s="310">
        <f t="shared" si="7"/>
        <v>3809</v>
      </c>
      <c r="M33" s="310">
        <f>SUM(M34)</f>
        <v>0</v>
      </c>
      <c r="N33" s="310">
        <f t="shared" si="8"/>
        <v>3809</v>
      </c>
      <c r="O33" s="310">
        <f>SUM(O34)</f>
        <v>0</v>
      </c>
      <c r="P33" s="310">
        <f t="shared" si="9"/>
        <v>3809</v>
      </c>
      <c r="Q33" s="310">
        <f>SUM(Q34)</f>
        <v>0</v>
      </c>
      <c r="R33" s="310">
        <f t="shared" si="10"/>
        <v>3809</v>
      </c>
      <c r="S33" s="310">
        <f>SUM(S34)</f>
        <v>0</v>
      </c>
      <c r="T33" s="310">
        <f t="shared" si="11"/>
        <v>3809</v>
      </c>
      <c r="U33" s="310">
        <f>SUM(U34)</f>
        <v>0</v>
      </c>
      <c r="V33" s="310">
        <f t="shared" si="12"/>
        <v>3809</v>
      </c>
      <c r="W33" s="310">
        <f>SUM(W34)</f>
        <v>0</v>
      </c>
      <c r="X33" s="310">
        <f>SUM(X34,X36,)</f>
        <v>3809</v>
      </c>
      <c r="Y33" s="310">
        <f>SUM(Y34,Y36,)</f>
        <v>6644</v>
      </c>
      <c r="Z33" s="310">
        <f>SUM(Z34,Z36,)</f>
        <v>10453</v>
      </c>
    </row>
    <row r="34" spans="1:26" s="27" customFormat="1" ht="27.75" customHeight="1">
      <c r="A34" s="93"/>
      <c r="B34" s="87">
        <v>75101</v>
      </c>
      <c r="C34" s="301"/>
      <c r="D34" s="172" t="s">
        <v>136</v>
      </c>
      <c r="E34" s="173">
        <f t="shared" si="16"/>
        <v>3809</v>
      </c>
      <c r="F34" s="173">
        <f t="shared" si="16"/>
        <v>0</v>
      </c>
      <c r="G34" s="173">
        <f t="shared" si="16"/>
        <v>0</v>
      </c>
      <c r="H34" s="173">
        <f t="shared" si="4"/>
        <v>3809</v>
      </c>
      <c r="I34" s="173">
        <f>SUM(I35)</f>
        <v>0</v>
      </c>
      <c r="J34" s="173">
        <f t="shared" si="5"/>
        <v>3809</v>
      </c>
      <c r="K34" s="173">
        <f>SUM(K35)</f>
        <v>0</v>
      </c>
      <c r="L34" s="173">
        <f t="shared" si="7"/>
        <v>3809</v>
      </c>
      <c r="M34" s="173">
        <f>SUM(M35)</f>
        <v>0</v>
      </c>
      <c r="N34" s="173">
        <f t="shared" si="8"/>
        <v>3809</v>
      </c>
      <c r="O34" s="173">
        <f>SUM(O35)</f>
        <v>0</v>
      </c>
      <c r="P34" s="173">
        <f t="shared" si="9"/>
        <v>3809</v>
      </c>
      <c r="Q34" s="173">
        <f>SUM(Q35)</f>
        <v>0</v>
      </c>
      <c r="R34" s="173">
        <f t="shared" si="10"/>
        <v>3809</v>
      </c>
      <c r="S34" s="173">
        <f>SUM(S35)</f>
        <v>0</v>
      </c>
      <c r="T34" s="173">
        <f t="shared" si="11"/>
        <v>3809</v>
      </c>
      <c r="U34" s="173">
        <f>SUM(U35)</f>
        <v>0</v>
      </c>
      <c r="V34" s="173">
        <f t="shared" si="12"/>
        <v>3809</v>
      </c>
      <c r="W34" s="173">
        <f>SUM(W35)</f>
        <v>0</v>
      </c>
      <c r="X34" s="173">
        <f t="shared" si="13"/>
        <v>3809</v>
      </c>
      <c r="Y34" s="173">
        <f>SUM(Y35)</f>
        <v>0</v>
      </c>
      <c r="Z34" s="173">
        <f t="shared" si="14"/>
        <v>3809</v>
      </c>
    </row>
    <row r="35" spans="1:26" s="27" customFormat="1" ht="56.25">
      <c r="A35" s="93"/>
      <c r="B35" s="87"/>
      <c r="C35" s="301">
        <v>2010</v>
      </c>
      <c r="D35" s="172" t="s">
        <v>379</v>
      </c>
      <c r="E35" s="173">
        <v>3809</v>
      </c>
      <c r="F35" s="173"/>
      <c r="G35" s="173"/>
      <c r="H35" s="173">
        <f t="shared" si="4"/>
        <v>3809</v>
      </c>
      <c r="I35" s="173">
        <v>0</v>
      </c>
      <c r="J35" s="173">
        <f t="shared" si="5"/>
        <v>3809</v>
      </c>
      <c r="K35" s="173">
        <v>0</v>
      </c>
      <c r="L35" s="173">
        <f t="shared" si="7"/>
        <v>3809</v>
      </c>
      <c r="M35" s="173">
        <v>0</v>
      </c>
      <c r="N35" s="173">
        <f t="shared" si="8"/>
        <v>3809</v>
      </c>
      <c r="O35" s="173">
        <v>0</v>
      </c>
      <c r="P35" s="173">
        <f t="shared" si="9"/>
        <v>3809</v>
      </c>
      <c r="Q35" s="173">
        <v>0</v>
      </c>
      <c r="R35" s="173">
        <f t="shared" si="10"/>
        <v>3809</v>
      </c>
      <c r="S35" s="173">
        <v>0</v>
      </c>
      <c r="T35" s="173">
        <f t="shared" si="11"/>
        <v>3809</v>
      </c>
      <c r="U35" s="173">
        <v>0</v>
      </c>
      <c r="V35" s="173">
        <f t="shared" si="12"/>
        <v>3809</v>
      </c>
      <c r="W35" s="173">
        <v>0</v>
      </c>
      <c r="X35" s="173">
        <f t="shared" si="13"/>
        <v>3809</v>
      </c>
      <c r="Y35" s="173">
        <v>0</v>
      </c>
      <c r="Z35" s="173">
        <f t="shared" si="14"/>
        <v>3809</v>
      </c>
    </row>
    <row r="36" spans="1:26" s="27" customFormat="1" ht="24" customHeight="1">
      <c r="A36" s="93"/>
      <c r="B36" s="87">
        <v>75108</v>
      </c>
      <c r="C36" s="301"/>
      <c r="D36" s="172" t="s">
        <v>440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>
        <f>SUM(X37)</f>
        <v>0</v>
      </c>
      <c r="Y36" s="173">
        <f>SUM(Y37)</f>
        <v>6644</v>
      </c>
      <c r="Z36" s="173">
        <f>SUM(Z37)</f>
        <v>6644</v>
      </c>
    </row>
    <row r="37" spans="1:26" s="27" customFormat="1" ht="56.25">
      <c r="A37" s="93"/>
      <c r="B37" s="87"/>
      <c r="C37" s="301">
        <v>2010</v>
      </c>
      <c r="D37" s="172" t="s">
        <v>379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>
        <v>0</v>
      </c>
      <c r="Y37" s="173">
        <v>6644</v>
      </c>
      <c r="Z37" s="173">
        <f>SUM(X37:Y37)</f>
        <v>6644</v>
      </c>
    </row>
    <row r="38" spans="1:26" s="7" customFormat="1" ht="24.75" customHeight="1">
      <c r="A38" s="34" t="s">
        <v>137</v>
      </c>
      <c r="B38" s="4"/>
      <c r="C38" s="314"/>
      <c r="D38" s="309" t="s">
        <v>138</v>
      </c>
      <c r="E38" s="310">
        <f>SUM(E39)</f>
        <v>3700</v>
      </c>
      <c r="F38" s="310">
        <f>SUM(F39)</f>
        <v>0</v>
      </c>
      <c r="G38" s="310">
        <f>SUM(G39)</f>
        <v>0</v>
      </c>
      <c r="H38" s="315">
        <f t="shared" si="4"/>
        <v>3700</v>
      </c>
      <c r="I38" s="310">
        <f>SUM(I39)</f>
        <v>0</v>
      </c>
      <c r="J38" s="310">
        <f t="shared" si="5"/>
        <v>3700</v>
      </c>
      <c r="K38" s="310">
        <f>SUM(K39)</f>
        <v>0</v>
      </c>
      <c r="L38" s="310">
        <f t="shared" si="7"/>
        <v>3700</v>
      </c>
      <c r="M38" s="310">
        <f>SUM(M39)</f>
        <v>0</v>
      </c>
      <c r="N38" s="310">
        <f t="shared" si="8"/>
        <v>3700</v>
      </c>
      <c r="O38" s="310">
        <f>SUM(O39)</f>
        <v>0</v>
      </c>
      <c r="P38" s="310">
        <f t="shared" si="9"/>
        <v>3700</v>
      </c>
      <c r="Q38" s="310">
        <f>SUM(Q39)</f>
        <v>0</v>
      </c>
      <c r="R38" s="310">
        <f t="shared" si="10"/>
        <v>3700</v>
      </c>
      <c r="S38" s="310">
        <f>SUM(S39)</f>
        <v>0</v>
      </c>
      <c r="T38" s="310">
        <f t="shared" si="11"/>
        <v>3700</v>
      </c>
      <c r="U38" s="310">
        <f>SUM(U39)</f>
        <v>0</v>
      </c>
      <c r="V38" s="310">
        <f t="shared" si="12"/>
        <v>3700</v>
      </c>
      <c r="W38" s="310">
        <f>SUM(W39)</f>
        <v>0</v>
      </c>
      <c r="X38" s="310">
        <f t="shared" si="13"/>
        <v>3700</v>
      </c>
      <c r="Y38" s="310">
        <f>SUM(Y39)</f>
        <v>0</v>
      </c>
      <c r="Z38" s="310">
        <f t="shared" si="14"/>
        <v>3700</v>
      </c>
    </row>
    <row r="39" spans="1:26" s="27" customFormat="1" ht="21.75" customHeight="1">
      <c r="A39" s="93"/>
      <c r="B39" s="87" t="s">
        <v>139</v>
      </c>
      <c r="C39" s="301"/>
      <c r="D39" s="172" t="s">
        <v>140</v>
      </c>
      <c r="E39" s="173">
        <f>SUM(E40:E41)</f>
        <v>3700</v>
      </c>
      <c r="F39" s="173">
        <f>SUM(F40:F41)</f>
        <v>0</v>
      </c>
      <c r="G39" s="173">
        <f>SUM(G40:G41)</f>
        <v>0</v>
      </c>
      <c r="H39" s="173">
        <f t="shared" si="4"/>
        <v>3700</v>
      </c>
      <c r="I39" s="173">
        <f>SUM(I40:I41)</f>
        <v>0</v>
      </c>
      <c r="J39" s="173">
        <f t="shared" si="5"/>
        <v>3700</v>
      </c>
      <c r="K39" s="173">
        <f>SUM(K40:K41)</f>
        <v>0</v>
      </c>
      <c r="L39" s="173">
        <f t="shared" si="7"/>
        <v>3700</v>
      </c>
      <c r="M39" s="173">
        <f>SUM(M40:M41)</f>
        <v>0</v>
      </c>
      <c r="N39" s="173">
        <f t="shared" si="8"/>
        <v>3700</v>
      </c>
      <c r="O39" s="173">
        <f>SUM(O40:O41)</f>
        <v>0</v>
      </c>
      <c r="P39" s="173">
        <f t="shared" si="9"/>
        <v>3700</v>
      </c>
      <c r="Q39" s="173">
        <f>SUM(Q40:Q41)</f>
        <v>0</v>
      </c>
      <c r="R39" s="173">
        <f t="shared" si="10"/>
        <v>3700</v>
      </c>
      <c r="S39" s="173">
        <f>SUM(S40:S41)</f>
        <v>0</v>
      </c>
      <c r="T39" s="173">
        <f t="shared" si="11"/>
        <v>3700</v>
      </c>
      <c r="U39" s="173">
        <f>SUM(U40:U41)</f>
        <v>0</v>
      </c>
      <c r="V39" s="173">
        <f t="shared" si="12"/>
        <v>3700</v>
      </c>
      <c r="W39" s="173">
        <f>SUM(W40:W41)</f>
        <v>0</v>
      </c>
      <c r="X39" s="173">
        <f t="shared" si="13"/>
        <v>3700</v>
      </c>
      <c r="Y39" s="173">
        <f>SUM(Y40:Y41)</f>
        <v>0</v>
      </c>
      <c r="Z39" s="173">
        <f t="shared" si="14"/>
        <v>3700</v>
      </c>
    </row>
    <row r="40" spans="1:26" s="27" customFormat="1" ht="24" customHeight="1">
      <c r="A40" s="93"/>
      <c r="B40" s="61"/>
      <c r="C40" s="171" t="s">
        <v>300</v>
      </c>
      <c r="D40" s="172" t="s">
        <v>141</v>
      </c>
      <c r="E40" s="173">
        <v>3500</v>
      </c>
      <c r="F40" s="173"/>
      <c r="G40" s="173"/>
      <c r="H40" s="173">
        <f t="shared" si="4"/>
        <v>3500</v>
      </c>
      <c r="I40" s="173">
        <v>0</v>
      </c>
      <c r="J40" s="173">
        <f t="shared" si="5"/>
        <v>3500</v>
      </c>
      <c r="K40" s="173">
        <v>0</v>
      </c>
      <c r="L40" s="173">
        <f t="shared" si="7"/>
        <v>3500</v>
      </c>
      <c r="M40" s="173">
        <v>0</v>
      </c>
      <c r="N40" s="173">
        <f t="shared" si="8"/>
        <v>3500</v>
      </c>
      <c r="O40" s="173">
        <v>0</v>
      </c>
      <c r="P40" s="173">
        <f t="shared" si="9"/>
        <v>3500</v>
      </c>
      <c r="Q40" s="173">
        <v>0</v>
      </c>
      <c r="R40" s="173">
        <f t="shared" si="10"/>
        <v>3500</v>
      </c>
      <c r="S40" s="173">
        <v>0</v>
      </c>
      <c r="T40" s="173">
        <f t="shared" si="11"/>
        <v>3500</v>
      </c>
      <c r="U40" s="173">
        <v>0</v>
      </c>
      <c r="V40" s="173">
        <f t="shared" si="12"/>
        <v>3500</v>
      </c>
      <c r="W40" s="173">
        <v>0</v>
      </c>
      <c r="X40" s="173">
        <f t="shared" si="13"/>
        <v>3500</v>
      </c>
      <c r="Y40" s="173">
        <v>0</v>
      </c>
      <c r="Z40" s="173">
        <f t="shared" si="14"/>
        <v>3500</v>
      </c>
    </row>
    <row r="41" spans="1:26" s="27" customFormat="1" ht="21.75" customHeight="1">
      <c r="A41" s="93"/>
      <c r="B41" s="61"/>
      <c r="C41" s="171" t="s">
        <v>298</v>
      </c>
      <c r="D41" s="172" t="s">
        <v>126</v>
      </c>
      <c r="E41" s="173">
        <v>200</v>
      </c>
      <c r="F41" s="173"/>
      <c r="G41" s="173"/>
      <c r="H41" s="173">
        <f t="shared" si="4"/>
        <v>200</v>
      </c>
      <c r="I41" s="173">
        <v>0</v>
      </c>
      <c r="J41" s="173">
        <f t="shared" si="5"/>
        <v>200</v>
      </c>
      <c r="K41" s="173">
        <v>0</v>
      </c>
      <c r="L41" s="173">
        <f t="shared" si="7"/>
        <v>200</v>
      </c>
      <c r="M41" s="173">
        <v>0</v>
      </c>
      <c r="N41" s="173">
        <f t="shared" si="8"/>
        <v>200</v>
      </c>
      <c r="O41" s="173">
        <v>0</v>
      </c>
      <c r="P41" s="173">
        <f t="shared" si="9"/>
        <v>200</v>
      </c>
      <c r="Q41" s="173">
        <v>0</v>
      </c>
      <c r="R41" s="173">
        <f t="shared" si="10"/>
        <v>200</v>
      </c>
      <c r="S41" s="173">
        <v>0</v>
      </c>
      <c r="T41" s="173">
        <f t="shared" si="11"/>
        <v>200</v>
      </c>
      <c r="U41" s="173">
        <v>0</v>
      </c>
      <c r="V41" s="173">
        <f t="shared" si="12"/>
        <v>200</v>
      </c>
      <c r="W41" s="173">
        <v>0</v>
      </c>
      <c r="X41" s="173">
        <f t="shared" si="13"/>
        <v>200</v>
      </c>
      <c r="Y41" s="173">
        <v>0</v>
      </c>
      <c r="Z41" s="173">
        <f t="shared" si="14"/>
        <v>200</v>
      </c>
    </row>
    <row r="42" spans="1:26" s="7" customFormat="1" ht="60">
      <c r="A42" s="34" t="s">
        <v>142</v>
      </c>
      <c r="B42" s="4"/>
      <c r="C42" s="314"/>
      <c r="D42" s="309" t="s">
        <v>288</v>
      </c>
      <c r="E42" s="310">
        <f>SUM(E43,E46,E54,E67,E72,)</f>
        <v>19302834</v>
      </c>
      <c r="F42" s="310">
        <f>SUM(F43,F46,F54,F67,F72,)</f>
        <v>228717</v>
      </c>
      <c r="G42" s="310">
        <f>SUM(G43,G46,G54,G67,G72,)</f>
        <v>228717</v>
      </c>
      <c r="H42" s="310">
        <f t="shared" si="4"/>
        <v>19302834</v>
      </c>
      <c r="I42" s="310">
        <f>SUM(I43,I46,I54,I67,I72,)</f>
        <v>-98931</v>
      </c>
      <c r="J42" s="310">
        <f t="shared" si="5"/>
        <v>19203903</v>
      </c>
      <c r="K42" s="310">
        <f>SUM(K43,K46,K54,K67,K72,)</f>
        <v>0</v>
      </c>
      <c r="L42" s="310">
        <f t="shared" si="7"/>
        <v>19203903</v>
      </c>
      <c r="M42" s="310">
        <f>SUM(M43,M46,M54,M67,M72,)</f>
        <v>0</v>
      </c>
      <c r="N42" s="310">
        <f t="shared" si="8"/>
        <v>19203903</v>
      </c>
      <c r="O42" s="310">
        <f>SUM(O43,O46,O54,O67,O72,)</f>
        <v>0</v>
      </c>
      <c r="P42" s="310">
        <f t="shared" si="9"/>
        <v>19203903</v>
      </c>
      <c r="Q42" s="310">
        <f>SUM(Q43,Q46,Q54,Q67,Q72,)</f>
        <v>0</v>
      </c>
      <c r="R42" s="310">
        <f t="shared" si="10"/>
        <v>19203903</v>
      </c>
      <c r="S42" s="310">
        <f>SUM(S43,S46,S54,S67,S72,)</f>
        <v>21000</v>
      </c>
      <c r="T42" s="310">
        <f t="shared" si="11"/>
        <v>19224903</v>
      </c>
      <c r="U42" s="310">
        <f>SUM(U43,U46,U54,U67,U72,)</f>
        <v>0</v>
      </c>
      <c r="V42" s="310">
        <f t="shared" si="12"/>
        <v>19224903</v>
      </c>
      <c r="W42" s="310">
        <f>SUM(W43,W46,W54,W67,W72,)</f>
        <v>0</v>
      </c>
      <c r="X42" s="310">
        <f t="shared" si="13"/>
        <v>19224903</v>
      </c>
      <c r="Y42" s="310">
        <f>SUM(Y43,Y46,Y54,Y67,Y72,)</f>
        <v>49000</v>
      </c>
      <c r="Z42" s="310">
        <f t="shared" si="14"/>
        <v>19273903</v>
      </c>
    </row>
    <row r="43" spans="1:26" s="27" customFormat="1" ht="22.5">
      <c r="A43" s="86"/>
      <c r="B43" s="61">
        <v>75601</v>
      </c>
      <c r="C43" s="301"/>
      <c r="D43" s="172" t="s">
        <v>144</v>
      </c>
      <c r="E43" s="173">
        <f>SUM(E44:E45)</f>
        <v>40426</v>
      </c>
      <c r="F43" s="173">
        <f>SUM(F44:F45)</f>
        <v>0</v>
      </c>
      <c r="G43" s="173">
        <f>SUM(G44:G45)</f>
        <v>0</v>
      </c>
      <c r="H43" s="173">
        <f t="shared" si="4"/>
        <v>40426</v>
      </c>
      <c r="I43" s="173">
        <f>SUM(I44:I45)</f>
        <v>0</v>
      </c>
      <c r="J43" s="173">
        <f t="shared" si="5"/>
        <v>40426</v>
      </c>
      <c r="K43" s="173">
        <f>SUM(K44:K45)</f>
        <v>0</v>
      </c>
      <c r="L43" s="173">
        <f t="shared" si="7"/>
        <v>40426</v>
      </c>
      <c r="M43" s="173">
        <f>SUM(M44:M45)</f>
        <v>0</v>
      </c>
      <c r="N43" s="173">
        <f t="shared" si="8"/>
        <v>40426</v>
      </c>
      <c r="O43" s="173">
        <f>SUM(O44:O45)</f>
        <v>0</v>
      </c>
      <c r="P43" s="173">
        <f t="shared" si="9"/>
        <v>40426</v>
      </c>
      <c r="Q43" s="173">
        <f>SUM(Q44:Q45)</f>
        <v>0</v>
      </c>
      <c r="R43" s="173">
        <f t="shared" si="10"/>
        <v>40426</v>
      </c>
      <c r="S43" s="173">
        <f>SUM(S44:S45)</f>
        <v>0</v>
      </c>
      <c r="T43" s="173">
        <f t="shared" si="11"/>
        <v>40426</v>
      </c>
      <c r="U43" s="173">
        <f>SUM(U44:U45)</f>
        <v>0</v>
      </c>
      <c r="V43" s="173">
        <f t="shared" si="12"/>
        <v>40426</v>
      </c>
      <c r="W43" s="173">
        <f>SUM(W44:W45)</f>
        <v>0</v>
      </c>
      <c r="X43" s="173">
        <f t="shared" si="13"/>
        <v>40426</v>
      </c>
      <c r="Y43" s="173">
        <f>SUM(Y44:Y45)</f>
        <v>0</v>
      </c>
      <c r="Z43" s="173">
        <f t="shared" si="14"/>
        <v>40426</v>
      </c>
    </row>
    <row r="44" spans="1:26" s="27" customFormat="1" ht="33.75">
      <c r="A44" s="86"/>
      <c r="B44" s="61"/>
      <c r="C44" s="306" t="s">
        <v>301</v>
      </c>
      <c r="D44" s="172" t="s">
        <v>145</v>
      </c>
      <c r="E44" s="173">
        <v>40000</v>
      </c>
      <c r="F44" s="173"/>
      <c r="G44" s="173"/>
      <c r="H44" s="173">
        <f t="shared" si="4"/>
        <v>40000</v>
      </c>
      <c r="I44" s="173">
        <v>0</v>
      </c>
      <c r="J44" s="173">
        <f t="shared" si="5"/>
        <v>40000</v>
      </c>
      <c r="K44" s="173">
        <v>0</v>
      </c>
      <c r="L44" s="173">
        <f t="shared" si="7"/>
        <v>40000</v>
      </c>
      <c r="M44" s="173">
        <v>0</v>
      </c>
      <c r="N44" s="173">
        <f t="shared" si="8"/>
        <v>40000</v>
      </c>
      <c r="O44" s="173">
        <v>0</v>
      </c>
      <c r="P44" s="173">
        <f t="shared" si="9"/>
        <v>40000</v>
      </c>
      <c r="Q44" s="173">
        <v>0</v>
      </c>
      <c r="R44" s="173">
        <f t="shared" si="10"/>
        <v>40000</v>
      </c>
      <c r="S44" s="173">
        <v>0</v>
      </c>
      <c r="T44" s="173">
        <f t="shared" si="11"/>
        <v>40000</v>
      </c>
      <c r="U44" s="173">
        <v>0</v>
      </c>
      <c r="V44" s="173">
        <f t="shared" si="12"/>
        <v>40000</v>
      </c>
      <c r="W44" s="173">
        <v>0</v>
      </c>
      <c r="X44" s="173">
        <f t="shared" si="13"/>
        <v>40000</v>
      </c>
      <c r="Y44" s="173">
        <v>0</v>
      </c>
      <c r="Z44" s="173">
        <f t="shared" si="14"/>
        <v>40000</v>
      </c>
    </row>
    <row r="45" spans="1:26" s="27" customFormat="1" ht="22.5">
      <c r="A45" s="86"/>
      <c r="B45" s="61"/>
      <c r="C45" s="306" t="s">
        <v>302</v>
      </c>
      <c r="D45" s="172" t="s">
        <v>152</v>
      </c>
      <c r="E45" s="173">
        <v>426</v>
      </c>
      <c r="F45" s="173"/>
      <c r="G45" s="173"/>
      <c r="H45" s="173">
        <f t="shared" si="4"/>
        <v>426</v>
      </c>
      <c r="I45" s="173">
        <v>0</v>
      </c>
      <c r="J45" s="173">
        <f t="shared" si="5"/>
        <v>426</v>
      </c>
      <c r="K45" s="173">
        <v>0</v>
      </c>
      <c r="L45" s="173">
        <f t="shared" si="7"/>
        <v>426</v>
      </c>
      <c r="M45" s="173">
        <v>0</v>
      </c>
      <c r="N45" s="173">
        <f t="shared" si="8"/>
        <v>426</v>
      </c>
      <c r="O45" s="173">
        <v>0</v>
      </c>
      <c r="P45" s="173">
        <f t="shared" si="9"/>
        <v>426</v>
      </c>
      <c r="Q45" s="173">
        <v>0</v>
      </c>
      <c r="R45" s="173">
        <f t="shared" si="10"/>
        <v>426</v>
      </c>
      <c r="S45" s="173">
        <v>0</v>
      </c>
      <c r="T45" s="173">
        <f t="shared" si="11"/>
        <v>426</v>
      </c>
      <c r="U45" s="173">
        <v>0</v>
      </c>
      <c r="V45" s="173">
        <f t="shared" si="12"/>
        <v>426</v>
      </c>
      <c r="W45" s="173">
        <v>0</v>
      </c>
      <c r="X45" s="173">
        <f t="shared" si="13"/>
        <v>426</v>
      </c>
      <c r="Y45" s="173">
        <v>0</v>
      </c>
      <c r="Z45" s="173">
        <f t="shared" si="14"/>
        <v>426</v>
      </c>
    </row>
    <row r="46" spans="1:26" s="27" customFormat="1" ht="56.25">
      <c r="A46" s="86"/>
      <c r="B46" s="87" t="s">
        <v>146</v>
      </c>
      <c r="C46" s="301"/>
      <c r="D46" s="172" t="s">
        <v>337</v>
      </c>
      <c r="E46" s="173">
        <f>SUM(E47:E53)</f>
        <v>6978961</v>
      </c>
      <c r="F46" s="173">
        <f>SUM(F47:F53)</f>
        <v>228717</v>
      </c>
      <c r="G46" s="173">
        <f>SUM(G47:G53)</f>
        <v>228717</v>
      </c>
      <c r="H46" s="173">
        <f t="shared" si="4"/>
        <v>6978961</v>
      </c>
      <c r="I46" s="173">
        <f>SUM(I47:I53)</f>
        <v>0</v>
      </c>
      <c r="J46" s="173">
        <f t="shared" si="5"/>
        <v>6978961</v>
      </c>
      <c r="K46" s="173">
        <f>SUM(K47:K53)</f>
        <v>0</v>
      </c>
      <c r="L46" s="173">
        <f t="shared" si="7"/>
        <v>6978961</v>
      </c>
      <c r="M46" s="173">
        <f>SUM(M47:M53)</f>
        <v>0</v>
      </c>
      <c r="N46" s="173">
        <f t="shared" si="8"/>
        <v>6978961</v>
      </c>
      <c r="O46" s="173">
        <f>SUM(O47:O53)</f>
        <v>0</v>
      </c>
      <c r="P46" s="173">
        <f t="shared" si="9"/>
        <v>6978961</v>
      </c>
      <c r="Q46" s="173">
        <f>SUM(Q47:Q53)</f>
        <v>0</v>
      </c>
      <c r="R46" s="173">
        <f t="shared" si="10"/>
        <v>6978961</v>
      </c>
      <c r="S46" s="173">
        <f>SUM(S47:S53)</f>
        <v>7000</v>
      </c>
      <c r="T46" s="173">
        <f t="shared" si="11"/>
        <v>6985961</v>
      </c>
      <c r="U46" s="173">
        <f>SUM(U47:U53)</f>
        <v>0</v>
      </c>
      <c r="V46" s="173">
        <f t="shared" si="12"/>
        <v>6985961</v>
      </c>
      <c r="W46" s="173">
        <f>SUM(W47:W53)</f>
        <v>0</v>
      </c>
      <c r="X46" s="173">
        <f t="shared" si="13"/>
        <v>6985961</v>
      </c>
      <c r="Y46" s="173">
        <f>SUM(Y47:Y53)</f>
        <v>20000</v>
      </c>
      <c r="Z46" s="173">
        <f t="shared" si="14"/>
        <v>7005961</v>
      </c>
    </row>
    <row r="47" spans="1:26" s="27" customFormat="1" ht="21.75" customHeight="1">
      <c r="A47" s="86"/>
      <c r="B47" s="87"/>
      <c r="C47" s="171" t="s">
        <v>303</v>
      </c>
      <c r="D47" s="172" t="s">
        <v>147</v>
      </c>
      <c r="E47" s="173">
        <v>6371350</v>
      </c>
      <c r="F47" s="173"/>
      <c r="G47" s="173"/>
      <c r="H47" s="173">
        <f t="shared" si="4"/>
        <v>6371350</v>
      </c>
      <c r="I47" s="173">
        <v>0</v>
      </c>
      <c r="J47" s="173">
        <f t="shared" si="5"/>
        <v>6371350</v>
      </c>
      <c r="K47" s="173">
        <v>0</v>
      </c>
      <c r="L47" s="173">
        <f t="shared" si="7"/>
        <v>6371350</v>
      </c>
      <c r="M47" s="173">
        <v>0</v>
      </c>
      <c r="N47" s="173">
        <f t="shared" si="8"/>
        <v>6371350</v>
      </c>
      <c r="O47" s="173">
        <v>0</v>
      </c>
      <c r="P47" s="173">
        <f t="shared" si="9"/>
        <v>6371350</v>
      </c>
      <c r="Q47" s="173">
        <v>0</v>
      </c>
      <c r="R47" s="173">
        <f t="shared" si="10"/>
        <v>6371350</v>
      </c>
      <c r="S47" s="173">
        <v>0</v>
      </c>
      <c r="T47" s="173">
        <f t="shared" si="11"/>
        <v>6371350</v>
      </c>
      <c r="U47" s="173">
        <v>0</v>
      </c>
      <c r="V47" s="173">
        <f t="shared" si="12"/>
        <v>6371350</v>
      </c>
      <c r="W47" s="173">
        <v>0</v>
      </c>
      <c r="X47" s="173">
        <f t="shared" si="13"/>
        <v>6371350</v>
      </c>
      <c r="Y47" s="173">
        <v>0</v>
      </c>
      <c r="Z47" s="173">
        <f t="shared" si="14"/>
        <v>6371350</v>
      </c>
    </row>
    <row r="48" spans="1:26" s="27" customFormat="1" ht="21.75" customHeight="1">
      <c r="A48" s="86"/>
      <c r="B48" s="87"/>
      <c r="C48" s="171" t="s">
        <v>304</v>
      </c>
      <c r="D48" s="172" t="s">
        <v>148</v>
      </c>
      <c r="E48" s="173">
        <v>27402</v>
      </c>
      <c r="F48" s="173"/>
      <c r="G48" s="173"/>
      <c r="H48" s="173">
        <f aca="true" t="shared" si="17" ref="H48:H80">E48+F48-G48</f>
        <v>27402</v>
      </c>
      <c r="I48" s="173">
        <v>0</v>
      </c>
      <c r="J48" s="173">
        <f t="shared" si="5"/>
        <v>27402</v>
      </c>
      <c r="K48" s="173">
        <v>0</v>
      </c>
      <c r="L48" s="173">
        <f t="shared" si="7"/>
        <v>27402</v>
      </c>
      <c r="M48" s="173">
        <v>0</v>
      </c>
      <c r="N48" s="173">
        <f t="shared" si="8"/>
        <v>27402</v>
      </c>
      <c r="O48" s="173">
        <v>0</v>
      </c>
      <c r="P48" s="173">
        <f t="shared" si="9"/>
        <v>27402</v>
      </c>
      <c r="Q48" s="173">
        <v>0</v>
      </c>
      <c r="R48" s="173">
        <f t="shared" si="10"/>
        <v>27402</v>
      </c>
      <c r="S48" s="173">
        <v>0</v>
      </c>
      <c r="T48" s="173">
        <f t="shared" si="11"/>
        <v>27402</v>
      </c>
      <c r="U48" s="173">
        <v>0</v>
      </c>
      <c r="V48" s="173">
        <f t="shared" si="12"/>
        <v>27402</v>
      </c>
      <c r="W48" s="173">
        <v>0</v>
      </c>
      <c r="X48" s="173">
        <f t="shared" si="13"/>
        <v>27402</v>
      </c>
      <c r="Y48" s="173">
        <v>0</v>
      </c>
      <c r="Z48" s="173">
        <f t="shared" si="14"/>
        <v>27402</v>
      </c>
    </row>
    <row r="49" spans="1:26" s="27" customFormat="1" ht="21.75" customHeight="1">
      <c r="A49" s="86"/>
      <c r="B49" s="87"/>
      <c r="C49" s="171" t="s">
        <v>305</v>
      </c>
      <c r="D49" s="172" t="s">
        <v>149</v>
      </c>
      <c r="E49" s="173">
        <v>306492</v>
      </c>
      <c r="F49" s="173"/>
      <c r="G49" s="173"/>
      <c r="H49" s="173">
        <f t="shared" si="17"/>
        <v>306492</v>
      </c>
      <c r="I49" s="173">
        <v>0</v>
      </c>
      <c r="J49" s="173">
        <f t="shared" si="5"/>
        <v>306492</v>
      </c>
      <c r="K49" s="173">
        <v>0</v>
      </c>
      <c r="L49" s="173">
        <f t="shared" si="7"/>
        <v>306492</v>
      </c>
      <c r="M49" s="173">
        <v>0</v>
      </c>
      <c r="N49" s="173">
        <f t="shared" si="8"/>
        <v>306492</v>
      </c>
      <c r="O49" s="173">
        <v>0</v>
      </c>
      <c r="P49" s="173">
        <f t="shared" si="9"/>
        <v>306492</v>
      </c>
      <c r="Q49" s="173">
        <v>0</v>
      </c>
      <c r="R49" s="173">
        <f t="shared" si="10"/>
        <v>306492</v>
      </c>
      <c r="S49" s="173">
        <v>0</v>
      </c>
      <c r="T49" s="173">
        <f t="shared" si="11"/>
        <v>306492</v>
      </c>
      <c r="U49" s="173">
        <v>0</v>
      </c>
      <c r="V49" s="173">
        <f t="shared" si="12"/>
        <v>306492</v>
      </c>
      <c r="W49" s="173">
        <v>0</v>
      </c>
      <c r="X49" s="173">
        <f t="shared" si="13"/>
        <v>306492</v>
      </c>
      <c r="Y49" s="173">
        <v>0</v>
      </c>
      <c r="Z49" s="173">
        <f t="shared" si="14"/>
        <v>306492</v>
      </c>
    </row>
    <row r="50" spans="1:26" s="27" customFormat="1" ht="21.75" customHeight="1">
      <c r="A50" s="86"/>
      <c r="B50" s="87"/>
      <c r="C50" s="171" t="s">
        <v>306</v>
      </c>
      <c r="D50" s="172" t="s">
        <v>150</v>
      </c>
      <c r="E50" s="173">
        <v>38000</v>
      </c>
      <c r="F50" s="173"/>
      <c r="G50" s="173"/>
      <c r="H50" s="173">
        <f t="shared" si="17"/>
        <v>38000</v>
      </c>
      <c r="I50" s="173">
        <v>0</v>
      </c>
      <c r="J50" s="173">
        <f t="shared" si="5"/>
        <v>38000</v>
      </c>
      <c r="K50" s="173">
        <v>0</v>
      </c>
      <c r="L50" s="173">
        <f t="shared" si="7"/>
        <v>38000</v>
      </c>
      <c r="M50" s="173">
        <v>0</v>
      </c>
      <c r="N50" s="173">
        <f t="shared" si="8"/>
        <v>38000</v>
      </c>
      <c r="O50" s="173">
        <v>0</v>
      </c>
      <c r="P50" s="173">
        <f t="shared" si="9"/>
        <v>38000</v>
      </c>
      <c r="Q50" s="173">
        <v>0</v>
      </c>
      <c r="R50" s="173">
        <f t="shared" si="10"/>
        <v>38000</v>
      </c>
      <c r="S50" s="173">
        <v>0</v>
      </c>
      <c r="T50" s="173">
        <f t="shared" si="11"/>
        <v>38000</v>
      </c>
      <c r="U50" s="173">
        <v>0</v>
      </c>
      <c r="V50" s="173">
        <f t="shared" si="12"/>
        <v>38000</v>
      </c>
      <c r="W50" s="173">
        <v>0</v>
      </c>
      <c r="X50" s="173">
        <f t="shared" si="13"/>
        <v>38000</v>
      </c>
      <c r="Y50" s="173">
        <v>0</v>
      </c>
      <c r="Z50" s="173">
        <f t="shared" si="14"/>
        <v>38000</v>
      </c>
    </row>
    <row r="51" spans="1:26" s="27" customFormat="1" ht="21.75" customHeight="1">
      <c r="A51" s="86"/>
      <c r="B51" s="87"/>
      <c r="C51" s="316" t="s">
        <v>302</v>
      </c>
      <c r="D51" s="317" t="s">
        <v>360</v>
      </c>
      <c r="E51" s="269">
        <v>7000</v>
      </c>
      <c r="F51" s="269"/>
      <c r="G51" s="269"/>
      <c r="H51" s="173">
        <f t="shared" si="17"/>
        <v>7000</v>
      </c>
      <c r="I51" s="269">
        <v>0</v>
      </c>
      <c r="J51" s="173">
        <f t="shared" si="5"/>
        <v>7000</v>
      </c>
      <c r="K51" s="269">
        <v>0</v>
      </c>
      <c r="L51" s="173">
        <f t="shared" si="7"/>
        <v>7000</v>
      </c>
      <c r="M51" s="269">
        <v>0</v>
      </c>
      <c r="N51" s="173">
        <f t="shared" si="8"/>
        <v>7000</v>
      </c>
      <c r="O51" s="269">
        <v>0</v>
      </c>
      <c r="P51" s="173">
        <f t="shared" si="9"/>
        <v>7000</v>
      </c>
      <c r="Q51" s="269">
        <v>0</v>
      </c>
      <c r="R51" s="173">
        <f t="shared" si="10"/>
        <v>7000</v>
      </c>
      <c r="S51" s="269">
        <v>7000</v>
      </c>
      <c r="T51" s="173">
        <f t="shared" si="11"/>
        <v>14000</v>
      </c>
      <c r="U51" s="269">
        <v>0</v>
      </c>
      <c r="V51" s="173">
        <f t="shared" si="12"/>
        <v>14000</v>
      </c>
      <c r="W51" s="269">
        <v>0</v>
      </c>
      <c r="X51" s="173">
        <f t="shared" si="13"/>
        <v>14000</v>
      </c>
      <c r="Y51" s="269">
        <v>20000</v>
      </c>
      <c r="Z51" s="173">
        <f t="shared" si="14"/>
        <v>34000</v>
      </c>
    </row>
    <row r="52" spans="1:26" s="27" customFormat="1" ht="33.75" hidden="1">
      <c r="A52" s="86"/>
      <c r="B52" s="87"/>
      <c r="C52" s="171">
        <v>2440</v>
      </c>
      <c r="D52" s="172" t="s">
        <v>327</v>
      </c>
      <c r="E52" s="173">
        <v>228717</v>
      </c>
      <c r="F52" s="173"/>
      <c r="G52" s="173">
        <v>228717</v>
      </c>
      <c r="H52" s="173">
        <f t="shared" si="17"/>
        <v>0</v>
      </c>
      <c r="I52" s="173"/>
      <c r="J52" s="173">
        <f t="shared" si="5"/>
        <v>0</v>
      </c>
      <c r="K52" s="173"/>
      <c r="L52" s="173">
        <f t="shared" si="7"/>
        <v>0</v>
      </c>
      <c r="M52" s="173"/>
      <c r="N52" s="173">
        <f t="shared" si="8"/>
        <v>0</v>
      </c>
      <c r="O52" s="173"/>
      <c r="P52" s="173">
        <f t="shared" si="9"/>
        <v>0</v>
      </c>
      <c r="Q52" s="173"/>
      <c r="R52" s="173">
        <f t="shared" si="10"/>
        <v>0</v>
      </c>
      <c r="S52" s="173"/>
      <c r="T52" s="173">
        <f t="shared" si="11"/>
        <v>0</v>
      </c>
      <c r="U52" s="173"/>
      <c r="V52" s="173">
        <f t="shared" si="12"/>
        <v>0</v>
      </c>
      <c r="W52" s="173"/>
      <c r="X52" s="173">
        <f t="shared" si="13"/>
        <v>0</v>
      </c>
      <c r="Y52" s="173"/>
      <c r="Z52" s="173">
        <f t="shared" si="14"/>
        <v>0</v>
      </c>
    </row>
    <row r="53" spans="1:26" s="27" customFormat="1" ht="22.5">
      <c r="A53" s="86"/>
      <c r="B53" s="87"/>
      <c r="C53" s="171">
        <v>2680</v>
      </c>
      <c r="D53" s="172" t="s">
        <v>521</v>
      </c>
      <c r="E53" s="173">
        <v>0</v>
      </c>
      <c r="F53" s="173">
        <v>228717</v>
      </c>
      <c r="G53" s="173"/>
      <c r="H53" s="173">
        <f t="shared" si="17"/>
        <v>228717</v>
      </c>
      <c r="I53" s="173">
        <v>0</v>
      </c>
      <c r="J53" s="173">
        <f t="shared" si="5"/>
        <v>228717</v>
      </c>
      <c r="K53" s="173">
        <v>0</v>
      </c>
      <c r="L53" s="173">
        <f t="shared" si="7"/>
        <v>228717</v>
      </c>
      <c r="M53" s="173">
        <v>0</v>
      </c>
      <c r="N53" s="173">
        <f t="shared" si="8"/>
        <v>228717</v>
      </c>
      <c r="O53" s="173">
        <v>0</v>
      </c>
      <c r="P53" s="173">
        <f t="shared" si="9"/>
        <v>228717</v>
      </c>
      <c r="Q53" s="173">
        <v>0</v>
      </c>
      <c r="R53" s="173">
        <f t="shared" si="10"/>
        <v>228717</v>
      </c>
      <c r="S53" s="173">
        <v>0</v>
      </c>
      <c r="T53" s="173">
        <f t="shared" si="11"/>
        <v>228717</v>
      </c>
      <c r="U53" s="173">
        <v>0</v>
      </c>
      <c r="V53" s="173">
        <f t="shared" si="12"/>
        <v>228717</v>
      </c>
      <c r="W53" s="173">
        <v>0</v>
      </c>
      <c r="X53" s="173">
        <f t="shared" si="13"/>
        <v>228717</v>
      </c>
      <c r="Y53" s="173">
        <v>0</v>
      </c>
      <c r="Z53" s="173">
        <f t="shared" si="14"/>
        <v>228717</v>
      </c>
    </row>
    <row r="54" spans="1:26" s="27" customFormat="1" ht="56.25">
      <c r="A54" s="86"/>
      <c r="B54" s="87">
        <v>75616</v>
      </c>
      <c r="C54" s="171"/>
      <c r="D54" s="172" t="s">
        <v>338</v>
      </c>
      <c r="E54" s="173">
        <f>SUM(E55:E66)</f>
        <v>3276006</v>
      </c>
      <c r="F54" s="173">
        <f>SUM(F55:F66)</f>
        <v>0</v>
      </c>
      <c r="G54" s="173">
        <f>SUM(G55:G66)</f>
        <v>0</v>
      </c>
      <c r="H54" s="173">
        <f t="shared" si="17"/>
        <v>3276006</v>
      </c>
      <c r="I54" s="173">
        <f>SUM(I55:I66)</f>
        <v>-2000</v>
      </c>
      <c r="J54" s="173">
        <f t="shared" si="5"/>
        <v>3274006</v>
      </c>
      <c r="K54" s="173">
        <f>SUM(K55:K66)</f>
        <v>0</v>
      </c>
      <c r="L54" s="173">
        <f t="shared" si="7"/>
        <v>3274006</v>
      </c>
      <c r="M54" s="173">
        <f>SUM(M55:M66)</f>
        <v>0</v>
      </c>
      <c r="N54" s="173">
        <f t="shared" si="8"/>
        <v>3274006</v>
      </c>
      <c r="O54" s="173">
        <f>SUM(O55:O66)</f>
        <v>0</v>
      </c>
      <c r="P54" s="173">
        <f t="shared" si="9"/>
        <v>3274006</v>
      </c>
      <c r="Q54" s="173">
        <f>SUM(Q55:Q66)</f>
        <v>0</v>
      </c>
      <c r="R54" s="173">
        <f t="shared" si="10"/>
        <v>3274006</v>
      </c>
      <c r="S54" s="173">
        <f>SUM(S55:S66)</f>
        <v>14000</v>
      </c>
      <c r="T54" s="173">
        <f t="shared" si="11"/>
        <v>3288006</v>
      </c>
      <c r="U54" s="173">
        <f>SUM(U55:U66)</f>
        <v>0</v>
      </c>
      <c r="V54" s="173">
        <f t="shared" si="12"/>
        <v>3288006</v>
      </c>
      <c r="W54" s="173">
        <f>SUM(W55:W66)</f>
        <v>0</v>
      </c>
      <c r="X54" s="173">
        <f t="shared" si="13"/>
        <v>3288006</v>
      </c>
      <c r="Y54" s="173">
        <f>SUM(Y55:Y66)</f>
        <v>23000</v>
      </c>
      <c r="Z54" s="173">
        <f t="shared" si="14"/>
        <v>3311006</v>
      </c>
    </row>
    <row r="55" spans="1:26" s="27" customFormat="1" ht="21.75" customHeight="1">
      <c r="A55" s="86"/>
      <c r="B55" s="87"/>
      <c r="C55" s="171" t="s">
        <v>303</v>
      </c>
      <c r="D55" s="172" t="s">
        <v>147</v>
      </c>
      <c r="E55" s="173">
        <v>2188575</v>
      </c>
      <c r="F55" s="173"/>
      <c r="G55" s="173"/>
      <c r="H55" s="173">
        <f t="shared" si="17"/>
        <v>2188575</v>
      </c>
      <c r="I55" s="173">
        <v>0</v>
      </c>
      <c r="J55" s="173">
        <f t="shared" si="5"/>
        <v>2188575</v>
      </c>
      <c r="K55" s="173">
        <v>0</v>
      </c>
      <c r="L55" s="173">
        <f t="shared" si="7"/>
        <v>2188575</v>
      </c>
      <c r="M55" s="173">
        <v>0</v>
      </c>
      <c r="N55" s="173">
        <f t="shared" si="8"/>
        <v>2188575</v>
      </c>
      <c r="O55" s="173">
        <v>0</v>
      </c>
      <c r="P55" s="173">
        <f t="shared" si="9"/>
        <v>2188575</v>
      </c>
      <c r="Q55" s="173">
        <v>0</v>
      </c>
      <c r="R55" s="173">
        <f t="shared" si="10"/>
        <v>2188575</v>
      </c>
      <c r="S55" s="173">
        <v>0</v>
      </c>
      <c r="T55" s="173">
        <f t="shared" si="11"/>
        <v>2188575</v>
      </c>
      <c r="U55" s="173">
        <v>0</v>
      </c>
      <c r="V55" s="173">
        <f t="shared" si="12"/>
        <v>2188575</v>
      </c>
      <c r="W55" s="173">
        <v>0</v>
      </c>
      <c r="X55" s="173">
        <f t="shared" si="13"/>
        <v>2188575</v>
      </c>
      <c r="Y55" s="173">
        <v>0</v>
      </c>
      <c r="Z55" s="173">
        <f t="shared" si="14"/>
        <v>2188575</v>
      </c>
    </row>
    <row r="56" spans="1:26" s="27" customFormat="1" ht="21.75" customHeight="1">
      <c r="A56" s="86"/>
      <c r="B56" s="87"/>
      <c r="C56" s="171" t="s">
        <v>304</v>
      </c>
      <c r="D56" s="172" t="s">
        <v>148</v>
      </c>
      <c r="E56" s="173">
        <v>366931</v>
      </c>
      <c r="F56" s="173"/>
      <c r="G56" s="173"/>
      <c r="H56" s="173">
        <f t="shared" si="17"/>
        <v>366931</v>
      </c>
      <c r="I56" s="173">
        <v>0</v>
      </c>
      <c r="J56" s="173">
        <f t="shared" si="5"/>
        <v>366931</v>
      </c>
      <c r="K56" s="173">
        <v>0</v>
      </c>
      <c r="L56" s="173">
        <f t="shared" si="7"/>
        <v>366931</v>
      </c>
      <c r="M56" s="173">
        <v>0</v>
      </c>
      <c r="N56" s="173">
        <f t="shared" si="8"/>
        <v>366931</v>
      </c>
      <c r="O56" s="173">
        <v>0</v>
      </c>
      <c r="P56" s="173">
        <f t="shared" si="9"/>
        <v>366931</v>
      </c>
      <c r="Q56" s="173">
        <v>0</v>
      </c>
      <c r="R56" s="173">
        <f t="shared" si="10"/>
        <v>366931</v>
      </c>
      <c r="S56" s="173">
        <v>0</v>
      </c>
      <c r="T56" s="173">
        <f t="shared" si="11"/>
        <v>366931</v>
      </c>
      <c r="U56" s="173">
        <v>0</v>
      </c>
      <c r="V56" s="173">
        <f t="shared" si="12"/>
        <v>366931</v>
      </c>
      <c r="W56" s="173">
        <v>0</v>
      </c>
      <c r="X56" s="173">
        <f t="shared" si="13"/>
        <v>366931</v>
      </c>
      <c r="Y56" s="173">
        <v>0</v>
      </c>
      <c r="Z56" s="173">
        <f t="shared" si="14"/>
        <v>366931</v>
      </c>
    </row>
    <row r="57" spans="1:26" s="27" customFormat="1" ht="21.75" customHeight="1">
      <c r="A57" s="86"/>
      <c r="B57" s="87"/>
      <c r="C57" s="171" t="s">
        <v>305</v>
      </c>
      <c r="D57" s="172" t="s">
        <v>149</v>
      </c>
      <c r="E57" s="173">
        <v>7200</v>
      </c>
      <c r="F57" s="173"/>
      <c r="G57" s="173"/>
      <c r="H57" s="173">
        <f t="shared" si="17"/>
        <v>7200</v>
      </c>
      <c r="I57" s="173">
        <v>0</v>
      </c>
      <c r="J57" s="173">
        <f t="shared" si="5"/>
        <v>7200</v>
      </c>
      <c r="K57" s="173">
        <v>0</v>
      </c>
      <c r="L57" s="173">
        <f t="shared" si="7"/>
        <v>7200</v>
      </c>
      <c r="M57" s="173">
        <v>0</v>
      </c>
      <c r="N57" s="173">
        <f t="shared" si="8"/>
        <v>7200</v>
      </c>
      <c r="O57" s="173">
        <v>0</v>
      </c>
      <c r="P57" s="173">
        <f t="shared" si="9"/>
        <v>7200</v>
      </c>
      <c r="Q57" s="173">
        <v>0</v>
      </c>
      <c r="R57" s="173">
        <f t="shared" si="10"/>
        <v>7200</v>
      </c>
      <c r="S57" s="173">
        <v>0</v>
      </c>
      <c r="T57" s="173">
        <f t="shared" si="11"/>
        <v>7200</v>
      </c>
      <c r="U57" s="173">
        <v>0</v>
      </c>
      <c r="V57" s="173">
        <f t="shared" si="12"/>
        <v>7200</v>
      </c>
      <c r="W57" s="173">
        <v>0</v>
      </c>
      <c r="X57" s="173">
        <f t="shared" si="13"/>
        <v>7200</v>
      </c>
      <c r="Y57" s="173">
        <v>0</v>
      </c>
      <c r="Z57" s="173">
        <f t="shared" si="14"/>
        <v>7200</v>
      </c>
    </row>
    <row r="58" spans="1:26" s="27" customFormat="1" ht="21" customHeight="1">
      <c r="A58" s="86"/>
      <c r="B58" s="87"/>
      <c r="C58" s="171" t="s">
        <v>306</v>
      </c>
      <c r="D58" s="172" t="s">
        <v>150</v>
      </c>
      <c r="E58" s="173">
        <v>195000</v>
      </c>
      <c r="F58" s="173"/>
      <c r="G58" s="173"/>
      <c r="H58" s="173">
        <f t="shared" si="17"/>
        <v>195000</v>
      </c>
      <c r="I58" s="173">
        <v>0</v>
      </c>
      <c r="J58" s="173">
        <f t="shared" si="5"/>
        <v>195000</v>
      </c>
      <c r="K58" s="173">
        <v>0</v>
      </c>
      <c r="L58" s="173">
        <f t="shared" si="7"/>
        <v>195000</v>
      </c>
      <c r="M58" s="173">
        <v>0</v>
      </c>
      <c r="N58" s="173">
        <f t="shared" si="8"/>
        <v>195000</v>
      </c>
      <c r="O58" s="173">
        <v>0</v>
      </c>
      <c r="P58" s="173">
        <f t="shared" si="9"/>
        <v>195000</v>
      </c>
      <c r="Q58" s="173">
        <v>0</v>
      </c>
      <c r="R58" s="173">
        <f t="shared" si="10"/>
        <v>195000</v>
      </c>
      <c r="S58" s="173">
        <v>0</v>
      </c>
      <c r="T58" s="173">
        <f t="shared" si="11"/>
        <v>195000</v>
      </c>
      <c r="U58" s="173">
        <v>0</v>
      </c>
      <c r="V58" s="173">
        <f t="shared" si="12"/>
        <v>195000</v>
      </c>
      <c r="W58" s="173">
        <v>0</v>
      </c>
      <c r="X58" s="173">
        <f t="shared" si="13"/>
        <v>195000</v>
      </c>
      <c r="Y58" s="173">
        <v>0</v>
      </c>
      <c r="Z58" s="173">
        <f t="shared" si="14"/>
        <v>195000</v>
      </c>
    </row>
    <row r="59" spans="1:26" s="27" customFormat="1" ht="11.25" hidden="1">
      <c r="A59" s="86"/>
      <c r="B59" s="87"/>
      <c r="C59" s="171" t="s">
        <v>307</v>
      </c>
      <c r="D59" s="172" t="s">
        <v>153</v>
      </c>
      <c r="E59" s="173"/>
      <c r="F59" s="173"/>
      <c r="G59" s="173"/>
      <c r="H59" s="173">
        <f t="shared" si="17"/>
        <v>0</v>
      </c>
      <c r="I59" s="173"/>
      <c r="J59" s="173">
        <f t="shared" si="5"/>
        <v>0</v>
      </c>
      <c r="K59" s="173"/>
      <c r="L59" s="173">
        <f t="shared" si="7"/>
        <v>0</v>
      </c>
      <c r="M59" s="173"/>
      <c r="N59" s="173">
        <f t="shared" si="8"/>
        <v>0</v>
      </c>
      <c r="O59" s="173"/>
      <c r="P59" s="173">
        <f t="shared" si="9"/>
        <v>0</v>
      </c>
      <c r="Q59" s="173"/>
      <c r="R59" s="173">
        <f t="shared" si="10"/>
        <v>0</v>
      </c>
      <c r="S59" s="173"/>
      <c r="T59" s="173">
        <f t="shared" si="11"/>
        <v>0</v>
      </c>
      <c r="U59" s="173"/>
      <c r="V59" s="173">
        <f t="shared" si="12"/>
        <v>0</v>
      </c>
      <c r="W59" s="173"/>
      <c r="X59" s="173">
        <f t="shared" si="13"/>
        <v>0</v>
      </c>
      <c r="Y59" s="173"/>
      <c r="Z59" s="173">
        <f t="shared" si="14"/>
        <v>0</v>
      </c>
    </row>
    <row r="60" spans="1:26" s="27" customFormat="1" ht="21.75" customHeight="1">
      <c r="A60" s="86"/>
      <c r="B60" s="87"/>
      <c r="C60" s="171" t="s">
        <v>307</v>
      </c>
      <c r="D60" s="172" t="s">
        <v>153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>
        <v>0</v>
      </c>
      <c r="S60" s="173">
        <v>14000</v>
      </c>
      <c r="T60" s="173">
        <f t="shared" si="11"/>
        <v>14000</v>
      </c>
      <c r="U60" s="173">
        <v>0</v>
      </c>
      <c r="V60" s="173">
        <f t="shared" si="12"/>
        <v>14000</v>
      </c>
      <c r="W60" s="173">
        <v>0</v>
      </c>
      <c r="X60" s="173">
        <f t="shared" si="13"/>
        <v>14000</v>
      </c>
      <c r="Y60" s="173">
        <v>6000</v>
      </c>
      <c r="Z60" s="173">
        <f t="shared" si="14"/>
        <v>20000</v>
      </c>
    </row>
    <row r="61" spans="1:26" s="27" customFormat="1" ht="21.75" customHeight="1">
      <c r="A61" s="86"/>
      <c r="B61" s="87"/>
      <c r="C61" s="171" t="s">
        <v>308</v>
      </c>
      <c r="D61" s="172" t="s">
        <v>154</v>
      </c>
      <c r="E61" s="173">
        <v>6000</v>
      </c>
      <c r="F61" s="173"/>
      <c r="G61" s="173"/>
      <c r="H61" s="173">
        <f t="shared" si="17"/>
        <v>6000</v>
      </c>
      <c r="I61" s="173">
        <v>0</v>
      </c>
      <c r="J61" s="173">
        <f t="shared" si="5"/>
        <v>6000</v>
      </c>
      <c r="K61" s="173">
        <v>0</v>
      </c>
      <c r="L61" s="173">
        <f t="shared" si="7"/>
        <v>6000</v>
      </c>
      <c r="M61" s="173">
        <v>0</v>
      </c>
      <c r="N61" s="173">
        <f t="shared" si="8"/>
        <v>6000</v>
      </c>
      <c r="O61" s="173">
        <v>0</v>
      </c>
      <c r="P61" s="173">
        <f t="shared" si="9"/>
        <v>6000</v>
      </c>
      <c r="Q61" s="173">
        <v>0</v>
      </c>
      <c r="R61" s="173">
        <f t="shared" si="10"/>
        <v>6000</v>
      </c>
      <c r="S61" s="173">
        <v>0</v>
      </c>
      <c r="T61" s="173">
        <f t="shared" si="11"/>
        <v>6000</v>
      </c>
      <c r="U61" s="173">
        <v>0</v>
      </c>
      <c r="V61" s="173">
        <f t="shared" si="12"/>
        <v>6000</v>
      </c>
      <c r="W61" s="173">
        <v>0</v>
      </c>
      <c r="X61" s="173">
        <f t="shared" si="13"/>
        <v>6000</v>
      </c>
      <c r="Y61" s="173">
        <v>0</v>
      </c>
      <c r="Z61" s="173">
        <f t="shared" si="14"/>
        <v>6000</v>
      </c>
    </row>
    <row r="62" spans="1:26" s="27" customFormat="1" ht="21.75" customHeight="1">
      <c r="A62" s="86"/>
      <c r="B62" s="87"/>
      <c r="C62" s="171" t="s">
        <v>309</v>
      </c>
      <c r="D62" s="172" t="s">
        <v>155</v>
      </c>
      <c r="E62" s="173">
        <v>70000</v>
      </c>
      <c r="F62" s="173"/>
      <c r="G62" s="173"/>
      <c r="H62" s="173">
        <f t="shared" si="17"/>
        <v>70000</v>
      </c>
      <c r="I62" s="173">
        <v>0</v>
      </c>
      <c r="J62" s="173">
        <f t="shared" si="5"/>
        <v>70000</v>
      </c>
      <c r="K62" s="173">
        <v>0</v>
      </c>
      <c r="L62" s="173">
        <f t="shared" si="7"/>
        <v>70000</v>
      </c>
      <c r="M62" s="173">
        <v>0</v>
      </c>
      <c r="N62" s="173">
        <f t="shared" si="8"/>
        <v>70000</v>
      </c>
      <c r="O62" s="173">
        <v>0</v>
      </c>
      <c r="P62" s="173">
        <f t="shared" si="9"/>
        <v>70000</v>
      </c>
      <c r="Q62" s="173">
        <v>0</v>
      </c>
      <c r="R62" s="173">
        <f t="shared" si="10"/>
        <v>70000</v>
      </c>
      <c r="S62" s="173">
        <v>0</v>
      </c>
      <c r="T62" s="173">
        <f t="shared" si="11"/>
        <v>70000</v>
      </c>
      <c r="U62" s="173">
        <v>0</v>
      </c>
      <c r="V62" s="173">
        <f t="shared" si="12"/>
        <v>70000</v>
      </c>
      <c r="W62" s="173">
        <v>0</v>
      </c>
      <c r="X62" s="173">
        <f t="shared" si="13"/>
        <v>70000</v>
      </c>
      <c r="Y62" s="173">
        <v>0</v>
      </c>
      <c r="Z62" s="173">
        <f t="shared" si="14"/>
        <v>70000</v>
      </c>
    </row>
    <row r="63" spans="1:26" s="27" customFormat="1" ht="21.75" customHeight="1">
      <c r="A63" s="86"/>
      <c r="B63" s="87"/>
      <c r="C63" s="171" t="s">
        <v>310</v>
      </c>
      <c r="D63" s="172" t="s">
        <v>156</v>
      </c>
      <c r="E63" s="173">
        <v>300</v>
      </c>
      <c r="F63" s="173"/>
      <c r="G63" s="173"/>
      <c r="H63" s="173">
        <f t="shared" si="17"/>
        <v>300</v>
      </c>
      <c r="I63" s="173">
        <v>0</v>
      </c>
      <c r="J63" s="173">
        <f t="shared" si="5"/>
        <v>300</v>
      </c>
      <c r="K63" s="173">
        <v>0</v>
      </c>
      <c r="L63" s="173">
        <f t="shared" si="7"/>
        <v>300</v>
      </c>
      <c r="M63" s="173">
        <v>0</v>
      </c>
      <c r="N63" s="173">
        <f t="shared" si="8"/>
        <v>300</v>
      </c>
      <c r="O63" s="173">
        <v>0</v>
      </c>
      <c r="P63" s="173">
        <f t="shared" si="9"/>
        <v>300</v>
      </c>
      <c r="Q63" s="173">
        <v>0</v>
      </c>
      <c r="R63" s="173">
        <f t="shared" si="10"/>
        <v>300</v>
      </c>
      <c r="S63" s="173">
        <v>0</v>
      </c>
      <c r="T63" s="173">
        <f t="shared" si="11"/>
        <v>300</v>
      </c>
      <c r="U63" s="173">
        <v>0</v>
      </c>
      <c r="V63" s="173">
        <f t="shared" si="12"/>
        <v>300</v>
      </c>
      <c r="W63" s="173">
        <v>0</v>
      </c>
      <c r="X63" s="173">
        <f t="shared" si="13"/>
        <v>300</v>
      </c>
      <c r="Y63" s="173">
        <v>0</v>
      </c>
      <c r="Z63" s="173">
        <f t="shared" si="14"/>
        <v>300</v>
      </c>
    </row>
    <row r="64" spans="1:26" s="27" customFormat="1" ht="22.5">
      <c r="A64" s="86"/>
      <c r="B64" s="87"/>
      <c r="C64" s="171" t="s">
        <v>311</v>
      </c>
      <c r="D64" s="172" t="s">
        <v>157</v>
      </c>
      <c r="E64" s="173">
        <v>2000</v>
      </c>
      <c r="F64" s="173"/>
      <c r="G64" s="173"/>
      <c r="H64" s="173">
        <f t="shared" si="17"/>
        <v>2000</v>
      </c>
      <c r="I64" s="173">
        <v>-2000</v>
      </c>
      <c r="J64" s="173">
        <f t="shared" si="5"/>
        <v>0</v>
      </c>
      <c r="K64" s="173"/>
      <c r="L64" s="173">
        <f t="shared" si="7"/>
        <v>0</v>
      </c>
      <c r="M64" s="173">
        <v>0</v>
      </c>
      <c r="N64" s="173">
        <f t="shared" si="8"/>
        <v>0</v>
      </c>
      <c r="O64" s="173">
        <v>0</v>
      </c>
      <c r="P64" s="173">
        <f t="shared" si="9"/>
        <v>0</v>
      </c>
      <c r="Q64" s="173">
        <v>0</v>
      </c>
      <c r="R64" s="173">
        <f t="shared" si="10"/>
        <v>0</v>
      </c>
      <c r="S64" s="173">
        <v>0</v>
      </c>
      <c r="T64" s="173">
        <f t="shared" si="11"/>
        <v>0</v>
      </c>
      <c r="U64" s="173">
        <v>0</v>
      </c>
      <c r="V64" s="173">
        <f t="shared" si="12"/>
        <v>0</v>
      </c>
      <c r="W64" s="173">
        <v>0</v>
      </c>
      <c r="X64" s="173">
        <f t="shared" si="13"/>
        <v>0</v>
      </c>
      <c r="Y64" s="173">
        <v>0</v>
      </c>
      <c r="Z64" s="173">
        <f t="shared" si="14"/>
        <v>0</v>
      </c>
    </row>
    <row r="65" spans="1:26" s="27" customFormat="1" ht="21.75" customHeight="1">
      <c r="A65" s="86"/>
      <c r="B65" s="87"/>
      <c r="C65" s="171" t="s">
        <v>313</v>
      </c>
      <c r="D65" s="172" t="s">
        <v>158</v>
      </c>
      <c r="E65" s="173">
        <v>400000</v>
      </c>
      <c r="F65" s="173"/>
      <c r="G65" s="173"/>
      <c r="H65" s="173">
        <f t="shared" si="17"/>
        <v>400000</v>
      </c>
      <c r="I65" s="173">
        <v>0</v>
      </c>
      <c r="J65" s="173">
        <f t="shared" si="5"/>
        <v>400000</v>
      </c>
      <c r="K65" s="173">
        <v>0</v>
      </c>
      <c r="L65" s="173">
        <f t="shared" si="7"/>
        <v>400000</v>
      </c>
      <c r="M65" s="173">
        <v>0</v>
      </c>
      <c r="N65" s="173">
        <f t="shared" si="8"/>
        <v>400000</v>
      </c>
      <c r="O65" s="173">
        <v>0</v>
      </c>
      <c r="P65" s="173">
        <f t="shared" si="9"/>
        <v>400000</v>
      </c>
      <c r="Q65" s="173">
        <v>0</v>
      </c>
      <c r="R65" s="173">
        <f t="shared" si="10"/>
        <v>400000</v>
      </c>
      <c r="S65" s="173">
        <v>0</v>
      </c>
      <c r="T65" s="173">
        <f t="shared" si="11"/>
        <v>400000</v>
      </c>
      <c r="U65" s="173">
        <v>0</v>
      </c>
      <c r="V65" s="173">
        <f t="shared" si="12"/>
        <v>400000</v>
      </c>
      <c r="W65" s="173">
        <v>0</v>
      </c>
      <c r="X65" s="173">
        <f t="shared" si="13"/>
        <v>400000</v>
      </c>
      <c r="Y65" s="173">
        <v>0</v>
      </c>
      <c r="Z65" s="173">
        <f t="shared" si="14"/>
        <v>400000</v>
      </c>
    </row>
    <row r="66" spans="1:26" s="27" customFormat="1" ht="21.75" customHeight="1">
      <c r="A66" s="86"/>
      <c r="B66" s="87"/>
      <c r="C66" s="171" t="s">
        <v>302</v>
      </c>
      <c r="D66" s="172" t="s">
        <v>360</v>
      </c>
      <c r="E66" s="173">
        <v>40000</v>
      </c>
      <c r="F66" s="173"/>
      <c r="G66" s="173"/>
      <c r="H66" s="173">
        <f t="shared" si="17"/>
        <v>40000</v>
      </c>
      <c r="I66" s="173">
        <v>0</v>
      </c>
      <c r="J66" s="173">
        <f t="shared" si="5"/>
        <v>40000</v>
      </c>
      <c r="K66" s="173">
        <v>0</v>
      </c>
      <c r="L66" s="173">
        <f t="shared" si="7"/>
        <v>40000</v>
      </c>
      <c r="M66" s="173">
        <v>0</v>
      </c>
      <c r="N66" s="173">
        <f t="shared" si="8"/>
        <v>40000</v>
      </c>
      <c r="O66" s="173">
        <v>0</v>
      </c>
      <c r="P66" s="173">
        <f t="shared" si="9"/>
        <v>40000</v>
      </c>
      <c r="Q66" s="173">
        <v>0</v>
      </c>
      <c r="R66" s="173">
        <f t="shared" si="10"/>
        <v>40000</v>
      </c>
      <c r="S66" s="173">
        <v>0</v>
      </c>
      <c r="T66" s="173">
        <f t="shared" si="11"/>
        <v>40000</v>
      </c>
      <c r="U66" s="173">
        <v>0</v>
      </c>
      <c r="V66" s="173">
        <f t="shared" si="12"/>
        <v>40000</v>
      </c>
      <c r="W66" s="173">
        <v>0</v>
      </c>
      <c r="X66" s="173">
        <f t="shared" si="13"/>
        <v>40000</v>
      </c>
      <c r="Y66" s="173">
        <v>17000</v>
      </c>
      <c r="Z66" s="173">
        <f t="shared" si="14"/>
        <v>57000</v>
      </c>
    </row>
    <row r="67" spans="1:26" s="27" customFormat="1" ht="33.75">
      <c r="A67" s="86"/>
      <c r="B67" s="87" t="s">
        <v>159</v>
      </c>
      <c r="C67" s="301"/>
      <c r="D67" s="172" t="s">
        <v>160</v>
      </c>
      <c r="E67" s="173">
        <f>SUM(E68:E71)</f>
        <v>604000</v>
      </c>
      <c r="F67" s="173">
        <f>SUM(F68:F71)</f>
        <v>0</v>
      </c>
      <c r="G67" s="173">
        <f>SUM(G68:G71)</f>
        <v>0</v>
      </c>
      <c r="H67" s="173">
        <f t="shared" si="17"/>
        <v>604000</v>
      </c>
      <c r="I67" s="173">
        <f>SUM(I68:I71)</f>
        <v>2000</v>
      </c>
      <c r="J67" s="173">
        <f t="shared" si="5"/>
        <v>606000</v>
      </c>
      <c r="K67" s="173">
        <f>SUM(K68:K71)</f>
        <v>0</v>
      </c>
      <c r="L67" s="173">
        <f t="shared" si="7"/>
        <v>606000</v>
      </c>
      <c r="M67" s="173">
        <f>SUM(M68:M71)</f>
        <v>0</v>
      </c>
      <c r="N67" s="173">
        <f t="shared" si="8"/>
        <v>606000</v>
      </c>
      <c r="O67" s="173">
        <f>SUM(O68:O71)</f>
        <v>0</v>
      </c>
      <c r="P67" s="173">
        <f t="shared" si="9"/>
        <v>606000</v>
      </c>
      <c r="Q67" s="173">
        <f>SUM(Q68:Q71)</f>
        <v>0</v>
      </c>
      <c r="R67" s="173">
        <f t="shared" si="10"/>
        <v>606000</v>
      </c>
      <c r="S67" s="173">
        <f>SUM(S68:S71)</f>
        <v>0</v>
      </c>
      <c r="T67" s="173">
        <f t="shared" si="11"/>
        <v>606000</v>
      </c>
      <c r="U67" s="173">
        <f>SUM(U68:U71)</f>
        <v>0</v>
      </c>
      <c r="V67" s="173">
        <f t="shared" si="12"/>
        <v>606000</v>
      </c>
      <c r="W67" s="173">
        <f>SUM(W68:W71)</f>
        <v>0</v>
      </c>
      <c r="X67" s="173">
        <f t="shared" si="13"/>
        <v>606000</v>
      </c>
      <c r="Y67" s="173">
        <f>SUM(Y68:Y71)</f>
        <v>6000</v>
      </c>
      <c r="Z67" s="173">
        <f t="shared" si="14"/>
        <v>612000</v>
      </c>
    </row>
    <row r="68" spans="1:26" s="27" customFormat="1" ht="21.75" customHeight="1">
      <c r="A68" s="86"/>
      <c r="B68" s="87"/>
      <c r="C68" s="171" t="s">
        <v>314</v>
      </c>
      <c r="D68" s="172" t="s">
        <v>161</v>
      </c>
      <c r="E68" s="173">
        <v>200000</v>
      </c>
      <c r="F68" s="173"/>
      <c r="G68" s="173"/>
      <c r="H68" s="173">
        <f t="shared" si="17"/>
        <v>200000</v>
      </c>
      <c r="I68" s="173">
        <v>2000</v>
      </c>
      <c r="J68" s="173">
        <f t="shared" si="5"/>
        <v>202000</v>
      </c>
      <c r="K68" s="173"/>
      <c r="L68" s="173">
        <f t="shared" si="7"/>
        <v>202000</v>
      </c>
      <c r="M68" s="173">
        <v>0</v>
      </c>
      <c r="N68" s="173">
        <f t="shared" si="8"/>
        <v>202000</v>
      </c>
      <c r="O68" s="173">
        <v>0</v>
      </c>
      <c r="P68" s="173">
        <f t="shared" si="9"/>
        <v>202000</v>
      </c>
      <c r="Q68" s="173">
        <v>0</v>
      </c>
      <c r="R68" s="173">
        <f t="shared" si="10"/>
        <v>202000</v>
      </c>
      <c r="S68" s="173">
        <v>0</v>
      </c>
      <c r="T68" s="173">
        <f t="shared" si="11"/>
        <v>202000</v>
      </c>
      <c r="U68" s="173">
        <v>0</v>
      </c>
      <c r="V68" s="173">
        <f t="shared" si="12"/>
        <v>202000</v>
      </c>
      <c r="W68" s="173">
        <v>0</v>
      </c>
      <c r="X68" s="173">
        <f t="shared" si="13"/>
        <v>202000</v>
      </c>
      <c r="Y68" s="173">
        <v>0</v>
      </c>
      <c r="Z68" s="173">
        <f t="shared" si="14"/>
        <v>202000</v>
      </c>
    </row>
    <row r="69" spans="1:26" s="27" customFormat="1" ht="21.75" customHeight="1">
      <c r="A69" s="86"/>
      <c r="B69" s="87"/>
      <c r="C69" s="171" t="s">
        <v>312</v>
      </c>
      <c r="D69" s="172" t="s">
        <v>151</v>
      </c>
      <c r="E69" s="173">
        <v>14000</v>
      </c>
      <c r="F69" s="173"/>
      <c r="G69" s="173"/>
      <c r="H69" s="173">
        <f t="shared" si="17"/>
        <v>14000</v>
      </c>
      <c r="I69" s="173">
        <v>0</v>
      </c>
      <c r="J69" s="173">
        <f t="shared" si="5"/>
        <v>14000</v>
      </c>
      <c r="K69" s="173">
        <v>0</v>
      </c>
      <c r="L69" s="173">
        <f t="shared" si="7"/>
        <v>14000</v>
      </c>
      <c r="M69" s="173">
        <v>0</v>
      </c>
      <c r="N69" s="173">
        <f t="shared" si="8"/>
        <v>14000</v>
      </c>
      <c r="O69" s="173">
        <v>0</v>
      </c>
      <c r="P69" s="173">
        <f t="shared" si="9"/>
        <v>14000</v>
      </c>
      <c r="Q69" s="173">
        <v>0</v>
      </c>
      <c r="R69" s="173">
        <f t="shared" si="10"/>
        <v>14000</v>
      </c>
      <c r="S69" s="173">
        <v>0</v>
      </c>
      <c r="T69" s="173">
        <f t="shared" si="11"/>
        <v>14000</v>
      </c>
      <c r="U69" s="173">
        <v>0</v>
      </c>
      <c r="V69" s="173">
        <f t="shared" si="12"/>
        <v>14000</v>
      </c>
      <c r="W69" s="173">
        <v>0</v>
      </c>
      <c r="X69" s="173">
        <f t="shared" si="13"/>
        <v>14000</v>
      </c>
      <c r="Y69" s="173">
        <v>6000</v>
      </c>
      <c r="Z69" s="173">
        <f t="shared" si="14"/>
        <v>20000</v>
      </c>
    </row>
    <row r="70" spans="1:26" s="27" customFormat="1" ht="22.5">
      <c r="A70" s="86"/>
      <c r="B70" s="87"/>
      <c r="C70" s="171" t="s">
        <v>318</v>
      </c>
      <c r="D70" s="172" t="s">
        <v>406</v>
      </c>
      <c r="E70" s="173">
        <v>290000</v>
      </c>
      <c r="F70" s="173"/>
      <c r="G70" s="173"/>
      <c r="H70" s="173">
        <f t="shared" si="17"/>
        <v>290000</v>
      </c>
      <c r="I70" s="173">
        <v>0</v>
      </c>
      <c r="J70" s="173">
        <f t="shared" si="5"/>
        <v>290000</v>
      </c>
      <c r="K70" s="173">
        <v>0</v>
      </c>
      <c r="L70" s="173">
        <f t="shared" si="7"/>
        <v>290000</v>
      </c>
      <c r="M70" s="173">
        <v>0</v>
      </c>
      <c r="N70" s="173">
        <f t="shared" si="8"/>
        <v>290000</v>
      </c>
      <c r="O70" s="173">
        <v>0</v>
      </c>
      <c r="P70" s="173">
        <f t="shared" si="9"/>
        <v>290000</v>
      </c>
      <c r="Q70" s="173">
        <v>0</v>
      </c>
      <c r="R70" s="173">
        <f t="shared" si="10"/>
        <v>290000</v>
      </c>
      <c r="S70" s="173">
        <v>0</v>
      </c>
      <c r="T70" s="173">
        <f t="shared" si="11"/>
        <v>290000</v>
      </c>
      <c r="U70" s="173">
        <v>0</v>
      </c>
      <c r="V70" s="173">
        <f t="shared" si="12"/>
        <v>290000</v>
      </c>
      <c r="W70" s="173">
        <v>0</v>
      </c>
      <c r="X70" s="173">
        <f t="shared" si="13"/>
        <v>290000</v>
      </c>
      <c r="Y70" s="173">
        <v>0</v>
      </c>
      <c r="Z70" s="173">
        <f t="shared" si="14"/>
        <v>290000</v>
      </c>
    </row>
    <row r="71" spans="1:26" s="27" customFormat="1" ht="45">
      <c r="A71" s="86"/>
      <c r="B71" s="87"/>
      <c r="C71" s="171" t="s">
        <v>295</v>
      </c>
      <c r="D71" s="172" t="s">
        <v>119</v>
      </c>
      <c r="E71" s="173">
        <v>100000</v>
      </c>
      <c r="F71" s="173"/>
      <c r="G71" s="173"/>
      <c r="H71" s="173">
        <f t="shared" si="17"/>
        <v>100000</v>
      </c>
      <c r="I71" s="173">
        <v>0</v>
      </c>
      <c r="J71" s="173">
        <f t="shared" si="5"/>
        <v>100000</v>
      </c>
      <c r="K71" s="173">
        <v>0</v>
      </c>
      <c r="L71" s="173">
        <f t="shared" si="7"/>
        <v>100000</v>
      </c>
      <c r="M71" s="173">
        <v>0</v>
      </c>
      <c r="N71" s="173">
        <f t="shared" si="8"/>
        <v>100000</v>
      </c>
      <c r="O71" s="173">
        <v>0</v>
      </c>
      <c r="P71" s="173">
        <f t="shared" si="9"/>
        <v>100000</v>
      </c>
      <c r="Q71" s="173">
        <v>0</v>
      </c>
      <c r="R71" s="173">
        <f t="shared" si="10"/>
        <v>100000</v>
      </c>
      <c r="S71" s="173">
        <v>0</v>
      </c>
      <c r="T71" s="173">
        <f t="shared" si="11"/>
        <v>100000</v>
      </c>
      <c r="U71" s="173">
        <v>0</v>
      </c>
      <c r="V71" s="173">
        <f t="shared" si="12"/>
        <v>100000</v>
      </c>
      <c r="W71" s="173">
        <v>0</v>
      </c>
      <c r="X71" s="173">
        <f t="shared" si="13"/>
        <v>100000</v>
      </c>
      <c r="Y71" s="173">
        <v>0</v>
      </c>
      <c r="Z71" s="173">
        <f t="shared" si="14"/>
        <v>100000</v>
      </c>
    </row>
    <row r="72" spans="1:26" s="27" customFormat="1" ht="22.5">
      <c r="A72" s="86"/>
      <c r="B72" s="87" t="s">
        <v>162</v>
      </c>
      <c r="C72" s="301"/>
      <c r="D72" s="172" t="s">
        <v>163</v>
      </c>
      <c r="E72" s="173">
        <f>SUM(E73:E74)</f>
        <v>8403441</v>
      </c>
      <c r="F72" s="173">
        <f>SUM(F73:F74)</f>
        <v>0</v>
      </c>
      <c r="G72" s="173">
        <f>SUM(G73:G74)</f>
        <v>0</v>
      </c>
      <c r="H72" s="173">
        <f t="shared" si="17"/>
        <v>8403441</v>
      </c>
      <c r="I72" s="173">
        <f>SUM(I73:I74)</f>
        <v>-98931</v>
      </c>
      <c r="J72" s="173">
        <f t="shared" si="5"/>
        <v>8304510</v>
      </c>
      <c r="K72" s="173">
        <f>SUM(K73:K74)</f>
        <v>0</v>
      </c>
      <c r="L72" s="173">
        <f t="shared" si="7"/>
        <v>8304510</v>
      </c>
      <c r="M72" s="173">
        <f>SUM(M73:M74)</f>
        <v>0</v>
      </c>
      <c r="N72" s="173">
        <f t="shared" si="8"/>
        <v>8304510</v>
      </c>
      <c r="O72" s="173">
        <f>SUM(O73:O74)</f>
        <v>0</v>
      </c>
      <c r="P72" s="173">
        <f t="shared" si="9"/>
        <v>8304510</v>
      </c>
      <c r="Q72" s="173">
        <f>SUM(Q73:Q74)</f>
        <v>0</v>
      </c>
      <c r="R72" s="173">
        <f t="shared" si="10"/>
        <v>8304510</v>
      </c>
      <c r="S72" s="173">
        <f>SUM(S73:S74)</f>
        <v>0</v>
      </c>
      <c r="T72" s="173">
        <f t="shared" si="11"/>
        <v>8304510</v>
      </c>
      <c r="U72" s="173">
        <f>SUM(U73:U74)</f>
        <v>0</v>
      </c>
      <c r="V72" s="173">
        <f t="shared" si="12"/>
        <v>8304510</v>
      </c>
      <c r="W72" s="173">
        <f>SUM(W73:W74)</f>
        <v>0</v>
      </c>
      <c r="X72" s="173">
        <f t="shared" si="13"/>
        <v>8304510</v>
      </c>
      <c r="Y72" s="173">
        <f>SUM(Y73:Y74)</f>
        <v>0</v>
      </c>
      <c r="Z72" s="173">
        <f t="shared" si="14"/>
        <v>8304510</v>
      </c>
    </row>
    <row r="73" spans="1:26" s="27" customFormat="1" ht="21.75" customHeight="1">
      <c r="A73" s="86"/>
      <c r="B73" s="87"/>
      <c r="C73" s="171" t="s">
        <v>315</v>
      </c>
      <c r="D73" s="172" t="s">
        <v>164</v>
      </c>
      <c r="E73" s="173">
        <v>7728441</v>
      </c>
      <c r="F73" s="173"/>
      <c r="G73" s="173"/>
      <c r="H73" s="173">
        <f t="shared" si="17"/>
        <v>7728441</v>
      </c>
      <c r="I73" s="173">
        <v>-98931</v>
      </c>
      <c r="J73" s="173">
        <f t="shared" si="5"/>
        <v>7629510</v>
      </c>
      <c r="K73" s="173"/>
      <c r="L73" s="173">
        <f t="shared" si="7"/>
        <v>7629510</v>
      </c>
      <c r="M73" s="173"/>
      <c r="N73" s="173">
        <f t="shared" si="8"/>
        <v>7629510</v>
      </c>
      <c r="O73" s="173">
        <v>0</v>
      </c>
      <c r="P73" s="173">
        <f t="shared" si="9"/>
        <v>7629510</v>
      </c>
      <c r="Q73" s="173">
        <v>0</v>
      </c>
      <c r="R73" s="173">
        <f t="shared" si="10"/>
        <v>7629510</v>
      </c>
      <c r="S73" s="173">
        <v>0</v>
      </c>
      <c r="T73" s="173">
        <f t="shared" si="11"/>
        <v>7629510</v>
      </c>
      <c r="U73" s="173">
        <v>0</v>
      </c>
      <c r="V73" s="173">
        <f t="shared" si="12"/>
        <v>7629510</v>
      </c>
      <c r="W73" s="173">
        <v>0</v>
      </c>
      <c r="X73" s="173">
        <f t="shared" si="13"/>
        <v>7629510</v>
      </c>
      <c r="Y73" s="173">
        <v>0</v>
      </c>
      <c r="Z73" s="173">
        <f t="shared" si="14"/>
        <v>7629510</v>
      </c>
    </row>
    <row r="74" spans="1:26" s="27" customFormat="1" ht="21.75" customHeight="1">
      <c r="A74" s="86"/>
      <c r="B74" s="87"/>
      <c r="C74" s="171" t="s">
        <v>316</v>
      </c>
      <c r="D74" s="172" t="s">
        <v>165</v>
      </c>
      <c r="E74" s="173">
        <v>675000</v>
      </c>
      <c r="F74" s="173"/>
      <c r="G74" s="173"/>
      <c r="H74" s="173">
        <f t="shared" si="17"/>
        <v>675000</v>
      </c>
      <c r="I74" s="173">
        <v>0</v>
      </c>
      <c r="J74" s="173">
        <f t="shared" si="5"/>
        <v>675000</v>
      </c>
      <c r="K74" s="173">
        <v>0</v>
      </c>
      <c r="L74" s="173">
        <f t="shared" si="7"/>
        <v>675000</v>
      </c>
      <c r="M74" s="173">
        <v>0</v>
      </c>
      <c r="N74" s="173">
        <f t="shared" si="8"/>
        <v>675000</v>
      </c>
      <c r="O74" s="173">
        <v>0</v>
      </c>
      <c r="P74" s="173">
        <f t="shared" si="9"/>
        <v>675000</v>
      </c>
      <c r="Q74" s="173">
        <v>0</v>
      </c>
      <c r="R74" s="173">
        <f t="shared" si="10"/>
        <v>675000</v>
      </c>
      <c r="S74" s="173">
        <v>0</v>
      </c>
      <c r="T74" s="173">
        <f t="shared" si="11"/>
        <v>675000</v>
      </c>
      <c r="U74" s="173">
        <v>0</v>
      </c>
      <c r="V74" s="173">
        <f t="shared" si="12"/>
        <v>675000</v>
      </c>
      <c r="W74" s="173">
        <v>0</v>
      </c>
      <c r="X74" s="173">
        <f t="shared" si="13"/>
        <v>675000</v>
      </c>
      <c r="Y74" s="173">
        <v>0</v>
      </c>
      <c r="Z74" s="173">
        <f t="shared" si="14"/>
        <v>675000</v>
      </c>
    </row>
    <row r="75" spans="1:26" s="7" customFormat="1" ht="24.75" customHeight="1">
      <c r="A75" s="34" t="s">
        <v>166</v>
      </c>
      <c r="B75" s="4"/>
      <c r="C75" s="314"/>
      <c r="D75" s="309" t="s">
        <v>167</v>
      </c>
      <c r="E75" s="310">
        <f>SUM(E76,E78,E80,E82)</f>
        <v>15318162</v>
      </c>
      <c r="F75" s="310">
        <f>SUM(F76,F78,F80,F82)</f>
        <v>0</v>
      </c>
      <c r="G75" s="310">
        <f>SUM(G76,G78,G80,G82)</f>
        <v>0</v>
      </c>
      <c r="H75" s="310">
        <f t="shared" si="17"/>
        <v>15318162</v>
      </c>
      <c r="I75" s="310">
        <f>SUM(I76,I78,I80,I82)</f>
        <v>-340938</v>
      </c>
      <c r="J75" s="310">
        <f t="shared" si="5"/>
        <v>14977224</v>
      </c>
      <c r="K75" s="310">
        <f>SUM(K76,K78,K80,K82)</f>
        <v>0</v>
      </c>
      <c r="L75" s="310">
        <f t="shared" si="7"/>
        <v>14977224</v>
      </c>
      <c r="M75" s="310">
        <f>SUM(M76,M78,M80,M82)</f>
        <v>-25451</v>
      </c>
      <c r="N75" s="310">
        <f t="shared" si="8"/>
        <v>14951773</v>
      </c>
      <c r="O75" s="310">
        <f>SUM(O76,O78,O80,O82)</f>
        <v>0</v>
      </c>
      <c r="P75" s="310">
        <f t="shared" si="9"/>
        <v>14951773</v>
      </c>
      <c r="Q75" s="310">
        <f>SUM(Q76,Q78,Q80,Q82)</f>
        <v>0</v>
      </c>
      <c r="R75" s="310">
        <f t="shared" si="10"/>
        <v>14951773</v>
      </c>
      <c r="S75" s="310">
        <f>SUM(S76,S78,S80,S82)</f>
        <v>40000</v>
      </c>
      <c r="T75" s="310">
        <f t="shared" si="11"/>
        <v>14991773</v>
      </c>
      <c r="U75" s="310">
        <f>SUM(U76,U78,U80,U82)</f>
        <v>0</v>
      </c>
      <c r="V75" s="310">
        <f t="shared" si="12"/>
        <v>14991773</v>
      </c>
      <c r="W75" s="310">
        <f>SUM(W76,W78,W80,W82)</f>
        <v>0</v>
      </c>
      <c r="X75" s="310">
        <f t="shared" si="13"/>
        <v>14991773</v>
      </c>
      <c r="Y75" s="310">
        <f>SUM(Y76,Y78,Y80,Y82)</f>
        <v>21624</v>
      </c>
      <c r="Z75" s="310">
        <f t="shared" si="14"/>
        <v>15013397</v>
      </c>
    </row>
    <row r="76" spans="1:26" s="27" customFormat="1" ht="22.5">
      <c r="A76" s="86"/>
      <c r="B76" s="87" t="s">
        <v>168</v>
      </c>
      <c r="C76" s="301"/>
      <c r="D76" s="172" t="s">
        <v>169</v>
      </c>
      <c r="E76" s="173">
        <f>SUM(E77)</f>
        <v>12093870</v>
      </c>
      <c r="F76" s="173">
        <f>SUM(F77)</f>
        <v>0</v>
      </c>
      <c r="G76" s="173">
        <f>SUM(G77)</f>
        <v>0</v>
      </c>
      <c r="H76" s="173">
        <f t="shared" si="17"/>
        <v>12093870</v>
      </c>
      <c r="I76" s="173">
        <f>SUM(I77)</f>
        <v>-366389</v>
      </c>
      <c r="J76" s="173">
        <f t="shared" si="5"/>
        <v>11727481</v>
      </c>
      <c r="K76" s="173">
        <f>SUM(K77)</f>
        <v>0</v>
      </c>
      <c r="L76" s="173">
        <f t="shared" si="7"/>
        <v>11727481</v>
      </c>
      <c r="M76" s="173">
        <f>SUM(M77)</f>
        <v>0</v>
      </c>
      <c r="N76" s="173">
        <f t="shared" si="8"/>
        <v>11727481</v>
      </c>
      <c r="O76" s="173">
        <f>SUM(O77)</f>
        <v>0</v>
      </c>
      <c r="P76" s="173">
        <f t="shared" si="9"/>
        <v>11727481</v>
      </c>
      <c r="Q76" s="173">
        <f>SUM(Q77)</f>
        <v>0</v>
      </c>
      <c r="R76" s="173">
        <f t="shared" si="10"/>
        <v>11727481</v>
      </c>
      <c r="S76" s="173">
        <f>SUM(S77)</f>
        <v>0</v>
      </c>
      <c r="T76" s="173">
        <f t="shared" si="11"/>
        <v>11727481</v>
      </c>
      <c r="U76" s="173">
        <f>SUM(U77)</f>
        <v>0</v>
      </c>
      <c r="V76" s="173">
        <f t="shared" si="12"/>
        <v>11727481</v>
      </c>
      <c r="W76" s="173">
        <f>SUM(W77)</f>
        <v>0</v>
      </c>
      <c r="X76" s="173">
        <f t="shared" si="13"/>
        <v>11727481</v>
      </c>
      <c r="Y76" s="173">
        <f>SUM(Y77)</f>
        <v>21624</v>
      </c>
      <c r="Z76" s="173">
        <f t="shared" si="14"/>
        <v>11749105</v>
      </c>
    </row>
    <row r="77" spans="1:26" s="27" customFormat="1" ht="24" customHeight="1">
      <c r="A77" s="86"/>
      <c r="B77" s="87"/>
      <c r="C77" s="171">
        <v>2920</v>
      </c>
      <c r="D77" s="172" t="s">
        <v>170</v>
      </c>
      <c r="E77" s="173">
        <v>12093870</v>
      </c>
      <c r="F77" s="173"/>
      <c r="G77" s="173"/>
      <c r="H77" s="173">
        <f t="shared" si="17"/>
        <v>12093870</v>
      </c>
      <c r="I77" s="173">
        <v>-366389</v>
      </c>
      <c r="J77" s="173">
        <f t="shared" si="5"/>
        <v>11727481</v>
      </c>
      <c r="K77" s="173"/>
      <c r="L77" s="173">
        <f t="shared" si="7"/>
        <v>11727481</v>
      </c>
      <c r="M77" s="173">
        <v>0</v>
      </c>
      <c r="N77" s="173">
        <f t="shared" si="8"/>
        <v>11727481</v>
      </c>
      <c r="O77" s="173">
        <v>0</v>
      </c>
      <c r="P77" s="173">
        <f t="shared" si="9"/>
        <v>11727481</v>
      </c>
      <c r="Q77" s="173">
        <v>0</v>
      </c>
      <c r="R77" s="173">
        <f t="shared" si="10"/>
        <v>11727481</v>
      </c>
      <c r="S77" s="173">
        <v>0</v>
      </c>
      <c r="T77" s="173">
        <f t="shared" si="11"/>
        <v>11727481</v>
      </c>
      <c r="U77" s="173">
        <v>0</v>
      </c>
      <c r="V77" s="173">
        <f t="shared" si="12"/>
        <v>11727481</v>
      </c>
      <c r="W77" s="173">
        <v>0</v>
      </c>
      <c r="X77" s="173">
        <f t="shared" si="13"/>
        <v>11727481</v>
      </c>
      <c r="Y77" s="173">
        <v>21624</v>
      </c>
      <c r="Z77" s="173">
        <f t="shared" si="14"/>
        <v>11749105</v>
      </c>
    </row>
    <row r="78" spans="1:26" s="27" customFormat="1" ht="22.5">
      <c r="A78" s="86"/>
      <c r="B78" s="87" t="s">
        <v>329</v>
      </c>
      <c r="C78" s="301"/>
      <c r="D78" s="172" t="s">
        <v>328</v>
      </c>
      <c r="E78" s="173">
        <f>SUM(E79)</f>
        <v>2424673</v>
      </c>
      <c r="F78" s="173">
        <f>SUM(F79)</f>
        <v>0</v>
      </c>
      <c r="G78" s="173">
        <f>SUM(G79)</f>
        <v>0</v>
      </c>
      <c r="H78" s="173">
        <f t="shared" si="17"/>
        <v>2424673</v>
      </c>
      <c r="I78" s="173">
        <f>SUM(I79)</f>
        <v>0</v>
      </c>
      <c r="J78" s="173">
        <f t="shared" si="5"/>
        <v>2424673</v>
      </c>
      <c r="K78" s="173">
        <f>SUM(K79)</f>
        <v>0</v>
      </c>
      <c r="L78" s="173">
        <f t="shared" si="7"/>
        <v>2424673</v>
      </c>
      <c r="M78" s="173">
        <f>SUM(M79)</f>
        <v>0</v>
      </c>
      <c r="N78" s="173">
        <f t="shared" si="8"/>
        <v>2424673</v>
      </c>
      <c r="O78" s="173">
        <f>SUM(O79)</f>
        <v>0</v>
      </c>
      <c r="P78" s="173">
        <f t="shared" si="9"/>
        <v>2424673</v>
      </c>
      <c r="Q78" s="173">
        <f>SUM(Q79)</f>
        <v>0</v>
      </c>
      <c r="R78" s="173">
        <f t="shared" si="10"/>
        <v>2424673</v>
      </c>
      <c r="S78" s="173">
        <f>SUM(S79)</f>
        <v>0</v>
      </c>
      <c r="T78" s="173">
        <f t="shared" si="11"/>
        <v>2424673</v>
      </c>
      <c r="U78" s="173">
        <f>SUM(U79)</f>
        <v>0</v>
      </c>
      <c r="V78" s="173">
        <f t="shared" si="12"/>
        <v>2424673</v>
      </c>
      <c r="W78" s="173">
        <f>SUM(W79)</f>
        <v>0</v>
      </c>
      <c r="X78" s="173">
        <f t="shared" si="13"/>
        <v>2424673</v>
      </c>
      <c r="Y78" s="173">
        <f>SUM(Y79)</f>
        <v>0</v>
      </c>
      <c r="Z78" s="173">
        <f t="shared" si="14"/>
        <v>2424673</v>
      </c>
    </row>
    <row r="79" spans="1:26" s="27" customFormat="1" ht="21" customHeight="1">
      <c r="A79" s="86"/>
      <c r="B79" s="87"/>
      <c r="C79" s="171">
        <v>2920</v>
      </c>
      <c r="D79" s="172" t="s">
        <v>170</v>
      </c>
      <c r="E79" s="173">
        <v>2424673</v>
      </c>
      <c r="F79" s="173"/>
      <c r="G79" s="173"/>
      <c r="H79" s="173">
        <f t="shared" si="17"/>
        <v>2424673</v>
      </c>
      <c r="I79" s="173">
        <v>0</v>
      </c>
      <c r="J79" s="173">
        <f t="shared" si="5"/>
        <v>2424673</v>
      </c>
      <c r="K79" s="173">
        <v>0</v>
      </c>
      <c r="L79" s="173">
        <f t="shared" si="7"/>
        <v>2424673</v>
      </c>
      <c r="M79" s="173">
        <v>0</v>
      </c>
      <c r="N79" s="173">
        <f t="shared" si="8"/>
        <v>2424673</v>
      </c>
      <c r="O79" s="173">
        <v>0</v>
      </c>
      <c r="P79" s="173">
        <f t="shared" si="9"/>
        <v>2424673</v>
      </c>
      <c r="Q79" s="173">
        <v>0</v>
      </c>
      <c r="R79" s="173">
        <f t="shared" si="10"/>
        <v>2424673</v>
      </c>
      <c r="S79" s="173">
        <v>0</v>
      </c>
      <c r="T79" s="173">
        <f t="shared" si="11"/>
        <v>2424673</v>
      </c>
      <c r="U79" s="173">
        <v>0</v>
      </c>
      <c r="V79" s="173">
        <f t="shared" si="12"/>
        <v>2424673</v>
      </c>
      <c r="W79" s="173">
        <v>0</v>
      </c>
      <c r="X79" s="173">
        <f t="shared" si="13"/>
        <v>2424673</v>
      </c>
      <c r="Y79" s="173">
        <v>0</v>
      </c>
      <c r="Z79" s="173">
        <f t="shared" si="14"/>
        <v>2424673</v>
      </c>
    </row>
    <row r="80" spans="1:26" s="27" customFormat="1" ht="21" customHeight="1">
      <c r="A80" s="86"/>
      <c r="B80" s="87">
        <v>75814</v>
      </c>
      <c r="C80" s="301"/>
      <c r="D80" s="172" t="s">
        <v>171</v>
      </c>
      <c r="E80" s="173">
        <f>SUM(E81)</f>
        <v>10000</v>
      </c>
      <c r="F80" s="173">
        <f>SUM(F81)</f>
        <v>0</v>
      </c>
      <c r="G80" s="173">
        <f>SUM(G81)</f>
        <v>0</v>
      </c>
      <c r="H80" s="173">
        <f t="shared" si="17"/>
        <v>10000</v>
      </c>
      <c r="I80" s="173">
        <f>SUM(I81)</f>
        <v>0</v>
      </c>
      <c r="J80" s="173">
        <f t="shared" si="5"/>
        <v>10000</v>
      </c>
      <c r="K80" s="173">
        <f>SUM(K81)</f>
        <v>0</v>
      </c>
      <c r="L80" s="173">
        <f t="shared" si="7"/>
        <v>10000</v>
      </c>
      <c r="M80" s="173">
        <f>SUM(M81)</f>
        <v>0</v>
      </c>
      <c r="N80" s="173">
        <f t="shared" si="8"/>
        <v>10000</v>
      </c>
      <c r="O80" s="173">
        <f>SUM(O81)</f>
        <v>0</v>
      </c>
      <c r="P80" s="173">
        <f t="shared" si="9"/>
        <v>10000</v>
      </c>
      <c r="Q80" s="173">
        <f>SUM(Q81)</f>
        <v>0</v>
      </c>
      <c r="R80" s="173">
        <f t="shared" si="10"/>
        <v>10000</v>
      </c>
      <c r="S80" s="173">
        <f>SUM(S81)</f>
        <v>40000</v>
      </c>
      <c r="T80" s="173">
        <f t="shared" si="11"/>
        <v>50000</v>
      </c>
      <c r="U80" s="173">
        <f>SUM(U81)</f>
        <v>0</v>
      </c>
      <c r="V80" s="173">
        <f t="shared" si="12"/>
        <v>50000</v>
      </c>
      <c r="W80" s="173">
        <f>SUM(W81)</f>
        <v>0</v>
      </c>
      <c r="X80" s="173">
        <f t="shared" si="13"/>
        <v>50000</v>
      </c>
      <c r="Y80" s="173">
        <f>SUM(Y81)</f>
        <v>0</v>
      </c>
      <c r="Z80" s="173">
        <f t="shared" si="14"/>
        <v>50000</v>
      </c>
    </row>
    <row r="81" spans="1:26" s="27" customFormat="1" ht="21.75" customHeight="1">
      <c r="A81" s="86"/>
      <c r="B81" s="87"/>
      <c r="C81" s="171" t="s">
        <v>298</v>
      </c>
      <c r="D81" s="172" t="s">
        <v>126</v>
      </c>
      <c r="E81" s="173">
        <v>10000</v>
      </c>
      <c r="F81" s="173"/>
      <c r="G81" s="173"/>
      <c r="H81" s="173">
        <f>E81+F81-G81</f>
        <v>10000</v>
      </c>
      <c r="I81" s="173">
        <v>0</v>
      </c>
      <c r="J81" s="173">
        <f t="shared" si="5"/>
        <v>10000</v>
      </c>
      <c r="K81" s="173">
        <v>0</v>
      </c>
      <c r="L81" s="173">
        <f t="shared" si="7"/>
        <v>10000</v>
      </c>
      <c r="M81" s="173">
        <v>0</v>
      </c>
      <c r="N81" s="173">
        <f t="shared" si="8"/>
        <v>10000</v>
      </c>
      <c r="O81" s="173">
        <v>0</v>
      </c>
      <c r="P81" s="173">
        <f t="shared" si="9"/>
        <v>10000</v>
      </c>
      <c r="Q81" s="173">
        <v>0</v>
      </c>
      <c r="R81" s="173">
        <f t="shared" si="10"/>
        <v>10000</v>
      </c>
      <c r="S81" s="173">
        <v>40000</v>
      </c>
      <c r="T81" s="173">
        <f t="shared" si="11"/>
        <v>50000</v>
      </c>
      <c r="U81" s="173">
        <v>0</v>
      </c>
      <c r="V81" s="173">
        <f t="shared" si="12"/>
        <v>50000</v>
      </c>
      <c r="W81" s="173">
        <v>0</v>
      </c>
      <c r="X81" s="173">
        <f t="shared" si="13"/>
        <v>50000</v>
      </c>
      <c r="Y81" s="173">
        <v>0</v>
      </c>
      <c r="Z81" s="173">
        <f t="shared" si="14"/>
        <v>50000</v>
      </c>
    </row>
    <row r="82" spans="1:26" s="27" customFormat="1" ht="22.5">
      <c r="A82" s="86"/>
      <c r="B82" s="87" t="s">
        <v>388</v>
      </c>
      <c r="C82" s="301"/>
      <c r="D82" s="172" t="s">
        <v>389</v>
      </c>
      <c r="E82" s="173">
        <f>SUM(E83)</f>
        <v>789619</v>
      </c>
      <c r="F82" s="173">
        <f>SUM(F83)</f>
        <v>0</v>
      </c>
      <c r="G82" s="173">
        <f>SUM(G83)</f>
        <v>0</v>
      </c>
      <c r="H82" s="173">
        <f>E82+F82-G82</f>
        <v>789619</v>
      </c>
      <c r="I82" s="173">
        <f>SUM(I83)</f>
        <v>25451</v>
      </c>
      <c r="J82" s="173">
        <f aca="true" t="shared" si="18" ref="J82:J144">SUM(H82:I82)</f>
        <v>815070</v>
      </c>
      <c r="K82" s="173">
        <f>SUM(K83)</f>
        <v>0</v>
      </c>
      <c r="L82" s="173">
        <f aca="true" t="shared" si="19" ref="L82:L142">SUM(J82:K82)</f>
        <v>815070</v>
      </c>
      <c r="M82" s="173">
        <f>SUM(M83)</f>
        <v>-25451</v>
      </c>
      <c r="N82" s="173">
        <f aca="true" t="shared" si="20" ref="N82:N142">SUM(L82:M82)</f>
        <v>789619</v>
      </c>
      <c r="O82" s="173">
        <f>SUM(O83)</f>
        <v>0</v>
      </c>
      <c r="P82" s="173">
        <f t="shared" si="9"/>
        <v>789619</v>
      </c>
      <c r="Q82" s="173">
        <f>SUM(Q83)</f>
        <v>0</v>
      </c>
      <c r="R82" s="173">
        <f t="shared" si="10"/>
        <v>789619</v>
      </c>
      <c r="S82" s="173">
        <f>SUM(S83)</f>
        <v>0</v>
      </c>
      <c r="T82" s="173">
        <f t="shared" si="11"/>
        <v>789619</v>
      </c>
      <c r="U82" s="173">
        <f>SUM(U83)</f>
        <v>0</v>
      </c>
      <c r="V82" s="173">
        <f t="shared" si="12"/>
        <v>789619</v>
      </c>
      <c r="W82" s="173">
        <f>SUM(W83)</f>
        <v>0</v>
      </c>
      <c r="X82" s="173">
        <f t="shared" si="13"/>
        <v>789619</v>
      </c>
      <c r="Y82" s="173">
        <f>SUM(Y83)</f>
        <v>0</v>
      </c>
      <c r="Z82" s="173">
        <f t="shared" si="14"/>
        <v>789619</v>
      </c>
    </row>
    <row r="83" spans="1:26" s="27" customFormat="1" ht="20.25" customHeight="1">
      <c r="A83" s="86"/>
      <c r="B83" s="87"/>
      <c r="C83" s="171">
        <v>2920</v>
      </c>
      <c r="D83" s="172" t="s">
        <v>170</v>
      </c>
      <c r="E83" s="173">
        <v>789619</v>
      </c>
      <c r="F83" s="173"/>
      <c r="G83" s="173"/>
      <c r="H83" s="173">
        <f>E83+F83-G83</f>
        <v>789619</v>
      </c>
      <c r="I83" s="173">
        <v>25451</v>
      </c>
      <c r="J83" s="173">
        <f t="shared" si="18"/>
        <v>815070</v>
      </c>
      <c r="K83" s="173">
        <v>0</v>
      </c>
      <c r="L83" s="173">
        <f t="shared" si="19"/>
        <v>815070</v>
      </c>
      <c r="M83" s="173">
        <v>-25451</v>
      </c>
      <c r="N83" s="173">
        <f t="shared" si="20"/>
        <v>789619</v>
      </c>
      <c r="O83" s="173">
        <v>0</v>
      </c>
      <c r="P83" s="173">
        <f>SUM(N83:O83)</f>
        <v>789619</v>
      </c>
      <c r="Q83" s="173">
        <v>0</v>
      </c>
      <c r="R83" s="173">
        <f>SUM(P83:Q83)</f>
        <v>789619</v>
      </c>
      <c r="S83" s="173">
        <v>0</v>
      </c>
      <c r="T83" s="173">
        <f>SUM(R83:S83)</f>
        <v>789619</v>
      </c>
      <c r="U83" s="173">
        <v>0</v>
      </c>
      <c r="V83" s="173">
        <f>SUM(T83:U83)</f>
        <v>789619</v>
      </c>
      <c r="W83" s="173">
        <v>0</v>
      </c>
      <c r="X83" s="173">
        <f>SUM(V83:W83)</f>
        <v>789619</v>
      </c>
      <c r="Y83" s="173">
        <v>0</v>
      </c>
      <c r="Z83" s="173">
        <f>SUM(X83:Y83)</f>
        <v>789619</v>
      </c>
    </row>
    <row r="84" spans="1:26" s="27" customFormat="1" ht="21" customHeight="1">
      <c r="A84" s="40" t="s">
        <v>233</v>
      </c>
      <c r="B84" s="41"/>
      <c r="C84" s="311"/>
      <c r="D84" s="312" t="s">
        <v>234</v>
      </c>
      <c r="E84" s="310">
        <f>SUM(E85,E91,E95,)</f>
        <v>56073</v>
      </c>
      <c r="F84" s="310">
        <f>SUM(F85,F91,F95,)</f>
        <v>0</v>
      </c>
      <c r="G84" s="310">
        <f>SUM(G85,G91,G95,)</f>
        <v>0</v>
      </c>
      <c r="H84" s="310">
        <f>SUM(H85,H91,H95,)</f>
        <v>56073</v>
      </c>
      <c r="I84" s="310">
        <f>SUM(I85,I91,I95,)</f>
        <v>1600</v>
      </c>
      <c r="J84" s="310">
        <f t="shared" si="18"/>
        <v>57673</v>
      </c>
      <c r="K84" s="310">
        <f>SUM(K85,K91,K95,)</f>
        <v>0</v>
      </c>
      <c r="L84" s="310">
        <f t="shared" si="19"/>
        <v>57673</v>
      </c>
      <c r="M84" s="310">
        <f>SUM(M85,M91,M95,)</f>
        <v>17495</v>
      </c>
      <c r="N84" s="310">
        <f t="shared" si="20"/>
        <v>75168</v>
      </c>
      <c r="O84" s="310">
        <f>SUM(O85,O91,O95,)</f>
        <v>33110</v>
      </c>
      <c r="P84" s="310">
        <f>SUM(N84:O84)</f>
        <v>108278</v>
      </c>
      <c r="Q84" s="310">
        <f>SUM(Q85,Q91,Q95,)</f>
        <v>0</v>
      </c>
      <c r="R84" s="310">
        <f>SUM(P84:Q84)</f>
        <v>108278</v>
      </c>
      <c r="S84" s="310">
        <f>SUM(S85,S91,S95,)</f>
        <v>85239</v>
      </c>
      <c r="T84" s="310">
        <f>SUM(R84:S84)</f>
        <v>193517</v>
      </c>
      <c r="U84" s="310">
        <f>SUM(U85,U91,U95,U99)</f>
        <v>40107</v>
      </c>
      <c r="V84" s="310">
        <f>SUM(T84:U84)</f>
        <v>233624</v>
      </c>
      <c r="W84" s="310">
        <f>SUM(W85,W91,W95,W99)</f>
        <v>0</v>
      </c>
      <c r="X84" s="310">
        <f>SUM(V84:W84)</f>
        <v>233624</v>
      </c>
      <c r="Y84" s="310">
        <f>SUM(Y85,Y91,Y95,Y99)</f>
        <v>35088</v>
      </c>
      <c r="Z84" s="310">
        <f>SUM(X84:Y84)</f>
        <v>268712</v>
      </c>
    </row>
    <row r="85" spans="1:26" s="27" customFormat="1" ht="21" customHeight="1">
      <c r="A85" s="81"/>
      <c r="B85" s="98" t="s">
        <v>235</v>
      </c>
      <c r="C85" s="313"/>
      <c r="D85" s="268" t="s">
        <v>172</v>
      </c>
      <c r="E85" s="173">
        <f>SUM(E86:E88)</f>
        <v>41675</v>
      </c>
      <c r="F85" s="173">
        <f>SUM(F86:F88)</f>
        <v>0</v>
      </c>
      <c r="G85" s="173">
        <f>SUM(G86:G88)</f>
        <v>0</v>
      </c>
      <c r="H85" s="173">
        <f>SUM(H86:H89)</f>
        <v>41675</v>
      </c>
      <c r="I85" s="173">
        <f>SUM(I86:I89)</f>
        <v>1000</v>
      </c>
      <c r="J85" s="173">
        <f t="shared" si="18"/>
        <v>42675</v>
      </c>
      <c r="K85" s="173">
        <f>SUM(K86:K89)</f>
        <v>0</v>
      </c>
      <c r="L85" s="173">
        <f aca="true" t="shared" si="21" ref="L85:R85">SUM(L86:L90)</f>
        <v>42675</v>
      </c>
      <c r="M85" s="173">
        <f t="shared" si="21"/>
        <v>11277</v>
      </c>
      <c r="N85" s="173">
        <f t="shared" si="21"/>
        <v>53952</v>
      </c>
      <c r="O85" s="173">
        <f t="shared" si="21"/>
        <v>33110</v>
      </c>
      <c r="P85" s="173">
        <f t="shared" si="21"/>
        <v>87062</v>
      </c>
      <c r="Q85" s="173">
        <f t="shared" si="21"/>
        <v>0</v>
      </c>
      <c r="R85" s="173">
        <f t="shared" si="21"/>
        <v>87062</v>
      </c>
      <c r="S85" s="173">
        <f aca="true" t="shared" si="22" ref="S85:X85">SUM(S86:S90)</f>
        <v>-1000</v>
      </c>
      <c r="T85" s="173">
        <f t="shared" si="22"/>
        <v>86062</v>
      </c>
      <c r="U85" s="173">
        <f t="shared" si="22"/>
        <v>0</v>
      </c>
      <c r="V85" s="173">
        <f t="shared" si="22"/>
        <v>86062</v>
      </c>
      <c r="W85" s="173">
        <f t="shared" si="22"/>
        <v>0</v>
      </c>
      <c r="X85" s="173">
        <f t="shared" si="22"/>
        <v>86062</v>
      </c>
      <c r="Y85" s="173">
        <f>SUM(Y86:Y90)</f>
        <v>35088</v>
      </c>
      <c r="Z85" s="173">
        <f>SUM(Z86:Z90)</f>
        <v>121150</v>
      </c>
    </row>
    <row r="86" spans="1:26" s="27" customFormat="1" ht="67.5">
      <c r="A86" s="98"/>
      <c r="B86" s="81"/>
      <c r="C86" s="318" t="s">
        <v>297</v>
      </c>
      <c r="D86" s="268" t="s">
        <v>177</v>
      </c>
      <c r="E86" s="173">
        <v>38735</v>
      </c>
      <c r="F86" s="173"/>
      <c r="G86" s="173"/>
      <c r="H86" s="173">
        <f>E86+F86-G86</f>
        <v>38735</v>
      </c>
      <c r="I86" s="173">
        <v>0</v>
      </c>
      <c r="J86" s="173">
        <f t="shared" si="18"/>
        <v>38735</v>
      </c>
      <c r="K86" s="173">
        <v>0</v>
      </c>
      <c r="L86" s="173">
        <f t="shared" si="19"/>
        <v>38735</v>
      </c>
      <c r="M86" s="173">
        <v>0</v>
      </c>
      <c r="N86" s="173">
        <f t="shared" si="20"/>
        <v>38735</v>
      </c>
      <c r="O86" s="173">
        <v>0</v>
      </c>
      <c r="P86" s="173">
        <f aca="true" t="shared" si="23" ref="P86:P92">SUM(N86:O86)</f>
        <v>38735</v>
      </c>
      <c r="Q86" s="173">
        <v>0</v>
      </c>
      <c r="R86" s="173">
        <f aca="true" t="shared" si="24" ref="R86:R92">SUM(P86:Q86)</f>
        <v>38735</v>
      </c>
      <c r="S86" s="173">
        <v>0</v>
      </c>
      <c r="T86" s="173">
        <f aca="true" t="shared" si="25" ref="T86:T94">SUM(R86:S86)</f>
        <v>38735</v>
      </c>
      <c r="U86" s="173">
        <v>0</v>
      </c>
      <c r="V86" s="173">
        <f>SUM(T86:U86)</f>
        <v>38735</v>
      </c>
      <c r="W86" s="173">
        <v>0</v>
      </c>
      <c r="X86" s="173">
        <f>SUM(V86:W86)</f>
        <v>38735</v>
      </c>
      <c r="Y86" s="173">
        <v>0</v>
      </c>
      <c r="Z86" s="173">
        <f>SUM(X86:Y86)</f>
        <v>38735</v>
      </c>
    </row>
    <row r="87" spans="1:26" s="27" customFormat="1" ht="45">
      <c r="A87" s="98"/>
      <c r="B87" s="81"/>
      <c r="C87" s="319">
        <v>2030</v>
      </c>
      <c r="D87" s="172" t="s">
        <v>362</v>
      </c>
      <c r="E87" s="173"/>
      <c r="F87" s="173"/>
      <c r="G87" s="173"/>
      <c r="H87" s="173"/>
      <c r="I87" s="173"/>
      <c r="J87" s="173"/>
      <c r="K87" s="173"/>
      <c r="L87" s="173"/>
      <c r="M87" s="173"/>
      <c r="N87" s="173">
        <v>0</v>
      </c>
      <c r="O87" s="173">
        <v>33110</v>
      </c>
      <c r="P87" s="173">
        <f t="shared" si="23"/>
        <v>33110</v>
      </c>
      <c r="Q87" s="173">
        <v>0</v>
      </c>
      <c r="R87" s="173">
        <f t="shared" si="24"/>
        <v>33110</v>
      </c>
      <c r="S87" s="173">
        <v>0</v>
      </c>
      <c r="T87" s="173">
        <f t="shared" si="25"/>
        <v>33110</v>
      </c>
      <c r="U87" s="173">
        <v>0</v>
      </c>
      <c r="V87" s="173">
        <f>SUM(T87:U87)</f>
        <v>33110</v>
      </c>
      <c r="W87" s="173">
        <v>0</v>
      </c>
      <c r="X87" s="173">
        <f>SUM(V87:W87)</f>
        <v>33110</v>
      </c>
      <c r="Y87" s="173">
        <v>35088</v>
      </c>
      <c r="Z87" s="173">
        <f>SUM(X87:Y87)</f>
        <v>68198</v>
      </c>
    </row>
    <row r="88" spans="1:26" s="27" customFormat="1" ht="56.25">
      <c r="A88" s="98"/>
      <c r="B88" s="81"/>
      <c r="C88" s="319">
        <v>2310</v>
      </c>
      <c r="D88" s="268" t="s">
        <v>661</v>
      </c>
      <c r="E88" s="173">
        <v>2940</v>
      </c>
      <c r="F88" s="173"/>
      <c r="G88" s="173"/>
      <c r="H88" s="173">
        <f>E88+F88-G88</f>
        <v>2940</v>
      </c>
      <c r="I88" s="173">
        <v>0</v>
      </c>
      <c r="J88" s="173">
        <f t="shared" si="18"/>
        <v>2940</v>
      </c>
      <c r="K88" s="173">
        <v>0</v>
      </c>
      <c r="L88" s="173">
        <f t="shared" si="19"/>
        <v>2940</v>
      </c>
      <c r="M88" s="173">
        <v>0</v>
      </c>
      <c r="N88" s="173">
        <f t="shared" si="20"/>
        <v>2940</v>
      </c>
      <c r="O88" s="173">
        <v>0</v>
      </c>
      <c r="P88" s="173">
        <f t="shared" si="23"/>
        <v>2940</v>
      </c>
      <c r="Q88" s="173">
        <v>0</v>
      </c>
      <c r="R88" s="173">
        <f t="shared" si="24"/>
        <v>2940</v>
      </c>
      <c r="S88" s="173">
        <v>0</v>
      </c>
      <c r="T88" s="173">
        <f t="shared" si="25"/>
        <v>2940</v>
      </c>
      <c r="U88" s="173">
        <v>0</v>
      </c>
      <c r="V88" s="173">
        <f>SUM(T88:U88)</f>
        <v>2940</v>
      </c>
      <c r="W88" s="173">
        <v>0</v>
      </c>
      <c r="X88" s="173">
        <f>SUM(V88:W88)</f>
        <v>2940</v>
      </c>
      <c r="Y88" s="173">
        <v>0</v>
      </c>
      <c r="Z88" s="173">
        <f>SUM(X88:Y88)</f>
        <v>2940</v>
      </c>
    </row>
    <row r="89" spans="1:26" s="27" customFormat="1" ht="56.25" hidden="1">
      <c r="A89" s="98"/>
      <c r="B89" s="81"/>
      <c r="C89" s="319">
        <v>2320</v>
      </c>
      <c r="D89" s="172" t="s">
        <v>665</v>
      </c>
      <c r="E89" s="173"/>
      <c r="F89" s="173"/>
      <c r="G89" s="173"/>
      <c r="H89" s="173">
        <v>0</v>
      </c>
      <c r="I89" s="173">
        <f>300+300+200+200</f>
        <v>1000</v>
      </c>
      <c r="J89" s="173">
        <f t="shared" si="18"/>
        <v>1000</v>
      </c>
      <c r="K89" s="173"/>
      <c r="L89" s="173">
        <f t="shared" si="19"/>
        <v>1000</v>
      </c>
      <c r="M89" s="173">
        <v>0</v>
      </c>
      <c r="N89" s="173">
        <f t="shared" si="20"/>
        <v>1000</v>
      </c>
      <c r="O89" s="173">
        <v>0</v>
      </c>
      <c r="P89" s="173">
        <f t="shared" si="23"/>
        <v>1000</v>
      </c>
      <c r="Q89" s="173">
        <v>0</v>
      </c>
      <c r="R89" s="173">
        <f t="shared" si="24"/>
        <v>1000</v>
      </c>
      <c r="S89" s="173">
        <f>-300-300-200-200</f>
        <v>-1000</v>
      </c>
      <c r="T89" s="173">
        <f t="shared" si="25"/>
        <v>0</v>
      </c>
      <c r="U89" s="173">
        <v>0</v>
      </c>
      <c r="V89" s="173">
        <f>SUM(T89:U89)</f>
        <v>0</v>
      </c>
      <c r="W89" s="173">
        <v>0</v>
      </c>
      <c r="X89" s="173">
        <f>SUM(V89:W89)</f>
        <v>0</v>
      </c>
      <c r="Y89" s="173">
        <v>0</v>
      </c>
      <c r="Z89" s="173">
        <f>SUM(X89:Y89)</f>
        <v>0</v>
      </c>
    </row>
    <row r="90" spans="1:26" s="27" customFormat="1" ht="33.75">
      <c r="A90" s="98"/>
      <c r="B90" s="81"/>
      <c r="C90" s="319">
        <v>2400</v>
      </c>
      <c r="D90" s="172" t="s">
        <v>666</v>
      </c>
      <c r="E90" s="173"/>
      <c r="F90" s="173"/>
      <c r="G90" s="173"/>
      <c r="H90" s="173"/>
      <c r="I90" s="173"/>
      <c r="J90" s="173"/>
      <c r="K90" s="173"/>
      <c r="L90" s="173">
        <v>0</v>
      </c>
      <c r="M90" s="173">
        <v>11277</v>
      </c>
      <c r="N90" s="173">
        <f t="shared" si="20"/>
        <v>11277</v>
      </c>
      <c r="O90" s="173">
        <v>0</v>
      </c>
      <c r="P90" s="173">
        <f t="shared" si="23"/>
        <v>11277</v>
      </c>
      <c r="Q90" s="173">
        <v>0</v>
      </c>
      <c r="R90" s="173">
        <f t="shared" si="24"/>
        <v>11277</v>
      </c>
      <c r="S90" s="173">
        <v>0</v>
      </c>
      <c r="T90" s="173">
        <f t="shared" si="25"/>
        <v>11277</v>
      </c>
      <c r="U90" s="173">
        <v>0</v>
      </c>
      <c r="V90" s="173">
        <f>SUM(T90:U90)</f>
        <v>11277</v>
      </c>
      <c r="W90" s="173">
        <v>0</v>
      </c>
      <c r="X90" s="173">
        <f>SUM(V90:W90)</f>
        <v>11277</v>
      </c>
      <c r="Y90" s="173">
        <v>0</v>
      </c>
      <c r="Z90" s="173">
        <f>SUM(X90:Y90)</f>
        <v>11277</v>
      </c>
    </row>
    <row r="91" spans="1:26" s="27" customFormat="1" ht="21" customHeight="1">
      <c r="A91" s="86"/>
      <c r="B91" s="87">
        <v>80104</v>
      </c>
      <c r="C91" s="171"/>
      <c r="D91" s="268" t="s">
        <v>248</v>
      </c>
      <c r="E91" s="173">
        <f>SUM(E92)</f>
        <v>6569</v>
      </c>
      <c r="F91" s="173">
        <f>SUM(F92)</f>
        <v>0</v>
      </c>
      <c r="G91" s="173">
        <f>SUM(G92)</f>
        <v>0</v>
      </c>
      <c r="H91" s="173">
        <f>E91+F91-G91</f>
        <v>6569</v>
      </c>
      <c r="I91" s="173">
        <f>SUM(I92)</f>
        <v>0</v>
      </c>
      <c r="J91" s="173">
        <f t="shared" si="18"/>
        <v>6569</v>
      </c>
      <c r="K91" s="173">
        <f>SUM(K92)</f>
        <v>0</v>
      </c>
      <c r="L91" s="173">
        <f t="shared" si="19"/>
        <v>6569</v>
      </c>
      <c r="M91" s="173">
        <f>SUM(M92)</f>
        <v>0</v>
      </c>
      <c r="N91" s="173">
        <f t="shared" si="20"/>
        <v>6569</v>
      </c>
      <c r="O91" s="173">
        <f>SUM(O92)</f>
        <v>0</v>
      </c>
      <c r="P91" s="173">
        <f t="shared" si="23"/>
        <v>6569</v>
      </c>
      <c r="Q91" s="173">
        <f>SUM(Q92)</f>
        <v>0</v>
      </c>
      <c r="R91" s="173">
        <f aca="true" t="shared" si="26" ref="R91:X91">SUM(R92:R94)</f>
        <v>6569</v>
      </c>
      <c r="S91" s="173">
        <f t="shared" si="26"/>
        <v>86839</v>
      </c>
      <c r="T91" s="173">
        <f t="shared" si="26"/>
        <v>93408</v>
      </c>
      <c r="U91" s="173">
        <f t="shared" si="26"/>
        <v>0</v>
      </c>
      <c r="V91" s="173">
        <f t="shared" si="26"/>
        <v>93408</v>
      </c>
      <c r="W91" s="173">
        <f t="shared" si="26"/>
        <v>0</v>
      </c>
      <c r="X91" s="173">
        <f t="shared" si="26"/>
        <v>93408</v>
      </c>
      <c r="Y91" s="173">
        <f>SUM(Y92:Y94)</f>
        <v>0</v>
      </c>
      <c r="Z91" s="173">
        <f>SUM(Z92:Z94)</f>
        <v>93408</v>
      </c>
    </row>
    <row r="92" spans="1:26" s="27" customFormat="1" ht="67.5">
      <c r="A92" s="86"/>
      <c r="B92" s="87"/>
      <c r="C92" s="171" t="s">
        <v>297</v>
      </c>
      <c r="D92" s="268" t="s">
        <v>177</v>
      </c>
      <c r="E92" s="173">
        <v>6569</v>
      </c>
      <c r="F92" s="173"/>
      <c r="G92" s="173"/>
      <c r="H92" s="173">
        <f>E92+F92-G92</f>
        <v>6569</v>
      </c>
      <c r="I92" s="173">
        <v>0</v>
      </c>
      <c r="J92" s="173">
        <f t="shared" si="18"/>
        <v>6569</v>
      </c>
      <c r="K92" s="173">
        <v>0</v>
      </c>
      <c r="L92" s="173">
        <f t="shared" si="19"/>
        <v>6569</v>
      </c>
      <c r="M92" s="173">
        <v>0</v>
      </c>
      <c r="N92" s="173">
        <f t="shared" si="20"/>
        <v>6569</v>
      </c>
      <c r="O92" s="173">
        <v>0</v>
      </c>
      <c r="P92" s="173">
        <f t="shared" si="23"/>
        <v>6569</v>
      </c>
      <c r="Q92" s="173">
        <v>0</v>
      </c>
      <c r="R92" s="173">
        <f t="shared" si="24"/>
        <v>6569</v>
      </c>
      <c r="S92" s="173">
        <v>0</v>
      </c>
      <c r="T92" s="173">
        <f t="shared" si="25"/>
        <v>6569</v>
      </c>
      <c r="U92" s="173">
        <v>0</v>
      </c>
      <c r="V92" s="173">
        <f>SUM(T92:U92)</f>
        <v>6569</v>
      </c>
      <c r="W92" s="173">
        <v>0</v>
      </c>
      <c r="X92" s="173">
        <f>SUM(V92:W92)</f>
        <v>6569</v>
      </c>
      <c r="Y92" s="173">
        <v>0</v>
      </c>
      <c r="Z92" s="173">
        <f>SUM(X92:Y92)</f>
        <v>6569</v>
      </c>
    </row>
    <row r="93" spans="1:26" s="27" customFormat="1" ht="27.75" customHeight="1">
      <c r="A93" s="86"/>
      <c r="B93" s="87"/>
      <c r="C93" s="171">
        <v>2370</v>
      </c>
      <c r="D93" s="317" t="s">
        <v>340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>
        <v>0</v>
      </c>
      <c r="Y93" s="173">
        <v>86839</v>
      </c>
      <c r="Z93" s="173">
        <f>SUM(X93:Y93)</f>
        <v>86839</v>
      </c>
    </row>
    <row r="94" spans="1:26" s="27" customFormat="1" ht="26.25" customHeight="1">
      <c r="A94" s="86"/>
      <c r="B94" s="87"/>
      <c r="C94" s="171">
        <v>2400</v>
      </c>
      <c r="D94" s="172" t="s">
        <v>666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>
        <v>0</v>
      </c>
      <c r="S94" s="173">
        <v>86839</v>
      </c>
      <c r="T94" s="173">
        <f t="shared" si="25"/>
        <v>86839</v>
      </c>
      <c r="U94" s="173">
        <v>0</v>
      </c>
      <c r="V94" s="173">
        <f>SUM(T94:U94)</f>
        <v>86839</v>
      </c>
      <c r="W94" s="173">
        <v>0</v>
      </c>
      <c r="X94" s="173">
        <f>SUM(V94:W94)</f>
        <v>86839</v>
      </c>
      <c r="Y94" s="173">
        <v>-86839</v>
      </c>
      <c r="Z94" s="173">
        <f>SUM(X94:Y94)</f>
        <v>0</v>
      </c>
    </row>
    <row r="95" spans="1:26" s="27" customFormat="1" ht="21" customHeight="1">
      <c r="A95" s="86"/>
      <c r="B95" s="87">
        <v>80110</v>
      </c>
      <c r="C95" s="171"/>
      <c r="D95" s="268" t="s">
        <v>173</v>
      </c>
      <c r="E95" s="173">
        <f>SUM(E96)</f>
        <v>7829</v>
      </c>
      <c r="F95" s="173">
        <f>SUM(F96)</f>
        <v>0</v>
      </c>
      <c r="G95" s="173">
        <f>SUM(G96)</f>
        <v>0</v>
      </c>
      <c r="H95" s="173">
        <f>SUM(H96:H97)</f>
        <v>7829</v>
      </c>
      <c r="I95" s="173">
        <f>SUM(I96:I97)</f>
        <v>600</v>
      </c>
      <c r="J95" s="173">
        <f t="shared" si="18"/>
        <v>8429</v>
      </c>
      <c r="K95" s="173">
        <f>SUM(K96:K97)</f>
        <v>0</v>
      </c>
      <c r="L95" s="173">
        <f aca="true" t="shared" si="27" ref="L95:R95">SUM(L96:L98)</f>
        <v>8429</v>
      </c>
      <c r="M95" s="173">
        <f t="shared" si="27"/>
        <v>6218</v>
      </c>
      <c r="N95" s="173">
        <f t="shared" si="27"/>
        <v>14647</v>
      </c>
      <c r="O95" s="173">
        <f t="shared" si="27"/>
        <v>0</v>
      </c>
      <c r="P95" s="173">
        <f t="shared" si="27"/>
        <v>14647</v>
      </c>
      <c r="Q95" s="173">
        <f t="shared" si="27"/>
        <v>0</v>
      </c>
      <c r="R95" s="173">
        <f t="shared" si="27"/>
        <v>14647</v>
      </c>
      <c r="S95" s="173">
        <f aca="true" t="shared" si="28" ref="S95:X95">SUM(S96:S98)</f>
        <v>-600</v>
      </c>
      <c r="T95" s="173">
        <f t="shared" si="28"/>
        <v>14047</v>
      </c>
      <c r="U95" s="173">
        <f t="shared" si="28"/>
        <v>0</v>
      </c>
      <c r="V95" s="173">
        <f t="shared" si="28"/>
        <v>14047</v>
      </c>
      <c r="W95" s="173">
        <f t="shared" si="28"/>
        <v>0</v>
      </c>
      <c r="X95" s="173">
        <f t="shared" si="28"/>
        <v>14047</v>
      </c>
      <c r="Y95" s="173">
        <f>SUM(Y96:Y98)</f>
        <v>0</v>
      </c>
      <c r="Z95" s="173">
        <f>SUM(Z96:Z98)</f>
        <v>14047</v>
      </c>
    </row>
    <row r="96" spans="1:26" s="27" customFormat="1" ht="67.5">
      <c r="A96" s="86"/>
      <c r="B96" s="87"/>
      <c r="C96" s="171" t="s">
        <v>297</v>
      </c>
      <c r="D96" s="268" t="s">
        <v>177</v>
      </c>
      <c r="E96" s="173">
        <v>7829</v>
      </c>
      <c r="F96" s="173"/>
      <c r="G96" s="173"/>
      <c r="H96" s="173">
        <f>E96+F96-G96</f>
        <v>7829</v>
      </c>
      <c r="I96" s="173">
        <v>0</v>
      </c>
      <c r="J96" s="173">
        <f t="shared" si="18"/>
        <v>7829</v>
      </c>
      <c r="K96" s="173">
        <v>0</v>
      </c>
      <c r="L96" s="173">
        <f t="shared" si="19"/>
        <v>7829</v>
      </c>
      <c r="M96" s="173">
        <v>0</v>
      </c>
      <c r="N96" s="173">
        <f t="shared" si="20"/>
        <v>7829</v>
      </c>
      <c r="O96" s="173">
        <v>0</v>
      </c>
      <c r="P96" s="173">
        <f aca="true" t="shared" si="29" ref="P96:P103">SUM(N96:O96)</f>
        <v>7829</v>
      </c>
      <c r="Q96" s="173">
        <v>0</v>
      </c>
      <c r="R96" s="173">
        <f aca="true" t="shared" si="30" ref="R96:R103">SUM(P96:Q96)</f>
        <v>7829</v>
      </c>
      <c r="S96" s="173">
        <v>0</v>
      </c>
      <c r="T96" s="173">
        <f aca="true" t="shared" si="31" ref="T96:T103">SUM(R96:S96)</f>
        <v>7829</v>
      </c>
      <c r="U96" s="173">
        <v>0</v>
      </c>
      <c r="V96" s="173">
        <f aca="true" t="shared" si="32" ref="V96:V103">SUM(T96:U96)</f>
        <v>7829</v>
      </c>
      <c r="W96" s="173">
        <v>0</v>
      </c>
      <c r="X96" s="173">
        <f aca="true" t="shared" si="33" ref="X96:X103">SUM(V96:W96)</f>
        <v>7829</v>
      </c>
      <c r="Y96" s="173">
        <v>0</v>
      </c>
      <c r="Z96" s="173">
        <f aca="true" t="shared" si="34" ref="Z96:Z103">SUM(X96:Y96)</f>
        <v>7829</v>
      </c>
    </row>
    <row r="97" spans="1:26" s="27" customFormat="1" ht="45" hidden="1">
      <c r="A97" s="86"/>
      <c r="B97" s="87"/>
      <c r="C97" s="171">
        <v>2320</v>
      </c>
      <c r="D97" s="172" t="s">
        <v>387</v>
      </c>
      <c r="E97" s="173"/>
      <c r="F97" s="173"/>
      <c r="G97" s="173"/>
      <c r="H97" s="173">
        <v>0</v>
      </c>
      <c r="I97" s="173">
        <f>300+300</f>
        <v>600</v>
      </c>
      <c r="J97" s="173">
        <f t="shared" si="18"/>
        <v>600</v>
      </c>
      <c r="K97" s="173"/>
      <c r="L97" s="173">
        <f t="shared" si="19"/>
        <v>600</v>
      </c>
      <c r="M97" s="173">
        <v>0</v>
      </c>
      <c r="N97" s="173">
        <f t="shared" si="20"/>
        <v>600</v>
      </c>
      <c r="O97" s="173">
        <v>0</v>
      </c>
      <c r="P97" s="173">
        <f t="shared" si="29"/>
        <v>600</v>
      </c>
      <c r="Q97" s="173">
        <v>0</v>
      </c>
      <c r="R97" s="173">
        <f t="shared" si="30"/>
        <v>600</v>
      </c>
      <c r="S97" s="173">
        <f>-300-300</f>
        <v>-600</v>
      </c>
      <c r="T97" s="173">
        <f t="shared" si="31"/>
        <v>0</v>
      </c>
      <c r="U97" s="173">
        <v>0</v>
      </c>
      <c r="V97" s="173">
        <f t="shared" si="32"/>
        <v>0</v>
      </c>
      <c r="W97" s="173">
        <v>0</v>
      </c>
      <c r="X97" s="173">
        <f t="shared" si="33"/>
        <v>0</v>
      </c>
      <c r="Y97" s="173">
        <v>0</v>
      </c>
      <c r="Z97" s="173">
        <f t="shared" si="34"/>
        <v>0</v>
      </c>
    </row>
    <row r="98" spans="1:26" s="27" customFormat="1" ht="33.75">
      <c r="A98" s="86"/>
      <c r="B98" s="87"/>
      <c r="C98" s="171">
        <v>2400</v>
      </c>
      <c r="D98" s="172" t="s">
        <v>636</v>
      </c>
      <c r="E98" s="173"/>
      <c r="F98" s="173"/>
      <c r="G98" s="173"/>
      <c r="H98" s="173"/>
      <c r="I98" s="173"/>
      <c r="J98" s="173"/>
      <c r="K98" s="173"/>
      <c r="L98" s="173">
        <v>0</v>
      </c>
      <c r="M98" s="173">
        <v>6218</v>
      </c>
      <c r="N98" s="173">
        <f t="shared" si="20"/>
        <v>6218</v>
      </c>
      <c r="O98" s="173">
        <v>0</v>
      </c>
      <c r="P98" s="173">
        <f t="shared" si="29"/>
        <v>6218</v>
      </c>
      <c r="Q98" s="173">
        <v>0</v>
      </c>
      <c r="R98" s="173">
        <f t="shared" si="30"/>
        <v>6218</v>
      </c>
      <c r="S98" s="173">
        <v>0</v>
      </c>
      <c r="T98" s="173">
        <f t="shared" si="31"/>
        <v>6218</v>
      </c>
      <c r="U98" s="173">
        <v>0</v>
      </c>
      <c r="V98" s="173">
        <f t="shared" si="32"/>
        <v>6218</v>
      </c>
      <c r="W98" s="173">
        <v>0</v>
      </c>
      <c r="X98" s="173">
        <f t="shared" si="33"/>
        <v>6218</v>
      </c>
      <c r="Y98" s="173">
        <v>0</v>
      </c>
      <c r="Z98" s="173">
        <f t="shared" si="34"/>
        <v>6218</v>
      </c>
    </row>
    <row r="99" spans="1:26" s="27" customFormat="1" ht="19.5" customHeight="1">
      <c r="A99" s="86"/>
      <c r="B99" s="87">
        <v>80195</v>
      </c>
      <c r="C99" s="171"/>
      <c r="D99" s="172" t="s">
        <v>118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>
        <f>SUM(T100)</f>
        <v>0</v>
      </c>
      <c r="U99" s="173">
        <f>SUM(U100)</f>
        <v>40107</v>
      </c>
      <c r="V99" s="173">
        <f t="shared" si="32"/>
        <v>40107</v>
      </c>
      <c r="W99" s="173">
        <f>SUM(W100)</f>
        <v>0</v>
      </c>
      <c r="X99" s="173">
        <f t="shared" si="33"/>
        <v>40107</v>
      </c>
      <c r="Y99" s="173">
        <f>SUM(Y100)</f>
        <v>0</v>
      </c>
      <c r="Z99" s="173">
        <f t="shared" si="34"/>
        <v>40107</v>
      </c>
    </row>
    <row r="100" spans="1:26" s="27" customFormat="1" ht="45">
      <c r="A100" s="86"/>
      <c r="B100" s="87"/>
      <c r="C100" s="171">
        <v>2030</v>
      </c>
      <c r="D100" s="172" t="s">
        <v>362</v>
      </c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>
        <v>0</v>
      </c>
      <c r="U100" s="173">
        <v>40107</v>
      </c>
      <c r="V100" s="173">
        <f t="shared" si="32"/>
        <v>40107</v>
      </c>
      <c r="W100" s="173"/>
      <c r="X100" s="173">
        <f t="shared" si="33"/>
        <v>40107</v>
      </c>
      <c r="Y100" s="173"/>
      <c r="Z100" s="173">
        <f t="shared" si="34"/>
        <v>40107</v>
      </c>
    </row>
    <row r="101" spans="1:26" s="7" customFormat="1" ht="24.75" customHeight="1">
      <c r="A101" s="34" t="s">
        <v>290</v>
      </c>
      <c r="B101" s="4"/>
      <c r="C101" s="314"/>
      <c r="D101" s="309" t="s">
        <v>332</v>
      </c>
      <c r="E101" s="310">
        <f>SUM(E104,E108,E110,E114,E118,)</f>
        <v>9752400</v>
      </c>
      <c r="F101" s="310">
        <f>SUM(F104,F108,F110,F114,F118,)</f>
        <v>0</v>
      </c>
      <c r="G101" s="310">
        <f>SUM(G104,G108,G110,G114,G118,)</f>
        <v>0</v>
      </c>
      <c r="H101" s="310">
        <f aca="true" t="shared" si="35" ref="H101:H130">E101+F101-G101</f>
        <v>9752400</v>
      </c>
      <c r="I101" s="310">
        <f>SUM(I104,I108,I110,I114,I118,)</f>
        <v>-22000</v>
      </c>
      <c r="J101" s="310">
        <f t="shared" si="18"/>
        <v>9730400</v>
      </c>
      <c r="K101" s="310">
        <f>SUM(K104,K108,K110,K114,K118,)</f>
        <v>0</v>
      </c>
      <c r="L101" s="310">
        <f t="shared" si="19"/>
        <v>9730400</v>
      </c>
      <c r="M101" s="310">
        <f>SUM(M104,M108,M110,M114,M118,)</f>
        <v>0</v>
      </c>
      <c r="N101" s="310">
        <f t="shared" si="20"/>
        <v>9730400</v>
      </c>
      <c r="O101" s="310">
        <f>SUM(O104,O108,O110,O114,O118,)</f>
        <v>234778</v>
      </c>
      <c r="P101" s="310">
        <f t="shared" si="29"/>
        <v>9965178</v>
      </c>
      <c r="Q101" s="310">
        <f>SUM(Q104,Q108,Q110,Q114,Q118,)</f>
        <v>0</v>
      </c>
      <c r="R101" s="310">
        <f t="shared" si="30"/>
        <v>9965178</v>
      </c>
      <c r="S101" s="310">
        <f>SUM(S104,S108,S110,S114,S118,)</f>
        <v>40648</v>
      </c>
      <c r="T101" s="310">
        <f t="shared" si="31"/>
        <v>10005826</v>
      </c>
      <c r="U101" s="310">
        <f>SUM(U104,U108,U110,U114,U118,)</f>
        <v>0</v>
      </c>
      <c r="V101" s="310">
        <f t="shared" si="32"/>
        <v>10005826</v>
      </c>
      <c r="W101" s="310">
        <f>SUM(W104,W108,W110,W114,W118,)</f>
        <v>-42479</v>
      </c>
      <c r="X101" s="310">
        <f t="shared" si="33"/>
        <v>9963347</v>
      </c>
      <c r="Y101" s="310">
        <f>SUM(Y104,Y108,Y110,Y114,Y118,)</f>
        <v>7901</v>
      </c>
      <c r="Z101" s="310">
        <f t="shared" si="34"/>
        <v>9971248</v>
      </c>
    </row>
    <row r="102" spans="1:26" s="27" customFormat="1" ht="33.75" hidden="1">
      <c r="A102" s="86"/>
      <c r="B102" s="61">
        <v>85212</v>
      </c>
      <c r="C102" s="306"/>
      <c r="D102" s="172" t="s">
        <v>356</v>
      </c>
      <c r="E102" s="173">
        <f>SUM(E103)</f>
        <v>5507000</v>
      </c>
      <c r="F102" s="173">
        <f>SUM(F103)</f>
        <v>5507000</v>
      </c>
      <c r="G102" s="173">
        <f>SUM(G103)</f>
        <v>5507000</v>
      </c>
      <c r="H102" s="173">
        <f t="shared" si="35"/>
        <v>5507000</v>
      </c>
      <c r="I102" s="173">
        <f>SUM(I103)</f>
        <v>5507000</v>
      </c>
      <c r="J102" s="320">
        <f t="shared" si="18"/>
        <v>11014000</v>
      </c>
      <c r="K102" s="173">
        <f>SUM(K103)</f>
        <v>5507000</v>
      </c>
      <c r="L102" s="320">
        <f t="shared" si="19"/>
        <v>16521000</v>
      </c>
      <c r="M102" s="173">
        <f>SUM(M103)</f>
        <v>5507000</v>
      </c>
      <c r="N102" s="320">
        <f t="shared" si="20"/>
        <v>22028000</v>
      </c>
      <c r="O102" s="173">
        <f>SUM(O103)</f>
        <v>5507000</v>
      </c>
      <c r="P102" s="320">
        <f t="shared" si="29"/>
        <v>27535000</v>
      </c>
      <c r="Q102" s="173">
        <f>SUM(Q103)</f>
        <v>5507000</v>
      </c>
      <c r="R102" s="320">
        <f t="shared" si="30"/>
        <v>33042000</v>
      </c>
      <c r="S102" s="173">
        <f>SUM(S103)</f>
        <v>5507000</v>
      </c>
      <c r="T102" s="320">
        <f t="shared" si="31"/>
        <v>38549000</v>
      </c>
      <c r="U102" s="173">
        <f>SUM(U103)</f>
        <v>5507000</v>
      </c>
      <c r="V102" s="320">
        <f t="shared" si="32"/>
        <v>44056000</v>
      </c>
      <c r="W102" s="173">
        <f>SUM(W103)</f>
        <v>5507000</v>
      </c>
      <c r="X102" s="320">
        <f t="shared" si="33"/>
        <v>49563000</v>
      </c>
      <c r="Y102" s="173">
        <f>SUM(Y103)</f>
        <v>5507000</v>
      </c>
      <c r="Z102" s="320">
        <f t="shared" si="34"/>
        <v>55070000</v>
      </c>
    </row>
    <row r="103" spans="1:26" s="27" customFormat="1" ht="56.25" hidden="1">
      <c r="A103" s="86"/>
      <c r="B103" s="61"/>
      <c r="C103" s="306">
        <v>2010</v>
      </c>
      <c r="D103" s="172" t="s">
        <v>379</v>
      </c>
      <c r="E103" s="173">
        <v>5507000</v>
      </c>
      <c r="F103" s="173">
        <v>5507000</v>
      </c>
      <c r="G103" s="173">
        <v>5507000</v>
      </c>
      <c r="H103" s="173">
        <f t="shared" si="35"/>
        <v>5507000</v>
      </c>
      <c r="I103" s="173">
        <v>5507000</v>
      </c>
      <c r="J103" s="320">
        <f t="shared" si="18"/>
        <v>11014000</v>
      </c>
      <c r="K103" s="173">
        <v>5507000</v>
      </c>
      <c r="L103" s="320">
        <f t="shared" si="19"/>
        <v>16521000</v>
      </c>
      <c r="M103" s="173">
        <v>5507000</v>
      </c>
      <c r="N103" s="320">
        <f t="shared" si="20"/>
        <v>22028000</v>
      </c>
      <c r="O103" s="173">
        <v>5507000</v>
      </c>
      <c r="P103" s="320">
        <f t="shared" si="29"/>
        <v>27535000</v>
      </c>
      <c r="Q103" s="173">
        <v>5507000</v>
      </c>
      <c r="R103" s="320">
        <f t="shared" si="30"/>
        <v>33042000</v>
      </c>
      <c r="S103" s="173">
        <v>5507000</v>
      </c>
      <c r="T103" s="320">
        <f t="shared" si="31"/>
        <v>38549000</v>
      </c>
      <c r="U103" s="173">
        <v>5507000</v>
      </c>
      <c r="V103" s="320">
        <f t="shared" si="32"/>
        <v>44056000</v>
      </c>
      <c r="W103" s="173">
        <v>5507000</v>
      </c>
      <c r="X103" s="320">
        <f t="shared" si="33"/>
        <v>49563000</v>
      </c>
      <c r="Y103" s="173">
        <v>5507000</v>
      </c>
      <c r="Z103" s="320">
        <f t="shared" si="34"/>
        <v>55070000</v>
      </c>
    </row>
    <row r="104" spans="1:26" s="27" customFormat="1" ht="45">
      <c r="A104" s="86"/>
      <c r="B104" s="61">
        <v>85212</v>
      </c>
      <c r="C104" s="306"/>
      <c r="D104" s="172" t="s">
        <v>402</v>
      </c>
      <c r="E104" s="173">
        <f>SUM(E105:E106)</f>
        <v>7819800</v>
      </c>
      <c r="F104" s="173">
        <f>SUM(F105:F106)</f>
        <v>0</v>
      </c>
      <c r="G104" s="173">
        <f>SUM(G105:G106)</f>
        <v>0</v>
      </c>
      <c r="H104" s="173">
        <f t="shared" si="35"/>
        <v>7819800</v>
      </c>
      <c r="I104" s="173">
        <f>SUM(I105:I106)</f>
        <v>7900</v>
      </c>
      <c r="J104" s="173">
        <f t="shared" si="18"/>
        <v>7827700</v>
      </c>
      <c r="K104" s="173">
        <f>SUM(K105:K106)</f>
        <v>0</v>
      </c>
      <c r="L104" s="173">
        <f aca="true" t="shared" si="36" ref="L104:R104">SUM(L105:L107)</f>
        <v>7827700</v>
      </c>
      <c r="M104" s="173">
        <f t="shared" si="36"/>
        <v>0</v>
      </c>
      <c r="N104" s="173">
        <f t="shared" si="36"/>
        <v>7827700</v>
      </c>
      <c r="O104" s="173">
        <f t="shared" si="36"/>
        <v>0</v>
      </c>
      <c r="P104" s="173">
        <f t="shared" si="36"/>
        <v>7827700</v>
      </c>
      <c r="Q104" s="173">
        <f t="shared" si="36"/>
        <v>0</v>
      </c>
      <c r="R104" s="173">
        <f t="shared" si="36"/>
        <v>7827700</v>
      </c>
      <c r="S104" s="173">
        <f aca="true" t="shared" si="37" ref="S104:X104">SUM(S105:S107)</f>
        <v>0</v>
      </c>
      <c r="T104" s="173">
        <f t="shared" si="37"/>
        <v>7827700</v>
      </c>
      <c r="U104" s="173">
        <f t="shared" si="37"/>
        <v>0</v>
      </c>
      <c r="V104" s="173">
        <f t="shared" si="37"/>
        <v>7827700</v>
      </c>
      <c r="W104" s="173">
        <f t="shared" si="37"/>
        <v>-200000</v>
      </c>
      <c r="X104" s="173">
        <f t="shared" si="37"/>
        <v>7627700</v>
      </c>
      <c r="Y104" s="173">
        <f>SUM(Y105:Y107)</f>
        <v>-50000</v>
      </c>
      <c r="Z104" s="173">
        <f>SUM(Z105:Z107)</f>
        <v>7577700</v>
      </c>
    </row>
    <row r="105" spans="1:26" s="27" customFormat="1" ht="11.25" hidden="1">
      <c r="A105" s="86"/>
      <c r="B105" s="61"/>
      <c r="C105" s="306" t="s">
        <v>299</v>
      </c>
      <c r="D105" s="172" t="s">
        <v>127</v>
      </c>
      <c r="E105" s="173">
        <v>15000</v>
      </c>
      <c r="F105" s="173"/>
      <c r="G105" s="173"/>
      <c r="H105" s="173">
        <f t="shared" si="35"/>
        <v>15000</v>
      </c>
      <c r="I105" s="173">
        <v>0</v>
      </c>
      <c r="J105" s="173">
        <f t="shared" si="18"/>
        <v>15000</v>
      </c>
      <c r="K105" s="173">
        <v>0</v>
      </c>
      <c r="L105" s="173">
        <f t="shared" si="19"/>
        <v>15000</v>
      </c>
      <c r="M105" s="173">
        <v>-15000</v>
      </c>
      <c r="N105" s="173">
        <f t="shared" si="20"/>
        <v>0</v>
      </c>
      <c r="O105" s="173">
        <v>0</v>
      </c>
      <c r="P105" s="173">
        <f aca="true" t="shared" si="38" ref="P105:P119">SUM(N105:O105)</f>
        <v>0</v>
      </c>
      <c r="Q105" s="173">
        <v>0</v>
      </c>
      <c r="R105" s="173">
        <f aca="true" t="shared" si="39" ref="R105:R119">SUM(P105:Q105)</f>
        <v>0</v>
      </c>
      <c r="S105" s="173">
        <v>0</v>
      </c>
      <c r="T105" s="173">
        <f aca="true" t="shared" si="40" ref="T105:T119">SUM(R105:S105)</f>
        <v>0</v>
      </c>
      <c r="U105" s="173">
        <v>0</v>
      </c>
      <c r="V105" s="173">
        <f aca="true" t="shared" si="41" ref="V105:V119">SUM(T105:U105)</f>
        <v>0</v>
      </c>
      <c r="W105" s="173">
        <v>0</v>
      </c>
      <c r="X105" s="173">
        <f aca="true" t="shared" si="42" ref="X105:X119">SUM(V105:W105)</f>
        <v>0</v>
      </c>
      <c r="Y105" s="173">
        <v>0</v>
      </c>
      <c r="Z105" s="173">
        <f aca="true" t="shared" si="43" ref="Z105:Z119">SUM(X105:Y105)</f>
        <v>0</v>
      </c>
    </row>
    <row r="106" spans="1:26" s="27" customFormat="1" ht="56.25">
      <c r="A106" s="86"/>
      <c r="B106" s="61"/>
      <c r="C106" s="306">
        <v>2010</v>
      </c>
      <c r="D106" s="172" t="s">
        <v>379</v>
      </c>
      <c r="E106" s="173">
        <v>7804800</v>
      </c>
      <c r="F106" s="173"/>
      <c r="G106" s="173"/>
      <c r="H106" s="173">
        <f t="shared" si="35"/>
        <v>7804800</v>
      </c>
      <c r="I106" s="173">
        <v>7900</v>
      </c>
      <c r="J106" s="173">
        <f t="shared" si="18"/>
        <v>7812700</v>
      </c>
      <c r="K106" s="173"/>
      <c r="L106" s="173">
        <f t="shared" si="19"/>
        <v>7812700</v>
      </c>
      <c r="M106" s="173"/>
      <c r="N106" s="173">
        <f t="shared" si="20"/>
        <v>7812700</v>
      </c>
      <c r="O106" s="173">
        <v>0</v>
      </c>
      <c r="P106" s="173">
        <f t="shared" si="38"/>
        <v>7812700</v>
      </c>
      <c r="Q106" s="173">
        <v>0</v>
      </c>
      <c r="R106" s="173">
        <f t="shared" si="39"/>
        <v>7812700</v>
      </c>
      <c r="S106" s="173">
        <v>0</v>
      </c>
      <c r="T106" s="173">
        <f t="shared" si="40"/>
        <v>7812700</v>
      </c>
      <c r="U106" s="173">
        <v>0</v>
      </c>
      <c r="V106" s="173">
        <f t="shared" si="41"/>
        <v>7812700</v>
      </c>
      <c r="W106" s="173">
        <v>-200000</v>
      </c>
      <c r="X106" s="173">
        <f t="shared" si="42"/>
        <v>7612700</v>
      </c>
      <c r="Y106" s="173">
        <v>-50000</v>
      </c>
      <c r="Z106" s="173">
        <f t="shared" si="43"/>
        <v>7562700</v>
      </c>
    </row>
    <row r="107" spans="1:26" s="27" customFormat="1" ht="45">
      <c r="A107" s="86"/>
      <c r="B107" s="61"/>
      <c r="C107" s="306">
        <v>2360</v>
      </c>
      <c r="D107" s="172" t="s">
        <v>326</v>
      </c>
      <c r="E107" s="173"/>
      <c r="F107" s="173"/>
      <c r="G107" s="173"/>
      <c r="H107" s="173"/>
      <c r="I107" s="173"/>
      <c r="J107" s="173"/>
      <c r="K107" s="173"/>
      <c r="L107" s="173">
        <v>0</v>
      </c>
      <c r="M107" s="173">
        <v>15000</v>
      </c>
      <c r="N107" s="173">
        <f t="shared" si="20"/>
        <v>15000</v>
      </c>
      <c r="O107" s="173">
        <v>0</v>
      </c>
      <c r="P107" s="173">
        <f t="shared" si="38"/>
        <v>15000</v>
      </c>
      <c r="Q107" s="173">
        <v>0</v>
      </c>
      <c r="R107" s="173">
        <f t="shared" si="39"/>
        <v>15000</v>
      </c>
      <c r="S107" s="173">
        <v>0</v>
      </c>
      <c r="T107" s="173">
        <f t="shared" si="40"/>
        <v>15000</v>
      </c>
      <c r="U107" s="173">
        <v>0</v>
      </c>
      <c r="V107" s="173">
        <f t="shared" si="41"/>
        <v>15000</v>
      </c>
      <c r="W107" s="173">
        <v>0</v>
      </c>
      <c r="X107" s="173">
        <f t="shared" si="42"/>
        <v>15000</v>
      </c>
      <c r="Y107" s="173">
        <v>0</v>
      </c>
      <c r="Z107" s="173">
        <f t="shared" si="43"/>
        <v>15000</v>
      </c>
    </row>
    <row r="108" spans="1:26" s="27" customFormat="1" ht="56.25">
      <c r="A108" s="86"/>
      <c r="B108" s="61">
        <v>85213</v>
      </c>
      <c r="C108" s="301"/>
      <c r="D108" s="172" t="s">
        <v>361</v>
      </c>
      <c r="E108" s="173">
        <f>SUM(E109)</f>
        <v>99900</v>
      </c>
      <c r="F108" s="173">
        <f>SUM(F109)</f>
        <v>0</v>
      </c>
      <c r="G108" s="173">
        <f>SUM(G109)</f>
        <v>0</v>
      </c>
      <c r="H108" s="173">
        <f t="shared" si="35"/>
        <v>99900</v>
      </c>
      <c r="I108" s="173">
        <f>SUM(I109)</f>
        <v>-21500</v>
      </c>
      <c r="J108" s="173">
        <f t="shared" si="18"/>
        <v>78400</v>
      </c>
      <c r="K108" s="173">
        <f>SUM(K109)</f>
        <v>0</v>
      </c>
      <c r="L108" s="173">
        <f t="shared" si="19"/>
        <v>78400</v>
      </c>
      <c r="M108" s="173">
        <f>SUM(M109)</f>
        <v>0</v>
      </c>
      <c r="N108" s="173">
        <f t="shared" si="20"/>
        <v>78400</v>
      </c>
      <c r="O108" s="173">
        <f>SUM(O109)</f>
        <v>0</v>
      </c>
      <c r="P108" s="173">
        <f t="shared" si="38"/>
        <v>78400</v>
      </c>
      <c r="Q108" s="173">
        <f>SUM(Q109)</f>
        <v>0</v>
      </c>
      <c r="R108" s="173">
        <f t="shared" si="39"/>
        <v>78400</v>
      </c>
      <c r="S108" s="173">
        <f>SUM(S109)</f>
        <v>0</v>
      </c>
      <c r="T108" s="173">
        <f t="shared" si="40"/>
        <v>78400</v>
      </c>
      <c r="U108" s="173">
        <f>SUM(U109)</f>
        <v>0</v>
      </c>
      <c r="V108" s="173">
        <f t="shared" si="41"/>
        <v>78400</v>
      </c>
      <c r="W108" s="173">
        <f>SUM(W109)</f>
        <v>0</v>
      </c>
      <c r="X108" s="173">
        <f t="shared" si="42"/>
        <v>78400</v>
      </c>
      <c r="Y108" s="173">
        <f>SUM(Y109)</f>
        <v>0</v>
      </c>
      <c r="Z108" s="173">
        <f t="shared" si="43"/>
        <v>78400</v>
      </c>
    </row>
    <row r="109" spans="1:26" s="27" customFormat="1" ht="56.25">
      <c r="A109" s="86"/>
      <c r="B109" s="61"/>
      <c r="C109" s="301">
        <v>2010</v>
      </c>
      <c r="D109" s="172" t="s">
        <v>379</v>
      </c>
      <c r="E109" s="173">
        <v>99900</v>
      </c>
      <c r="F109" s="173"/>
      <c r="G109" s="173"/>
      <c r="H109" s="173">
        <f t="shared" si="35"/>
        <v>99900</v>
      </c>
      <c r="I109" s="173">
        <v>-21500</v>
      </c>
      <c r="J109" s="173">
        <f t="shared" si="18"/>
        <v>78400</v>
      </c>
      <c r="K109" s="173"/>
      <c r="L109" s="173">
        <f t="shared" si="19"/>
        <v>78400</v>
      </c>
      <c r="M109" s="173">
        <v>0</v>
      </c>
      <c r="N109" s="173">
        <f t="shared" si="20"/>
        <v>78400</v>
      </c>
      <c r="O109" s="173">
        <v>0</v>
      </c>
      <c r="P109" s="173">
        <f t="shared" si="38"/>
        <v>78400</v>
      </c>
      <c r="Q109" s="173">
        <v>0</v>
      </c>
      <c r="R109" s="173">
        <f t="shared" si="39"/>
        <v>78400</v>
      </c>
      <c r="S109" s="173">
        <v>0</v>
      </c>
      <c r="T109" s="173">
        <f t="shared" si="40"/>
        <v>78400</v>
      </c>
      <c r="U109" s="173">
        <v>0</v>
      </c>
      <c r="V109" s="173">
        <f t="shared" si="41"/>
        <v>78400</v>
      </c>
      <c r="W109" s="173">
        <v>0</v>
      </c>
      <c r="X109" s="173">
        <f t="shared" si="42"/>
        <v>78400</v>
      </c>
      <c r="Y109" s="173">
        <v>0</v>
      </c>
      <c r="Z109" s="173">
        <f t="shared" si="43"/>
        <v>78400</v>
      </c>
    </row>
    <row r="110" spans="1:26" s="27" customFormat="1" ht="22.5">
      <c r="A110" s="86"/>
      <c r="B110" s="87" t="s">
        <v>291</v>
      </c>
      <c r="C110" s="301"/>
      <c r="D110" s="172" t="s">
        <v>178</v>
      </c>
      <c r="E110" s="173">
        <f>SUM(E112:E113)</f>
        <v>1011100</v>
      </c>
      <c r="F110" s="173">
        <f>SUM(F112:F113)</f>
        <v>0</v>
      </c>
      <c r="G110" s="173">
        <f>SUM(G112:G113)</f>
        <v>0</v>
      </c>
      <c r="H110" s="173">
        <f t="shared" si="35"/>
        <v>1011100</v>
      </c>
      <c r="I110" s="173">
        <f>SUM(I112:I113)</f>
        <v>-8400</v>
      </c>
      <c r="J110" s="173">
        <f t="shared" si="18"/>
        <v>1002700</v>
      </c>
      <c r="K110" s="173">
        <f>SUM(K112:K113)</f>
        <v>0</v>
      </c>
      <c r="L110" s="173">
        <f t="shared" si="19"/>
        <v>1002700</v>
      </c>
      <c r="M110" s="173">
        <f>SUM(M112:M113)</f>
        <v>0</v>
      </c>
      <c r="N110" s="173">
        <f t="shared" si="20"/>
        <v>1002700</v>
      </c>
      <c r="O110" s="173">
        <f>SUM(O112:O113)</f>
        <v>0</v>
      </c>
      <c r="P110" s="173">
        <f t="shared" si="38"/>
        <v>1002700</v>
      </c>
      <c r="Q110" s="173">
        <f>SUM(Q112:Q113)</f>
        <v>0</v>
      </c>
      <c r="R110" s="173">
        <f t="shared" si="39"/>
        <v>1002700</v>
      </c>
      <c r="S110" s="173">
        <f>SUM(S112:S113)</f>
        <v>40648</v>
      </c>
      <c r="T110" s="173">
        <f t="shared" si="40"/>
        <v>1043348</v>
      </c>
      <c r="U110" s="173">
        <f>SUM(U112:U113)</f>
        <v>0</v>
      </c>
      <c r="V110" s="173">
        <f t="shared" si="41"/>
        <v>1043348</v>
      </c>
      <c r="W110" s="173">
        <f>SUM(W112:W113)</f>
        <v>-3000</v>
      </c>
      <c r="X110" s="173">
        <f>SUM(X111:X113)</f>
        <v>1040348</v>
      </c>
      <c r="Y110" s="173">
        <f>SUM(Y111:Y113)</f>
        <v>10901</v>
      </c>
      <c r="Z110" s="173">
        <f>SUM(Z111:Z113)</f>
        <v>1051249</v>
      </c>
    </row>
    <row r="111" spans="1:26" s="27" customFormat="1" ht="21.75" customHeight="1">
      <c r="A111" s="86"/>
      <c r="B111" s="87"/>
      <c r="C111" s="306" t="s">
        <v>342</v>
      </c>
      <c r="D111" s="172" t="s">
        <v>343</v>
      </c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>
        <v>0</v>
      </c>
      <c r="Y111" s="173">
        <v>10901</v>
      </c>
      <c r="Z111" s="173">
        <f t="shared" si="43"/>
        <v>10901</v>
      </c>
    </row>
    <row r="112" spans="1:26" s="27" customFormat="1" ht="56.25">
      <c r="A112" s="86"/>
      <c r="B112" s="87"/>
      <c r="C112" s="171">
        <v>2010</v>
      </c>
      <c r="D112" s="172" t="s">
        <v>379</v>
      </c>
      <c r="E112" s="173">
        <v>439200</v>
      </c>
      <c r="F112" s="173"/>
      <c r="G112" s="173"/>
      <c r="H112" s="173">
        <f t="shared" si="35"/>
        <v>439200</v>
      </c>
      <c r="I112" s="173">
        <v>-2200</v>
      </c>
      <c r="J112" s="173">
        <f t="shared" si="18"/>
        <v>437000</v>
      </c>
      <c r="K112" s="173"/>
      <c r="L112" s="173">
        <f t="shared" si="19"/>
        <v>437000</v>
      </c>
      <c r="M112" s="173">
        <v>0</v>
      </c>
      <c r="N112" s="173">
        <f t="shared" si="20"/>
        <v>437000</v>
      </c>
      <c r="O112" s="173">
        <v>0</v>
      </c>
      <c r="P112" s="173">
        <f t="shared" si="38"/>
        <v>437000</v>
      </c>
      <c r="Q112" s="173">
        <v>0</v>
      </c>
      <c r="R112" s="173">
        <f t="shared" si="39"/>
        <v>437000</v>
      </c>
      <c r="S112" s="173">
        <v>0</v>
      </c>
      <c r="T112" s="173">
        <f t="shared" si="40"/>
        <v>437000</v>
      </c>
      <c r="U112" s="173">
        <v>0</v>
      </c>
      <c r="V112" s="173">
        <f t="shared" si="41"/>
        <v>437000</v>
      </c>
      <c r="W112" s="173">
        <v>-3000</v>
      </c>
      <c r="X112" s="173">
        <f t="shared" si="42"/>
        <v>434000</v>
      </c>
      <c r="Y112" s="173"/>
      <c r="Z112" s="173">
        <f t="shared" si="43"/>
        <v>434000</v>
      </c>
    </row>
    <row r="113" spans="1:26" s="27" customFormat="1" ht="33.75">
      <c r="A113" s="86"/>
      <c r="B113" s="87"/>
      <c r="C113" s="171">
        <v>2030</v>
      </c>
      <c r="D113" s="172" t="s">
        <v>386</v>
      </c>
      <c r="E113" s="173">
        <v>571900</v>
      </c>
      <c r="F113" s="173"/>
      <c r="G113" s="173"/>
      <c r="H113" s="173">
        <f t="shared" si="35"/>
        <v>571900</v>
      </c>
      <c r="I113" s="173">
        <v>-6200</v>
      </c>
      <c r="J113" s="173">
        <f t="shared" si="18"/>
        <v>565700</v>
      </c>
      <c r="K113" s="173"/>
      <c r="L113" s="173">
        <f t="shared" si="19"/>
        <v>565700</v>
      </c>
      <c r="M113" s="173">
        <v>0</v>
      </c>
      <c r="N113" s="173">
        <f t="shared" si="20"/>
        <v>565700</v>
      </c>
      <c r="O113" s="173">
        <v>0</v>
      </c>
      <c r="P113" s="173">
        <f t="shared" si="38"/>
        <v>565700</v>
      </c>
      <c r="Q113" s="173">
        <v>0</v>
      </c>
      <c r="R113" s="173">
        <f t="shared" si="39"/>
        <v>565700</v>
      </c>
      <c r="S113" s="173">
        <v>40648</v>
      </c>
      <c r="T113" s="173">
        <f t="shared" si="40"/>
        <v>606348</v>
      </c>
      <c r="U113" s="173">
        <v>0</v>
      </c>
      <c r="V113" s="173">
        <f t="shared" si="41"/>
        <v>606348</v>
      </c>
      <c r="W113" s="173">
        <v>0</v>
      </c>
      <c r="X113" s="173">
        <f t="shared" si="42"/>
        <v>606348</v>
      </c>
      <c r="Y113" s="173">
        <v>0</v>
      </c>
      <c r="Z113" s="173">
        <f t="shared" si="43"/>
        <v>606348</v>
      </c>
    </row>
    <row r="114" spans="1:26" s="27" customFormat="1" ht="21" customHeight="1">
      <c r="A114" s="86"/>
      <c r="B114" s="87" t="s">
        <v>292</v>
      </c>
      <c r="C114" s="301"/>
      <c r="D114" s="172" t="s">
        <v>180</v>
      </c>
      <c r="E114" s="173">
        <f>SUM(E115:E117)</f>
        <v>493400</v>
      </c>
      <c r="F114" s="173">
        <f>SUM(F115:F117)</f>
        <v>0</v>
      </c>
      <c r="G114" s="173">
        <f>SUM(G115:G117)</f>
        <v>0</v>
      </c>
      <c r="H114" s="173">
        <f t="shared" si="35"/>
        <v>493400</v>
      </c>
      <c r="I114" s="173">
        <f>SUM(I115:I117)</f>
        <v>0</v>
      </c>
      <c r="J114" s="173">
        <f t="shared" si="18"/>
        <v>493400</v>
      </c>
      <c r="K114" s="173">
        <f>SUM(K115:K117)</f>
        <v>0</v>
      </c>
      <c r="L114" s="173">
        <f t="shared" si="19"/>
        <v>493400</v>
      </c>
      <c r="M114" s="173">
        <f>SUM(M115:M117)</f>
        <v>0</v>
      </c>
      <c r="N114" s="173">
        <f t="shared" si="20"/>
        <v>493400</v>
      </c>
      <c r="O114" s="173">
        <f>SUM(O115:O117)</f>
        <v>0</v>
      </c>
      <c r="P114" s="173">
        <f t="shared" si="38"/>
        <v>493400</v>
      </c>
      <c r="Q114" s="173">
        <f>SUM(Q115:Q117)</f>
        <v>0</v>
      </c>
      <c r="R114" s="173">
        <f t="shared" si="39"/>
        <v>493400</v>
      </c>
      <c r="S114" s="173">
        <f>SUM(S115:S117)</f>
        <v>0</v>
      </c>
      <c r="T114" s="173">
        <f t="shared" si="40"/>
        <v>493400</v>
      </c>
      <c r="U114" s="173">
        <f>SUM(U115:U117)</f>
        <v>0</v>
      </c>
      <c r="V114" s="173">
        <f t="shared" si="41"/>
        <v>493400</v>
      </c>
      <c r="W114" s="173">
        <f>SUM(W115:W117)</f>
        <v>0</v>
      </c>
      <c r="X114" s="173">
        <f t="shared" si="42"/>
        <v>493400</v>
      </c>
      <c r="Y114" s="173">
        <f>SUM(Y115:Y117)</f>
        <v>47000</v>
      </c>
      <c r="Z114" s="173">
        <f t="shared" si="43"/>
        <v>540400</v>
      </c>
    </row>
    <row r="115" spans="1:26" s="27" customFormat="1" ht="67.5">
      <c r="A115" s="86"/>
      <c r="B115" s="87"/>
      <c r="C115" s="306" t="s">
        <v>297</v>
      </c>
      <c r="D115" s="172" t="s">
        <v>177</v>
      </c>
      <c r="E115" s="173">
        <v>2000</v>
      </c>
      <c r="F115" s="173"/>
      <c r="G115" s="173"/>
      <c r="H115" s="173">
        <f t="shared" si="35"/>
        <v>2000</v>
      </c>
      <c r="I115" s="173">
        <v>0</v>
      </c>
      <c r="J115" s="173">
        <f t="shared" si="18"/>
        <v>2000</v>
      </c>
      <c r="K115" s="173">
        <v>0</v>
      </c>
      <c r="L115" s="173">
        <f t="shared" si="19"/>
        <v>2000</v>
      </c>
      <c r="M115" s="173">
        <v>0</v>
      </c>
      <c r="N115" s="173">
        <f t="shared" si="20"/>
        <v>2000</v>
      </c>
      <c r="O115" s="173">
        <v>0</v>
      </c>
      <c r="P115" s="173">
        <f t="shared" si="38"/>
        <v>2000</v>
      </c>
      <c r="Q115" s="173">
        <v>0</v>
      </c>
      <c r="R115" s="173">
        <f t="shared" si="39"/>
        <v>2000</v>
      </c>
      <c r="S115" s="173">
        <v>0</v>
      </c>
      <c r="T115" s="173">
        <f t="shared" si="40"/>
        <v>2000</v>
      </c>
      <c r="U115" s="173">
        <v>0</v>
      </c>
      <c r="V115" s="173">
        <f t="shared" si="41"/>
        <v>2000</v>
      </c>
      <c r="W115" s="173">
        <v>0</v>
      </c>
      <c r="X115" s="173">
        <f t="shared" si="42"/>
        <v>2000</v>
      </c>
      <c r="Y115" s="173">
        <v>0</v>
      </c>
      <c r="Z115" s="173">
        <f t="shared" si="43"/>
        <v>2000</v>
      </c>
    </row>
    <row r="116" spans="1:26" s="27" customFormat="1" ht="22.5" customHeight="1">
      <c r="A116" s="86"/>
      <c r="B116" s="87"/>
      <c r="C116" s="306" t="s">
        <v>342</v>
      </c>
      <c r="D116" s="172" t="s">
        <v>343</v>
      </c>
      <c r="E116" s="173">
        <v>153000</v>
      </c>
      <c r="F116" s="173"/>
      <c r="G116" s="173"/>
      <c r="H116" s="173">
        <f t="shared" si="35"/>
        <v>153000</v>
      </c>
      <c r="I116" s="173">
        <v>0</v>
      </c>
      <c r="J116" s="173">
        <f t="shared" si="18"/>
        <v>153000</v>
      </c>
      <c r="K116" s="173">
        <v>0</v>
      </c>
      <c r="L116" s="173">
        <f t="shared" si="19"/>
        <v>153000</v>
      </c>
      <c r="M116" s="173">
        <v>0</v>
      </c>
      <c r="N116" s="173">
        <f t="shared" si="20"/>
        <v>153000</v>
      </c>
      <c r="O116" s="173">
        <v>0</v>
      </c>
      <c r="P116" s="173">
        <f t="shared" si="38"/>
        <v>153000</v>
      </c>
      <c r="Q116" s="173">
        <v>0</v>
      </c>
      <c r="R116" s="173">
        <f t="shared" si="39"/>
        <v>153000</v>
      </c>
      <c r="S116" s="173">
        <v>0</v>
      </c>
      <c r="T116" s="173">
        <f t="shared" si="40"/>
        <v>153000</v>
      </c>
      <c r="U116" s="173">
        <v>0</v>
      </c>
      <c r="V116" s="173">
        <f t="shared" si="41"/>
        <v>153000</v>
      </c>
      <c r="W116" s="173">
        <v>0</v>
      </c>
      <c r="X116" s="173">
        <f t="shared" si="42"/>
        <v>153000</v>
      </c>
      <c r="Y116" s="173">
        <v>47000</v>
      </c>
      <c r="Z116" s="173">
        <f t="shared" si="43"/>
        <v>200000</v>
      </c>
    </row>
    <row r="117" spans="1:26" s="27" customFormat="1" ht="33.75">
      <c r="A117" s="86"/>
      <c r="B117" s="87"/>
      <c r="C117" s="171">
        <v>2030</v>
      </c>
      <c r="D117" s="172" t="s">
        <v>386</v>
      </c>
      <c r="E117" s="173">
        <v>338400</v>
      </c>
      <c r="F117" s="173"/>
      <c r="G117" s="173"/>
      <c r="H117" s="173">
        <f t="shared" si="35"/>
        <v>338400</v>
      </c>
      <c r="I117" s="173">
        <v>0</v>
      </c>
      <c r="J117" s="173">
        <f t="shared" si="18"/>
        <v>338400</v>
      </c>
      <c r="K117" s="173">
        <v>0</v>
      </c>
      <c r="L117" s="173">
        <f t="shared" si="19"/>
        <v>338400</v>
      </c>
      <c r="M117" s="173">
        <v>0</v>
      </c>
      <c r="N117" s="173">
        <f t="shared" si="20"/>
        <v>338400</v>
      </c>
      <c r="O117" s="173">
        <v>0</v>
      </c>
      <c r="P117" s="173">
        <f t="shared" si="38"/>
        <v>338400</v>
      </c>
      <c r="Q117" s="173">
        <v>0</v>
      </c>
      <c r="R117" s="173">
        <f t="shared" si="39"/>
        <v>338400</v>
      </c>
      <c r="S117" s="173">
        <v>0</v>
      </c>
      <c r="T117" s="173">
        <f t="shared" si="40"/>
        <v>338400</v>
      </c>
      <c r="U117" s="173">
        <v>0</v>
      </c>
      <c r="V117" s="173">
        <f t="shared" si="41"/>
        <v>338400</v>
      </c>
      <c r="W117" s="173">
        <v>0</v>
      </c>
      <c r="X117" s="173">
        <f t="shared" si="42"/>
        <v>338400</v>
      </c>
      <c r="Y117" s="173">
        <v>0</v>
      </c>
      <c r="Z117" s="173">
        <f t="shared" si="43"/>
        <v>338400</v>
      </c>
    </row>
    <row r="118" spans="1:26" s="27" customFormat="1" ht="24" customHeight="1">
      <c r="A118" s="86"/>
      <c r="B118" s="87">
        <v>85295</v>
      </c>
      <c r="C118" s="171"/>
      <c r="D118" s="172" t="s">
        <v>363</v>
      </c>
      <c r="E118" s="173">
        <f>SUM(E119)</f>
        <v>328200</v>
      </c>
      <c r="F118" s="173">
        <f>SUM(F119)</f>
        <v>0</v>
      </c>
      <c r="G118" s="173">
        <f>SUM(G119)</f>
        <v>0</v>
      </c>
      <c r="H118" s="173">
        <f t="shared" si="35"/>
        <v>328200</v>
      </c>
      <c r="I118" s="173">
        <f>SUM(I119)</f>
        <v>0</v>
      </c>
      <c r="J118" s="173">
        <f t="shared" si="18"/>
        <v>328200</v>
      </c>
      <c r="K118" s="173">
        <f>SUM(K119)</f>
        <v>0</v>
      </c>
      <c r="L118" s="173">
        <f t="shared" si="19"/>
        <v>328200</v>
      </c>
      <c r="M118" s="173">
        <f>SUM(M119)</f>
        <v>0</v>
      </c>
      <c r="N118" s="173">
        <f t="shared" si="20"/>
        <v>328200</v>
      </c>
      <c r="O118" s="173">
        <f>SUM(O119)</f>
        <v>234778</v>
      </c>
      <c r="P118" s="173">
        <f t="shared" si="38"/>
        <v>562978</v>
      </c>
      <c r="Q118" s="173">
        <f>SUM(Q119)</f>
        <v>0</v>
      </c>
      <c r="R118" s="173">
        <f t="shared" si="39"/>
        <v>562978</v>
      </c>
      <c r="S118" s="173">
        <f>SUM(S119)</f>
        <v>0</v>
      </c>
      <c r="T118" s="173">
        <f t="shared" si="40"/>
        <v>562978</v>
      </c>
      <c r="U118" s="173">
        <f>SUM(U119)</f>
        <v>0</v>
      </c>
      <c r="V118" s="173">
        <f t="shared" si="41"/>
        <v>562978</v>
      </c>
      <c r="W118" s="173">
        <f>SUM(W119)</f>
        <v>160521</v>
      </c>
      <c r="X118" s="173">
        <f t="shared" si="42"/>
        <v>723499</v>
      </c>
      <c r="Y118" s="173">
        <f>SUM(Y119)</f>
        <v>0</v>
      </c>
      <c r="Z118" s="173">
        <f t="shared" si="43"/>
        <v>723499</v>
      </c>
    </row>
    <row r="119" spans="1:26" s="27" customFormat="1" ht="33.75">
      <c r="A119" s="86"/>
      <c r="B119" s="87"/>
      <c r="C119" s="171">
        <v>2030</v>
      </c>
      <c r="D119" s="172" t="s">
        <v>386</v>
      </c>
      <c r="E119" s="173">
        <v>328200</v>
      </c>
      <c r="F119" s="173"/>
      <c r="G119" s="173"/>
      <c r="H119" s="173">
        <f t="shared" si="35"/>
        <v>328200</v>
      </c>
      <c r="I119" s="173">
        <v>0</v>
      </c>
      <c r="J119" s="173">
        <f t="shared" si="18"/>
        <v>328200</v>
      </c>
      <c r="K119" s="173">
        <v>0</v>
      </c>
      <c r="L119" s="173">
        <f t="shared" si="19"/>
        <v>328200</v>
      </c>
      <c r="M119" s="173">
        <v>0</v>
      </c>
      <c r="N119" s="173">
        <f t="shared" si="20"/>
        <v>328200</v>
      </c>
      <c r="O119" s="173">
        <v>234778</v>
      </c>
      <c r="P119" s="173">
        <f t="shared" si="38"/>
        <v>562978</v>
      </c>
      <c r="Q119" s="173">
        <v>0</v>
      </c>
      <c r="R119" s="173">
        <f t="shared" si="39"/>
        <v>562978</v>
      </c>
      <c r="S119" s="173">
        <v>0</v>
      </c>
      <c r="T119" s="173">
        <f t="shared" si="40"/>
        <v>562978</v>
      </c>
      <c r="U119" s="173">
        <v>0</v>
      </c>
      <c r="V119" s="173">
        <f t="shared" si="41"/>
        <v>562978</v>
      </c>
      <c r="W119" s="173">
        <v>160521</v>
      </c>
      <c r="X119" s="173">
        <f t="shared" si="42"/>
        <v>723499</v>
      </c>
      <c r="Y119" s="173">
        <v>0</v>
      </c>
      <c r="Z119" s="173">
        <f t="shared" si="43"/>
        <v>723499</v>
      </c>
    </row>
    <row r="120" spans="1:26" s="48" customFormat="1" ht="21.75" customHeight="1">
      <c r="A120" s="34">
        <v>854</v>
      </c>
      <c r="B120" s="37"/>
      <c r="C120" s="321"/>
      <c r="D120" s="309" t="s">
        <v>181</v>
      </c>
      <c r="E120" s="310"/>
      <c r="F120" s="310"/>
      <c r="G120" s="310"/>
      <c r="H120" s="310"/>
      <c r="I120" s="310"/>
      <c r="J120" s="310"/>
      <c r="K120" s="310"/>
      <c r="L120" s="310">
        <f aca="true" t="shared" si="44" ref="L120:Z121">SUM(L121)</f>
        <v>0</v>
      </c>
      <c r="M120" s="310">
        <f t="shared" si="44"/>
        <v>252197</v>
      </c>
      <c r="N120" s="310">
        <f t="shared" si="44"/>
        <v>252197</v>
      </c>
      <c r="O120" s="310">
        <f t="shared" si="44"/>
        <v>0</v>
      </c>
      <c r="P120" s="310">
        <f t="shared" si="44"/>
        <v>252197</v>
      </c>
      <c r="Q120" s="310">
        <f t="shared" si="44"/>
        <v>0</v>
      </c>
      <c r="R120" s="310">
        <f t="shared" si="44"/>
        <v>252197</v>
      </c>
      <c r="S120" s="310">
        <f t="shared" si="44"/>
        <v>0</v>
      </c>
      <c r="T120" s="310">
        <f t="shared" si="44"/>
        <v>252197</v>
      </c>
      <c r="U120" s="310">
        <f t="shared" si="44"/>
        <v>0</v>
      </c>
      <c r="V120" s="310">
        <f t="shared" si="44"/>
        <v>252197</v>
      </c>
      <c r="W120" s="310">
        <f t="shared" si="44"/>
        <v>56396</v>
      </c>
      <c r="X120" s="310">
        <f t="shared" si="44"/>
        <v>308593</v>
      </c>
      <c r="Y120" s="310">
        <f t="shared" si="44"/>
        <v>21980</v>
      </c>
      <c r="Z120" s="310">
        <f t="shared" si="44"/>
        <v>330573</v>
      </c>
    </row>
    <row r="121" spans="1:26" s="27" customFormat="1" ht="20.25" customHeight="1">
      <c r="A121" s="86"/>
      <c r="B121" s="87">
        <v>85415</v>
      </c>
      <c r="C121" s="171"/>
      <c r="D121" s="172" t="s">
        <v>653</v>
      </c>
      <c r="E121" s="173"/>
      <c r="F121" s="173"/>
      <c r="G121" s="173"/>
      <c r="H121" s="173"/>
      <c r="I121" s="173"/>
      <c r="J121" s="173"/>
      <c r="K121" s="173"/>
      <c r="L121" s="173">
        <f t="shared" si="44"/>
        <v>0</v>
      </c>
      <c r="M121" s="173">
        <f t="shared" si="44"/>
        <v>252197</v>
      </c>
      <c r="N121" s="173">
        <f t="shared" si="44"/>
        <v>252197</v>
      </c>
      <c r="O121" s="173">
        <f t="shared" si="44"/>
        <v>0</v>
      </c>
      <c r="P121" s="173">
        <f t="shared" si="44"/>
        <v>252197</v>
      </c>
      <c r="Q121" s="173">
        <f t="shared" si="44"/>
        <v>0</v>
      </c>
      <c r="R121" s="173">
        <f t="shared" si="44"/>
        <v>252197</v>
      </c>
      <c r="S121" s="173">
        <f t="shared" si="44"/>
        <v>0</v>
      </c>
      <c r="T121" s="173">
        <f t="shared" si="44"/>
        <v>252197</v>
      </c>
      <c r="U121" s="173">
        <f t="shared" si="44"/>
        <v>0</v>
      </c>
      <c r="V121" s="173">
        <f t="shared" si="44"/>
        <v>252197</v>
      </c>
      <c r="W121" s="173">
        <f t="shared" si="44"/>
        <v>56396</v>
      </c>
      <c r="X121" s="173">
        <f t="shared" si="44"/>
        <v>308593</v>
      </c>
      <c r="Y121" s="173">
        <f t="shared" si="44"/>
        <v>21980</v>
      </c>
      <c r="Z121" s="173">
        <f t="shared" si="44"/>
        <v>330573</v>
      </c>
    </row>
    <row r="122" spans="1:26" s="27" customFormat="1" ht="54" customHeight="1">
      <c r="A122" s="86"/>
      <c r="B122" s="87"/>
      <c r="C122" s="171">
        <v>2030</v>
      </c>
      <c r="D122" s="172" t="s">
        <v>362</v>
      </c>
      <c r="E122" s="173"/>
      <c r="F122" s="173"/>
      <c r="G122" s="173"/>
      <c r="H122" s="173"/>
      <c r="I122" s="173"/>
      <c r="J122" s="173"/>
      <c r="K122" s="173"/>
      <c r="L122" s="173">
        <v>0</v>
      </c>
      <c r="M122" s="173">
        <v>252197</v>
      </c>
      <c r="N122" s="173">
        <f>SUM(L122:M122)</f>
        <v>252197</v>
      </c>
      <c r="O122" s="173">
        <v>0</v>
      </c>
      <c r="P122" s="173">
        <f>SUM(N122:O122)</f>
        <v>252197</v>
      </c>
      <c r="Q122" s="173">
        <v>0</v>
      </c>
      <c r="R122" s="173">
        <f>SUM(P122:Q122)</f>
        <v>252197</v>
      </c>
      <c r="S122" s="173">
        <v>0</v>
      </c>
      <c r="T122" s="173">
        <f>SUM(R122:S122)</f>
        <v>252197</v>
      </c>
      <c r="U122" s="173">
        <v>0</v>
      </c>
      <c r="V122" s="173">
        <f>SUM(T122:U122)</f>
        <v>252197</v>
      </c>
      <c r="W122" s="173">
        <v>56396</v>
      </c>
      <c r="X122" s="173">
        <f>SUM(V122:W122)</f>
        <v>308593</v>
      </c>
      <c r="Y122" s="173">
        <v>21980</v>
      </c>
      <c r="Z122" s="173">
        <f>SUM(X122:Y122)</f>
        <v>330573</v>
      </c>
    </row>
    <row r="123" spans="1:26" s="8" customFormat="1" ht="24.75" customHeight="1">
      <c r="A123" s="34">
        <v>900</v>
      </c>
      <c r="B123" s="37"/>
      <c r="C123" s="321"/>
      <c r="D123" s="309" t="s">
        <v>183</v>
      </c>
      <c r="E123" s="310">
        <f>SUM(E129)</f>
        <v>6000</v>
      </c>
      <c r="F123" s="310">
        <f>SUM(F129)</f>
        <v>0</v>
      </c>
      <c r="G123" s="310">
        <f>SUM(G129)</f>
        <v>0</v>
      </c>
      <c r="H123" s="310">
        <f t="shared" si="35"/>
        <v>6000</v>
      </c>
      <c r="I123" s="310">
        <f>SUM(I129)</f>
        <v>0</v>
      </c>
      <c r="J123" s="310">
        <f t="shared" si="18"/>
        <v>6000</v>
      </c>
      <c r="K123" s="310">
        <f aca="true" t="shared" si="45" ref="K123:Q123">SUM(K129)</f>
        <v>0</v>
      </c>
      <c r="L123" s="310">
        <f t="shared" si="45"/>
        <v>6000</v>
      </c>
      <c r="M123" s="310">
        <f t="shared" si="45"/>
        <v>0</v>
      </c>
      <c r="N123" s="310">
        <f t="shared" si="45"/>
        <v>6000</v>
      </c>
      <c r="O123" s="310">
        <f t="shared" si="45"/>
        <v>0</v>
      </c>
      <c r="P123" s="310">
        <f t="shared" si="45"/>
        <v>6000</v>
      </c>
      <c r="Q123" s="310">
        <f t="shared" si="45"/>
        <v>0</v>
      </c>
      <c r="R123" s="310">
        <f aca="true" t="shared" si="46" ref="R123:X123">SUM(R129,R124,R127)</f>
        <v>6000</v>
      </c>
      <c r="S123" s="310">
        <f t="shared" si="46"/>
        <v>1602188</v>
      </c>
      <c r="T123" s="310">
        <f t="shared" si="46"/>
        <v>1608188</v>
      </c>
      <c r="U123" s="310">
        <f t="shared" si="46"/>
        <v>0</v>
      </c>
      <c r="V123" s="310">
        <f t="shared" si="46"/>
        <v>1608188</v>
      </c>
      <c r="W123" s="310">
        <f t="shared" si="46"/>
        <v>0</v>
      </c>
      <c r="X123" s="310">
        <f t="shared" si="46"/>
        <v>1608188</v>
      </c>
      <c r="Y123" s="310">
        <f>SUM(Y129,Y124,Y127)</f>
        <v>3000</v>
      </c>
      <c r="Z123" s="310">
        <f>SUM(Z129,Z124,Z127)</f>
        <v>1611188</v>
      </c>
    </row>
    <row r="124" spans="1:26" s="27" customFormat="1" ht="24.75" customHeight="1">
      <c r="A124" s="86"/>
      <c r="B124" s="87">
        <v>90001</v>
      </c>
      <c r="C124" s="171"/>
      <c r="D124" s="172" t="s">
        <v>184</v>
      </c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>
        <f>SUM(R126)</f>
        <v>0</v>
      </c>
      <c r="S124" s="173">
        <f>SUM(S126)</f>
        <v>1598781</v>
      </c>
      <c r="T124" s="173">
        <f>SUM(R124:S124)</f>
        <v>1598781</v>
      </c>
      <c r="U124" s="173">
        <f>SUM(U126)</f>
        <v>0</v>
      </c>
      <c r="V124" s="173">
        <f>SUM(T124:U124)</f>
        <v>1598781</v>
      </c>
      <c r="W124" s="173">
        <f>SUM(W126)</f>
        <v>0</v>
      </c>
      <c r="X124" s="173">
        <f>SUM(X125:X126)</f>
        <v>1598781</v>
      </c>
      <c r="Y124" s="173">
        <f>SUM(Y125:Y126)</f>
        <v>3000</v>
      </c>
      <c r="Z124" s="173">
        <f>SUM(Z125:Z126)</f>
        <v>1601781</v>
      </c>
    </row>
    <row r="125" spans="1:26" s="27" customFormat="1" ht="24.75" customHeight="1">
      <c r="A125" s="86"/>
      <c r="B125" s="87"/>
      <c r="C125" s="171" t="s">
        <v>299</v>
      </c>
      <c r="D125" s="172" t="s">
        <v>127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>
        <v>0</v>
      </c>
      <c r="Y125" s="173">
        <v>3000</v>
      </c>
      <c r="Z125" s="173">
        <f>SUM(X125:Y125)</f>
        <v>3000</v>
      </c>
    </row>
    <row r="126" spans="1:26" s="27" customFormat="1" ht="56.25">
      <c r="A126" s="86"/>
      <c r="B126" s="87"/>
      <c r="C126" s="171">
        <v>6298</v>
      </c>
      <c r="D126" s="172" t="s">
        <v>706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>
        <v>0</v>
      </c>
      <c r="S126" s="173">
        <v>1598781</v>
      </c>
      <c r="T126" s="173">
        <f>SUM(R126:S126)</f>
        <v>1598781</v>
      </c>
      <c r="U126" s="173">
        <v>0</v>
      </c>
      <c r="V126" s="173">
        <f>SUM(T126:U126)</f>
        <v>1598781</v>
      </c>
      <c r="W126" s="173">
        <v>0</v>
      </c>
      <c r="X126" s="173">
        <f>SUM(V126:W126)</f>
        <v>1598781</v>
      </c>
      <c r="Y126" s="173">
        <v>0</v>
      </c>
      <c r="Z126" s="173">
        <f>SUM(X126:Y126)</f>
        <v>1598781</v>
      </c>
    </row>
    <row r="127" spans="1:26" s="27" customFormat="1" ht="33.75">
      <c r="A127" s="86"/>
      <c r="B127" s="87">
        <v>90020</v>
      </c>
      <c r="C127" s="171"/>
      <c r="D127" s="172" t="s">
        <v>57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>
        <f aca="true" t="shared" si="47" ref="R127:Z127">SUM(R128)</f>
        <v>0</v>
      </c>
      <c r="S127" s="173">
        <f t="shared" si="47"/>
        <v>3407</v>
      </c>
      <c r="T127" s="173">
        <f t="shared" si="47"/>
        <v>3407</v>
      </c>
      <c r="U127" s="173">
        <f t="shared" si="47"/>
        <v>0</v>
      </c>
      <c r="V127" s="173">
        <f t="shared" si="47"/>
        <v>3407</v>
      </c>
      <c r="W127" s="173">
        <f t="shared" si="47"/>
        <v>0</v>
      </c>
      <c r="X127" s="173">
        <f t="shared" si="47"/>
        <v>3407</v>
      </c>
      <c r="Y127" s="173">
        <f t="shared" si="47"/>
        <v>0</v>
      </c>
      <c r="Z127" s="173">
        <f t="shared" si="47"/>
        <v>3407</v>
      </c>
    </row>
    <row r="128" spans="1:26" s="27" customFormat="1" ht="19.5" customHeight="1">
      <c r="A128" s="86"/>
      <c r="B128" s="87"/>
      <c r="C128" s="171" t="s">
        <v>55</v>
      </c>
      <c r="D128" s="172" t="s">
        <v>56</v>
      </c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>
        <v>0</v>
      </c>
      <c r="S128" s="173">
        <v>3407</v>
      </c>
      <c r="T128" s="173">
        <f>SUM(R128:S128)</f>
        <v>3407</v>
      </c>
      <c r="U128" s="173">
        <v>0</v>
      </c>
      <c r="V128" s="173">
        <f>SUM(T128:U128)</f>
        <v>3407</v>
      </c>
      <c r="W128" s="173">
        <v>0</v>
      </c>
      <c r="X128" s="173">
        <f>SUM(V128:W128)</f>
        <v>3407</v>
      </c>
      <c r="Y128" s="173">
        <v>0</v>
      </c>
      <c r="Z128" s="173">
        <f>SUM(X128:Y128)</f>
        <v>3407</v>
      </c>
    </row>
    <row r="129" spans="1:26" s="27" customFormat="1" ht="21.75" customHeight="1">
      <c r="A129" s="86"/>
      <c r="B129" s="87">
        <v>90095</v>
      </c>
      <c r="C129" s="171"/>
      <c r="D129" s="172" t="s">
        <v>118</v>
      </c>
      <c r="E129" s="173">
        <f>SUM(E130)</f>
        <v>6000</v>
      </c>
      <c r="F129" s="173">
        <f>SUM(F130)</f>
        <v>0</v>
      </c>
      <c r="G129" s="173">
        <f>SUM(G130)</f>
        <v>0</v>
      </c>
      <c r="H129" s="173">
        <f t="shared" si="35"/>
        <v>6000</v>
      </c>
      <c r="I129" s="173">
        <f>SUM(I130)</f>
        <v>0</v>
      </c>
      <c r="J129" s="173">
        <f t="shared" si="18"/>
        <v>6000</v>
      </c>
      <c r="K129" s="173">
        <f>SUM(K130)</f>
        <v>0</v>
      </c>
      <c r="L129" s="173">
        <f aca="true" t="shared" si="48" ref="L129:Y129">SUM(L130:L130)</f>
        <v>6000</v>
      </c>
      <c r="M129" s="173">
        <f t="shared" si="48"/>
        <v>0</v>
      </c>
      <c r="N129" s="173">
        <f t="shared" si="48"/>
        <v>6000</v>
      </c>
      <c r="O129" s="173">
        <f t="shared" si="48"/>
        <v>0</v>
      </c>
      <c r="P129" s="173">
        <f t="shared" si="48"/>
        <v>6000</v>
      </c>
      <c r="Q129" s="173">
        <f t="shared" si="48"/>
        <v>0</v>
      </c>
      <c r="R129" s="173">
        <f t="shared" si="48"/>
        <v>6000</v>
      </c>
      <c r="S129" s="173">
        <f t="shared" si="48"/>
        <v>0</v>
      </c>
      <c r="T129" s="173">
        <f>SUM(R129:S129)</f>
        <v>6000</v>
      </c>
      <c r="U129" s="173">
        <f t="shared" si="48"/>
        <v>0</v>
      </c>
      <c r="V129" s="173">
        <f>SUM(T129:U129)</f>
        <v>6000</v>
      </c>
      <c r="W129" s="173">
        <f t="shared" si="48"/>
        <v>0</v>
      </c>
      <c r="X129" s="173">
        <f>SUM(V129:W129)</f>
        <v>6000</v>
      </c>
      <c r="Y129" s="173">
        <f t="shared" si="48"/>
        <v>0</v>
      </c>
      <c r="Z129" s="173">
        <f>SUM(X129:Y129)</f>
        <v>6000</v>
      </c>
    </row>
    <row r="130" spans="1:26" s="27" customFormat="1" ht="23.25" customHeight="1">
      <c r="A130" s="86"/>
      <c r="B130" s="87"/>
      <c r="C130" s="171" t="s">
        <v>317</v>
      </c>
      <c r="D130" s="172" t="s">
        <v>624</v>
      </c>
      <c r="E130" s="173">
        <v>6000</v>
      </c>
      <c r="F130" s="173"/>
      <c r="G130" s="173"/>
      <c r="H130" s="173">
        <f t="shared" si="35"/>
        <v>6000</v>
      </c>
      <c r="I130" s="173">
        <v>0</v>
      </c>
      <c r="J130" s="173">
        <f t="shared" si="18"/>
        <v>6000</v>
      </c>
      <c r="K130" s="173">
        <v>0</v>
      </c>
      <c r="L130" s="173">
        <f t="shared" si="19"/>
        <v>6000</v>
      </c>
      <c r="M130" s="173">
        <v>0</v>
      </c>
      <c r="N130" s="173">
        <f t="shared" si="20"/>
        <v>6000</v>
      </c>
      <c r="O130" s="173">
        <v>0</v>
      </c>
      <c r="P130" s="173">
        <f aca="true" t="shared" si="49" ref="P130:P142">SUM(N130:O130)</f>
        <v>6000</v>
      </c>
      <c r="Q130" s="173">
        <v>0</v>
      </c>
      <c r="R130" s="173">
        <f aca="true" t="shared" si="50" ref="R130:R143">SUM(P130:Q130)</f>
        <v>6000</v>
      </c>
      <c r="S130" s="173">
        <v>0</v>
      </c>
      <c r="T130" s="173">
        <f>SUM(R130:S130)</f>
        <v>6000</v>
      </c>
      <c r="U130" s="173">
        <v>0</v>
      </c>
      <c r="V130" s="173">
        <f>SUM(T130:U130)</f>
        <v>6000</v>
      </c>
      <c r="W130" s="173">
        <v>0</v>
      </c>
      <c r="X130" s="173">
        <f>SUM(V130:W130)</f>
        <v>6000</v>
      </c>
      <c r="Y130" s="173">
        <v>0</v>
      </c>
      <c r="Z130" s="173">
        <f>SUM(X130:Y130)</f>
        <v>6000</v>
      </c>
    </row>
    <row r="131" spans="1:26" s="8" customFormat="1" ht="24">
      <c r="A131" s="34" t="s">
        <v>185</v>
      </c>
      <c r="B131" s="4"/>
      <c r="C131" s="314"/>
      <c r="D131" s="309" t="s">
        <v>191</v>
      </c>
      <c r="E131" s="310">
        <f>SUM(E136)</f>
        <v>45000</v>
      </c>
      <c r="F131" s="310">
        <f>SUM(F136)</f>
        <v>900</v>
      </c>
      <c r="G131" s="310">
        <f>SUM(G136)</f>
        <v>0</v>
      </c>
      <c r="H131" s="310">
        <f>SUM(H134,H136,H138,)</f>
        <v>45900</v>
      </c>
      <c r="I131" s="310">
        <f>SUM(I134,I136,I138,)</f>
        <v>11500</v>
      </c>
      <c r="J131" s="310">
        <f t="shared" si="18"/>
        <v>57400</v>
      </c>
      <c r="K131" s="310">
        <f>SUM(K134,K136,K138,)</f>
        <v>0</v>
      </c>
      <c r="L131" s="310">
        <f t="shared" si="19"/>
        <v>57400</v>
      </c>
      <c r="M131" s="310">
        <f>SUM(M134,M136,M138,)</f>
        <v>0</v>
      </c>
      <c r="N131" s="310">
        <f t="shared" si="20"/>
        <v>57400</v>
      </c>
      <c r="O131" s="310">
        <f>SUM(O134,O136,O138,)</f>
        <v>0</v>
      </c>
      <c r="P131" s="310">
        <f t="shared" si="49"/>
        <v>57400</v>
      </c>
      <c r="Q131" s="310">
        <f>SUM(Q134,Q136,Q138,)</f>
        <v>0</v>
      </c>
      <c r="R131" s="310">
        <f t="shared" si="50"/>
        <v>57400</v>
      </c>
      <c r="S131" s="310">
        <f>SUM(S134,S136,S138,S132)</f>
        <v>-2800</v>
      </c>
      <c r="T131" s="310">
        <f aca="true" t="shared" si="51" ref="T131:T140">SUM(R131:S131)</f>
        <v>54600</v>
      </c>
      <c r="U131" s="310">
        <f>SUM(U134,U136,U138,U132)</f>
        <v>0</v>
      </c>
      <c r="V131" s="310">
        <f aca="true" t="shared" si="52" ref="V131:V140">SUM(T131:U131)</f>
        <v>54600</v>
      </c>
      <c r="W131" s="310">
        <f>SUM(W134,W136,W138,W132)</f>
        <v>0</v>
      </c>
      <c r="X131" s="310">
        <f aca="true" t="shared" si="53" ref="X131:X140">SUM(V131:W131)</f>
        <v>54600</v>
      </c>
      <c r="Y131" s="310">
        <f>SUM(Y134,Y136,Y138,Y132)</f>
        <v>0</v>
      </c>
      <c r="Z131" s="310">
        <f aca="true" t="shared" si="54" ref="Z131:Z140">SUM(X131:Y131)</f>
        <v>54600</v>
      </c>
    </row>
    <row r="132" spans="1:26" s="8" customFormat="1" ht="25.5" customHeight="1">
      <c r="A132" s="34"/>
      <c r="B132" s="102">
        <v>92105</v>
      </c>
      <c r="C132" s="322"/>
      <c r="D132" s="317" t="s">
        <v>705</v>
      </c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20">
        <f>SUM(R133)</f>
        <v>0</v>
      </c>
      <c r="S132" s="320">
        <f>SUM(S133)</f>
        <v>8700</v>
      </c>
      <c r="T132" s="173">
        <f t="shared" si="51"/>
        <v>8700</v>
      </c>
      <c r="U132" s="320">
        <f>SUM(U133)</f>
        <v>0</v>
      </c>
      <c r="V132" s="173">
        <f t="shared" si="52"/>
        <v>8700</v>
      </c>
      <c r="W132" s="320">
        <f>SUM(W133)</f>
        <v>0</v>
      </c>
      <c r="X132" s="173">
        <f t="shared" si="53"/>
        <v>8700</v>
      </c>
      <c r="Y132" s="320">
        <f>SUM(Y133)</f>
        <v>0</v>
      </c>
      <c r="Z132" s="173">
        <f t="shared" si="54"/>
        <v>8700</v>
      </c>
    </row>
    <row r="133" spans="1:26" s="8" customFormat="1" ht="56.25">
      <c r="A133" s="34"/>
      <c r="B133" s="102"/>
      <c r="C133" s="322">
        <v>2320</v>
      </c>
      <c r="D133" s="172" t="s">
        <v>665</v>
      </c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20">
        <v>0</v>
      </c>
      <c r="S133" s="320">
        <f>300+300+300+300+500+1000+500+3500+500+1500</f>
        <v>8700</v>
      </c>
      <c r="T133" s="173">
        <f t="shared" si="51"/>
        <v>8700</v>
      </c>
      <c r="U133" s="320">
        <v>0</v>
      </c>
      <c r="V133" s="173">
        <f t="shared" si="52"/>
        <v>8700</v>
      </c>
      <c r="W133" s="320">
        <v>0</v>
      </c>
      <c r="X133" s="173">
        <f t="shared" si="53"/>
        <v>8700</v>
      </c>
      <c r="Y133" s="320">
        <v>0</v>
      </c>
      <c r="Z133" s="173">
        <f t="shared" si="54"/>
        <v>8700</v>
      </c>
    </row>
    <row r="134" spans="1:26" s="27" customFormat="1" ht="22.5" hidden="1">
      <c r="A134" s="86"/>
      <c r="B134" s="61">
        <v>92109</v>
      </c>
      <c r="C134" s="301"/>
      <c r="D134" s="172" t="s">
        <v>667</v>
      </c>
      <c r="E134" s="173"/>
      <c r="F134" s="173"/>
      <c r="G134" s="173"/>
      <c r="H134" s="173">
        <f>SUM(H135)</f>
        <v>0</v>
      </c>
      <c r="I134" s="173">
        <f>SUM(I135)</f>
        <v>9500</v>
      </c>
      <c r="J134" s="173">
        <f t="shared" si="18"/>
        <v>9500</v>
      </c>
      <c r="K134" s="173">
        <f>SUM(K135)</f>
        <v>0</v>
      </c>
      <c r="L134" s="173">
        <f t="shared" si="19"/>
        <v>9500</v>
      </c>
      <c r="M134" s="173">
        <f>SUM(M135)</f>
        <v>0</v>
      </c>
      <c r="N134" s="173">
        <f t="shared" si="20"/>
        <v>9500</v>
      </c>
      <c r="O134" s="173">
        <f>SUM(O135)</f>
        <v>0</v>
      </c>
      <c r="P134" s="173">
        <f t="shared" si="49"/>
        <v>9500</v>
      </c>
      <c r="Q134" s="173">
        <f>SUM(Q135)</f>
        <v>0</v>
      </c>
      <c r="R134" s="173">
        <f t="shared" si="50"/>
        <v>9500</v>
      </c>
      <c r="S134" s="173">
        <f>SUM(S135)</f>
        <v>-9500</v>
      </c>
      <c r="T134" s="173">
        <f t="shared" si="51"/>
        <v>0</v>
      </c>
      <c r="U134" s="173">
        <f>SUM(U135)</f>
        <v>0</v>
      </c>
      <c r="V134" s="173">
        <f t="shared" si="52"/>
        <v>0</v>
      </c>
      <c r="W134" s="173">
        <f>SUM(W135)</f>
        <v>0</v>
      </c>
      <c r="X134" s="173">
        <f t="shared" si="53"/>
        <v>0</v>
      </c>
      <c r="Y134" s="173">
        <f>SUM(Y135)</f>
        <v>0</v>
      </c>
      <c r="Z134" s="173">
        <f t="shared" si="54"/>
        <v>0</v>
      </c>
    </row>
    <row r="135" spans="1:26" s="8" customFormat="1" ht="56.25" hidden="1">
      <c r="A135" s="204"/>
      <c r="B135" s="4"/>
      <c r="C135" s="301">
        <v>2320</v>
      </c>
      <c r="D135" s="172" t="s">
        <v>665</v>
      </c>
      <c r="E135" s="320"/>
      <c r="F135" s="320"/>
      <c r="G135" s="320"/>
      <c r="H135" s="320">
        <v>0</v>
      </c>
      <c r="I135" s="173">
        <f>1500+500+3500+1500+1000+1500</f>
        <v>9500</v>
      </c>
      <c r="J135" s="173">
        <f t="shared" si="18"/>
        <v>9500</v>
      </c>
      <c r="K135" s="173"/>
      <c r="L135" s="173">
        <f t="shared" si="19"/>
        <v>9500</v>
      </c>
      <c r="M135" s="173">
        <v>0</v>
      </c>
      <c r="N135" s="173">
        <f t="shared" si="20"/>
        <v>9500</v>
      </c>
      <c r="O135" s="173">
        <v>0</v>
      </c>
      <c r="P135" s="173">
        <f t="shared" si="49"/>
        <v>9500</v>
      </c>
      <c r="Q135" s="173">
        <v>0</v>
      </c>
      <c r="R135" s="173">
        <f t="shared" si="50"/>
        <v>9500</v>
      </c>
      <c r="S135" s="173">
        <f>-1500-500-3500-1500-1000-1500</f>
        <v>-9500</v>
      </c>
      <c r="T135" s="173">
        <f t="shared" si="51"/>
        <v>0</v>
      </c>
      <c r="U135" s="173">
        <v>0</v>
      </c>
      <c r="V135" s="173">
        <f t="shared" si="52"/>
        <v>0</v>
      </c>
      <c r="W135" s="173">
        <v>0</v>
      </c>
      <c r="X135" s="173">
        <f t="shared" si="53"/>
        <v>0</v>
      </c>
      <c r="Y135" s="173">
        <v>0</v>
      </c>
      <c r="Z135" s="173">
        <f t="shared" si="54"/>
        <v>0</v>
      </c>
    </row>
    <row r="136" spans="1:26" s="27" customFormat="1" ht="21.75" customHeight="1">
      <c r="A136" s="86"/>
      <c r="B136" s="87" t="s">
        <v>186</v>
      </c>
      <c r="C136" s="301"/>
      <c r="D136" s="172" t="s">
        <v>187</v>
      </c>
      <c r="E136" s="173">
        <f>SUM(E137)</f>
        <v>45000</v>
      </c>
      <c r="F136" s="173">
        <f>SUM(F137)</f>
        <v>900</v>
      </c>
      <c r="G136" s="173">
        <f>SUM(G137)</f>
        <v>0</v>
      </c>
      <c r="H136" s="173">
        <f>E136+F136-G136</f>
        <v>45900</v>
      </c>
      <c r="I136" s="173">
        <f>SUM(I137)</f>
        <v>0</v>
      </c>
      <c r="J136" s="173">
        <f t="shared" si="18"/>
        <v>45900</v>
      </c>
      <c r="K136" s="173">
        <f>SUM(K137)</f>
        <v>0</v>
      </c>
      <c r="L136" s="173">
        <f t="shared" si="19"/>
        <v>45900</v>
      </c>
      <c r="M136" s="173">
        <f>SUM(M137)</f>
        <v>0</v>
      </c>
      <c r="N136" s="173">
        <f t="shared" si="20"/>
        <v>45900</v>
      </c>
      <c r="O136" s="173">
        <f>SUM(O137)</f>
        <v>0</v>
      </c>
      <c r="P136" s="173">
        <f t="shared" si="49"/>
        <v>45900</v>
      </c>
      <c r="Q136" s="173">
        <f>SUM(Q137)</f>
        <v>0</v>
      </c>
      <c r="R136" s="173">
        <f t="shared" si="50"/>
        <v>45900</v>
      </c>
      <c r="S136" s="173">
        <f>SUM(S137)</f>
        <v>0</v>
      </c>
      <c r="T136" s="173">
        <f t="shared" si="51"/>
        <v>45900</v>
      </c>
      <c r="U136" s="173">
        <f>SUM(U137)</f>
        <v>0</v>
      </c>
      <c r="V136" s="173">
        <f t="shared" si="52"/>
        <v>45900</v>
      </c>
      <c r="W136" s="173">
        <f>SUM(W137)</f>
        <v>0</v>
      </c>
      <c r="X136" s="173">
        <f t="shared" si="53"/>
        <v>45900</v>
      </c>
      <c r="Y136" s="173">
        <f>SUM(Y137)</f>
        <v>0</v>
      </c>
      <c r="Z136" s="173">
        <f t="shared" si="54"/>
        <v>45900</v>
      </c>
    </row>
    <row r="137" spans="1:26" s="27" customFormat="1" ht="56.25">
      <c r="A137" s="87"/>
      <c r="B137" s="87"/>
      <c r="C137" s="171">
        <v>2320</v>
      </c>
      <c r="D137" s="172" t="s">
        <v>665</v>
      </c>
      <c r="E137" s="173">
        <v>45000</v>
      </c>
      <c r="F137" s="173">
        <v>900</v>
      </c>
      <c r="G137" s="173"/>
      <c r="H137" s="173">
        <f>E137+F137-G137</f>
        <v>45900</v>
      </c>
      <c r="I137" s="173">
        <v>0</v>
      </c>
      <c r="J137" s="173">
        <f t="shared" si="18"/>
        <v>45900</v>
      </c>
      <c r="K137" s="173">
        <v>0</v>
      </c>
      <c r="L137" s="173">
        <f t="shared" si="19"/>
        <v>45900</v>
      </c>
      <c r="M137" s="173">
        <v>0</v>
      </c>
      <c r="N137" s="173">
        <f t="shared" si="20"/>
        <v>45900</v>
      </c>
      <c r="O137" s="173">
        <v>0</v>
      </c>
      <c r="P137" s="173">
        <f t="shared" si="49"/>
        <v>45900</v>
      </c>
      <c r="Q137" s="173">
        <v>0</v>
      </c>
      <c r="R137" s="173">
        <f t="shared" si="50"/>
        <v>45900</v>
      </c>
      <c r="S137" s="173">
        <v>0</v>
      </c>
      <c r="T137" s="173">
        <f t="shared" si="51"/>
        <v>45900</v>
      </c>
      <c r="U137" s="173">
        <v>0</v>
      </c>
      <c r="V137" s="173">
        <f t="shared" si="52"/>
        <v>45900</v>
      </c>
      <c r="W137" s="173">
        <v>0</v>
      </c>
      <c r="X137" s="173">
        <f t="shared" si="53"/>
        <v>45900</v>
      </c>
      <c r="Y137" s="173">
        <v>0</v>
      </c>
      <c r="Z137" s="173">
        <f t="shared" si="54"/>
        <v>45900</v>
      </c>
    </row>
    <row r="138" spans="1:26" s="27" customFormat="1" ht="19.5" customHeight="1" hidden="1">
      <c r="A138" s="87"/>
      <c r="B138" s="87">
        <v>92118</v>
      </c>
      <c r="C138" s="171"/>
      <c r="D138" s="172" t="s">
        <v>268</v>
      </c>
      <c r="E138" s="173"/>
      <c r="F138" s="173"/>
      <c r="G138" s="173"/>
      <c r="H138" s="173">
        <f>SUM(H139)</f>
        <v>0</v>
      </c>
      <c r="I138" s="173">
        <f>SUM(I139)</f>
        <v>2000</v>
      </c>
      <c r="J138" s="173">
        <f t="shared" si="18"/>
        <v>2000</v>
      </c>
      <c r="K138" s="173">
        <f>SUM(K139)</f>
        <v>0</v>
      </c>
      <c r="L138" s="173">
        <f t="shared" si="19"/>
        <v>2000</v>
      </c>
      <c r="M138" s="173">
        <f>SUM(M139)</f>
        <v>0</v>
      </c>
      <c r="N138" s="173">
        <f t="shared" si="20"/>
        <v>2000</v>
      </c>
      <c r="O138" s="173">
        <f>SUM(O139)</f>
        <v>0</v>
      </c>
      <c r="P138" s="173">
        <f t="shared" si="49"/>
        <v>2000</v>
      </c>
      <c r="Q138" s="173">
        <f>SUM(Q139)</f>
        <v>0</v>
      </c>
      <c r="R138" s="173">
        <f t="shared" si="50"/>
        <v>2000</v>
      </c>
      <c r="S138" s="173">
        <f>SUM(S139)</f>
        <v>-2000</v>
      </c>
      <c r="T138" s="173">
        <f t="shared" si="51"/>
        <v>0</v>
      </c>
      <c r="U138" s="173">
        <f>SUM(U139)</f>
        <v>0</v>
      </c>
      <c r="V138" s="173">
        <f t="shared" si="52"/>
        <v>0</v>
      </c>
      <c r="W138" s="173">
        <f>SUM(W139)</f>
        <v>0</v>
      </c>
      <c r="X138" s="173">
        <f t="shared" si="53"/>
        <v>0</v>
      </c>
      <c r="Y138" s="173">
        <f>SUM(Y139)</f>
        <v>0</v>
      </c>
      <c r="Z138" s="173">
        <f t="shared" si="54"/>
        <v>0</v>
      </c>
    </row>
    <row r="139" spans="1:26" s="27" customFormat="1" ht="56.25" hidden="1">
      <c r="A139" s="87"/>
      <c r="B139" s="87"/>
      <c r="C139" s="171">
        <v>2320</v>
      </c>
      <c r="D139" s="172" t="s">
        <v>665</v>
      </c>
      <c r="E139" s="173"/>
      <c r="F139" s="173"/>
      <c r="G139" s="173"/>
      <c r="H139" s="173">
        <v>0</v>
      </c>
      <c r="I139" s="173">
        <f>500+1000+500</f>
        <v>2000</v>
      </c>
      <c r="J139" s="173">
        <f t="shared" si="18"/>
        <v>2000</v>
      </c>
      <c r="K139" s="173"/>
      <c r="L139" s="173">
        <f t="shared" si="19"/>
        <v>2000</v>
      </c>
      <c r="M139" s="173"/>
      <c r="N139" s="173">
        <f t="shared" si="20"/>
        <v>2000</v>
      </c>
      <c r="O139" s="173">
        <v>0</v>
      </c>
      <c r="P139" s="173">
        <f t="shared" si="49"/>
        <v>2000</v>
      </c>
      <c r="Q139" s="173">
        <v>0</v>
      </c>
      <c r="R139" s="173">
        <f t="shared" si="50"/>
        <v>2000</v>
      </c>
      <c r="S139" s="173">
        <f>-500-1000-500</f>
        <v>-2000</v>
      </c>
      <c r="T139" s="173">
        <f t="shared" si="51"/>
        <v>0</v>
      </c>
      <c r="U139" s="173">
        <v>0</v>
      </c>
      <c r="V139" s="173">
        <f t="shared" si="52"/>
        <v>0</v>
      </c>
      <c r="W139" s="173">
        <v>0</v>
      </c>
      <c r="X139" s="173">
        <f t="shared" si="53"/>
        <v>0</v>
      </c>
      <c r="Y139" s="173">
        <v>0</v>
      </c>
      <c r="Z139" s="173">
        <f t="shared" si="54"/>
        <v>0</v>
      </c>
    </row>
    <row r="140" spans="1:26" s="48" customFormat="1" ht="24.75" customHeight="1">
      <c r="A140" s="37">
        <v>926</v>
      </c>
      <c r="B140" s="37"/>
      <c r="C140" s="323"/>
      <c r="D140" s="309" t="s">
        <v>188</v>
      </c>
      <c r="E140" s="310"/>
      <c r="F140" s="310"/>
      <c r="G140" s="310"/>
      <c r="H140" s="310">
        <f>SUM(H141)</f>
        <v>0</v>
      </c>
      <c r="I140" s="310">
        <f>SUM(I141)</f>
        <v>600</v>
      </c>
      <c r="J140" s="310">
        <f t="shared" si="18"/>
        <v>600</v>
      </c>
      <c r="K140" s="310">
        <f>SUM(K141)</f>
        <v>0</v>
      </c>
      <c r="L140" s="310">
        <f t="shared" si="19"/>
        <v>600</v>
      </c>
      <c r="M140" s="310">
        <f>SUM(M141)</f>
        <v>0</v>
      </c>
      <c r="N140" s="310">
        <f t="shared" si="20"/>
        <v>600</v>
      </c>
      <c r="O140" s="310">
        <f>SUM(O141)</f>
        <v>0</v>
      </c>
      <c r="P140" s="310">
        <f t="shared" si="49"/>
        <v>600</v>
      </c>
      <c r="Q140" s="310">
        <f>SUM(Q141)</f>
        <v>30000</v>
      </c>
      <c r="R140" s="310">
        <f t="shared" si="50"/>
        <v>30600</v>
      </c>
      <c r="S140" s="310">
        <f>SUM(S141)</f>
        <v>4400</v>
      </c>
      <c r="T140" s="310">
        <f t="shared" si="51"/>
        <v>35000</v>
      </c>
      <c r="U140" s="310">
        <f>SUM(U141)</f>
        <v>0</v>
      </c>
      <c r="V140" s="310">
        <f t="shared" si="52"/>
        <v>35000</v>
      </c>
      <c r="W140" s="310">
        <f>SUM(W141)</f>
        <v>0</v>
      </c>
      <c r="X140" s="310">
        <f t="shared" si="53"/>
        <v>35000</v>
      </c>
      <c r="Y140" s="310">
        <f>SUM(Y141)</f>
        <v>0</v>
      </c>
      <c r="Z140" s="310">
        <f t="shared" si="54"/>
        <v>35000</v>
      </c>
    </row>
    <row r="141" spans="1:26" s="27" customFormat="1" ht="22.5">
      <c r="A141" s="87"/>
      <c r="B141" s="87">
        <v>92605</v>
      </c>
      <c r="C141" s="324"/>
      <c r="D141" s="172" t="s">
        <v>189</v>
      </c>
      <c r="E141" s="173"/>
      <c r="F141" s="173"/>
      <c r="G141" s="173"/>
      <c r="H141" s="173">
        <f>SUM(H142)</f>
        <v>0</v>
      </c>
      <c r="I141" s="173">
        <f>SUM(I142)</f>
        <v>600</v>
      </c>
      <c r="J141" s="173">
        <f t="shared" si="18"/>
        <v>600</v>
      </c>
      <c r="K141" s="173">
        <f>SUM(K142)</f>
        <v>0</v>
      </c>
      <c r="L141" s="173">
        <f t="shared" si="19"/>
        <v>600</v>
      </c>
      <c r="M141" s="173">
        <f>SUM(M142)</f>
        <v>0</v>
      </c>
      <c r="N141" s="173">
        <f t="shared" si="20"/>
        <v>600</v>
      </c>
      <c r="O141" s="173">
        <f>SUM(O142)</f>
        <v>0</v>
      </c>
      <c r="P141" s="173">
        <f aca="true" t="shared" si="55" ref="P141:V141">SUM(P142:P143)</f>
        <v>600</v>
      </c>
      <c r="Q141" s="173">
        <f t="shared" si="55"/>
        <v>30000</v>
      </c>
      <c r="R141" s="173">
        <f t="shared" si="55"/>
        <v>30600</v>
      </c>
      <c r="S141" s="173">
        <f t="shared" si="55"/>
        <v>4400</v>
      </c>
      <c r="T141" s="173">
        <f t="shared" si="55"/>
        <v>35000</v>
      </c>
      <c r="U141" s="173">
        <f t="shared" si="55"/>
        <v>0</v>
      </c>
      <c r="V141" s="173">
        <f t="shared" si="55"/>
        <v>35000</v>
      </c>
      <c r="W141" s="173">
        <f>SUM(W142:W143)</f>
        <v>0</v>
      </c>
      <c r="X141" s="173">
        <f>SUM(X142:X143)</f>
        <v>35000</v>
      </c>
      <c r="Y141" s="173">
        <f>SUM(Y142:Y143)</f>
        <v>0</v>
      </c>
      <c r="Z141" s="173">
        <f>SUM(Z142:Z143)</f>
        <v>35000</v>
      </c>
    </row>
    <row r="142" spans="1:26" s="27" customFormat="1" ht="48.75" customHeight="1">
      <c r="A142" s="87"/>
      <c r="B142" s="87"/>
      <c r="C142" s="324">
        <v>2320</v>
      </c>
      <c r="D142" s="172" t="s">
        <v>665</v>
      </c>
      <c r="E142" s="173"/>
      <c r="F142" s="173"/>
      <c r="G142" s="173"/>
      <c r="H142" s="173">
        <v>0</v>
      </c>
      <c r="I142" s="173">
        <f>600</f>
        <v>600</v>
      </c>
      <c r="J142" s="173">
        <f t="shared" si="18"/>
        <v>600</v>
      </c>
      <c r="K142" s="173"/>
      <c r="L142" s="173">
        <f t="shared" si="19"/>
        <v>600</v>
      </c>
      <c r="M142" s="173">
        <v>0</v>
      </c>
      <c r="N142" s="173">
        <f t="shared" si="20"/>
        <v>600</v>
      </c>
      <c r="O142" s="173">
        <v>0</v>
      </c>
      <c r="P142" s="173">
        <f t="shared" si="49"/>
        <v>600</v>
      </c>
      <c r="Q142" s="173">
        <v>0</v>
      </c>
      <c r="R142" s="173">
        <f t="shared" si="50"/>
        <v>600</v>
      </c>
      <c r="S142" s="173">
        <f>1500+200+1000+1500+200</f>
        <v>4400</v>
      </c>
      <c r="T142" s="173">
        <f>SUM(R142:S142)</f>
        <v>5000</v>
      </c>
      <c r="U142" s="173">
        <v>0</v>
      </c>
      <c r="V142" s="173">
        <f>SUM(T142:U142)</f>
        <v>5000</v>
      </c>
      <c r="W142" s="173">
        <v>0</v>
      </c>
      <c r="X142" s="173">
        <f>SUM(V142:W142)</f>
        <v>5000</v>
      </c>
      <c r="Y142" s="173">
        <v>0</v>
      </c>
      <c r="Z142" s="173">
        <f>SUM(X142:Y142)</f>
        <v>5000</v>
      </c>
    </row>
    <row r="143" spans="1:26" s="27" customFormat="1" ht="42" customHeight="1">
      <c r="A143" s="87"/>
      <c r="B143" s="87"/>
      <c r="C143" s="324">
        <v>2440</v>
      </c>
      <c r="D143" s="172" t="s">
        <v>327</v>
      </c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>
        <v>0</v>
      </c>
      <c r="Q143" s="173">
        <v>30000</v>
      </c>
      <c r="R143" s="173">
        <f t="shared" si="50"/>
        <v>30000</v>
      </c>
      <c r="S143" s="173">
        <v>0</v>
      </c>
      <c r="T143" s="173">
        <f>SUM(R143:S143)</f>
        <v>30000</v>
      </c>
      <c r="U143" s="173">
        <v>0</v>
      </c>
      <c r="V143" s="173">
        <f>SUM(T143:U143)</f>
        <v>30000</v>
      </c>
      <c r="W143" s="173">
        <v>0</v>
      </c>
      <c r="X143" s="173">
        <f>SUM(V143:W143)</f>
        <v>30000</v>
      </c>
      <c r="Y143" s="173">
        <v>0</v>
      </c>
      <c r="Z143" s="173">
        <f>SUM(X143:Y143)</f>
        <v>30000</v>
      </c>
    </row>
    <row r="144" spans="1:26" ht="26.25" customHeight="1">
      <c r="A144" s="15"/>
      <c r="B144" s="16"/>
      <c r="C144" s="325"/>
      <c r="D144" s="326" t="s">
        <v>190</v>
      </c>
      <c r="E144" s="310">
        <f>SUM(E13,E16,E19,E27,E33,E38,E42,E75,E101,E123,E131,E84)</f>
        <v>46368256</v>
      </c>
      <c r="F144" s="310">
        <f>SUM(F13,F16,F19,F27,F33,F38,F42,F75,F101,F123,F131,F84)</f>
        <v>229617</v>
      </c>
      <c r="G144" s="310">
        <f>SUM(G13,G16,G19,G27,G33,G38,G42,G75,G101,G123,G131,G84)</f>
        <v>228717</v>
      </c>
      <c r="H144" s="310">
        <f>SUM(H140,H131,H123,H101,H84,H75,H42,H33,H38,H27,H19,H16,H13)</f>
        <v>46369156</v>
      </c>
      <c r="I144" s="310">
        <f>SUM(I140,I131,I123,I101,I84,I75,I42,I33,I38,I27,I19,I16,I13)</f>
        <v>-448169</v>
      </c>
      <c r="J144" s="310">
        <f t="shared" si="18"/>
        <v>45920987</v>
      </c>
      <c r="K144" s="310">
        <f>SUM(K140,K131,K123,K101,K84,K75,K42,K33,K38,K27,K19,K16,K13)</f>
        <v>0</v>
      </c>
      <c r="L144" s="310">
        <f aca="true" t="shared" si="56" ref="L144:Z144">SUM(L140,L131,L123,L120,L101,L84,L75,L42,L38,L33,L27,L19,L16,L13,L8,)</f>
        <v>45920987</v>
      </c>
      <c r="M144" s="310">
        <f t="shared" si="56"/>
        <v>244241</v>
      </c>
      <c r="N144" s="310">
        <f t="shared" si="56"/>
        <v>46165228</v>
      </c>
      <c r="O144" s="310">
        <f t="shared" si="56"/>
        <v>366151</v>
      </c>
      <c r="P144" s="310">
        <f t="shared" si="56"/>
        <v>46531379</v>
      </c>
      <c r="Q144" s="310">
        <f t="shared" si="56"/>
        <v>30000</v>
      </c>
      <c r="R144" s="310">
        <f t="shared" si="56"/>
        <v>46561379</v>
      </c>
      <c r="S144" s="310">
        <f t="shared" si="56"/>
        <v>4172675</v>
      </c>
      <c r="T144" s="310">
        <f t="shared" si="56"/>
        <v>50734054</v>
      </c>
      <c r="U144" s="310">
        <f t="shared" si="56"/>
        <v>40107</v>
      </c>
      <c r="V144" s="310">
        <f t="shared" si="56"/>
        <v>50774161</v>
      </c>
      <c r="W144" s="310">
        <f t="shared" si="56"/>
        <v>13917</v>
      </c>
      <c r="X144" s="310">
        <f t="shared" si="56"/>
        <v>50788078</v>
      </c>
      <c r="Y144" s="310">
        <f t="shared" si="56"/>
        <v>165348</v>
      </c>
      <c r="Z144" s="310">
        <f t="shared" si="56"/>
        <v>50953426</v>
      </c>
    </row>
    <row r="146" ht="12.75">
      <c r="D146" s="328"/>
    </row>
    <row r="147" spans="4:7" ht="12.75">
      <c r="D147" s="328"/>
      <c r="G147" s="330">
        <f>SUM(F144-G144)</f>
        <v>900</v>
      </c>
    </row>
    <row r="148" ht="12.75">
      <c r="D148" s="328"/>
    </row>
    <row r="149" spans="4:10" ht="12.75">
      <c r="D149" s="328"/>
      <c r="I149" s="329">
        <v>13700</v>
      </c>
      <c r="J149" s="329" t="s">
        <v>547</v>
      </c>
    </row>
    <row r="150" spans="4:23" ht="12.75">
      <c r="D150" s="328"/>
      <c r="J150" s="329" t="s">
        <v>546</v>
      </c>
      <c r="S150" s="330">
        <v>40648</v>
      </c>
      <c r="T150" s="329" t="s">
        <v>714</v>
      </c>
      <c r="U150" s="330"/>
      <c r="W150" s="330"/>
    </row>
    <row r="151" spans="4:23" ht="12.75">
      <c r="D151" s="328"/>
      <c r="J151" s="329" t="s">
        <v>545</v>
      </c>
      <c r="S151" s="330">
        <v>1598781</v>
      </c>
      <c r="T151" s="329" t="s">
        <v>715</v>
      </c>
      <c r="U151" s="330"/>
      <c r="W151" s="330"/>
    </row>
    <row r="152" spans="4:20" ht="12.75">
      <c r="D152" s="328"/>
      <c r="S152" s="329">
        <v>14000</v>
      </c>
      <c r="T152" s="329" t="s">
        <v>716</v>
      </c>
    </row>
    <row r="153" ht="12.75">
      <c r="D153" s="328"/>
    </row>
    <row r="154" spans="4:20" ht="12.75">
      <c r="D154" s="328"/>
      <c r="S154" s="329">
        <v>7000</v>
      </c>
      <c r="T154" s="329" t="s">
        <v>717</v>
      </c>
    </row>
    <row r="155" spans="4:20" ht="12.75">
      <c r="D155" s="328"/>
      <c r="S155" s="329">
        <v>500000</v>
      </c>
      <c r="T155" s="329" t="s">
        <v>718</v>
      </c>
    </row>
    <row r="156" spans="4:20" ht="12.75">
      <c r="D156" s="328"/>
      <c r="S156" s="329">
        <v>18500</v>
      </c>
      <c r="T156" s="329" t="s">
        <v>719</v>
      </c>
    </row>
    <row r="157" spans="4:20" ht="12.75">
      <c r="D157" s="328"/>
      <c r="S157" s="329">
        <v>780000</v>
      </c>
      <c r="T157" s="329" t="s">
        <v>24</v>
      </c>
    </row>
    <row r="158" spans="4:20" ht="12.75">
      <c r="D158" s="328"/>
      <c r="S158" s="329">
        <v>40000</v>
      </c>
      <c r="T158" s="329" t="s">
        <v>28</v>
      </c>
    </row>
    <row r="159" ht="12.75">
      <c r="D159" s="328"/>
    </row>
    <row r="160" ht="12.75">
      <c r="D160" s="328"/>
    </row>
    <row r="161" ht="12.75">
      <c r="D161" s="328"/>
    </row>
    <row r="162" spans="4:25" ht="12.75">
      <c r="D162" s="328"/>
      <c r="S162" s="329">
        <v>86839</v>
      </c>
      <c r="T162" s="329" t="s">
        <v>35</v>
      </c>
      <c r="Y162" s="330"/>
    </row>
    <row r="163" spans="4:20" ht="12.75">
      <c r="D163" s="328"/>
      <c r="S163" s="329">
        <v>3400</v>
      </c>
      <c r="T163" s="329" t="s">
        <v>58</v>
      </c>
    </row>
    <row r="164" spans="4:25" ht="12.75">
      <c r="D164" s="328"/>
      <c r="S164" s="329">
        <v>7</v>
      </c>
      <c r="T164" s="329" t="s">
        <v>72</v>
      </c>
      <c r="Y164" s="330"/>
    </row>
    <row r="165" spans="4:19" ht="12.75">
      <c r="D165" s="328"/>
      <c r="S165" s="329">
        <v>255000</v>
      </c>
    </row>
    <row r="166" spans="4:19" ht="12.75">
      <c r="D166" s="328"/>
      <c r="S166" s="329">
        <v>600000</v>
      </c>
    </row>
    <row r="167" spans="4:20" ht="12.75">
      <c r="D167" s="328"/>
      <c r="S167" s="329">
        <v>178500</v>
      </c>
      <c r="T167" s="329" t="s">
        <v>71</v>
      </c>
    </row>
    <row r="168" spans="4:20" ht="12.75">
      <c r="D168" s="328"/>
      <c r="S168" s="329">
        <v>50000</v>
      </c>
      <c r="T168" s="329" t="s">
        <v>71</v>
      </c>
    </row>
    <row r="169" spans="4:25" ht="12.75">
      <c r="D169" s="328"/>
      <c r="I169" s="329">
        <v>7900</v>
      </c>
      <c r="J169" s="329" t="s">
        <v>548</v>
      </c>
      <c r="S169" s="330">
        <f>SUM(S150:S168)</f>
        <v>4172675</v>
      </c>
      <c r="U169" s="330"/>
      <c r="W169" s="330"/>
      <c r="Y169" s="330"/>
    </row>
    <row r="170" spans="4:19" ht="12.75">
      <c r="D170" s="328"/>
      <c r="J170" s="329" t="s">
        <v>549</v>
      </c>
      <c r="S170" s="329">
        <v>1359500</v>
      </c>
    </row>
    <row r="171" spans="4:25" ht="12.75">
      <c r="D171" s="328"/>
      <c r="J171" s="329" t="s">
        <v>550</v>
      </c>
      <c r="S171" s="330">
        <f>SUM(S169-S170)</f>
        <v>2813175</v>
      </c>
      <c r="U171" s="330"/>
      <c r="W171" s="330"/>
      <c r="Y171" s="330"/>
    </row>
    <row r="172" spans="4:10" ht="12.75">
      <c r="D172" s="328"/>
      <c r="J172" s="329" t="s">
        <v>551</v>
      </c>
    </row>
    <row r="173" spans="4:10" ht="12.75">
      <c r="D173" s="328"/>
      <c r="I173" s="329">
        <v>25451</v>
      </c>
      <c r="J173" s="329" t="s">
        <v>552</v>
      </c>
    </row>
    <row r="174" spans="4:25" ht="12.75">
      <c r="D174" s="328"/>
      <c r="I174" s="330">
        <f>SUM(I149:I173)</f>
        <v>47051</v>
      </c>
      <c r="K174" s="330"/>
      <c r="M174" s="330"/>
      <c r="O174" s="330"/>
      <c r="Q174" s="330"/>
      <c r="S174" s="330"/>
      <c r="U174" s="330"/>
      <c r="W174" s="330"/>
      <c r="Y174" s="330"/>
    </row>
    <row r="175" ht="12.75">
      <c r="D175" s="328"/>
    </row>
    <row r="176" ht="12.75">
      <c r="D176" s="328"/>
    </row>
    <row r="177" ht="12.75">
      <c r="D177" s="331"/>
    </row>
    <row r="190" spans="5:26" ht="12.75"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330"/>
      <c r="X190" s="330"/>
      <c r="Y190" s="330"/>
      <c r="Z190" s="330"/>
    </row>
    <row r="191" spans="5:26" ht="12.75"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  <c r="X191" s="330"/>
      <c r="Y191" s="330"/>
      <c r="Z191" s="330"/>
    </row>
  </sheetData>
  <sheetProtection/>
  <printOptions horizontalCentered="1"/>
  <pageMargins left="0.44" right="0.47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A1" sqref="A1:AJ17"/>
    </sheetView>
  </sheetViews>
  <sheetFormatPr defaultColWidth="9.00390625" defaultRowHeight="12.75"/>
  <cols>
    <col min="1" max="1" width="5.125" style="27" customWidth="1"/>
    <col min="2" max="2" width="36.375" style="27" customWidth="1"/>
    <col min="3" max="4" width="10.00390625" style="27" hidden="1" customWidth="1"/>
    <col min="5" max="5" width="9.75390625" style="27" hidden="1" customWidth="1"/>
    <col min="6" max="6" width="9.25390625" style="27" hidden="1" customWidth="1"/>
    <col min="7" max="8" width="11.25390625" style="27" hidden="1" customWidth="1"/>
    <col min="9" max="9" width="17.125" style="27" hidden="1" customWidth="1"/>
    <col min="10" max="10" width="9.125" style="27" hidden="1" customWidth="1"/>
    <col min="11" max="12" width="11.25390625" style="27" hidden="1" customWidth="1"/>
    <col min="13" max="13" width="13.625" style="27" hidden="1" customWidth="1"/>
    <col min="14" max="14" width="12.875" style="27" hidden="1" customWidth="1"/>
    <col min="15" max="15" width="12.375" style="27" hidden="1" customWidth="1"/>
    <col min="16" max="16" width="9.125" style="27" hidden="1" customWidth="1"/>
    <col min="17" max="17" width="10.125" style="27" hidden="1" customWidth="1"/>
    <col min="18" max="18" width="34.875" style="27" hidden="1" customWidth="1"/>
    <col min="19" max="20" width="11.25390625" style="27" hidden="1" customWidth="1"/>
    <col min="21" max="21" width="10.125" style="27" hidden="1" customWidth="1"/>
    <col min="22" max="22" width="34.875" style="27" hidden="1" customWidth="1"/>
    <col min="23" max="24" width="11.25390625" style="27" hidden="1" customWidth="1"/>
    <col min="25" max="25" width="10.125" style="27" hidden="1" customWidth="1"/>
    <col min="26" max="26" width="36.25390625" style="27" hidden="1" customWidth="1"/>
    <col min="27" max="27" width="12.75390625" style="27" hidden="1" customWidth="1"/>
    <col min="28" max="28" width="12.25390625" style="27" hidden="1" customWidth="1"/>
    <col min="29" max="29" width="12.00390625" style="27" hidden="1" customWidth="1"/>
    <col min="30" max="30" width="13.875" style="27" hidden="1" customWidth="1"/>
    <col min="31" max="31" width="12.375" style="27" customWidth="1"/>
    <col min="32" max="32" width="12.625" style="27" customWidth="1"/>
    <col min="33" max="33" width="12.00390625" style="27" customWidth="1"/>
    <col min="34" max="34" width="13.875" style="27" customWidth="1"/>
    <col min="35" max="35" width="12.375" style="27" customWidth="1"/>
    <col min="36" max="36" width="12.625" style="27" customWidth="1"/>
  </cols>
  <sheetData>
    <row r="1" spans="3:36" ht="12.75">
      <c r="C1" s="70"/>
      <c r="G1" s="123" t="s">
        <v>365</v>
      </c>
      <c r="H1" s="70"/>
      <c r="I1" s="70" t="s">
        <v>401</v>
      </c>
      <c r="J1" s="123"/>
      <c r="K1" s="123"/>
      <c r="L1" s="70"/>
      <c r="M1" s="70"/>
      <c r="N1" s="123"/>
      <c r="O1" s="123"/>
      <c r="P1" s="123"/>
      <c r="Q1" s="70"/>
      <c r="R1" s="123" t="s">
        <v>592</v>
      </c>
      <c r="S1" s="123"/>
      <c r="T1" s="70"/>
      <c r="U1" s="70"/>
      <c r="V1" s="123" t="s">
        <v>656</v>
      </c>
      <c r="W1" s="123"/>
      <c r="X1" s="70"/>
      <c r="Y1" s="70"/>
      <c r="Z1" s="123" t="s">
        <v>699</v>
      </c>
      <c r="AA1" s="123"/>
      <c r="AB1" s="70"/>
      <c r="AC1" s="70"/>
      <c r="AD1" s="123" t="s">
        <v>81</v>
      </c>
      <c r="AE1" s="123"/>
      <c r="AF1" s="70"/>
      <c r="AG1" s="70"/>
      <c r="AH1" s="123" t="s">
        <v>37</v>
      </c>
      <c r="AI1" s="123"/>
      <c r="AJ1" s="70"/>
    </row>
    <row r="2" spans="3:36" ht="12.75">
      <c r="C2" s="70"/>
      <c r="G2" s="123" t="s">
        <v>364</v>
      </c>
      <c r="H2" s="70"/>
      <c r="I2" s="70" t="s">
        <v>527</v>
      </c>
      <c r="J2" s="123"/>
      <c r="K2" s="123"/>
      <c r="L2" s="70"/>
      <c r="M2" s="70"/>
      <c r="N2" s="123"/>
      <c r="O2" s="123"/>
      <c r="P2" s="123"/>
      <c r="Q2" s="70"/>
      <c r="R2" s="123" t="s">
        <v>532</v>
      </c>
      <c r="S2" s="123"/>
      <c r="T2" s="70"/>
      <c r="U2" s="70"/>
      <c r="V2" s="123" t="s">
        <v>637</v>
      </c>
      <c r="W2" s="123"/>
      <c r="X2" s="70"/>
      <c r="Y2" s="70"/>
      <c r="Z2" s="123" t="s">
        <v>693</v>
      </c>
      <c r="AA2" s="123"/>
      <c r="AB2" s="70"/>
      <c r="AC2" s="70"/>
      <c r="AD2" s="123" t="s">
        <v>74</v>
      </c>
      <c r="AE2" s="123"/>
      <c r="AF2" s="70"/>
      <c r="AG2" s="70"/>
      <c r="AH2" s="123" t="s">
        <v>381</v>
      </c>
      <c r="AI2" s="123"/>
      <c r="AJ2" s="70"/>
    </row>
    <row r="3" spans="3:36" ht="12.75">
      <c r="C3" s="70"/>
      <c r="G3" s="123" t="s">
        <v>358</v>
      </c>
      <c r="H3" s="70"/>
      <c r="I3" s="70" t="s">
        <v>280</v>
      </c>
      <c r="J3" s="123"/>
      <c r="K3" s="123"/>
      <c r="L3" s="70"/>
      <c r="M3" s="70"/>
      <c r="N3" s="123"/>
      <c r="O3" s="123"/>
      <c r="P3" s="123"/>
      <c r="Q3" s="70"/>
      <c r="R3" s="123" t="s">
        <v>584</v>
      </c>
      <c r="S3" s="123"/>
      <c r="T3" s="70"/>
      <c r="U3" s="70"/>
      <c r="V3" s="123" t="s">
        <v>592</v>
      </c>
      <c r="W3" s="123"/>
      <c r="X3" s="70"/>
      <c r="Y3" s="70"/>
      <c r="Z3" s="123" t="s">
        <v>656</v>
      </c>
      <c r="AA3" s="123"/>
      <c r="AB3" s="70"/>
      <c r="AC3" s="70"/>
      <c r="AD3" s="123" t="s">
        <v>699</v>
      </c>
      <c r="AE3" s="123"/>
      <c r="AF3" s="70"/>
      <c r="AG3" s="70"/>
      <c r="AH3" s="123" t="s">
        <v>81</v>
      </c>
      <c r="AI3" s="123"/>
      <c r="AJ3" s="70"/>
    </row>
    <row r="4" spans="3:36" ht="12.75">
      <c r="C4" s="70"/>
      <c r="G4" s="123" t="s">
        <v>359</v>
      </c>
      <c r="H4" s="70"/>
      <c r="I4" s="70" t="s">
        <v>522</v>
      </c>
      <c r="J4" s="123"/>
      <c r="K4" s="123"/>
      <c r="L4" s="70"/>
      <c r="M4" s="70"/>
      <c r="N4" s="123"/>
      <c r="O4" s="123"/>
      <c r="P4" s="123"/>
      <c r="Q4" s="70"/>
      <c r="R4" s="123" t="s">
        <v>534</v>
      </c>
      <c r="S4" s="123"/>
      <c r="T4" s="70"/>
      <c r="U4" s="70"/>
      <c r="V4" s="123" t="s">
        <v>595</v>
      </c>
      <c r="W4" s="123"/>
      <c r="X4" s="70"/>
      <c r="Y4" s="70"/>
      <c r="Z4" s="123" t="s">
        <v>668</v>
      </c>
      <c r="AA4" s="123"/>
      <c r="AB4" s="70"/>
      <c r="AC4" s="70"/>
      <c r="AD4" s="123" t="s">
        <v>701</v>
      </c>
      <c r="AE4" s="123"/>
      <c r="AF4" s="70"/>
      <c r="AG4" s="70"/>
      <c r="AH4" s="123" t="s">
        <v>101</v>
      </c>
      <c r="AI4" s="123"/>
      <c r="AJ4" s="70"/>
    </row>
    <row r="5" spans="3:36" ht="12.75">
      <c r="C5" s="70"/>
      <c r="G5" s="123"/>
      <c r="H5" s="70"/>
      <c r="I5" s="70"/>
      <c r="J5" s="123"/>
      <c r="K5" s="123"/>
      <c r="L5" s="70"/>
      <c r="M5" s="70"/>
      <c r="N5" s="123"/>
      <c r="O5" s="123"/>
      <c r="P5" s="123"/>
      <c r="Q5" s="70"/>
      <c r="R5" s="123"/>
      <c r="S5" s="123"/>
      <c r="T5" s="70"/>
      <c r="U5" s="70"/>
      <c r="V5" s="123"/>
      <c r="W5" s="123"/>
      <c r="X5" s="70"/>
      <c r="Y5" s="70"/>
      <c r="Z5" s="123"/>
      <c r="AA5" s="123"/>
      <c r="AB5" s="70"/>
      <c r="AC5" s="70"/>
      <c r="AD5" s="123"/>
      <c r="AE5" s="123"/>
      <c r="AF5" s="70"/>
      <c r="AG5" s="70"/>
      <c r="AH5" s="123"/>
      <c r="AI5" s="123"/>
      <c r="AJ5" s="70"/>
    </row>
    <row r="6" spans="1:34" s="33" customFormat="1" ht="21.75" customHeight="1">
      <c r="A6" s="411" t="s">
        <v>555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332"/>
    </row>
    <row r="7" spans="1:33" s="33" customFormat="1" ht="12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U7" s="241"/>
      <c r="Y7" s="241"/>
      <c r="AC7" s="241"/>
      <c r="AG7" s="241"/>
    </row>
    <row r="8" spans="1:36" s="8" customFormat="1" ht="20.25" customHeight="1">
      <c r="A8" s="408" t="s">
        <v>114</v>
      </c>
      <c r="B8" s="408" t="s">
        <v>115</v>
      </c>
      <c r="C8" s="410" t="s">
        <v>271</v>
      </c>
      <c r="D8" s="410"/>
      <c r="E8" s="410" t="s">
        <v>351</v>
      </c>
      <c r="F8" s="410"/>
      <c r="G8" s="410" t="s">
        <v>270</v>
      </c>
      <c r="H8" s="410"/>
      <c r="I8" s="410" t="s">
        <v>351</v>
      </c>
      <c r="J8" s="410"/>
      <c r="K8" s="408" t="s">
        <v>558</v>
      </c>
      <c r="L8" s="408"/>
      <c r="M8" s="410" t="s">
        <v>351</v>
      </c>
      <c r="N8" s="410"/>
      <c r="O8" s="410" t="s">
        <v>357</v>
      </c>
      <c r="P8" s="410"/>
      <c r="Q8" s="410" t="s">
        <v>351</v>
      </c>
      <c r="R8" s="410"/>
      <c r="S8" s="408" t="s">
        <v>558</v>
      </c>
      <c r="T8" s="408"/>
      <c r="U8" s="410" t="s">
        <v>351</v>
      </c>
      <c r="V8" s="410"/>
      <c r="W8" s="408" t="s">
        <v>558</v>
      </c>
      <c r="X8" s="408"/>
      <c r="Y8" s="408" t="s">
        <v>557</v>
      </c>
      <c r="Z8" s="408"/>
      <c r="AA8" s="408" t="s">
        <v>704</v>
      </c>
      <c r="AB8" s="408"/>
      <c r="AC8" s="408" t="s">
        <v>557</v>
      </c>
      <c r="AD8" s="408"/>
      <c r="AE8" s="408" t="s">
        <v>558</v>
      </c>
      <c r="AF8" s="408"/>
      <c r="AG8" s="408" t="s">
        <v>557</v>
      </c>
      <c r="AH8" s="408"/>
      <c r="AI8" s="408" t="s">
        <v>559</v>
      </c>
      <c r="AJ8" s="408"/>
    </row>
    <row r="9" spans="1:36" s="8" customFormat="1" ht="21" customHeight="1">
      <c r="A9" s="408"/>
      <c r="B9" s="408"/>
      <c r="C9" s="127" t="s">
        <v>272</v>
      </c>
      <c r="D9" s="127" t="s">
        <v>273</v>
      </c>
      <c r="E9" s="127" t="s">
        <v>272</v>
      </c>
      <c r="F9" s="127" t="s">
        <v>273</v>
      </c>
      <c r="G9" s="127" t="s">
        <v>272</v>
      </c>
      <c r="H9" s="127" t="s">
        <v>273</v>
      </c>
      <c r="I9" s="127" t="s">
        <v>272</v>
      </c>
      <c r="J9" s="127" t="s">
        <v>273</v>
      </c>
      <c r="K9" s="127" t="s">
        <v>272</v>
      </c>
      <c r="L9" s="127" t="s">
        <v>273</v>
      </c>
      <c r="M9" s="127" t="s">
        <v>272</v>
      </c>
      <c r="N9" s="127" t="s">
        <v>273</v>
      </c>
      <c r="O9" s="127" t="s">
        <v>272</v>
      </c>
      <c r="P9" s="127" t="s">
        <v>273</v>
      </c>
      <c r="Q9" s="127" t="s">
        <v>272</v>
      </c>
      <c r="R9" s="127" t="s">
        <v>273</v>
      </c>
      <c r="S9" s="127" t="s">
        <v>272</v>
      </c>
      <c r="T9" s="127" t="s">
        <v>273</v>
      </c>
      <c r="U9" s="127" t="s">
        <v>272</v>
      </c>
      <c r="V9" s="127" t="s">
        <v>273</v>
      </c>
      <c r="W9" s="127" t="s">
        <v>272</v>
      </c>
      <c r="X9" s="127" t="s">
        <v>273</v>
      </c>
      <c r="Y9" s="127" t="s">
        <v>272</v>
      </c>
      <c r="Z9" s="127" t="s">
        <v>273</v>
      </c>
      <c r="AA9" s="127" t="s">
        <v>272</v>
      </c>
      <c r="AB9" s="127" t="s">
        <v>273</v>
      </c>
      <c r="AC9" s="127" t="s">
        <v>272</v>
      </c>
      <c r="AD9" s="127" t="s">
        <v>273</v>
      </c>
      <c r="AE9" s="127" t="s">
        <v>272</v>
      </c>
      <c r="AF9" s="127" t="s">
        <v>273</v>
      </c>
      <c r="AG9" s="127" t="s">
        <v>272</v>
      </c>
      <c r="AH9" s="127" t="s">
        <v>273</v>
      </c>
      <c r="AI9" s="127" t="s">
        <v>272</v>
      </c>
      <c r="AJ9" s="127" t="s">
        <v>273</v>
      </c>
    </row>
    <row r="10" spans="1:36" s="8" customFormat="1" ht="49.5" customHeight="1" hidden="1">
      <c r="A10" s="2">
        <v>903</v>
      </c>
      <c r="B10" s="51" t="s">
        <v>371</v>
      </c>
      <c r="C10" s="127"/>
      <c r="D10" s="127"/>
      <c r="E10" s="127"/>
      <c r="F10" s="127"/>
      <c r="G10" s="127"/>
      <c r="H10" s="127"/>
      <c r="I10" s="127"/>
      <c r="J10" s="127"/>
      <c r="K10" s="21"/>
      <c r="L10" s="21"/>
      <c r="M10" s="21"/>
      <c r="N10" s="21"/>
      <c r="O10" s="9"/>
      <c r="P10" s="9"/>
      <c r="Q10" s="127"/>
      <c r="R10" s="127"/>
      <c r="S10" s="21"/>
      <c r="T10" s="21"/>
      <c r="U10" s="127"/>
      <c r="V10" s="127"/>
      <c r="W10" s="21"/>
      <c r="X10" s="21"/>
      <c r="Y10" s="127"/>
      <c r="Z10" s="127"/>
      <c r="AA10" s="21"/>
      <c r="AB10" s="21"/>
      <c r="AC10" s="127"/>
      <c r="AD10" s="127"/>
      <c r="AE10" s="21"/>
      <c r="AF10" s="21"/>
      <c r="AG10" s="127"/>
      <c r="AH10" s="127"/>
      <c r="AI10" s="21"/>
      <c r="AJ10" s="21"/>
    </row>
    <row r="11" spans="1:36" s="8" customFormat="1" ht="37.5" customHeight="1">
      <c r="A11" s="2">
        <v>952</v>
      </c>
      <c r="B11" s="51" t="s">
        <v>281</v>
      </c>
      <c r="C11" s="9">
        <v>5000000</v>
      </c>
      <c r="D11" s="9">
        <v>0</v>
      </c>
      <c r="E11" s="128">
        <f>452400+50000</f>
        <v>502400</v>
      </c>
      <c r="F11" s="128">
        <v>0</v>
      </c>
      <c r="G11" s="9">
        <f aca="true" t="shared" si="0" ref="G11:H15">SUM(C11+E11)</f>
        <v>5502400</v>
      </c>
      <c r="H11" s="9">
        <f t="shared" si="0"/>
        <v>0</v>
      </c>
      <c r="I11" s="9">
        <v>-53720</v>
      </c>
      <c r="J11" s="9">
        <f>SUM(F11+H11)</f>
        <v>0</v>
      </c>
      <c r="K11" s="9">
        <v>4930496</v>
      </c>
      <c r="L11" s="9">
        <v>0</v>
      </c>
      <c r="M11" s="9"/>
      <c r="N11" s="9"/>
      <c r="O11" s="9"/>
      <c r="P11" s="9"/>
      <c r="Q11" s="9">
        <v>0</v>
      </c>
      <c r="R11" s="9">
        <f>SUM(N11+P11)</f>
        <v>0</v>
      </c>
      <c r="S11" s="9">
        <f aca="true" t="shared" si="1" ref="S11:T16">SUM(K11,Q11)</f>
        <v>4930496</v>
      </c>
      <c r="T11" s="9">
        <f t="shared" si="1"/>
        <v>0</v>
      </c>
      <c r="U11" s="9">
        <v>0</v>
      </c>
      <c r="V11" s="9">
        <f>SUM(R11+T11)</f>
        <v>0</v>
      </c>
      <c r="W11" s="9">
        <f aca="true" t="shared" si="2" ref="W11:X16">SUM(S11,U11,)</f>
        <v>4930496</v>
      </c>
      <c r="X11" s="9">
        <f t="shared" si="2"/>
        <v>0</v>
      </c>
      <c r="Y11" s="9">
        <v>0</v>
      </c>
      <c r="Z11" s="9">
        <f>SUM(V11+X11)</f>
        <v>0</v>
      </c>
      <c r="AA11" s="9">
        <f aca="true" t="shared" si="3" ref="AA11:AB16">SUM(W11,Y11,)</f>
        <v>4930496</v>
      </c>
      <c r="AB11" s="9">
        <f t="shared" si="3"/>
        <v>0</v>
      </c>
      <c r="AC11" s="9">
        <v>0</v>
      </c>
      <c r="AD11" s="9">
        <f>SUM(Z11+AB11)</f>
        <v>0</v>
      </c>
      <c r="AE11" s="9">
        <f aca="true" t="shared" si="4" ref="AE11:AF16">SUM(AA11,AC11,)</f>
        <v>4930496</v>
      </c>
      <c r="AF11" s="9">
        <f t="shared" si="4"/>
        <v>0</v>
      </c>
      <c r="AG11" s="9">
        <v>0</v>
      </c>
      <c r="AH11" s="9">
        <f>SUM(AD11+AF11)</f>
        <v>0</v>
      </c>
      <c r="AI11" s="9">
        <f aca="true" t="shared" si="5" ref="AI11:AI16">SUM(AE11,AG11,)</f>
        <v>4930496</v>
      </c>
      <c r="AJ11" s="9">
        <f aca="true" t="shared" si="6" ref="AJ11:AJ16">SUM(AF11,AH11,)</f>
        <v>0</v>
      </c>
    </row>
    <row r="12" spans="1:36" s="8" customFormat="1" ht="36" customHeight="1">
      <c r="A12" s="2">
        <v>957</v>
      </c>
      <c r="B12" s="51" t="s">
        <v>556</v>
      </c>
      <c r="C12" s="9"/>
      <c r="D12" s="9"/>
      <c r="E12" s="128"/>
      <c r="F12" s="128"/>
      <c r="G12" s="9"/>
      <c r="H12" s="9"/>
      <c r="I12" s="9"/>
      <c r="J12" s="9"/>
      <c r="K12" s="9">
        <v>0</v>
      </c>
      <c r="L12" s="9">
        <v>0</v>
      </c>
      <c r="M12" s="9"/>
      <c r="N12" s="9"/>
      <c r="O12" s="9"/>
      <c r="P12" s="9"/>
      <c r="Q12" s="9">
        <v>970066</v>
      </c>
      <c r="R12" s="9">
        <v>0</v>
      </c>
      <c r="S12" s="9">
        <f t="shared" si="1"/>
        <v>970066</v>
      </c>
      <c r="T12" s="9">
        <f t="shared" si="1"/>
        <v>0</v>
      </c>
      <c r="U12" s="221">
        <f>153566+11000+500000</f>
        <v>664566</v>
      </c>
      <c r="V12" s="9">
        <v>0</v>
      </c>
      <c r="W12" s="9">
        <f t="shared" si="2"/>
        <v>1634632</v>
      </c>
      <c r="X12" s="9">
        <f t="shared" si="2"/>
        <v>0</v>
      </c>
      <c r="Y12" s="221">
        <f>13057+14000</f>
        <v>27057</v>
      </c>
      <c r="Z12" s="9">
        <v>0</v>
      </c>
      <c r="AA12" s="9">
        <f t="shared" si="3"/>
        <v>1661689</v>
      </c>
      <c r="AB12" s="9">
        <f t="shared" si="3"/>
        <v>0</v>
      </c>
      <c r="AC12" s="221"/>
      <c r="AD12" s="9">
        <v>0</v>
      </c>
      <c r="AE12" s="9">
        <f t="shared" si="4"/>
        <v>1661689</v>
      </c>
      <c r="AF12" s="9">
        <f t="shared" si="4"/>
        <v>0</v>
      </c>
      <c r="AG12" s="221">
        <v>510677</v>
      </c>
      <c r="AH12" s="9">
        <v>0</v>
      </c>
      <c r="AI12" s="9">
        <f t="shared" si="5"/>
        <v>2172366</v>
      </c>
      <c r="AJ12" s="9">
        <f t="shared" si="6"/>
        <v>0</v>
      </c>
    </row>
    <row r="13" spans="1:36" s="8" customFormat="1" ht="48">
      <c r="A13" s="2">
        <v>963</v>
      </c>
      <c r="B13" s="51" t="s">
        <v>53</v>
      </c>
      <c r="C13" s="9"/>
      <c r="D13" s="9"/>
      <c r="E13" s="128"/>
      <c r="F13" s="12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21"/>
      <c r="V13" s="9"/>
      <c r="W13" s="9"/>
      <c r="X13" s="9"/>
      <c r="Y13" s="221"/>
      <c r="Z13" s="9"/>
      <c r="AA13" s="9">
        <v>0</v>
      </c>
      <c r="AB13" s="9">
        <v>0</v>
      </c>
      <c r="AC13" s="221">
        <v>0</v>
      </c>
      <c r="AD13" s="9">
        <v>1517202</v>
      </c>
      <c r="AE13" s="9">
        <f t="shared" si="4"/>
        <v>0</v>
      </c>
      <c r="AF13" s="9">
        <f t="shared" si="4"/>
        <v>1517202</v>
      </c>
      <c r="AG13" s="221">
        <v>0</v>
      </c>
      <c r="AH13" s="9">
        <v>0</v>
      </c>
      <c r="AI13" s="9">
        <f t="shared" si="5"/>
        <v>0</v>
      </c>
      <c r="AJ13" s="9">
        <f t="shared" si="6"/>
        <v>1517202</v>
      </c>
    </row>
    <row r="14" spans="1:36" s="8" customFormat="1" ht="33" customHeight="1">
      <c r="A14" s="2">
        <v>982</v>
      </c>
      <c r="B14" s="51" t="s">
        <v>352</v>
      </c>
      <c r="C14" s="9"/>
      <c r="D14" s="9"/>
      <c r="E14" s="9"/>
      <c r="F14" s="9">
        <v>800000</v>
      </c>
      <c r="G14" s="9">
        <f t="shared" si="0"/>
        <v>0</v>
      </c>
      <c r="H14" s="9">
        <f t="shared" si="0"/>
        <v>800000</v>
      </c>
      <c r="I14" s="9">
        <f>SUM(E14+G14)</f>
        <v>0</v>
      </c>
      <c r="J14" s="9">
        <v>0</v>
      </c>
      <c r="K14" s="9">
        <v>0</v>
      </c>
      <c r="L14" s="9">
        <v>1950000</v>
      </c>
      <c r="M14" s="9"/>
      <c r="N14" s="9"/>
      <c r="O14" s="9"/>
      <c r="P14" s="9"/>
      <c r="Q14" s="9">
        <f>SUM(M14+O14)</f>
        <v>0</v>
      </c>
      <c r="R14" s="9">
        <v>0</v>
      </c>
      <c r="S14" s="9">
        <f t="shared" si="1"/>
        <v>0</v>
      </c>
      <c r="T14" s="9">
        <f t="shared" si="1"/>
        <v>1950000</v>
      </c>
      <c r="U14" s="9">
        <f>SUM(Q14+S14)</f>
        <v>0</v>
      </c>
      <c r="V14" s="9">
        <v>0</v>
      </c>
      <c r="W14" s="9">
        <f t="shared" si="2"/>
        <v>0</v>
      </c>
      <c r="X14" s="9">
        <f t="shared" si="2"/>
        <v>1950000</v>
      </c>
      <c r="Y14" s="9">
        <f>SUM(U14+W14)</f>
        <v>0</v>
      </c>
      <c r="Z14" s="9">
        <v>0</v>
      </c>
      <c r="AA14" s="9">
        <f t="shared" si="3"/>
        <v>0</v>
      </c>
      <c r="AB14" s="9">
        <f t="shared" si="3"/>
        <v>1950000</v>
      </c>
      <c r="AC14" s="9">
        <f>SUM(Y14+AA14)</f>
        <v>0</v>
      </c>
      <c r="AD14" s="9">
        <v>0</v>
      </c>
      <c r="AE14" s="9">
        <f t="shared" si="4"/>
        <v>0</v>
      </c>
      <c r="AF14" s="9">
        <f t="shared" si="4"/>
        <v>1950000</v>
      </c>
      <c r="AG14" s="9">
        <f>SUM(AC14+AE14)</f>
        <v>0</v>
      </c>
      <c r="AH14" s="9">
        <v>0</v>
      </c>
      <c r="AI14" s="9">
        <f t="shared" si="5"/>
        <v>0</v>
      </c>
      <c r="AJ14" s="9">
        <f t="shared" si="6"/>
        <v>1950000</v>
      </c>
    </row>
    <row r="15" spans="1:36" s="8" customFormat="1" ht="32.25" customHeight="1">
      <c r="A15" s="2">
        <v>992</v>
      </c>
      <c r="B15" s="51" t="s">
        <v>275</v>
      </c>
      <c r="C15" s="9">
        <v>0</v>
      </c>
      <c r="D15" s="9">
        <v>3938785</v>
      </c>
      <c r="E15" s="9">
        <v>0</v>
      </c>
      <c r="F15" s="9">
        <v>-800000</v>
      </c>
      <c r="G15" s="9">
        <f t="shared" si="0"/>
        <v>0</v>
      </c>
      <c r="H15" s="9">
        <f t="shared" si="0"/>
        <v>3138785</v>
      </c>
      <c r="I15" s="9">
        <f>SUM(E15+G15)</f>
        <v>0</v>
      </c>
      <c r="J15" s="9">
        <v>0</v>
      </c>
      <c r="K15" s="9">
        <v>0</v>
      </c>
      <c r="L15" s="9">
        <v>2722636</v>
      </c>
      <c r="M15" s="9"/>
      <c r="N15" s="9"/>
      <c r="O15" s="9"/>
      <c r="P15" s="9"/>
      <c r="Q15" s="9">
        <f>SUM(M15+O15)</f>
        <v>0</v>
      </c>
      <c r="R15" s="9">
        <v>171700</v>
      </c>
      <c r="S15" s="9">
        <f t="shared" si="1"/>
        <v>0</v>
      </c>
      <c r="T15" s="9">
        <f t="shared" si="1"/>
        <v>2894336</v>
      </c>
      <c r="U15" s="9">
        <f>SUM(Q15+S15)</f>
        <v>0</v>
      </c>
      <c r="V15" s="9"/>
      <c r="W15" s="9">
        <f t="shared" si="2"/>
        <v>0</v>
      </c>
      <c r="X15" s="9">
        <f t="shared" si="2"/>
        <v>2894336</v>
      </c>
      <c r="Y15" s="9">
        <f>SUM(U15+W15)</f>
        <v>0</v>
      </c>
      <c r="Z15" s="9">
        <v>0</v>
      </c>
      <c r="AA15" s="9">
        <f t="shared" si="3"/>
        <v>0</v>
      </c>
      <c r="AB15" s="9">
        <f t="shared" si="3"/>
        <v>2894336</v>
      </c>
      <c r="AC15" s="9">
        <f>SUM(Y15+AA15)</f>
        <v>0</v>
      </c>
      <c r="AD15" s="9">
        <v>0</v>
      </c>
      <c r="AE15" s="9">
        <f t="shared" si="4"/>
        <v>0</v>
      </c>
      <c r="AF15" s="9">
        <f t="shared" si="4"/>
        <v>2894336</v>
      </c>
      <c r="AG15" s="9">
        <v>0</v>
      </c>
      <c r="AH15" s="9">
        <v>56600</v>
      </c>
      <c r="AI15" s="9">
        <f t="shared" si="5"/>
        <v>0</v>
      </c>
      <c r="AJ15" s="9">
        <f t="shared" si="6"/>
        <v>2950936</v>
      </c>
    </row>
    <row r="16" spans="2:36" s="8" customFormat="1" ht="30" customHeight="1">
      <c r="B16" s="2" t="s">
        <v>190</v>
      </c>
      <c r="C16" s="412">
        <f>SUM(C11:C15)-SUM(D11:D15)</f>
        <v>1061215</v>
      </c>
      <c r="D16" s="412"/>
      <c r="E16" s="412">
        <f>SUM(E11:E15)-SUM(F11:F15)</f>
        <v>502400</v>
      </c>
      <c r="F16" s="412"/>
      <c r="G16" s="412">
        <f>SUM(G11:G15)-SUM(H11:H15)</f>
        <v>1563615</v>
      </c>
      <c r="H16" s="412"/>
      <c r="I16" s="412">
        <f>SUM(I11:I15)-SUM(J11:J15)</f>
        <v>-53720</v>
      </c>
      <c r="J16" s="412"/>
      <c r="K16" s="20">
        <f>K10+K11+K14+K15</f>
        <v>4930496</v>
      </c>
      <c r="L16" s="20">
        <f>L10+L11+L14+L15</f>
        <v>4672636</v>
      </c>
      <c r="M16" s="412"/>
      <c r="N16" s="412"/>
      <c r="O16" s="412"/>
      <c r="P16" s="412"/>
      <c r="Q16" s="20">
        <f>SUM(Q11:Q15)</f>
        <v>970066</v>
      </c>
      <c r="R16" s="20">
        <f>SUM(R11:R15)</f>
        <v>171700</v>
      </c>
      <c r="S16" s="36">
        <f t="shared" si="1"/>
        <v>5900562</v>
      </c>
      <c r="T16" s="36">
        <f t="shared" si="1"/>
        <v>4844336</v>
      </c>
      <c r="U16" s="20">
        <f>SUM(U11:U15)</f>
        <v>664566</v>
      </c>
      <c r="V16" s="20">
        <f>SUM(V11:V15)</f>
        <v>0</v>
      </c>
      <c r="W16" s="36">
        <f t="shared" si="2"/>
        <v>6565128</v>
      </c>
      <c r="X16" s="36">
        <f t="shared" si="2"/>
        <v>4844336</v>
      </c>
      <c r="Y16" s="49">
        <f>SUM(Y11:Y15)</f>
        <v>27057</v>
      </c>
      <c r="Z16" s="49">
        <f>SUM(Z11:Z15)</f>
        <v>0</v>
      </c>
      <c r="AA16" s="36">
        <f t="shared" si="3"/>
        <v>6592185</v>
      </c>
      <c r="AB16" s="36">
        <f t="shared" si="3"/>
        <v>4844336</v>
      </c>
      <c r="AC16" s="49">
        <f>SUM(AC11:AC15)</f>
        <v>0</v>
      </c>
      <c r="AD16" s="49">
        <f>SUM(AD11:AD15)</f>
        <v>1517202</v>
      </c>
      <c r="AE16" s="36">
        <f t="shared" si="4"/>
        <v>6592185</v>
      </c>
      <c r="AF16" s="36">
        <f t="shared" si="4"/>
        <v>6361538</v>
      </c>
      <c r="AG16" s="49">
        <f>SUM(AG11:AG15)</f>
        <v>510677</v>
      </c>
      <c r="AH16" s="49">
        <f>SUM(AH11:AH15)</f>
        <v>56600</v>
      </c>
      <c r="AI16" s="36">
        <f t="shared" si="5"/>
        <v>7102862</v>
      </c>
      <c r="AJ16" s="36">
        <f t="shared" si="6"/>
        <v>6418138</v>
      </c>
    </row>
    <row r="17" spans="2:36" ht="30" customHeight="1">
      <c r="B17" s="2" t="s">
        <v>274</v>
      </c>
      <c r="C17" s="66"/>
      <c r="D17" s="66"/>
      <c r="E17" s="66"/>
      <c r="F17" s="66"/>
      <c r="G17" s="66"/>
      <c r="H17" s="66"/>
      <c r="I17" s="66"/>
      <c r="J17" s="66"/>
      <c r="K17" s="409">
        <f>K16-L16</f>
        <v>257860</v>
      </c>
      <c r="L17" s="369"/>
      <c r="Q17" s="409">
        <f>SUM(Q16-R16)</f>
        <v>798366</v>
      </c>
      <c r="R17" s="369"/>
      <c r="S17" s="409">
        <f>S16-T16</f>
        <v>1056226</v>
      </c>
      <c r="T17" s="369"/>
      <c r="U17" s="409">
        <f>SUM(U11:U15)-SUM(V11:V15)</f>
        <v>664566</v>
      </c>
      <c r="V17" s="369"/>
      <c r="W17" s="409">
        <f>W16-X16</f>
        <v>1720792</v>
      </c>
      <c r="X17" s="369"/>
      <c r="Y17" s="409">
        <f>SUM(Y11:Y15)-SUM(Z11:Z15)</f>
        <v>27057</v>
      </c>
      <c r="Z17" s="369"/>
      <c r="AA17" s="409">
        <f>AA16-AB16</f>
        <v>1747849</v>
      </c>
      <c r="AB17" s="369"/>
      <c r="AC17" s="409">
        <f>SUM(AC11:AC15)-SUM(AD11:AD15)</f>
        <v>-1517202</v>
      </c>
      <c r="AD17" s="369"/>
      <c r="AE17" s="409">
        <f>AE16-AF16</f>
        <v>230647</v>
      </c>
      <c r="AF17" s="369"/>
      <c r="AG17" s="409">
        <f>SUM(AG11:AG15)-SUM(AH11:AH15)</f>
        <v>454077</v>
      </c>
      <c r="AH17" s="369"/>
      <c r="AI17" s="409">
        <f>AI16-AJ16</f>
        <v>684724</v>
      </c>
      <c r="AJ17" s="369"/>
    </row>
    <row r="20" spans="11:36" ht="12.75">
      <c r="K20" s="150"/>
      <c r="L20" s="150" t="s">
        <v>398</v>
      </c>
      <c r="S20" s="150"/>
      <c r="T20" s="150" t="s">
        <v>398</v>
      </c>
      <c r="W20" s="150"/>
      <c r="X20" s="150" t="s">
        <v>398</v>
      </c>
      <c r="AA20" s="150"/>
      <c r="AB20" s="150" t="s">
        <v>398</v>
      </c>
      <c r="AE20" s="150"/>
      <c r="AF20" s="150" t="s">
        <v>398</v>
      </c>
      <c r="AI20" s="150"/>
      <c r="AJ20" s="150" t="s">
        <v>398</v>
      </c>
    </row>
    <row r="21" spans="11:35" ht="12.75">
      <c r="K21" s="150"/>
      <c r="S21" s="150"/>
      <c r="W21" s="150"/>
      <c r="AA21" s="150"/>
      <c r="AE21" s="150"/>
      <c r="AI21" s="150"/>
    </row>
    <row r="22" spans="11:35" ht="12.75">
      <c r="K22" s="150"/>
      <c r="S22" s="150"/>
      <c r="W22" s="150"/>
      <c r="AA22" s="150"/>
      <c r="AE22" s="150"/>
      <c r="AI22" s="150"/>
    </row>
    <row r="23" spans="11:35" ht="12.75">
      <c r="K23" s="150"/>
      <c r="S23" s="150"/>
      <c r="W23" s="150"/>
      <c r="AA23" s="150"/>
      <c r="AE23" s="150"/>
      <c r="AI23" s="150"/>
    </row>
    <row r="24" spans="11:35" ht="12.75">
      <c r="K24" s="150"/>
      <c r="S24" s="150"/>
      <c r="W24" s="150"/>
      <c r="AA24" s="150"/>
      <c r="AE24" s="150"/>
      <c r="AI24" s="150"/>
    </row>
    <row r="25" spans="11:36" ht="12.75">
      <c r="K25" s="150"/>
      <c r="L25" s="150"/>
      <c r="S25" s="150"/>
      <c r="T25" s="150"/>
      <c r="W25" s="150"/>
      <c r="X25" s="150"/>
      <c r="AA25" s="150"/>
      <c r="AB25" s="150"/>
      <c r="AE25" s="150"/>
      <c r="AF25" s="150"/>
      <c r="AI25" s="150"/>
      <c r="AJ25" s="150"/>
    </row>
    <row r="26" spans="11:36" ht="12.75">
      <c r="K26" s="150"/>
      <c r="L26" s="150"/>
      <c r="S26" s="150"/>
      <c r="T26" s="150"/>
      <c r="W26" s="150"/>
      <c r="X26" s="150"/>
      <c r="AA26" s="150"/>
      <c r="AB26" s="150"/>
      <c r="AE26" s="150"/>
      <c r="AF26" s="150"/>
      <c r="AI26" s="150"/>
      <c r="AJ26" s="150"/>
    </row>
    <row r="27" spans="11:36" ht="12.75">
      <c r="K27" s="150"/>
      <c r="L27" s="150"/>
      <c r="S27" s="150"/>
      <c r="T27" s="150"/>
      <c r="W27" s="150"/>
      <c r="X27" s="150"/>
      <c r="AA27" s="150"/>
      <c r="AB27" s="150"/>
      <c r="AE27" s="150"/>
      <c r="AF27" s="150"/>
      <c r="AI27" s="150"/>
      <c r="AJ27" s="150"/>
    </row>
    <row r="28" spans="11:36" ht="12.75">
      <c r="K28" s="150"/>
      <c r="L28" s="150"/>
      <c r="S28" s="150"/>
      <c r="T28" s="150"/>
      <c r="W28" s="150"/>
      <c r="X28" s="150"/>
      <c r="AA28" s="150"/>
      <c r="AB28" s="150"/>
      <c r="AE28" s="150"/>
      <c r="AF28" s="150"/>
      <c r="AI28" s="150"/>
      <c r="AJ28" s="150"/>
    </row>
    <row r="29" spans="11:36" ht="12.75">
      <c r="K29" s="150"/>
      <c r="L29" s="150"/>
      <c r="S29" s="150"/>
      <c r="T29" s="150"/>
      <c r="W29" s="150"/>
      <c r="X29" s="150"/>
      <c r="AA29" s="150"/>
      <c r="AB29" s="150"/>
      <c r="AE29" s="150"/>
      <c r="AF29" s="150"/>
      <c r="AI29" s="150"/>
      <c r="AJ29" s="150"/>
    </row>
    <row r="30" spans="11:36" ht="12.75">
      <c r="K30" s="150"/>
      <c r="L30" s="150"/>
      <c r="S30" s="150"/>
      <c r="T30" s="150"/>
      <c r="W30" s="150"/>
      <c r="X30" s="150"/>
      <c r="AA30" s="150"/>
      <c r="AB30" s="150"/>
      <c r="AE30" s="150"/>
      <c r="AF30" s="150"/>
      <c r="AI30" s="150"/>
      <c r="AJ30" s="150"/>
    </row>
    <row r="31" spans="11:36" ht="12.75">
      <c r="K31" s="150"/>
      <c r="L31" s="150"/>
      <c r="S31" s="150"/>
      <c r="T31" s="150"/>
      <c r="W31" s="150"/>
      <c r="X31" s="150"/>
      <c r="AA31" s="150"/>
      <c r="AB31" s="150"/>
      <c r="AE31" s="150"/>
      <c r="AF31" s="150"/>
      <c r="AI31" s="150"/>
      <c r="AJ31" s="150"/>
    </row>
    <row r="32" spans="11:36" ht="12.75">
      <c r="K32" s="150"/>
      <c r="L32" s="150"/>
      <c r="S32" s="150"/>
      <c r="T32" s="150"/>
      <c r="W32" s="150"/>
      <c r="X32" s="150"/>
      <c r="AA32" s="150"/>
      <c r="AB32" s="150"/>
      <c r="AE32" s="150"/>
      <c r="AF32" s="150"/>
      <c r="AI32" s="150"/>
      <c r="AJ32" s="150"/>
    </row>
    <row r="33" spans="11:36" ht="12.75">
      <c r="K33" s="150"/>
      <c r="L33" s="150"/>
      <c r="S33" s="150"/>
      <c r="T33" s="150"/>
      <c r="W33" s="150"/>
      <c r="X33" s="150"/>
      <c r="AA33" s="150"/>
      <c r="AB33" s="150"/>
      <c r="AE33" s="150"/>
      <c r="AF33" s="150"/>
      <c r="AI33" s="150"/>
      <c r="AJ33" s="150"/>
    </row>
    <row r="34" spans="11:36" ht="12.75">
      <c r="K34" s="150"/>
      <c r="L34" s="150"/>
      <c r="S34" s="150"/>
      <c r="T34" s="150"/>
      <c r="W34" s="150"/>
      <c r="X34" s="150"/>
      <c r="AA34" s="150"/>
      <c r="AB34" s="150"/>
      <c r="AE34" s="150"/>
      <c r="AF34" s="150"/>
      <c r="AI34" s="150"/>
      <c r="AJ34" s="150"/>
    </row>
    <row r="35" spans="11:36" ht="12.75">
      <c r="K35" s="150"/>
      <c r="L35" s="150"/>
      <c r="S35" s="150"/>
      <c r="T35" s="150"/>
      <c r="W35" s="150"/>
      <c r="X35" s="150"/>
      <c r="AA35" s="150"/>
      <c r="AB35" s="150"/>
      <c r="AE35" s="150"/>
      <c r="AF35" s="150"/>
      <c r="AI35" s="150"/>
      <c r="AJ35" s="150"/>
    </row>
    <row r="36" spans="11:36" ht="12.75">
      <c r="K36" s="150"/>
      <c r="L36" s="150"/>
      <c r="S36" s="150"/>
      <c r="T36" s="150"/>
      <c r="W36" s="150"/>
      <c r="X36" s="150"/>
      <c r="AA36" s="150"/>
      <c r="AB36" s="150"/>
      <c r="AE36" s="150"/>
      <c r="AF36" s="150"/>
      <c r="AI36" s="150"/>
      <c r="AJ36" s="150"/>
    </row>
    <row r="37" spans="11:36" ht="12.75">
      <c r="K37" s="150"/>
      <c r="L37" s="150"/>
      <c r="S37" s="150"/>
      <c r="T37" s="150"/>
      <c r="W37" s="150"/>
      <c r="X37" s="150"/>
      <c r="AA37" s="150"/>
      <c r="AB37" s="150"/>
      <c r="AE37" s="150"/>
      <c r="AF37" s="150"/>
      <c r="AI37" s="150"/>
      <c r="AJ37" s="150"/>
    </row>
    <row r="38" spans="11:36" ht="12.75">
      <c r="K38" s="150"/>
      <c r="L38" s="150"/>
      <c r="S38" s="150"/>
      <c r="T38" s="150"/>
      <c r="W38" s="150"/>
      <c r="X38" s="150"/>
      <c r="AA38" s="150"/>
      <c r="AB38" s="150"/>
      <c r="AE38" s="150"/>
      <c r="AF38" s="150"/>
      <c r="AI38" s="150"/>
      <c r="AJ38" s="150"/>
    </row>
    <row r="39" spans="11:36" ht="12.75">
      <c r="K39" s="150"/>
      <c r="L39" s="150"/>
      <c r="S39" s="150"/>
      <c r="T39" s="150"/>
      <c r="W39" s="150"/>
      <c r="X39" s="150"/>
      <c r="AA39" s="150"/>
      <c r="AB39" s="150"/>
      <c r="AE39" s="150"/>
      <c r="AF39" s="150"/>
      <c r="AI39" s="150"/>
      <c r="AJ39" s="150"/>
    </row>
    <row r="40" spans="11:36" ht="12.75">
      <c r="K40" s="150"/>
      <c r="L40" s="150"/>
      <c r="S40" s="150"/>
      <c r="T40" s="150"/>
      <c r="W40" s="150"/>
      <c r="X40" s="150"/>
      <c r="AA40" s="150"/>
      <c r="AB40" s="150"/>
      <c r="AE40" s="150"/>
      <c r="AF40" s="150"/>
      <c r="AI40" s="150"/>
      <c r="AJ40" s="150"/>
    </row>
    <row r="41" spans="11:36" ht="12.75">
      <c r="K41" s="150"/>
      <c r="L41" s="150"/>
      <c r="S41" s="150"/>
      <c r="T41" s="150"/>
      <c r="W41" s="150"/>
      <c r="X41" s="150"/>
      <c r="AA41" s="150"/>
      <c r="AB41" s="150"/>
      <c r="AE41" s="150"/>
      <c r="AF41" s="150"/>
      <c r="AI41" s="150"/>
      <c r="AJ41" s="150"/>
    </row>
    <row r="42" spans="12:36" ht="12.75">
      <c r="L42" s="150"/>
      <c r="T42" s="150"/>
      <c r="X42" s="150"/>
      <c r="AB42" s="150"/>
      <c r="AF42" s="150"/>
      <c r="AJ42" s="150"/>
    </row>
  </sheetData>
  <sheetProtection/>
  <mergeCells count="37">
    <mergeCell ref="O16:P16"/>
    <mergeCell ref="U17:V17"/>
    <mergeCell ref="W17:X17"/>
    <mergeCell ref="S17:T17"/>
    <mergeCell ref="S8:T8"/>
    <mergeCell ref="U8:V8"/>
    <mergeCell ref="W8:X8"/>
    <mergeCell ref="G8:H8"/>
    <mergeCell ref="G16:H16"/>
    <mergeCell ref="AE8:AF8"/>
    <mergeCell ref="AA8:AB8"/>
    <mergeCell ref="Q17:R17"/>
    <mergeCell ref="Q8:R8"/>
    <mergeCell ref="K17:L17"/>
    <mergeCell ref="M8:N8"/>
    <mergeCell ref="O8:P8"/>
    <mergeCell ref="M16:N16"/>
    <mergeCell ref="A8:A9"/>
    <mergeCell ref="B8:B9"/>
    <mergeCell ref="C8:D8"/>
    <mergeCell ref="I8:J8"/>
    <mergeCell ref="A6:AG6"/>
    <mergeCell ref="I16:J16"/>
    <mergeCell ref="K8:L8"/>
    <mergeCell ref="C16:D16"/>
    <mergeCell ref="E8:F8"/>
    <mergeCell ref="E16:F16"/>
    <mergeCell ref="AG8:AH8"/>
    <mergeCell ref="AI8:AJ8"/>
    <mergeCell ref="AG17:AH17"/>
    <mergeCell ref="AI17:AJ17"/>
    <mergeCell ref="Y8:Z8"/>
    <mergeCell ref="AC8:AD8"/>
    <mergeCell ref="AC17:AD17"/>
    <mergeCell ref="AE17:AF17"/>
    <mergeCell ref="Y17:Z17"/>
    <mergeCell ref="AA17:AB17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5"/>
  <sheetViews>
    <sheetView zoomScalePageLayoutView="0" workbookViewId="0" topLeftCell="A1">
      <selection activeCell="Z29" sqref="Z29"/>
    </sheetView>
  </sheetViews>
  <sheetFormatPr defaultColWidth="9.00390625" defaultRowHeight="12.75"/>
  <cols>
    <col min="1" max="1" width="5.25390625" style="8" customWidth="1"/>
    <col min="2" max="2" width="7.25390625" style="8" customWidth="1"/>
    <col min="3" max="3" width="5.00390625" style="8" bestFit="1" customWidth="1"/>
    <col min="4" max="4" width="34.625" style="8" customWidth="1"/>
    <col min="5" max="5" width="12.25390625" style="32" hidden="1" customWidth="1"/>
    <col min="6" max="6" width="11.25390625" style="32" hidden="1" customWidth="1"/>
    <col min="7" max="7" width="11.625" style="32" hidden="1" customWidth="1"/>
    <col min="8" max="8" width="13.25390625" style="32" hidden="1" customWidth="1"/>
    <col min="9" max="9" width="10.375" style="32" hidden="1" customWidth="1"/>
    <col min="10" max="10" width="34.875" style="32" hidden="1" customWidth="1"/>
    <col min="11" max="11" width="9.875" style="32" hidden="1" customWidth="1"/>
    <col min="12" max="12" width="32.375" style="32" hidden="1" customWidth="1"/>
    <col min="13" max="13" width="9.875" style="32" hidden="1" customWidth="1"/>
    <col min="14" max="14" width="36.25390625" style="32" hidden="1" customWidth="1"/>
    <col min="15" max="15" width="8.875" style="32" hidden="1" customWidth="1"/>
    <col min="16" max="16" width="12.25390625" style="32" hidden="1" customWidth="1"/>
    <col min="17" max="17" width="12.625" style="32" hidden="1" customWidth="1"/>
    <col min="18" max="18" width="12.25390625" style="32" hidden="1" customWidth="1"/>
    <col min="19" max="21" width="12.625" style="32" hidden="1" customWidth="1"/>
    <col min="22" max="24" width="12.625" style="32" customWidth="1"/>
    <col min="25" max="25" width="13.25390625" style="0" bestFit="1" customWidth="1"/>
    <col min="26" max="26" width="10.00390625" style="0" bestFit="1" customWidth="1"/>
  </cols>
  <sheetData>
    <row r="1" spans="1:24" ht="12.75">
      <c r="A1" s="130"/>
      <c r="B1" s="130"/>
      <c r="C1" s="130"/>
      <c r="D1" s="130"/>
      <c r="E1" s="70"/>
      <c r="F1" s="70"/>
      <c r="G1" s="70"/>
      <c r="H1" s="123" t="s">
        <v>586</v>
      </c>
      <c r="I1" s="70"/>
      <c r="J1" s="123" t="s">
        <v>655</v>
      </c>
      <c r="K1" s="123"/>
      <c r="L1" s="123" t="s">
        <v>673</v>
      </c>
      <c r="M1" s="123"/>
      <c r="N1" s="123" t="s">
        <v>694</v>
      </c>
      <c r="O1" s="123"/>
      <c r="P1" s="123" t="s">
        <v>73</v>
      </c>
      <c r="Q1" s="123"/>
      <c r="R1" s="123" t="s">
        <v>98</v>
      </c>
      <c r="S1" s="123"/>
      <c r="T1" s="123" t="s">
        <v>49</v>
      </c>
      <c r="U1" s="123"/>
      <c r="V1" s="123" t="s">
        <v>380</v>
      </c>
      <c r="W1" s="123"/>
      <c r="X1" s="70"/>
    </row>
    <row r="2" spans="1:24" ht="12.75">
      <c r="A2" s="130"/>
      <c r="B2" s="130"/>
      <c r="C2" s="130"/>
      <c r="D2" s="130"/>
      <c r="E2" s="70"/>
      <c r="F2" s="70"/>
      <c r="G2" s="70"/>
      <c r="H2" s="123" t="s">
        <v>532</v>
      </c>
      <c r="I2" s="70"/>
      <c r="J2" s="123" t="s">
        <v>637</v>
      </c>
      <c r="K2" s="123"/>
      <c r="L2" s="123" t="s">
        <v>672</v>
      </c>
      <c r="M2" s="123"/>
      <c r="N2" s="123" t="s">
        <v>693</v>
      </c>
      <c r="O2" s="123"/>
      <c r="P2" s="123" t="s">
        <v>74</v>
      </c>
      <c r="Q2" s="123"/>
      <c r="R2" s="123" t="s">
        <v>97</v>
      </c>
      <c r="S2" s="123"/>
      <c r="T2" s="123" t="s">
        <v>69</v>
      </c>
      <c r="U2" s="123"/>
      <c r="V2" s="123" t="s">
        <v>381</v>
      </c>
      <c r="W2" s="123"/>
      <c r="X2" s="70"/>
    </row>
    <row r="3" spans="1:24" ht="12.75">
      <c r="A3" s="130"/>
      <c r="B3" s="130"/>
      <c r="C3" s="130"/>
      <c r="D3" s="130"/>
      <c r="E3" s="70"/>
      <c r="F3" s="70"/>
      <c r="G3" s="70"/>
      <c r="H3" s="123" t="s">
        <v>535</v>
      </c>
      <c r="I3" s="70"/>
      <c r="J3" s="123" t="s">
        <v>586</v>
      </c>
      <c r="K3" s="123"/>
      <c r="L3" s="123" t="s">
        <v>655</v>
      </c>
      <c r="M3" s="123"/>
      <c r="N3" s="123" t="s">
        <v>673</v>
      </c>
      <c r="O3" s="123"/>
      <c r="P3" s="123" t="s">
        <v>694</v>
      </c>
      <c r="Q3" s="123"/>
      <c r="R3" s="123" t="s">
        <v>73</v>
      </c>
      <c r="S3" s="123"/>
      <c r="T3" s="123" t="s">
        <v>98</v>
      </c>
      <c r="U3" s="123"/>
      <c r="V3" s="123" t="s">
        <v>49</v>
      </c>
      <c r="W3" s="123"/>
      <c r="X3" s="70"/>
    </row>
    <row r="4" spans="1:24" ht="12.75">
      <c r="A4" s="130"/>
      <c r="B4" s="130"/>
      <c r="C4" s="130"/>
      <c r="D4" s="130"/>
      <c r="E4" s="70"/>
      <c r="F4" s="70"/>
      <c r="G4" s="70"/>
      <c r="H4" s="123" t="s">
        <v>534</v>
      </c>
      <c r="I4" s="70"/>
      <c r="J4" s="123" t="s">
        <v>595</v>
      </c>
      <c r="K4" s="123"/>
      <c r="L4" s="123" t="s">
        <v>668</v>
      </c>
      <c r="M4" s="123"/>
      <c r="N4" s="123" t="s">
        <v>682</v>
      </c>
      <c r="O4" s="123"/>
      <c r="P4" s="123" t="s">
        <v>701</v>
      </c>
      <c r="Q4" s="123"/>
      <c r="R4" s="123" t="s">
        <v>101</v>
      </c>
      <c r="S4" s="123"/>
      <c r="T4" s="123" t="s">
        <v>89</v>
      </c>
      <c r="U4" s="123"/>
      <c r="V4" s="123" t="s">
        <v>25</v>
      </c>
      <c r="W4" s="123"/>
      <c r="X4" s="70"/>
    </row>
    <row r="5" spans="1:24" ht="12.75">
      <c r="A5" s="130"/>
      <c r="B5" s="130"/>
      <c r="C5" s="130"/>
      <c r="D5" s="130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s="244" customFormat="1" ht="21" customHeight="1">
      <c r="A6" s="333" t="s">
        <v>536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4"/>
      <c r="Q6" s="333"/>
      <c r="R6" s="334"/>
      <c r="S6" s="333"/>
      <c r="T6" s="334"/>
      <c r="U6" s="333"/>
      <c r="V6" s="334"/>
      <c r="W6" s="333"/>
      <c r="X6" s="334"/>
    </row>
    <row r="7" spans="1:24" ht="12.75">
      <c r="A7" s="19"/>
      <c r="B7" s="19"/>
      <c r="C7" s="19"/>
      <c r="D7" s="131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s="8" customFormat="1" ht="24.75" customHeight="1">
      <c r="A8" s="42" t="s">
        <v>112</v>
      </c>
      <c r="B8" s="42" t="s">
        <v>113</v>
      </c>
      <c r="C8" s="42" t="s">
        <v>114</v>
      </c>
      <c r="D8" s="42" t="s">
        <v>581</v>
      </c>
      <c r="E8" s="72" t="s">
        <v>270</v>
      </c>
      <c r="F8" s="72" t="s">
        <v>346</v>
      </c>
      <c r="G8" s="72" t="s">
        <v>347</v>
      </c>
      <c r="H8" s="220" t="s">
        <v>564</v>
      </c>
      <c r="I8" s="72" t="s">
        <v>351</v>
      </c>
      <c r="J8" s="220" t="s">
        <v>558</v>
      </c>
      <c r="K8" s="72" t="s">
        <v>351</v>
      </c>
      <c r="L8" s="220" t="s">
        <v>671</v>
      </c>
      <c r="M8" s="72" t="s">
        <v>351</v>
      </c>
      <c r="N8" s="220" t="s">
        <v>671</v>
      </c>
      <c r="O8" s="72" t="s">
        <v>557</v>
      </c>
      <c r="P8" s="220" t="s">
        <v>671</v>
      </c>
      <c r="Q8" s="72" t="s">
        <v>557</v>
      </c>
      <c r="R8" s="220" t="s">
        <v>671</v>
      </c>
      <c r="S8" s="72" t="s">
        <v>557</v>
      </c>
      <c r="T8" s="220" t="s">
        <v>702</v>
      </c>
      <c r="U8" s="72" t="s">
        <v>557</v>
      </c>
      <c r="V8" s="220" t="s">
        <v>671</v>
      </c>
      <c r="W8" s="72" t="s">
        <v>557</v>
      </c>
      <c r="X8" s="220" t="s">
        <v>679</v>
      </c>
    </row>
    <row r="9" spans="1:24" s="11" customFormat="1" ht="24.75" customHeight="1">
      <c r="A9" s="40" t="s">
        <v>116</v>
      </c>
      <c r="B9" s="73"/>
      <c r="C9" s="74"/>
      <c r="D9" s="43" t="s">
        <v>117</v>
      </c>
      <c r="E9" s="44">
        <f>SUM(E10,E12)</f>
        <v>7900</v>
      </c>
      <c r="F9" s="44">
        <f>SUM(F10,F12)</f>
        <v>250000</v>
      </c>
      <c r="G9" s="44">
        <f>SUM(G10,G12)</f>
        <v>0</v>
      </c>
      <c r="H9" s="44">
        <f>SUM(H10,H12)</f>
        <v>257900</v>
      </c>
      <c r="I9" s="44">
        <f>SUM(I10,I12)</f>
        <v>0</v>
      </c>
      <c r="J9" s="44">
        <f>SUM(J10,J12,)</f>
        <v>257900</v>
      </c>
      <c r="K9" s="44">
        <f>SUM(K10,K12,)</f>
        <v>0</v>
      </c>
      <c r="L9" s="44">
        <f aca="true" t="shared" si="0" ref="L9:R9">SUM(L10,L12,L14)</f>
        <v>257900</v>
      </c>
      <c r="M9" s="44">
        <f t="shared" si="0"/>
        <v>98263</v>
      </c>
      <c r="N9" s="44">
        <f t="shared" si="0"/>
        <v>356163</v>
      </c>
      <c r="O9" s="44">
        <f t="shared" si="0"/>
        <v>0</v>
      </c>
      <c r="P9" s="44">
        <f t="shared" si="0"/>
        <v>356163</v>
      </c>
      <c r="Q9" s="44">
        <f t="shared" si="0"/>
        <v>0</v>
      </c>
      <c r="R9" s="44">
        <f t="shared" si="0"/>
        <v>356163</v>
      </c>
      <c r="S9" s="44">
        <f aca="true" t="shared" si="1" ref="S9:X9">SUM(S10,S12,S14)</f>
        <v>0</v>
      </c>
      <c r="T9" s="44">
        <f t="shared" si="1"/>
        <v>356163</v>
      </c>
      <c r="U9" s="44">
        <f t="shared" si="1"/>
        <v>0</v>
      </c>
      <c r="V9" s="44">
        <f t="shared" si="1"/>
        <v>356163</v>
      </c>
      <c r="W9" s="44">
        <f t="shared" si="1"/>
        <v>-150000</v>
      </c>
      <c r="X9" s="44">
        <f t="shared" si="1"/>
        <v>206163</v>
      </c>
    </row>
    <row r="10" spans="1:24" s="27" customFormat="1" ht="21.75" customHeight="1">
      <c r="A10" s="81"/>
      <c r="B10" s="98" t="s">
        <v>192</v>
      </c>
      <c r="C10" s="84"/>
      <c r="D10" s="45" t="s">
        <v>193</v>
      </c>
      <c r="E10" s="96">
        <f>SUM(E11)</f>
        <v>7900</v>
      </c>
      <c r="F10" s="96">
        <f>SUM(F11)</f>
        <v>0</v>
      </c>
      <c r="G10" s="96">
        <f>SUM(G11)</f>
        <v>0</v>
      </c>
      <c r="H10" s="96">
        <f aca="true" t="shared" si="2" ref="H10:H37">E10+F10-G10</f>
        <v>7900</v>
      </c>
      <c r="I10" s="96">
        <f aca="true" t="shared" si="3" ref="I10:X10">SUM(I11)</f>
        <v>0</v>
      </c>
      <c r="J10" s="96">
        <f t="shared" si="3"/>
        <v>7900</v>
      </c>
      <c r="K10" s="96">
        <f t="shared" si="3"/>
        <v>0</v>
      </c>
      <c r="L10" s="96">
        <f t="shared" si="3"/>
        <v>7900</v>
      </c>
      <c r="M10" s="96">
        <f t="shared" si="3"/>
        <v>0</v>
      </c>
      <c r="N10" s="96">
        <f t="shared" si="3"/>
        <v>7900</v>
      </c>
      <c r="O10" s="96">
        <f t="shared" si="3"/>
        <v>0</v>
      </c>
      <c r="P10" s="96">
        <f t="shared" si="3"/>
        <v>7900</v>
      </c>
      <c r="Q10" s="96">
        <f t="shared" si="3"/>
        <v>0</v>
      </c>
      <c r="R10" s="96">
        <f t="shared" si="3"/>
        <v>7900</v>
      </c>
      <c r="S10" s="96">
        <f t="shared" si="3"/>
        <v>0</v>
      </c>
      <c r="T10" s="96">
        <f t="shared" si="3"/>
        <v>7900</v>
      </c>
      <c r="U10" s="96">
        <f t="shared" si="3"/>
        <v>0</v>
      </c>
      <c r="V10" s="96">
        <f t="shared" si="3"/>
        <v>7900</v>
      </c>
      <c r="W10" s="96">
        <f t="shared" si="3"/>
        <v>0</v>
      </c>
      <c r="X10" s="96">
        <f t="shared" si="3"/>
        <v>7900</v>
      </c>
    </row>
    <row r="11" spans="1:24" s="27" customFormat="1" ht="36">
      <c r="A11" s="99"/>
      <c r="B11" s="100"/>
      <c r="C11" s="84">
        <v>2850</v>
      </c>
      <c r="D11" s="45" t="s">
        <v>677</v>
      </c>
      <c r="E11" s="96">
        <v>7900</v>
      </c>
      <c r="F11" s="96"/>
      <c r="G11" s="96"/>
      <c r="H11" s="96">
        <f t="shared" si="2"/>
        <v>7900</v>
      </c>
      <c r="I11" s="96"/>
      <c r="J11" s="96">
        <f aca="true" t="shared" si="4" ref="J11:J84">SUM(H11:I11)</f>
        <v>7900</v>
      </c>
      <c r="K11" s="96">
        <v>0</v>
      </c>
      <c r="L11" s="96">
        <f aca="true" t="shared" si="5" ref="L11:L84">SUM(J11:K11)</f>
        <v>7900</v>
      </c>
      <c r="M11" s="96">
        <v>0</v>
      </c>
      <c r="N11" s="96">
        <f>SUM(L11:M11)</f>
        <v>7900</v>
      </c>
      <c r="O11" s="96">
        <v>0</v>
      </c>
      <c r="P11" s="96">
        <f>SUM(N11:O11)</f>
        <v>7900</v>
      </c>
      <c r="Q11" s="96">
        <v>0</v>
      </c>
      <c r="R11" s="96">
        <f>SUM(P11:Q11)</f>
        <v>7900</v>
      </c>
      <c r="S11" s="96">
        <v>0</v>
      </c>
      <c r="T11" s="96">
        <f>SUM(R11:S11)</f>
        <v>7900</v>
      </c>
      <c r="U11" s="96">
        <v>0</v>
      </c>
      <c r="V11" s="96">
        <f>SUM(T11:U11)</f>
        <v>7900</v>
      </c>
      <c r="W11" s="96">
        <v>0</v>
      </c>
      <c r="X11" s="96">
        <f>SUM(V11:W11)</f>
        <v>7900</v>
      </c>
    </row>
    <row r="12" spans="1:24" s="27" customFormat="1" ht="19.5" customHeight="1">
      <c r="A12" s="99"/>
      <c r="B12" s="100" t="s">
        <v>528</v>
      </c>
      <c r="C12" s="84"/>
      <c r="D12" s="45" t="s">
        <v>529</v>
      </c>
      <c r="E12" s="96">
        <f>SUM(E13)</f>
        <v>0</v>
      </c>
      <c r="F12" s="96">
        <f>SUM(F13)</f>
        <v>250000</v>
      </c>
      <c r="G12" s="96">
        <f>SUM(G13)</f>
        <v>0</v>
      </c>
      <c r="H12" s="96">
        <f t="shared" si="2"/>
        <v>250000</v>
      </c>
      <c r="I12" s="96">
        <f aca="true" t="shared" si="6" ref="I12:X12">SUM(I13)</f>
        <v>0</v>
      </c>
      <c r="J12" s="96">
        <f t="shared" si="6"/>
        <v>250000</v>
      </c>
      <c r="K12" s="96">
        <f t="shared" si="6"/>
        <v>0</v>
      </c>
      <c r="L12" s="96">
        <f t="shared" si="6"/>
        <v>250000</v>
      </c>
      <c r="M12" s="96">
        <f t="shared" si="6"/>
        <v>0</v>
      </c>
      <c r="N12" s="96">
        <f t="shared" si="6"/>
        <v>250000</v>
      </c>
      <c r="O12" s="96">
        <f t="shared" si="6"/>
        <v>0</v>
      </c>
      <c r="P12" s="96">
        <f t="shared" si="6"/>
        <v>250000</v>
      </c>
      <c r="Q12" s="96">
        <f t="shared" si="6"/>
        <v>0</v>
      </c>
      <c r="R12" s="96">
        <f t="shared" si="6"/>
        <v>250000</v>
      </c>
      <c r="S12" s="96">
        <f t="shared" si="6"/>
        <v>0</v>
      </c>
      <c r="T12" s="96">
        <f t="shared" si="6"/>
        <v>250000</v>
      </c>
      <c r="U12" s="96">
        <f t="shared" si="6"/>
        <v>0</v>
      </c>
      <c r="V12" s="96">
        <f t="shared" si="6"/>
        <v>250000</v>
      </c>
      <c r="W12" s="96">
        <f t="shared" si="6"/>
        <v>-150000</v>
      </c>
      <c r="X12" s="96">
        <f t="shared" si="6"/>
        <v>100000</v>
      </c>
    </row>
    <row r="13" spans="1:24" s="27" customFormat="1" ht="19.5" customHeight="1">
      <c r="A13" s="99"/>
      <c r="B13" s="100"/>
      <c r="C13" s="84">
        <v>4300</v>
      </c>
      <c r="D13" s="45" t="s">
        <v>201</v>
      </c>
      <c r="E13" s="96">
        <v>0</v>
      </c>
      <c r="F13" s="96">
        <v>250000</v>
      </c>
      <c r="G13" s="96"/>
      <c r="H13" s="96">
        <f t="shared" si="2"/>
        <v>250000</v>
      </c>
      <c r="I13" s="96"/>
      <c r="J13" s="96">
        <f t="shared" si="4"/>
        <v>250000</v>
      </c>
      <c r="K13" s="96">
        <v>0</v>
      </c>
      <c r="L13" s="96">
        <f t="shared" si="5"/>
        <v>250000</v>
      </c>
      <c r="M13" s="96">
        <v>0</v>
      </c>
      <c r="N13" s="96">
        <f>SUM(L13:M13)</f>
        <v>250000</v>
      </c>
      <c r="O13" s="96">
        <v>0</v>
      </c>
      <c r="P13" s="96">
        <f>SUM(N13:O13)</f>
        <v>250000</v>
      </c>
      <c r="Q13" s="96">
        <v>0</v>
      </c>
      <c r="R13" s="96">
        <f>SUM(P13:Q13)</f>
        <v>250000</v>
      </c>
      <c r="S13" s="96">
        <v>0</v>
      </c>
      <c r="T13" s="96">
        <f>SUM(R13:S13)</f>
        <v>250000</v>
      </c>
      <c r="U13" s="96">
        <v>0</v>
      </c>
      <c r="V13" s="96">
        <f>SUM(T13:U13)</f>
        <v>250000</v>
      </c>
      <c r="W13" s="96">
        <v>-150000</v>
      </c>
      <c r="X13" s="96">
        <f>SUM(V13:W13)</f>
        <v>100000</v>
      </c>
    </row>
    <row r="14" spans="1:24" s="27" customFormat="1" ht="19.5" customHeight="1">
      <c r="A14" s="99"/>
      <c r="B14" s="83" t="s">
        <v>622</v>
      </c>
      <c r="C14" s="258"/>
      <c r="D14" s="14" t="s">
        <v>118</v>
      </c>
      <c r="E14" s="96"/>
      <c r="F14" s="96"/>
      <c r="G14" s="96"/>
      <c r="H14" s="96"/>
      <c r="I14" s="96"/>
      <c r="J14" s="96"/>
      <c r="K14" s="96"/>
      <c r="L14" s="96">
        <f aca="true" t="shared" si="7" ref="L14:R14">SUM(L15:L17)</f>
        <v>0</v>
      </c>
      <c r="M14" s="96">
        <f t="shared" si="7"/>
        <v>98263</v>
      </c>
      <c r="N14" s="96">
        <f t="shared" si="7"/>
        <v>98263</v>
      </c>
      <c r="O14" s="96">
        <f t="shared" si="7"/>
        <v>0</v>
      </c>
      <c r="P14" s="96">
        <f t="shared" si="7"/>
        <v>98263</v>
      </c>
      <c r="Q14" s="96">
        <f t="shared" si="7"/>
        <v>0</v>
      </c>
      <c r="R14" s="96">
        <f t="shared" si="7"/>
        <v>98263</v>
      </c>
      <c r="S14" s="96">
        <f aca="true" t="shared" si="8" ref="S14:X14">SUM(S15:S17)</f>
        <v>0</v>
      </c>
      <c r="T14" s="96">
        <f t="shared" si="8"/>
        <v>98263</v>
      </c>
      <c r="U14" s="96">
        <f t="shared" si="8"/>
        <v>0</v>
      </c>
      <c r="V14" s="96">
        <f t="shared" si="8"/>
        <v>98263</v>
      </c>
      <c r="W14" s="96">
        <f t="shared" si="8"/>
        <v>0</v>
      </c>
      <c r="X14" s="96">
        <f t="shared" si="8"/>
        <v>98263</v>
      </c>
    </row>
    <row r="15" spans="1:24" s="27" customFormat="1" ht="19.5" customHeight="1">
      <c r="A15" s="99"/>
      <c r="B15" s="89"/>
      <c r="C15" s="258">
        <v>4300</v>
      </c>
      <c r="D15" s="14" t="s">
        <v>201</v>
      </c>
      <c r="E15" s="96"/>
      <c r="F15" s="96"/>
      <c r="G15" s="96"/>
      <c r="H15" s="96"/>
      <c r="I15" s="96"/>
      <c r="J15" s="96"/>
      <c r="K15" s="96"/>
      <c r="L15" s="96">
        <v>0</v>
      </c>
      <c r="M15" s="96">
        <v>1500</v>
      </c>
      <c r="N15" s="96">
        <f>SUM(L15:M15)</f>
        <v>1500</v>
      </c>
      <c r="O15" s="96">
        <v>0</v>
      </c>
      <c r="P15" s="96">
        <f>SUM(N15:O15)</f>
        <v>1500</v>
      </c>
      <c r="Q15" s="96">
        <v>0</v>
      </c>
      <c r="R15" s="96">
        <f>SUM(P15:Q15)</f>
        <v>1500</v>
      </c>
      <c r="S15" s="96">
        <v>0</v>
      </c>
      <c r="T15" s="96">
        <f>SUM(R15:S15)</f>
        <v>1500</v>
      </c>
      <c r="U15" s="96">
        <v>0</v>
      </c>
      <c r="V15" s="96">
        <f>SUM(T15:U15)</f>
        <v>1500</v>
      </c>
      <c r="W15" s="96">
        <v>0</v>
      </c>
      <c r="X15" s="96">
        <f>SUM(V15:W15)</f>
        <v>1500</v>
      </c>
    </row>
    <row r="16" spans="1:24" s="27" customFormat="1" ht="19.5" customHeight="1">
      <c r="A16" s="99"/>
      <c r="B16" s="61"/>
      <c r="C16" s="89">
        <v>4430</v>
      </c>
      <c r="D16" s="45" t="s">
        <v>216</v>
      </c>
      <c r="E16" s="96"/>
      <c r="F16" s="96"/>
      <c r="G16" s="96"/>
      <c r="H16" s="96"/>
      <c r="I16" s="96"/>
      <c r="J16" s="96"/>
      <c r="K16" s="96"/>
      <c r="L16" s="96">
        <v>0</v>
      </c>
      <c r="M16" s="96">
        <v>96336</v>
      </c>
      <c r="N16" s="96">
        <f>SUM(L16:M16)</f>
        <v>96336</v>
      </c>
      <c r="O16" s="96">
        <v>0</v>
      </c>
      <c r="P16" s="96">
        <f>SUM(N16:O16)</f>
        <v>96336</v>
      </c>
      <c r="Q16" s="96">
        <v>0</v>
      </c>
      <c r="R16" s="96">
        <f>SUM(P16:Q16)</f>
        <v>96336</v>
      </c>
      <c r="S16" s="96">
        <v>0</v>
      </c>
      <c r="T16" s="96">
        <f>SUM(R16:S16)</f>
        <v>96336</v>
      </c>
      <c r="U16" s="96">
        <v>0</v>
      </c>
      <c r="V16" s="96">
        <f>SUM(T16:U16)</f>
        <v>96336</v>
      </c>
      <c r="W16" s="96">
        <v>0</v>
      </c>
      <c r="X16" s="96">
        <f>SUM(V16:W16)</f>
        <v>96336</v>
      </c>
    </row>
    <row r="17" spans="1:24" s="27" customFormat="1" ht="24" customHeight="1">
      <c r="A17" s="99"/>
      <c r="B17" s="100"/>
      <c r="C17" s="61">
        <v>4740</v>
      </c>
      <c r="D17" s="14" t="s">
        <v>411</v>
      </c>
      <c r="E17" s="96"/>
      <c r="F17" s="96"/>
      <c r="G17" s="96"/>
      <c r="H17" s="96"/>
      <c r="I17" s="96"/>
      <c r="J17" s="96"/>
      <c r="K17" s="96"/>
      <c r="L17" s="96">
        <v>0</v>
      </c>
      <c r="M17" s="96">
        <v>427</v>
      </c>
      <c r="N17" s="96">
        <f>SUM(L17:M17)</f>
        <v>427</v>
      </c>
      <c r="O17" s="96">
        <v>0</v>
      </c>
      <c r="P17" s="96">
        <f>SUM(N17:O17)</f>
        <v>427</v>
      </c>
      <c r="Q17" s="96">
        <v>0</v>
      </c>
      <c r="R17" s="96">
        <f>SUM(P17:Q17)</f>
        <v>427</v>
      </c>
      <c r="S17" s="96">
        <v>0</v>
      </c>
      <c r="T17" s="96">
        <f>SUM(R17:S17)</f>
        <v>427</v>
      </c>
      <c r="U17" s="96">
        <v>0</v>
      </c>
      <c r="V17" s="96">
        <f>SUM(T17:U17)</f>
        <v>427</v>
      </c>
      <c r="W17" s="96">
        <v>0</v>
      </c>
      <c r="X17" s="96">
        <f>SUM(V17:W17)</f>
        <v>427</v>
      </c>
    </row>
    <row r="18" spans="1:24" s="7" customFormat="1" ht="24.75" customHeight="1">
      <c r="A18" s="40" t="s">
        <v>196</v>
      </c>
      <c r="B18" s="41"/>
      <c r="C18" s="42"/>
      <c r="D18" s="43" t="s">
        <v>197</v>
      </c>
      <c r="E18" s="44">
        <f>E23</f>
        <v>2214580</v>
      </c>
      <c r="F18" s="44">
        <f>F23</f>
        <v>140000</v>
      </c>
      <c r="G18" s="44">
        <f>G23</f>
        <v>840000</v>
      </c>
      <c r="H18" s="44">
        <f t="shared" si="2"/>
        <v>1514580</v>
      </c>
      <c r="I18" s="44">
        <f aca="true" t="shared" si="9" ref="I18:N18">I23+I19</f>
        <v>-6</v>
      </c>
      <c r="J18" s="44">
        <f t="shared" si="9"/>
        <v>1514574</v>
      </c>
      <c r="K18" s="44">
        <f t="shared" si="9"/>
        <v>3000</v>
      </c>
      <c r="L18" s="44">
        <f t="shared" si="9"/>
        <v>1517574</v>
      </c>
      <c r="M18" s="44">
        <f t="shared" si="9"/>
        <v>0</v>
      </c>
      <c r="N18" s="44">
        <f t="shared" si="9"/>
        <v>1517574</v>
      </c>
      <c r="O18" s="44">
        <f>O23+O19</f>
        <v>-650</v>
      </c>
      <c r="P18" s="44">
        <f aca="true" t="shared" si="10" ref="P18:V18">P23+P19+P21</f>
        <v>1516924</v>
      </c>
      <c r="Q18" s="44">
        <f t="shared" si="10"/>
        <v>1617650</v>
      </c>
      <c r="R18" s="44">
        <f t="shared" si="10"/>
        <v>3134574</v>
      </c>
      <c r="S18" s="44">
        <f t="shared" si="10"/>
        <v>0</v>
      </c>
      <c r="T18" s="44">
        <f t="shared" si="10"/>
        <v>3134574</v>
      </c>
      <c r="U18" s="44">
        <f t="shared" si="10"/>
        <v>0</v>
      </c>
      <c r="V18" s="44">
        <f t="shared" si="10"/>
        <v>3134574</v>
      </c>
      <c r="W18" s="44">
        <f>W23+W19+W21</f>
        <v>222200</v>
      </c>
      <c r="X18" s="44">
        <f>X23+X19+X21</f>
        <v>3356774</v>
      </c>
    </row>
    <row r="19" spans="1:24" s="27" customFormat="1" ht="24.75" customHeight="1">
      <c r="A19" s="81"/>
      <c r="B19" s="103">
        <v>60013</v>
      </c>
      <c r="C19" s="102"/>
      <c r="D19" s="45" t="s">
        <v>598</v>
      </c>
      <c r="E19" s="96"/>
      <c r="F19" s="96"/>
      <c r="G19" s="96"/>
      <c r="H19" s="96"/>
      <c r="I19" s="96"/>
      <c r="J19" s="96">
        <f aca="true" t="shared" si="11" ref="J19:X19">SUM(J20)</f>
        <v>0</v>
      </c>
      <c r="K19" s="96">
        <f t="shared" si="11"/>
        <v>30000</v>
      </c>
      <c r="L19" s="96">
        <f t="shared" si="11"/>
        <v>30000</v>
      </c>
      <c r="M19" s="96">
        <f t="shared" si="11"/>
        <v>0</v>
      </c>
      <c r="N19" s="96">
        <f t="shared" si="11"/>
        <v>30000</v>
      </c>
      <c r="O19" s="96">
        <f t="shared" si="11"/>
        <v>0</v>
      </c>
      <c r="P19" s="96">
        <f t="shared" si="11"/>
        <v>30000</v>
      </c>
      <c r="Q19" s="96">
        <f t="shared" si="11"/>
        <v>0</v>
      </c>
      <c r="R19" s="96">
        <f t="shared" si="11"/>
        <v>30000</v>
      </c>
      <c r="S19" s="96">
        <f t="shared" si="11"/>
        <v>0</v>
      </c>
      <c r="T19" s="96">
        <f t="shared" si="11"/>
        <v>30000</v>
      </c>
      <c r="U19" s="96">
        <f t="shared" si="11"/>
        <v>0</v>
      </c>
      <c r="V19" s="96">
        <f t="shared" si="11"/>
        <v>30000</v>
      </c>
      <c r="W19" s="96">
        <f t="shared" si="11"/>
        <v>0</v>
      </c>
      <c r="X19" s="96">
        <f t="shared" si="11"/>
        <v>30000</v>
      </c>
    </row>
    <row r="20" spans="1:24" s="27" customFormat="1" ht="60" customHeight="1">
      <c r="A20" s="81"/>
      <c r="B20" s="103"/>
      <c r="C20" s="102">
        <v>6300</v>
      </c>
      <c r="D20" s="45" t="s">
        <v>599</v>
      </c>
      <c r="E20" s="96"/>
      <c r="F20" s="96"/>
      <c r="G20" s="96"/>
      <c r="H20" s="96"/>
      <c r="I20" s="96"/>
      <c r="J20" s="96">
        <v>0</v>
      </c>
      <c r="K20" s="96">
        <v>30000</v>
      </c>
      <c r="L20" s="96">
        <f t="shared" si="5"/>
        <v>30000</v>
      </c>
      <c r="M20" s="96">
        <v>0</v>
      </c>
      <c r="N20" s="96">
        <f aca="true" t="shared" si="12" ref="N20:N29">SUM(L20:M20)</f>
        <v>30000</v>
      </c>
      <c r="O20" s="96">
        <v>0</v>
      </c>
      <c r="P20" s="96">
        <f aca="true" t="shared" si="13" ref="P20:P29">SUM(N20:O20)</f>
        <v>30000</v>
      </c>
      <c r="Q20" s="96">
        <v>0</v>
      </c>
      <c r="R20" s="96">
        <f aca="true" t="shared" si="14" ref="R20:R29">SUM(P20:Q20)</f>
        <v>30000</v>
      </c>
      <c r="S20" s="96">
        <v>0</v>
      </c>
      <c r="T20" s="96">
        <f aca="true" t="shared" si="15" ref="T20:T29">SUM(R20:S20)</f>
        <v>30000</v>
      </c>
      <c r="U20" s="96">
        <v>0</v>
      </c>
      <c r="V20" s="96">
        <f aca="true" t="shared" si="16" ref="V20:V29">SUM(T20:U20)</f>
        <v>30000</v>
      </c>
      <c r="W20" s="96">
        <v>0</v>
      </c>
      <c r="X20" s="96">
        <f aca="true" t="shared" si="17" ref="X20:X29">SUM(V20:W20)</f>
        <v>30000</v>
      </c>
    </row>
    <row r="21" spans="1:24" s="27" customFormat="1" ht="25.5" customHeight="1">
      <c r="A21" s="81"/>
      <c r="B21" s="103">
        <v>60014</v>
      </c>
      <c r="C21" s="102"/>
      <c r="D21" s="45" t="s">
        <v>31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>
        <f>SUM(P22)</f>
        <v>0</v>
      </c>
      <c r="Q21" s="96">
        <f>SUM(Q22)</f>
        <v>210000</v>
      </c>
      <c r="R21" s="96">
        <f t="shared" si="14"/>
        <v>210000</v>
      </c>
      <c r="S21" s="96">
        <f>SUM(S22)</f>
        <v>0</v>
      </c>
      <c r="T21" s="96">
        <f t="shared" si="15"/>
        <v>210000</v>
      </c>
      <c r="U21" s="96">
        <f>SUM(U22)</f>
        <v>0</v>
      </c>
      <c r="V21" s="96">
        <f t="shared" si="16"/>
        <v>210000</v>
      </c>
      <c r="W21" s="96">
        <f>SUM(W22)</f>
        <v>-210000</v>
      </c>
      <c r="X21" s="96">
        <f t="shared" si="17"/>
        <v>0</v>
      </c>
    </row>
    <row r="22" spans="1:24" s="27" customFormat="1" ht="35.25" customHeight="1">
      <c r="A22" s="81"/>
      <c r="B22" s="103"/>
      <c r="C22" s="102">
        <v>6800</v>
      </c>
      <c r="D22" s="45" t="s">
        <v>524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>
        <v>0</v>
      </c>
      <c r="Q22" s="96">
        <v>210000</v>
      </c>
      <c r="R22" s="96">
        <f t="shared" si="14"/>
        <v>210000</v>
      </c>
      <c r="S22" s="96">
        <v>0</v>
      </c>
      <c r="T22" s="96">
        <f t="shared" si="15"/>
        <v>210000</v>
      </c>
      <c r="U22" s="96">
        <v>0</v>
      </c>
      <c r="V22" s="96">
        <f t="shared" si="16"/>
        <v>210000</v>
      </c>
      <c r="W22" s="96">
        <v>-210000</v>
      </c>
      <c r="X22" s="96">
        <f t="shared" si="17"/>
        <v>0</v>
      </c>
    </row>
    <row r="23" spans="1:24" s="27" customFormat="1" ht="21.75" customHeight="1">
      <c r="A23" s="81"/>
      <c r="B23" s="98" t="s">
        <v>198</v>
      </c>
      <c r="C23" s="102"/>
      <c r="D23" s="45" t="s">
        <v>199</v>
      </c>
      <c r="E23" s="96">
        <f>SUM(E24:E29)</f>
        <v>2214580</v>
      </c>
      <c r="F23" s="96">
        <f>SUM(F24:F29)</f>
        <v>140000</v>
      </c>
      <c r="G23" s="96">
        <f>SUM(G24:G29)</f>
        <v>840000</v>
      </c>
      <c r="H23" s="96">
        <f t="shared" si="2"/>
        <v>1514580</v>
      </c>
      <c r="I23" s="96">
        <f>SUM(I24:I29)</f>
        <v>-6</v>
      </c>
      <c r="J23" s="96">
        <f t="shared" si="4"/>
        <v>1514574</v>
      </c>
      <c r="K23" s="96">
        <f>SUM(K24:K29)</f>
        <v>-27000</v>
      </c>
      <c r="L23" s="96">
        <f t="shared" si="5"/>
        <v>1487574</v>
      </c>
      <c r="M23" s="96">
        <f>SUM(M24:M29)</f>
        <v>0</v>
      </c>
      <c r="N23" s="96">
        <f t="shared" si="12"/>
        <v>1487574</v>
      </c>
      <c r="O23" s="96">
        <f>SUM(O24:O29)</f>
        <v>-650</v>
      </c>
      <c r="P23" s="96">
        <f t="shared" si="13"/>
        <v>1486924</v>
      </c>
      <c r="Q23" s="96">
        <f>SUM(Q24:Q29)</f>
        <v>1407650</v>
      </c>
      <c r="R23" s="96">
        <f t="shared" si="14"/>
        <v>2894574</v>
      </c>
      <c r="S23" s="96">
        <f>SUM(S24:S29)</f>
        <v>0</v>
      </c>
      <c r="T23" s="96">
        <f t="shared" si="15"/>
        <v>2894574</v>
      </c>
      <c r="U23" s="96">
        <f>SUM(U24:U29)</f>
        <v>0</v>
      </c>
      <c r="V23" s="96">
        <f t="shared" si="16"/>
        <v>2894574</v>
      </c>
      <c r="W23" s="96">
        <f>SUM(W24:W29)</f>
        <v>432200</v>
      </c>
      <c r="X23" s="96">
        <f t="shared" si="17"/>
        <v>3326774</v>
      </c>
    </row>
    <row r="24" spans="1:24" s="27" customFormat="1" ht="21.75" customHeight="1">
      <c r="A24" s="81"/>
      <c r="B24" s="103"/>
      <c r="C24" s="81">
        <v>4210</v>
      </c>
      <c r="D24" s="45" t="s">
        <v>194</v>
      </c>
      <c r="E24" s="96">
        <v>33960</v>
      </c>
      <c r="F24" s="96"/>
      <c r="G24" s="96"/>
      <c r="H24" s="96">
        <f t="shared" si="2"/>
        <v>33960</v>
      </c>
      <c r="I24" s="96">
        <f>2997-1700</f>
        <v>1297</v>
      </c>
      <c r="J24" s="96">
        <f t="shared" si="4"/>
        <v>35257</v>
      </c>
      <c r="K24" s="85">
        <f>3000-4000</f>
        <v>-1000</v>
      </c>
      <c r="L24" s="96">
        <f t="shared" si="5"/>
        <v>34257</v>
      </c>
      <c r="M24" s="85">
        <v>0</v>
      </c>
      <c r="N24" s="96">
        <f t="shared" si="12"/>
        <v>34257</v>
      </c>
      <c r="O24" s="85">
        <v>-2423</v>
      </c>
      <c r="P24" s="96">
        <f t="shared" si="13"/>
        <v>31834</v>
      </c>
      <c r="Q24" s="85">
        <v>850</v>
      </c>
      <c r="R24" s="96">
        <f t="shared" si="14"/>
        <v>32684</v>
      </c>
      <c r="S24" s="85">
        <v>0</v>
      </c>
      <c r="T24" s="96">
        <f t="shared" si="15"/>
        <v>32684</v>
      </c>
      <c r="U24" s="85">
        <v>0</v>
      </c>
      <c r="V24" s="96">
        <f t="shared" si="16"/>
        <v>32684</v>
      </c>
      <c r="W24" s="85">
        <v>-1549</v>
      </c>
      <c r="X24" s="96">
        <f t="shared" si="17"/>
        <v>31135</v>
      </c>
    </row>
    <row r="25" spans="1:24" s="27" customFormat="1" ht="21.75" customHeight="1">
      <c r="A25" s="81"/>
      <c r="B25" s="103"/>
      <c r="C25" s="81">
        <v>4270</v>
      </c>
      <c r="D25" s="45" t="s">
        <v>200</v>
      </c>
      <c r="E25" s="96">
        <f>90000+25000+7000</f>
        <v>122000</v>
      </c>
      <c r="F25" s="96"/>
      <c r="G25" s="96"/>
      <c r="H25" s="96">
        <f t="shared" si="2"/>
        <v>122000</v>
      </c>
      <c r="I25" s="96"/>
      <c r="J25" s="96">
        <f t="shared" si="4"/>
        <v>122000</v>
      </c>
      <c r="K25" s="85">
        <v>0</v>
      </c>
      <c r="L25" s="96">
        <f t="shared" si="5"/>
        <v>122000</v>
      </c>
      <c r="M25" s="85">
        <v>0</v>
      </c>
      <c r="N25" s="96">
        <f t="shared" si="12"/>
        <v>122000</v>
      </c>
      <c r="O25" s="85">
        <v>0</v>
      </c>
      <c r="P25" s="96">
        <f t="shared" si="13"/>
        <v>122000</v>
      </c>
      <c r="Q25" s="85">
        <v>0</v>
      </c>
      <c r="R25" s="96">
        <f t="shared" si="14"/>
        <v>122000</v>
      </c>
      <c r="S25" s="85">
        <v>0</v>
      </c>
      <c r="T25" s="96">
        <f t="shared" si="15"/>
        <v>122000</v>
      </c>
      <c r="U25" s="85">
        <v>0</v>
      </c>
      <c r="V25" s="96">
        <f t="shared" si="16"/>
        <v>122000</v>
      </c>
      <c r="W25" s="85">
        <f>20000+6500</f>
        <v>26500</v>
      </c>
      <c r="X25" s="96">
        <f t="shared" si="17"/>
        <v>148500</v>
      </c>
    </row>
    <row r="26" spans="1:24" s="27" customFormat="1" ht="21.75" customHeight="1">
      <c r="A26" s="81"/>
      <c r="B26" s="103"/>
      <c r="C26" s="81">
        <v>4300</v>
      </c>
      <c r="D26" s="45" t="s">
        <v>201</v>
      </c>
      <c r="E26" s="96">
        <f>31340+70000+50000</f>
        <v>151340</v>
      </c>
      <c r="F26" s="96">
        <v>100000</v>
      </c>
      <c r="G26" s="96"/>
      <c r="H26" s="96">
        <f t="shared" si="2"/>
        <v>251340</v>
      </c>
      <c r="I26" s="96">
        <f>2997+1700</f>
        <v>4697</v>
      </c>
      <c r="J26" s="96">
        <f t="shared" si="4"/>
        <v>256037</v>
      </c>
      <c r="K26" s="85">
        <v>4000</v>
      </c>
      <c r="L26" s="96">
        <f t="shared" si="5"/>
        <v>260037</v>
      </c>
      <c r="M26" s="85">
        <v>0</v>
      </c>
      <c r="N26" s="96">
        <f t="shared" si="12"/>
        <v>260037</v>
      </c>
      <c r="O26" s="85">
        <v>13083</v>
      </c>
      <c r="P26" s="96">
        <f t="shared" si="13"/>
        <v>273120</v>
      </c>
      <c r="Q26" s="85">
        <v>30000</v>
      </c>
      <c r="R26" s="96">
        <f t="shared" si="14"/>
        <v>303120</v>
      </c>
      <c r="S26" s="85">
        <v>0</v>
      </c>
      <c r="T26" s="96">
        <f t="shared" si="15"/>
        <v>303120</v>
      </c>
      <c r="U26" s="85">
        <v>0</v>
      </c>
      <c r="V26" s="96">
        <f t="shared" si="16"/>
        <v>303120</v>
      </c>
      <c r="W26" s="85">
        <f>-10243+100000</f>
        <v>89757</v>
      </c>
      <c r="X26" s="96">
        <f t="shared" si="17"/>
        <v>392877</v>
      </c>
    </row>
    <row r="27" spans="1:24" s="27" customFormat="1" ht="21.75" customHeight="1">
      <c r="A27" s="81"/>
      <c r="B27" s="103"/>
      <c r="C27" s="81">
        <v>6050</v>
      </c>
      <c r="D27" s="45" t="s">
        <v>195</v>
      </c>
      <c r="E27" s="96">
        <f>95630+150000+250000+90000+140000+190000+280000+350000+350000</f>
        <v>1895630</v>
      </c>
      <c r="F27" s="96"/>
      <c r="G27" s="96">
        <f>60000+100000+36000+54000+100000+250000+100000+100000+40000</f>
        <v>840000</v>
      </c>
      <c r="H27" s="96">
        <f t="shared" si="2"/>
        <v>1055630</v>
      </c>
      <c r="I27" s="96">
        <f>-6000+250000-250000</f>
        <v>-6000</v>
      </c>
      <c r="J27" s="96">
        <f t="shared" si="4"/>
        <v>1049630</v>
      </c>
      <c r="K27" s="96">
        <v>0</v>
      </c>
      <c r="L27" s="96">
        <f t="shared" si="5"/>
        <v>1049630</v>
      </c>
      <c r="M27" s="96">
        <v>0</v>
      </c>
      <c r="N27" s="96">
        <f t="shared" si="12"/>
        <v>1049630</v>
      </c>
      <c r="O27" s="96">
        <v>-11310</v>
      </c>
      <c r="P27" s="96">
        <f t="shared" si="13"/>
        <v>1038320</v>
      </c>
      <c r="Q27" s="286">
        <f>-200+80000+490000+180000+160000+10000+30000-949800+1365800</f>
        <v>1365800</v>
      </c>
      <c r="R27" s="96">
        <f t="shared" si="14"/>
        <v>2404120</v>
      </c>
      <c r="S27" s="269">
        <v>0</v>
      </c>
      <c r="T27" s="96">
        <f t="shared" si="15"/>
        <v>2404120</v>
      </c>
      <c r="U27" s="269">
        <v>0</v>
      </c>
      <c r="V27" s="96">
        <f t="shared" si="16"/>
        <v>2404120</v>
      </c>
      <c r="W27" s="269">
        <f>3440-1480+30000+1492+100000+97000+20000+40000+26000</f>
        <v>316452</v>
      </c>
      <c r="X27" s="96">
        <f t="shared" si="17"/>
        <v>2720572</v>
      </c>
    </row>
    <row r="28" spans="1:24" s="27" customFormat="1" ht="21.75" customHeight="1">
      <c r="A28" s="81"/>
      <c r="B28" s="103"/>
      <c r="C28" s="81">
        <v>6060</v>
      </c>
      <c r="D28" s="45" t="s">
        <v>218</v>
      </c>
      <c r="E28" s="96">
        <v>11650</v>
      </c>
      <c r="F28" s="96"/>
      <c r="G28" s="96"/>
      <c r="H28" s="96">
        <f t="shared" si="2"/>
        <v>11650</v>
      </c>
      <c r="I28" s="96"/>
      <c r="J28" s="96">
        <f t="shared" si="4"/>
        <v>11650</v>
      </c>
      <c r="K28" s="96">
        <v>0</v>
      </c>
      <c r="L28" s="96">
        <f t="shared" si="5"/>
        <v>11650</v>
      </c>
      <c r="M28" s="96">
        <v>0</v>
      </c>
      <c r="N28" s="96">
        <f t="shared" si="12"/>
        <v>11650</v>
      </c>
      <c r="O28" s="96">
        <v>0</v>
      </c>
      <c r="P28" s="96">
        <f t="shared" si="13"/>
        <v>11650</v>
      </c>
      <c r="Q28" s="96">
        <v>11000</v>
      </c>
      <c r="R28" s="96">
        <f t="shared" si="14"/>
        <v>22650</v>
      </c>
      <c r="S28" s="96">
        <v>0</v>
      </c>
      <c r="T28" s="96">
        <f t="shared" si="15"/>
        <v>22650</v>
      </c>
      <c r="U28" s="96">
        <v>0</v>
      </c>
      <c r="V28" s="96">
        <f t="shared" si="16"/>
        <v>22650</v>
      </c>
      <c r="W28" s="96">
        <v>1040</v>
      </c>
      <c r="X28" s="96">
        <f t="shared" si="17"/>
        <v>23690</v>
      </c>
    </row>
    <row r="29" spans="1:24" s="27" customFormat="1" ht="21.75" customHeight="1">
      <c r="A29" s="81"/>
      <c r="B29" s="103"/>
      <c r="C29" s="81">
        <v>6800</v>
      </c>
      <c r="D29" s="45" t="s">
        <v>524</v>
      </c>
      <c r="E29" s="96">
        <v>0</v>
      </c>
      <c r="F29" s="96">
        <v>40000</v>
      </c>
      <c r="G29" s="96"/>
      <c r="H29" s="96">
        <f t="shared" si="2"/>
        <v>40000</v>
      </c>
      <c r="I29" s="96"/>
      <c r="J29" s="96">
        <f t="shared" si="4"/>
        <v>40000</v>
      </c>
      <c r="K29" s="96">
        <v>-30000</v>
      </c>
      <c r="L29" s="96">
        <f t="shared" si="5"/>
        <v>10000</v>
      </c>
      <c r="M29" s="96">
        <v>0</v>
      </c>
      <c r="N29" s="96">
        <f t="shared" si="12"/>
        <v>10000</v>
      </c>
      <c r="O29" s="96">
        <v>0</v>
      </c>
      <c r="P29" s="96">
        <f t="shared" si="13"/>
        <v>10000</v>
      </c>
      <c r="Q29" s="96">
        <v>0</v>
      </c>
      <c r="R29" s="96">
        <f t="shared" si="14"/>
        <v>10000</v>
      </c>
      <c r="S29" s="96">
        <v>0</v>
      </c>
      <c r="T29" s="96">
        <f t="shared" si="15"/>
        <v>10000</v>
      </c>
      <c r="U29" s="96">
        <v>0</v>
      </c>
      <c r="V29" s="96">
        <f t="shared" si="16"/>
        <v>10000</v>
      </c>
      <c r="W29" s="96">
        <v>0</v>
      </c>
      <c r="X29" s="96">
        <f t="shared" si="17"/>
        <v>10000</v>
      </c>
    </row>
    <row r="30" spans="1:24" s="7" customFormat="1" ht="24.75" customHeight="1">
      <c r="A30" s="40" t="s">
        <v>123</v>
      </c>
      <c r="B30" s="41"/>
      <c r="C30" s="42"/>
      <c r="D30" s="43" t="s">
        <v>124</v>
      </c>
      <c r="E30" s="44">
        <f>SUM(E31,E34,E38,E42)</f>
        <v>938528</v>
      </c>
      <c r="F30" s="44">
        <f>SUM(F31,F34,F38,F42)</f>
        <v>450000</v>
      </c>
      <c r="G30" s="44">
        <f>SUM(G31,G34,G38,G42)</f>
        <v>200000</v>
      </c>
      <c r="H30" s="44">
        <f t="shared" si="2"/>
        <v>1188528</v>
      </c>
      <c r="I30" s="44">
        <f>SUM(I31,I34,I38,I42)</f>
        <v>56000</v>
      </c>
      <c r="J30" s="44">
        <f aca="true" t="shared" si="18" ref="J30:P30">SUM(J31,J34,J38,J42,)</f>
        <v>1244528</v>
      </c>
      <c r="K30" s="44">
        <f t="shared" si="18"/>
        <v>70000</v>
      </c>
      <c r="L30" s="44">
        <f t="shared" si="18"/>
        <v>1314528</v>
      </c>
      <c r="M30" s="44">
        <f t="shared" si="18"/>
        <v>0</v>
      </c>
      <c r="N30" s="44">
        <f t="shared" si="18"/>
        <v>1314528</v>
      </c>
      <c r="O30" s="44">
        <f t="shared" si="18"/>
        <v>0</v>
      </c>
      <c r="P30" s="44">
        <f t="shared" si="18"/>
        <v>1314528</v>
      </c>
      <c r="Q30" s="44">
        <f aca="true" t="shared" si="19" ref="Q30:V30">SUM(Q31,Q34,Q38,Q42,)</f>
        <v>112933</v>
      </c>
      <c r="R30" s="44">
        <f t="shared" si="19"/>
        <v>1427461</v>
      </c>
      <c r="S30" s="44">
        <f t="shared" si="19"/>
        <v>0</v>
      </c>
      <c r="T30" s="44">
        <f t="shared" si="19"/>
        <v>1427461</v>
      </c>
      <c r="U30" s="44">
        <f t="shared" si="19"/>
        <v>0</v>
      </c>
      <c r="V30" s="44">
        <f t="shared" si="19"/>
        <v>1427461</v>
      </c>
      <c r="W30" s="44">
        <f>SUM(W31,W34,W38,W42,)</f>
        <v>453936</v>
      </c>
      <c r="X30" s="44">
        <f>SUM(X31,X34,X38,X42,)</f>
        <v>1881397</v>
      </c>
    </row>
    <row r="31" spans="1:24" s="27" customFormat="1" ht="24">
      <c r="A31" s="81"/>
      <c r="B31" s="103">
        <v>70004</v>
      </c>
      <c r="C31" s="102"/>
      <c r="D31" s="45" t="s">
        <v>355</v>
      </c>
      <c r="E31" s="96">
        <f>SUM(E33)</f>
        <v>148000</v>
      </c>
      <c r="F31" s="96">
        <f>SUM(F33)</f>
        <v>0</v>
      </c>
      <c r="G31" s="96">
        <f>SUM(G33)</f>
        <v>0</v>
      </c>
      <c r="H31" s="96">
        <f t="shared" si="2"/>
        <v>148000</v>
      </c>
      <c r="I31" s="96">
        <f aca="true" t="shared" si="20" ref="I31:O31">SUM(I33)</f>
        <v>0</v>
      </c>
      <c r="J31" s="96">
        <f t="shared" si="20"/>
        <v>148000</v>
      </c>
      <c r="K31" s="96">
        <f t="shared" si="20"/>
        <v>70000</v>
      </c>
      <c r="L31" s="96">
        <f t="shared" si="20"/>
        <v>218000</v>
      </c>
      <c r="M31" s="96">
        <f t="shared" si="20"/>
        <v>0</v>
      </c>
      <c r="N31" s="96">
        <f t="shared" si="20"/>
        <v>218000</v>
      </c>
      <c r="O31" s="96">
        <f t="shared" si="20"/>
        <v>0</v>
      </c>
      <c r="P31" s="96">
        <f aca="true" t="shared" si="21" ref="P31:V31">SUM(P32:P33)</f>
        <v>218000</v>
      </c>
      <c r="Q31" s="96">
        <f t="shared" si="21"/>
        <v>4500</v>
      </c>
      <c r="R31" s="96">
        <f t="shared" si="21"/>
        <v>222500</v>
      </c>
      <c r="S31" s="96">
        <f t="shared" si="21"/>
        <v>0</v>
      </c>
      <c r="T31" s="96">
        <f t="shared" si="21"/>
        <v>222500</v>
      </c>
      <c r="U31" s="96">
        <f t="shared" si="21"/>
        <v>0</v>
      </c>
      <c r="V31" s="96">
        <f t="shared" si="21"/>
        <v>222500</v>
      </c>
      <c r="W31" s="96">
        <f>SUM(W32:W33)</f>
        <v>0</v>
      </c>
      <c r="X31" s="96">
        <f>SUM(X32:X33)</f>
        <v>222500</v>
      </c>
    </row>
    <row r="32" spans="1:24" s="27" customFormat="1" ht="18.75" customHeight="1">
      <c r="A32" s="81"/>
      <c r="B32" s="103"/>
      <c r="C32" s="102">
        <v>4270</v>
      </c>
      <c r="D32" s="45" t="s">
        <v>200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>
        <v>0</v>
      </c>
      <c r="Q32" s="96">
        <v>4500</v>
      </c>
      <c r="R32" s="96">
        <f>SUM(P32:Q32)</f>
        <v>4500</v>
      </c>
      <c r="S32" s="96">
        <v>0</v>
      </c>
      <c r="T32" s="96">
        <f>SUM(R32:S32)</f>
        <v>4500</v>
      </c>
      <c r="U32" s="96">
        <v>0</v>
      </c>
      <c r="V32" s="96">
        <f>SUM(T32:U32)</f>
        <v>4500</v>
      </c>
      <c r="W32" s="96">
        <v>0</v>
      </c>
      <c r="X32" s="96">
        <f>SUM(V32:W32)</f>
        <v>4500</v>
      </c>
    </row>
    <row r="33" spans="1:24" s="27" customFormat="1" ht="21.75" customHeight="1">
      <c r="A33" s="81"/>
      <c r="B33" s="103"/>
      <c r="C33" s="102">
        <v>4300</v>
      </c>
      <c r="D33" s="45" t="s">
        <v>201</v>
      </c>
      <c r="E33" s="96">
        <f>18000+30000+100000</f>
        <v>148000</v>
      </c>
      <c r="F33" s="96"/>
      <c r="G33" s="96"/>
      <c r="H33" s="96">
        <f t="shared" si="2"/>
        <v>148000</v>
      </c>
      <c r="I33" s="96"/>
      <c r="J33" s="96">
        <f t="shared" si="4"/>
        <v>148000</v>
      </c>
      <c r="K33" s="96">
        <v>70000</v>
      </c>
      <c r="L33" s="96">
        <f t="shared" si="5"/>
        <v>218000</v>
      </c>
      <c r="M33" s="96">
        <v>0</v>
      </c>
      <c r="N33" s="96">
        <f>SUM(L33:M33)</f>
        <v>218000</v>
      </c>
      <c r="O33" s="96">
        <v>0</v>
      </c>
      <c r="P33" s="96">
        <f>SUM(N33:O33)</f>
        <v>218000</v>
      </c>
      <c r="Q33" s="96">
        <v>0</v>
      </c>
      <c r="R33" s="96">
        <f>SUM(P33:Q33)</f>
        <v>218000</v>
      </c>
      <c r="S33" s="96">
        <v>0</v>
      </c>
      <c r="T33" s="96">
        <f>SUM(R33:S33)</f>
        <v>218000</v>
      </c>
      <c r="U33" s="96">
        <v>0</v>
      </c>
      <c r="V33" s="96">
        <f>SUM(T33:U33)</f>
        <v>218000</v>
      </c>
      <c r="W33" s="96">
        <v>0</v>
      </c>
      <c r="X33" s="96">
        <f>SUM(V33:W33)</f>
        <v>218000</v>
      </c>
    </row>
    <row r="34" spans="1:24" s="27" customFormat="1" ht="22.5" customHeight="1">
      <c r="A34" s="81"/>
      <c r="B34" s="98" t="s">
        <v>125</v>
      </c>
      <c r="C34" s="102"/>
      <c r="D34" s="45" t="s">
        <v>283</v>
      </c>
      <c r="E34" s="96">
        <f>SUM(E35:E37)</f>
        <v>112168</v>
      </c>
      <c r="F34" s="96">
        <f>SUM(F35:F37)</f>
        <v>0</v>
      </c>
      <c r="G34" s="96">
        <f>SUM(G35:G37)</f>
        <v>0</v>
      </c>
      <c r="H34" s="96">
        <f t="shared" si="2"/>
        <v>112168</v>
      </c>
      <c r="I34" s="96">
        <f aca="true" t="shared" si="22" ref="I34:N34">SUM(I35:I37)</f>
        <v>0</v>
      </c>
      <c r="J34" s="96">
        <f t="shared" si="22"/>
        <v>112168</v>
      </c>
      <c r="K34" s="96">
        <f t="shared" si="22"/>
        <v>0</v>
      </c>
      <c r="L34" s="96">
        <f t="shared" si="22"/>
        <v>112168</v>
      </c>
      <c r="M34" s="96">
        <f t="shared" si="22"/>
        <v>0</v>
      </c>
      <c r="N34" s="96">
        <f t="shared" si="22"/>
        <v>112168</v>
      </c>
      <c r="O34" s="96">
        <f aca="true" t="shared" si="23" ref="O34:T34">SUM(O35:O37)</f>
        <v>0</v>
      </c>
      <c r="P34" s="96">
        <f t="shared" si="23"/>
        <v>112168</v>
      </c>
      <c r="Q34" s="96">
        <f t="shared" si="23"/>
        <v>0</v>
      </c>
      <c r="R34" s="96">
        <f t="shared" si="23"/>
        <v>112168</v>
      </c>
      <c r="S34" s="96">
        <f t="shared" si="23"/>
        <v>0</v>
      </c>
      <c r="T34" s="96">
        <f t="shared" si="23"/>
        <v>112168</v>
      </c>
      <c r="U34" s="96">
        <f>SUM(U35:U37)</f>
        <v>0</v>
      </c>
      <c r="V34" s="96">
        <f>SUM(V35:V37)</f>
        <v>112168</v>
      </c>
      <c r="W34" s="96">
        <f>SUM(W35:W37)</f>
        <v>60000</v>
      </c>
      <c r="X34" s="96">
        <f>SUM(X35:X37)</f>
        <v>172168</v>
      </c>
    </row>
    <row r="35" spans="1:24" s="27" customFormat="1" ht="21.75" customHeight="1">
      <c r="A35" s="81"/>
      <c r="B35" s="98"/>
      <c r="C35" s="102">
        <v>4510</v>
      </c>
      <c r="D35" s="45" t="s">
        <v>279</v>
      </c>
      <c r="E35" s="96">
        <v>28</v>
      </c>
      <c r="F35" s="96"/>
      <c r="G35" s="96"/>
      <c r="H35" s="96">
        <f t="shared" si="2"/>
        <v>28</v>
      </c>
      <c r="I35" s="96"/>
      <c r="J35" s="96">
        <f t="shared" si="4"/>
        <v>28</v>
      </c>
      <c r="K35" s="96">
        <v>0</v>
      </c>
      <c r="L35" s="96">
        <f t="shared" si="5"/>
        <v>28</v>
      </c>
      <c r="M35" s="96">
        <v>0</v>
      </c>
      <c r="N35" s="96">
        <f>SUM(L35:M35)</f>
        <v>28</v>
      </c>
      <c r="O35" s="96">
        <v>0</v>
      </c>
      <c r="P35" s="96">
        <f>SUM(N35:O35)</f>
        <v>28</v>
      </c>
      <c r="Q35" s="96">
        <v>0</v>
      </c>
      <c r="R35" s="96">
        <f>SUM(P35:Q35)</f>
        <v>28</v>
      </c>
      <c r="S35" s="96">
        <v>0</v>
      </c>
      <c r="T35" s="96">
        <f>SUM(R35:S35)</f>
        <v>28</v>
      </c>
      <c r="U35" s="96">
        <v>0</v>
      </c>
      <c r="V35" s="96">
        <f>SUM(T35:U35)</f>
        <v>28</v>
      </c>
      <c r="W35" s="96">
        <v>0</v>
      </c>
      <c r="X35" s="96">
        <f>SUM(V35:W35)</f>
        <v>28</v>
      </c>
    </row>
    <row r="36" spans="1:24" s="27" customFormat="1" ht="21.75" customHeight="1">
      <c r="A36" s="81"/>
      <c r="B36" s="103"/>
      <c r="C36" s="81">
        <v>4300</v>
      </c>
      <c r="D36" s="45" t="s">
        <v>201</v>
      </c>
      <c r="E36" s="96">
        <f>100000+12000</f>
        <v>112000</v>
      </c>
      <c r="F36" s="96"/>
      <c r="G36" s="96"/>
      <c r="H36" s="96">
        <f t="shared" si="2"/>
        <v>112000</v>
      </c>
      <c r="I36" s="96"/>
      <c r="J36" s="96">
        <f t="shared" si="4"/>
        <v>112000</v>
      </c>
      <c r="K36" s="96">
        <v>0</v>
      </c>
      <c r="L36" s="96">
        <f t="shared" si="5"/>
        <v>112000</v>
      </c>
      <c r="M36" s="96">
        <v>0</v>
      </c>
      <c r="N36" s="96">
        <f>SUM(L36:M36)</f>
        <v>112000</v>
      </c>
      <c r="O36" s="96">
        <v>0</v>
      </c>
      <c r="P36" s="96">
        <f>SUM(N36:O36)</f>
        <v>112000</v>
      </c>
      <c r="Q36" s="96">
        <v>0</v>
      </c>
      <c r="R36" s="96">
        <f>SUM(P36:Q36)</f>
        <v>112000</v>
      </c>
      <c r="S36" s="96">
        <v>0</v>
      </c>
      <c r="T36" s="96">
        <f>SUM(R36:S36)</f>
        <v>112000</v>
      </c>
      <c r="U36" s="96">
        <v>0</v>
      </c>
      <c r="V36" s="96">
        <f>SUM(T36:U36)</f>
        <v>112000</v>
      </c>
      <c r="W36" s="96">
        <v>60000</v>
      </c>
      <c r="X36" s="96">
        <f>SUM(V36:W36)</f>
        <v>172000</v>
      </c>
    </row>
    <row r="37" spans="1:24" s="27" customFormat="1" ht="21.75" customHeight="1">
      <c r="A37" s="81"/>
      <c r="B37" s="103"/>
      <c r="C37" s="81">
        <v>4480</v>
      </c>
      <c r="D37" s="45" t="s">
        <v>147</v>
      </c>
      <c r="E37" s="96">
        <v>140</v>
      </c>
      <c r="F37" s="96"/>
      <c r="G37" s="96"/>
      <c r="H37" s="96">
        <f t="shared" si="2"/>
        <v>140</v>
      </c>
      <c r="I37" s="96"/>
      <c r="J37" s="96">
        <f t="shared" si="4"/>
        <v>140</v>
      </c>
      <c r="K37" s="96">
        <v>0</v>
      </c>
      <c r="L37" s="96">
        <f t="shared" si="5"/>
        <v>140</v>
      </c>
      <c r="M37" s="96">
        <v>0</v>
      </c>
      <c r="N37" s="96">
        <f>SUM(L37:M37)</f>
        <v>140</v>
      </c>
      <c r="O37" s="96">
        <v>0</v>
      </c>
      <c r="P37" s="96">
        <f>SUM(N37:O37)</f>
        <v>140</v>
      </c>
      <c r="Q37" s="96">
        <v>0</v>
      </c>
      <c r="R37" s="96">
        <f>SUM(P37:Q37)</f>
        <v>140</v>
      </c>
      <c r="S37" s="96">
        <v>0</v>
      </c>
      <c r="T37" s="96">
        <f>SUM(R37:S37)</f>
        <v>140</v>
      </c>
      <c r="U37" s="96">
        <v>0</v>
      </c>
      <c r="V37" s="96">
        <f>SUM(T37:U37)</f>
        <v>140</v>
      </c>
      <c r="W37" s="96">
        <v>0</v>
      </c>
      <c r="X37" s="96">
        <f>SUM(V37:W37)</f>
        <v>140</v>
      </c>
    </row>
    <row r="38" spans="1:24" s="27" customFormat="1" ht="21.75" customHeight="1">
      <c r="A38" s="81"/>
      <c r="B38" s="103">
        <v>70021</v>
      </c>
      <c r="C38" s="81"/>
      <c r="D38" s="45" t="s">
        <v>322</v>
      </c>
      <c r="E38" s="96">
        <f aca="true" t="shared" si="24" ref="E38:L38">SUM(E39:E41)</f>
        <v>400000</v>
      </c>
      <c r="F38" s="96">
        <f t="shared" si="24"/>
        <v>300000</v>
      </c>
      <c r="G38" s="96">
        <f t="shared" si="24"/>
        <v>100000</v>
      </c>
      <c r="H38" s="96">
        <f t="shared" si="24"/>
        <v>600000</v>
      </c>
      <c r="I38" s="96">
        <f t="shared" si="24"/>
        <v>0</v>
      </c>
      <c r="J38" s="96">
        <f t="shared" si="24"/>
        <v>600000</v>
      </c>
      <c r="K38" s="96">
        <f t="shared" si="24"/>
        <v>0</v>
      </c>
      <c r="L38" s="96">
        <f t="shared" si="24"/>
        <v>600000</v>
      </c>
      <c r="M38" s="96">
        <f aca="true" t="shared" si="25" ref="M38:R38">SUM(M39:M41)</f>
        <v>0</v>
      </c>
      <c r="N38" s="96">
        <f t="shared" si="25"/>
        <v>600000</v>
      </c>
      <c r="O38" s="96">
        <f t="shared" si="25"/>
        <v>0</v>
      </c>
      <c r="P38" s="96">
        <f t="shared" si="25"/>
        <v>600000</v>
      </c>
      <c r="Q38" s="96">
        <f t="shared" si="25"/>
        <v>0</v>
      </c>
      <c r="R38" s="96">
        <f t="shared" si="25"/>
        <v>600000</v>
      </c>
      <c r="S38" s="96">
        <f aca="true" t="shared" si="26" ref="S38:X38">SUM(S39:S41)</f>
        <v>0</v>
      </c>
      <c r="T38" s="96">
        <f t="shared" si="26"/>
        <v>600000</v>
      </c>
      <c r="U38" s="96">
        <f t="shared" si="26"/>
        <v>0</v>
      </c>
      <c r="V38" s="96">
        <f t="shared" si="26"/>
        <v>600000</v>
      </c>
      <c r="W38" s="96">
        <f t="shared" si="26"/>
        <v>0</v>
      </c>
      <c r="X38" s="96">
        <f t="shared" si="26"/>
        <v>600000</v>
      </c>
    </row>
    <row r="39" spans="1:24" s="27" customFormat="1" ht="22.5" customHeight="1">
      <c r="A39" s="81"/>
      <c r="B39" s="103"/>
      <c r="C39" s="81">
        <v>4270</v>
      </c>
      <c r="D39" s="45" t="s">
        <v>200</v>
      </c>
      <c r="E39" s="96">
        <v>0</v>
      </c>
      <c r="F39" s="96">
        <f>200000+100000</f>
        <v>300000</v>
      </c>
      <c r="G39" s="96"/>
      <c r="H39" s="96">
        <f aca="true" t="shared" si="27" ref="H39:H54">E39+F39-G39</f>
        <v>300000</v>
      </c>
      <c r="I39" s="96"/>
      <c r="J39" s="96">
        <f t="shared" si="4"/>
        <v>300000</v>
      </c>
      <c r="K39" s="96">
        <v>0</v>
      </c>
      <c r="L39" s="96">
        <f t="shared" si="5"/>
        <v>300000</v>
      </c>
      <c r="M39" s="96">
        <v>0</v>
      </c>
      <c r="N39" s="96">
        <f>SUM(L39:M39)</f>
        <v>300000</v>
      </c>
      <c r="O39" s="96">
        <v>0</v>
      </c>
      <c r="P39" s="96">
        <f>SUM(N39:O39)</f>
        <v>300000</v>
      </c>
      <c r="Q39" s="96">
        <v>0</v>
      </c>
      <c r="R39" s="96">
        <f>SUM(P39:Q39)</f>
        <v>300000</v>
      </c>
      <c r="S39" s="96">
        <v>0</v>
      </c>
      <c r="T39" s="96">
        <f>SUM(R39:S39)</f>
        <v>300000</v>
      </c>
      <c r="U39" s="96">
        <v>0</v>
      </c>
      <c r="V39" s="96">
        <f>SUM(T39:U39)</f>
        <v>300000</v>
      </c>
      <c r="W39" s="96">
        <v>0</v>
      </c>
      <c r="X39" s="96">
        <f>SUM(V39:W39)</f>
        <v>300000</v>
      </c>
    </row>
    <row r="40" spans="1:24" s="27" customFormat="1" ht="11.25" hidden="1">
      <c r="A40" s="81"/>
      <c r="B40" s="103"/>
      <c r="C40" s="81">
        <v>4300</v>
      </c>
      <c r="D40" s="45" t="s">
        <v>201</v>
      </c>
      <c r="E40" s="96">
        <v>100000</v>
      </c>
      <c r="F40" s="96"/>
      <c r="G40" s="96">
        <v>100000</v>
      </c>
      <c r="H40" s="96">
        <f t="shared" si="27"/>
        <v>0</v>
      </c>
      <c r="I40" s="96"/>
      <c r="J40" s="96">
        <f t="shared" si="4"/>
        <v>0</v>
      </c>
      <c r="K40" s="96"/>
      <c r="L40" s="96">
        <f t="shared" si="5"/>
        <v>0</v>
      </c>
      <c r="M40" s="96"/>
      <c r="N40" s="96">
        <f>SUM(L40:M40)</f>
        <v>0</v>
      </c>
      <c r="O40" s="96"/>
      <c r="P40" s="96">
        <f>SUM(N40:O40)</f>
        <v>0</v>
      </c>
      <c r="Q40" s="96"/>
      <c r="R40" s="96">
        <f>SUM(P40:Q40)</f>
        <v>0</v>
      </c>
      <c r="S40" s="96"/>
      <c r="T40" s="96">
        <f>SUM(R40:S40)</f>
        <v>0</v>
      </c>
      <c r="U40" s="96"/>
      <c r="V40" s="96">
        <f>SUM(T40:U40)</f>
        <v>0</v>
      </c>
      <c r="W40" s="96"/>
      <c r="X40" s="96">
        <f>SUM(V40:W40)</f>
        <v>0</v>
      </c>
    </row>
    <row r="41" spans="1:24" s="27" customFormat="1" ht="58.5" customHeight="1">
      <c r="A41" s="81"/>
      <c r="B41" s="103"/>
      <c r="C41" s="81">
        <v>6010</v>
      </c>
      <c r="D41" s="45" t="s">
        <v>417</v>
      </c>
      <c r="E41" s="96">
        <v>300000</v>
      </c>
      <c r="F41" s="96"/>
      <c r="G41" s="96"/>
      <c r="H41" s="96">
        <f t="shared" si="27"/>
        <v>300000</v>
      </c>
      <c r="I41" s="96"/>
      <c r="J41" s="96">
        <f t="shared" si="4"/>
        <v>300000</v>
      </c>
      <c r="K41" s="96">
        <v>0</v>
      </c>
      <c r="L41" s="96">
        <f t="shared" si="5"/>
        <v>300000</v>
      </c>
      <c r="M41" s="96">
        <v>0</v>
      </c>
      <c r="N41" s="96">
        <f>SUM(L41:M41)</f>
        <v>300000</v>
      </c>
      <c r="O41" s="96">
        <v>0</v>
      </c>
      <c r="P41" s="96">
        <f>SUM(N41:O41)</f>
        <v>300000</v>
      </c>
      <c r="Q41" s="96">
        <v>0</v>
      </c>
      <c r="R41" s="96">
        <f>SUM(P41:Q41)</f>
        <v>300000</v>
      </c>
      <c r="S41" s="96">
        <v>0</v>
      </c>
      <c r="T41" s="96">
        <f>SUM(R41:S41)</f>
        <v>300000</v>
      </c>
      <c r="U41" s="96">
        <v>0</v>
      </c>
      <c r="V41" s="96">
        <f>SUM(T41:U41)</f>
        <v>300000</v>
      </c>
      <c r="W41" s="96">
        <v>0</v>
      </c>
      <c r="X41" s="96">
        <f>SUM(V41:W41)</f>
        <v>300000</v>
      </c>
    </row>
    <row r="42" spans="1:24" s="27" customFormat="1" ht="21.75" customHeight="1">
      <c r="A42" s="81"/>
      <c r="B42" s="98">
        <v>70095</v>
      </c>
      <c r="C42" s="102"/>
      <c r="D42" s="45" t="s">
        <v>118</v>
      </c>
      <c r="E42" s="96">
        <f>SUM(E43:E47)</f>
        <v>278360</v>
      </c>
      <c r="F42" s="96">
        <f>SUM(F43:F47)</f>
        <v>150000</v>
      </c>
      <c r="G42" s="96">
        <f>SUM(G43:G47)</f>
        <v>100000</v>
      </c>
      <c r="H42" s="96">
        <f t="shared" si="27"/>
        <v>328360</v>
      </c>
      <c r="I42" s="96">
        <f aca="true" t="shared" si="28" ref="I42:N42">SUM(I43:I47)</f>
        <v>56000</v>
      </c>
      <c r="J42" s="96">
        <f t="shared" si="28"/>
        <v>384360</v>
      </c>
      <c r="K42" s="96">
        <f t="shared" si="28"/>
        <v>0</v>
      </c>
      <c r="L42" s="96">
        <f t="shared" si="28"/>
        <v>384360</v>
      </c>
      <c r="M42" s="96">
        <f t="shared" si="28"/>
        <v>0</v>
      </c>
      <c r="N42" s="96">
        <f t="shared" si="28"/>
        <v>384360</v>
      </c>
      <c r="O42" s="96">
        <f aca="true" t="shared" si="29" ref="O42:T42">SUM(O43:O47)</f>
        <v>0</v>
      </c>
      <c r="P42" s="96">
        <f t="shared" si="29"/>
        <v>384360</v>
      </c>
      <c r="Q42" s="96">
        <f t="shared" si="29"/>
        <v>108433</v>
      </c>
      <c r="R42" s="96">
        <f t="shared" si="29"/>
        <v>492793</v>
      </c>
      <c r="S42" s="96">
        <f t="shared" si="29"/>
        <v>0</v>
      </c>
      <c r="T42" s="96">
        <f t="shared" si="29"/>
        <v>492793</v>
      </c>
      <c r="U42" s="96">
        <f>SUM(U43:U47)</f>
        <v>0</v>
      </c>
      <c r="V42" s="96">
        <f>SUM(V43:V47)</f>
        <v>492793</v>
      </c>
      <c r="W42" s="96">
        <f>SUM(W43:W47)</f>
        <v>393936</v>
      </c>
      <c r="X42" s="96">
        <f>SUM(X43:X47)</f>
        <v>886729</v>
      </c>
    </row>
    <row r="43" spans="1:24" s="27" customFormat="1" ht="21.75" customHeight="1">
      <c r="A43" s="81"/>
      <c r="B43" s="98"/>
      <c r="C43" s="102">
        <v>4260</v>
      </c>
      <c r="D43" s="45" t="s">
        <v>217</v>
      </c>
      <c r="E43" s="96">
        <v>300</v>
      </c>
      <c r="F43" s="96"/>
      <c r="G43" s="96"/>
      <c r="H43" s="96">
        <f t="shared" si="27"/>
        <v>300</v>
      </c>
      <c r="I43" s="96"/>
      <c r="J43" s="96">
        <f t="shared" si="4"/>
        <v>300</v>
      </c>
      <c r="K43" s="96">
        <v>0</v>
      </c>
      <c r="L43" s="96">
        <f t="shared" si="5"/>
        <v>300</v>
      </c>
      <c r="M43" s="96">
        <v>0</v>
      </c>
      <c r="N43" s="96">
        <f>SUM(L43:M43)</f>
        <v>300</v>
      </c>
      <c r="O43" s="96">
        <v>0</v>
      </c>
      <c r="P43" s="96">
        <f>SUM(N43:O43)</f>
        <v>300</v>
      </c>
      <c r="Q43" s="96">
        <v>0</v>
      </c>
      <c r="R43" s="96">
        <f>SUM(P43:Q43)</f>
        <v>300</v>
      </c>
      <c r="S43" s="96">
        <v>0</v>
      </c>
      <c r="T43" s="96">
        <f>SUM(R43:S43)</f>
        <v>300</v>
      </c>
      <c r="U43" s="96">
        <v>0</v>
      </c>
      <c r="V43" s="96">
        <f>SUM(T43:U43)</f>
        <v>300</v>
      </c>
      <c r="W43" s="96">
        <v>0</v>
      </c>
      <c r="X43" s="96">
        <f>SUM(V43:W43)</f>
        <v>300</v>
      </c>
    </row>
    <row r="44" spans="1:24" s="27" customFormat="1" ht="23.25" customHeight="1">
      <c r="A44" s="81"/>
      <c r="B44" s="98"/>
      <c r="C44" s="102">
        <v>4300</v>
      </c>
      <c r="D44" s="45" t="s">
        <v>201</v>
      </c>
      <c r="E44" s="96">
        <f>60+28000</f>
        <v>28060</v>
      </c>
      <c r="F44" s="96">
        <v>150000</v>
      </c>
      <c r="G44" s="96"/>
      <c r="H44" s="96">
        <f t="shared" si="27"/>
        <v>178060</v>
      </c>
      <c r="I44" s="96"/>
      <c r="J44" s="96">
        <f t="shared" si="4"/>
        <v>178060</v>
      </c>
      <c r="K44" s="96">
        <v>0</v>
      </c>
      <c r="L44" s="96">
        <f t="shared" si="5"/>
        <v>178060</v>
      </c>
      <c r="M44" s="96">
        <v>0</v>
      </c>
      <c r="N44" s="96">
        <f>SUM(L44:M44)</f>
        <v>178060</v>
      </c>
      <c r="O44" s="96">
        <v>0</v>
      </c>
      <c r="P44" s="96">
        <f>SUM(N44:O44)</f>
        <v>178060</v>
      </c>
      <c r="Q44" s="286">
        <f>250000-250000</f>
        <v>0</v>
      </c>
      <c r="R44" s="96">
        <f>SUM(P44:Q44)</f>
        <v>178060</v>
      </c>
      <c r="S44" s="269">
        <v>0</v>
      </c>
      <c r="T44" s="96">
        <f>SUM(R44:S44)</f>
        <v>178060</v>
      </c>
      <c r="U44" s="269">
        <v>0</v>
      </c>
      <c r="V44" s="96">
        <f>SUM(T44:U44)</f>
        <v>178060</v>
      </c>
      <c r="W44" s="269">
        <v>300000</v>
      </c>
      <c r="X44" s="96">
        <f>SUM(V44:W44)</f>
        <v>478060</v>
      </c>
    </row>
    <row r="45" spans="1:24" s="27" customFormat="1" ht="23.25" customHeight="1">
      <c r="A45" s="81"/>
      <c r="B45" s="98"/>
      <c r="C45" s="102">
        <v>4590</v>
      </c>
      <c r="D45" s="45" t="s">
        <v>27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286"/>
      <c r="R45" s="96"/>
      <c r="S45" s="269"/>
      <c r="T45" s="96"/>
      <c r="U45" s="269"/>
      <c r="V45" s="96">
        <v>0</v>
      </c>
      <c r="W45" s="269">
        <v>2936</v>
      </c>
      <c r="X45" s="96">
        <f>SUM(V45:W45)</f>
        <v>2936</v>
      </c>
    </row>
    <row r="46" spans="1:24" s="27" customFormat="1" ht="36">
      <c r="A46" s="81"/>
      <c r="B46" s="98"/>
      <c r="C46" s="102">
        <v>4600</v>
      </c>
      <c r="D46" s="45" t="s">
        <v>583</v>
      </c>
      <c r="E46" s="96"/>
      <c r="F46" s="96"/>
      <c r="G46" s="96"/>
      <c r="H46" s="96">
        <v>0</v>
      </c>
      <c r="I46" s="96">
        <v>56000</v>
      </c>
      <c r="J46" s="96">
        <f t="shared" si="4"/>
        <v>56000</v>
      </c>
      <c r="K46" s="96">
        <v>0</v>
      </c>
      <c r="L46" s="96">
        <f t="shared" si="5"/>
        <v>56000</v>
      </c>
      <c r="M46" s="96">
        <v>0</v>
      </c>
      <c r="N46" s="96">
        <f>SUM(L46:M46)</f>
        <v>56000</v>
      </c>
      <c r="O46" s="96">
        <v>0</v>
      </c>
      <c r="P46" s="96">
        <f>SUM(N46:O46)</f>
        <v>56000</v>
      </c>
      <c r="Q46" s="96">
        <v>410</v>
      </c>
      <c r="R46" s="96">
        <f>SUM(P46:Q46)</f>
        <v>56410</v>
      </c>
      <c r="S46" s="96">
        <v>0</v>
      </c>
      <c r="T46" s="96">
        <f>SUM(R46:S46)</f>
        <v>56410</v>
      </c>
      <c r="U46" s="96">
        <v>0</v>
      </c>
      <c r="V46" s="96">
        <f>SUM(T46:U46)</f>
        <v>56410</v>
      </c>
      <c r="W46" s="96">
        <v>0</v>
      </c>
      <c r="X46" s="96">
        <f>SUM(V46:W46)</f>
        <v>56410</v>
      </c>
    </row>
    <row r="47" spans="1:24" s="27" customFormat="1" ht="21.75" customHeight="1">
      <c r="A47" s="81"/>
      <c r="B47" s="98"/>
      <c r="C47" s="81">
        <v>6050</v>
      </c>
      <c r="D47" s="45" t="s">
        <v>195</v>
      </c>
      <c r="E47" s="96">
        <v>250000</v>
      </c>
      <c r="F47" s="96"/>
      <c r="G47" s="96">
        <v>100000</v>
      </c>
      <c r="H47" s="96">
        <f t="shared" si="27"/>
        <v>150000</v>
      </c>
      <c r="I47" s="96"/>
      <c r="J47" s="96">
        <f t="shared" si="4"/>
        <v>150000</v>
      </c>
      <c r="K47" s="96">
        <v>0</v>
      </c>
      <c r="L47" s="96">
        <f t="shared" si="5"/>
        <v>150000</v>
      </c>
      <c r="M47" s="96">
        <v>0</v>
      </c>
      <c r="N47" s="96">
        <f>SUM(L47:M47)</f>
        <v>150000</v>
      </c>
      <c r="O47" s="96">
        <v>0</v>
      </c>
      <c r="P47" s="96">
        <f>SUM(N47:O47)</f>
        <v>150000</v>
      </c>
      <c r="Q47" s="96">
        <f>103000+5023</f>
        <v>108023</v>
      </c>
      <c r="R47" s="96">
        <f>SUM(P47:Q47)</f>
        <v>258023</v>
      </c>
      <c r="S47" s="96">
        <v>0</v>
      </c>
      <c r="T47" s="96">
        <f>SUM(R47:S47)</f>
        <v>258023</v>
      </c>
      <c r="U47" s="96">
        <v>0</v>
      </c>
      <c r="V47" s="96">
        <f>SUM(T47:U47)</f>
        <v>258023</v>
      </c>
      <c r="W47" s="96">
        <v>91000</v>
      </c>
      <c r="X47" s="96">
        <f>SUM(V47:W47)</f>
        <v>349023</v>
      </c>
    </row>
    <row r="48" spans="1:24" s="7" customFormat="1" ht="21" customHeight="1">
      <c r="A48" s="40" t="s">
        <v>128</v>
      </c>
      <c r="B48" s="41"/>
      <c r="C48" s="42"/>
      <c r="D48" s="43" t="s">
        <v>202</v>
      </c>
      <c r="E48" s="44">
        <f>SUM(E49,E52)</f>
        <v>153400</v>
      </c>
      <c r="F48" s="44">
        <f>SUM(F49,F52)</f>
        <v>0</v>
      </c>
      <c r="G48" s="44">
        <f>SUM(G49,G52)</f>
        <v>0</v>
      </c>
      <c r="H48" s="219">
        <f t="shared" si="27"/>
        <v>153400</v>
      </c>
      <c r="I48" s="44">
        <f>SUM(I49,I52)</f>
        <v>0</v>
      </c>
      <c r="J48" s="44">
        <f aca="true" t="shared" si="30" ref="J48:P48">SUM(J49,J52,)</f>
        <v>153400</v>
      </c>
      <c r="K48" s="44">
        <f t="shared" si="30"/>
        <v>0</v>
      </c>
      <c r="L48" s="44">
        <f t="shared" si="30"/>
        <v>153400</v>
      </c>
      <c r="M48" s="44">
        <f t="shared" si="30"/>
        <v>0</v>
      </c>
      <c r="N48" s="44">
        <f t="shared" si="30"/>
        <v>153400</v>
      </c>
      <c r="O48" s="44">
        <f t="shared" si="30"/>
        <v>0</v>
      </c>
      <c r="P48" s="44">
        <f t="shared" si="30"/>
        <v>153400</v>
      </c>
      <c r="Q48" s="44">
        <f aca="true" t="shared" si="31" ref="Q48:V48">SUM(Q49,Q52,)</f>
        <v>0</v>
      </c>
      <c r="R48" s="44">
        <f t="shared" si="31"/>
        <v>153400</v>
      </c>
      <c r="S48" s="44">
        <f t="shared" si="31"/>
        <v>0</v>
      </c>
      <c r="T48" s="44">
        <f t="shared" si="31"/>
        <v>153400</v>
      </c>
      <c r="U48" s="44">
        <f t="shared" si="31"/>
        <v>0</v>
      </c>
      <c r="V48" s="44">
        <f t="shared" si="31"/>
        <v>153400</v>
      </c>
      <c r="W48" s="44">
        <f>SUM(W49,W52,)</f>
        <v>0</v>
      </c>
      <c r="X48" s="44">
        <f>SUM(X49,X52,)</f>
        <v>153400</v>
      </c>
    </row>
    <row r="49" spans="1:24" s="27" customFormat="1" ht="21.75" customHeight="1">
      <c r="A49" s="81"/>
      <c r="B49" s="98" t="s">
        <v>203</v>
      </c>
      <c r="C49" s="102"/>
      <c r="D49" s="45" t="s">
        <v>204</v>
      </c>
      <c r="E49" s="96">
        <f>SUM(E50:E51)</f>
        <v>150000</v>
      </c>
      <c r="F49" s="96">
        <f>SUM(F50:F51)</f>
        <v>0</v>
      </c>
      <c r="G49" s="96">
        <f>SUM(G50:G51)</f>
        <v>0</v>
      </c>
      <c r="H49" s="96">
        <f t="shared" si="27"/>
        <v>150000</v>
      </c>
      <c r="I49" s="96">
        <f aca="true" t="shared" si="32" ref="I49:N49">SUM(I50:I51)</f>
        <v>0</v>
      </c>
      <c r="J49" s="96">
        <f t="shared" si="32"/>
        <v>150000</v>
      </c>
      <c r="K49" s="96">
        <f t="shared" si="32"/>
        <v>0</v>
      </c>
      <c r="L49" s="96">
        <f t="shared" si="32"/>
        <v>150000</v>
      </c>
      <c r="M49" s="96">
        <f t="shared" si="32"/>
        <v>0</v>
      </c>
      <c r="N49" s="96">
        <f t="shared" si="32"/>
        <v>150000</v>
      </c>
      <c r="O49" s="96">
        <f aca="true" t="shared" si="33" ref="O49:T49">SUM(O50:O51)</f>
        <v>0</v>
      </c>
      <c r="P49" s="96">
        <f t="shared" si="33"/>
        <v>150000</v>
      </c>
      <c r="Q49" s="96">
        <f t="shared" si="33"/>
        <v>0</v>
      </c>
      <c r="R49" s="96">
        <f t="shared" si="33"/>
        <v>150000</v>
      </c>
      <c r="S49" s="96">
        <f t="shared" si="33"/>
        <v>0</v>
      </c>
      <c r="T49" s="96">
        <f t="shared" si="33"/>
        <v>150000</v>
      </c>
      <c r="U49" s="96">
        <f>SUM(U50:U51)</f>
        <v>0</v>
      </c>
      <c r="V49" s="96">
        <f>SUM(V50:V51)</f>
        <v>150000</v>
      </c>
      <c r="W49" s="96">
        <f>SUM(W50:W51)</f>
        <v>0</v>
      </c>
      <c r="X49" s="96">
        <f>SUM(X50:X51)</f>
        <v>150000</v>
      </c>
    </row>
    <row r="50" spans="1:24" s="27" customFormat="1" ht="21.75" customHeight="1">
      <c r="A50" s="81"/>
      <c r="B50" s="98"/>
      <c r="C50" s="81">
        <v>4300</v>
      </c>
      <c r="D50" s="45" t="s">
        <v>201</v>
      </c>
      <c r="E50" s="96">
        <f>150000-10000</f>
        <v>140000</v>
      </c>
      <c r="F50" s="96"/>
      <c r="G50" s="96"/>
      <c r="H50" s="96">
        <f t="shared" si="27"/>
        <v>140000</v>
      </c>
      <c r="I50" s="96"/>
      <c r="J50" s="96">
        <f t="shared" si="4"/>
        <v>140000</v>
      </c>
      <c r="K50" s="96">
        <v>0</v>
      </c>
      <c r="L50" s="96">
        <f t="shared" si="5"/>
        <v>140000</v>
      </c>
      <c r="M50" s="96">
        <v>0</v>
      </c>
      <c r="N50" s="96">
        <f>SUM(L50:M50)</f>
        <v>140000</v>
      </c>
      <c r="O50" s="96">
        <v>0</v>
      </c>
      <c r="P50" s="96">
        <f>SUM(N50:O50)</f>
        <v>140000</v>
      </c>
      <c r="Q50" s="96">
        <v>0</v>
      </c>
      <c r="R50" s="96">
        <f>SUM(P50:Q50)</f>
        <v>140000</v>
      </c>
      <c r="S50" s="96">
        <v>0</v>
      </c>
      <c r="T50" s="96">
        <f>SUM(R50:S50)</f>
        <v>140000</v>
      </c>
      <c r="U50" s="96">
        <v>0</v>
      </c>
      <c r="V50" s="96">
        <f>SUM(T50:U50)</f>
        <v>140000</v>
      </c>
      <c r="W50" s="96">
        <v>0</v>
      </c>
      <c r="X50" s="96">
        <f>SUM(V50:W50)</f>
        <v>140000</v>
      </c>
    </row>
    <row r="51" spans="1:24" s="27" customFormat="1" ht="21.75" customHeight="1">
      <c r="A51" s="81"/>
      <c r="B51" s="98"/>
      <c r="C51" s="81">
        <v>4390</v>
      </c>
      <c r="D51" s="45" t="s">
        <v>415</v>
      </c>
      <c r="E51" s="96">
        <v>10000</v>
      </c>
      <c r="F51" s="96"/>
      <c r="G51" s="96"/>
      <c r="H51" s="96">
        <f t="shared" si="27"/>
        <v>10000</v>
      </c>
      <c r="I51" s="96"/>
      <c r="J51" s="96">
        <f t="shared" si="4"/>
        <v>10000</v>
      </c>
      <c r="K51" s="96">
        <v>0</v>
      </c>
      <c r="L51" s="96">
        <f t="shared" si="5"/>
        <v>10000</v>
      </c>
      <c r="M51" s="96">
        <v>0</v>
      </c>
      <c r="N51" s="96">
        <f>SUM(L51:M51)</f>
        <v>10000</v>
      </c>
      <c r="O51" s="96">
        <v>0</v>
      </c>
      <c r="P51" s="96">
        <f>SUM(N51:O51)</f>
        <v>10000</v>
      </c>
      <c r="Q51" s="96">
        <v>0</v>
      </c>
      <c r="R51" s="96">
        <f>SUM(P51:Q51)</f>
        <v>10000</v>
      </c>
      <c r="S51" s="96">
        <v>0</v>
      </c>
      <c r="T51" s="96">
        <f>SUM(R51:S51)</f>
        <v>10000</v>
      </c>
      <c r="U51" s="96">
        <v>0</v>
      </c>
      <c r="V51" s="96">
        <f>SUM(T51:U51)</f>
        <v>10000</v>
      </c>
      <c r="W51" s="96">
        <v>0</v>
      </c>
      <c r="X51" s="96">
        <f>SUM(V51:W51)</f>
        <v>10000</v>
      </c>
    </row>
    <row r="52" spans="1:24" s="27" customFormat="1" ht="20.25" customHeight="1">
      <c r="A52" s="81"/>
      <c r="B52" s="98">
        <v>71035</v>
      </c>
      <c r="C52" s="81"/>
      <c r="D52" s="45" t="s">
        <v>129</v>
      </c>
      <c r="E52" s="96">
        <f>SUM(E53:E54)</f>
        <v>3400</v>
      </c>
      <c r="F52" s="96">
        <f>SUM(F53:F54)</f>
        <v>0</v>
      </c>
      <c r="G52" s="96">
        <f>SUM(G53:G54)</f>
        <v>0</v>
      </c>
      <c r="H52" s="96">
        <f t="shared" si="27"/>
        <v>3400</v>
      </c>
      <c r="I52" s="96">
        <f aca="true" t="shared" si="34" ref="I52:N52">SUM(I53:I54)</f>
        <v>0</v>
      </c>
      <c r="J52" s="96">
        <f t="shared" si="34"/>
        <v>3400</v>
      </c>
      <c r="K52" s="96">
        <f t="shared" si="34"/>
        <v>0</v>
      </c>
      <c r="L52" s="96">
        <f t="shared" si="34"/>
        <v>3400</v>
      </c>
      <c r="M52" s="96">
        <f t="shared" si="34"/>
        <v>0</v>
      </c>
      <c r="N52" s="96">
        <f t="shared" si="34"/>
        <v>3400</v>
      </c>
      <c r="O52" s="96">
        <f aca="true" t="shared" si="35" ref="O52:T52">SUM(O53:O54)</f>
        <v>0</v>
      </c>
      <c r="P52" s="96">
        <f t="shared" si="35"/>
        <v>3400</v>
      </c>
      <c r="Q52" s="96">
        <f t="shared" si="35"/>
        <v>0</v>
      </c>
      <c r="R52" s="96">
        <f t="shared" si="35"/>
        <v>3400</v>
      </c>
      <c r="S52" s="96">
        <f t="shared" si="35"/>
        <v>0</v>
      </c>
      <c r="T52" s="96">
        <f t="shared" si="35"/>
        <v>3400</v>
      </c>
      <c r="U52" s="96">
        <f>SUM(U53:U54)</f>
        <v>0</v>
      </c>
      <c r="V52" s="96">
        <f>SUM(V53:V54)</f>
        <v>3400</v>
      </c>
      <c r="W52" s="96">
        <f>SUM(W53:W54)</f>
        <v>0</v>
      </c>
      <c r="X52" s="96">
        <f>SUM(X53:X54)</f>
        <v>3400</v>
      </c>
    </row>
    <row r="53" spans="1:24" s="27" customFormat="1" ht="21" customHeight="1">
      <c r="A53" s="81"/>
      <c r="B53" s="98"/>
      <c r="C53" s="81">
        <v>4260</v>
      </c>
      <c r="D53" s="45" t="s">
        <v>217</v>
      </c>
      <c r="E53" s="96">
        <f>400+1500</f>
        <v>1900</v>
      </c>
      <c r="F53" s="96"/>
      <c r="G53" s="96"/>
      <c r="H53" s="96">
        <f t="shared" si="27"/>
        <v>1900</v>
      </c>
      <c r="I53" s="96"/>
      <c r="J53" s="96">
        <f t="shared" si="4"/>
        <v>1900</v>
      </c>
      <c r="K53" s="96">
        <v>0</v>
      </c>
      <c r="L53" s="96">
        <f t="shared" si="5"/>
        <v>1900</v>
      </c>
      <c r="M53" s="96">
        <v>0</v>
      </c>
      <c r="N53" s="96">
        <f>SUM(L53:M53)</f>
        <v>1900</v>
      </c>
      <c r="O53" s="96">
        <v>0</v>
      </c>
      <c r="P53" s="96">
        <f>SUM(N53:O53)</f>
        <v>1900</v>
      </c>
      <c r="Q53" s="96">
        <v>0</v>
      </c>
      <c r="R53" s="96">
        <f>SUM(P53:Q53)</f>
        <v>1900</v>
      </c>
      <c r="S53" s="96">
        <v>0</v>
      </c>
      <c r="T53" s="96">
        <f>SUM(R53:S53)</f>
        <v>1900</v>
      </c>
      <c r="U53" s="96">
        <v>0</v>
      </c>
      <c r="V53" s="96">
        <f>SUM(T53:U53)</f>
        <v>1900</v>
      </c>
      <c r="W53" s="96">
        <v>0</v>
      </c>
      <c r="X53" s="96">
        <f>SUM(V53:W53)</f>
        <v>1900</v>
      </c>
    </row>
    <row r="54" spans="1:24" s="27" customFormat="1" ht="21" customHeight="1">
      <c r="A54" s="81"/>
      <c r="B54" s="98"/>
      <c r="C54" s="81">
        <v>4300</v>
      </c>
      <c r="D54" s="45" t="s">
        <v>201</v>
      </c>
      <c r="E54" s="96">
        <v>1500</v>
      </c>
      <c r="F54" s="96"/>
      <c r="G54" s="96"/>
      <c r="H54" s="96">
        <f t="shared" si="27"/>
        <v>1500</v>
      </c>
      <c r="I54" s="96"/>
      <c r="J54" s="96">
        <f t="shared" si="4"/>
        <v>1500</v>
      </c>
      <c r="K54" s="96">
        <v>0</v>
      </c>
      <c r="L54" s="96">
        <f t="shared" si="5"/>
        <v>1500</v>
      </c>
      <c r="M54" s="96">
        <v>0</v>
      </c>
      <c r="N54" s="96">
        <f>SUM(L54:M54)</f>
        <v>1500</v>
      </c>
      <c r="O54" s="96">
        <v>0</v>
      </c>
      <c r="P54" s="96">
        <f>SUM(N54:O54)</f>
        <v>1500</v>
      </c>
      <c r="Q54" s="96">
        <v>0</v>
      </c>
      <c r="R54" s="96">
        <f>SUM(P54:Q54)</f>
        <v>1500</v>
      </c>
      <c r="S54" s="96">
        <v>0</v>
      </c>
      <c r="T54" s="96">
        <f>SUM(R54:S54)</f>
        <v>1500</v>
      </c>
      <c r="U54" s="96">
        <v>0</v>
      </c>
      <c r="V54" s="96">
        <f>SUM(T54:U54)</f>
        <v>1500</v>
      </c>
      <c r="W54" s="96">
        <v>0</v>
      </c>
      <c r="X54" s="96">
        <f>SUM(V54:W54)</f>
        <v>1500</v>
      </c>
    </row>
    <row r="55" spans="1:24" s="7" customFormat="1" ht="24.75" customHeight="1">
      <c r="A55" s="40" t="s">
        <v>130</v>
      </c>
      <c r="B55" s="41"/>
      <c r="C55" s="42"/>
      <c r="D55" s="43" t="s">
        <v>205</v>
      </c>
      <c r="E55" s="44">
        <f>SUM(E56,E62,E73,E98,E111)</f>
        <v>5146750</v>
      </c>
      <c r="F55" s="44">
        <f>SUM(F56,F62,F73,F98,F111)</f>
        <v>37800</v>
      </c>
      <c r="G55" s="44">
        <f>SUM(G56,G62,G73,G98,G111)</f>
        <v>183800</v>
      </c>
      <c r="H55" s="44">
        <f>SUM(H56,H62,H73,H98,H111)</f>
        <v>5000750</v>
      </c>
      <c r="I55" s="44">
        <f>SUM(I56,I62,I73,I98,I111)</f>
        <v>60</v>
      </c>
      <c r="J55" s="44">
        <f aca="true" t="shared" si="36" ref="J55:P55">SUM(J56,J62,J73,J98,J111,)</f>
        <v>5000810</v>
      </c>
      <c r="K55" s="44">
        <f t="shared" si="36"/>
        <v>-300</v>
      </c>
      <c r="L55" s="44">
        <f t="shared" si="36"/>
        <v>5000510</v>
      </c>
      <c r="M55" s="44">
        <f t="shared" si="36"/>
        <v>0</v>
      </c>
      <c r="N55" s="44">
        <f t="shared" si="36"/>
        <v>5000510</v>
      </c>
      <c r="O55" s="44">
        <f t="shared" si="36"/>
        <v>-250</v>
      </c>
      <c r="P55" s="44">
        <f t="shared" si="36"/>
        <v>5000260</v>
      </c>
      <c r="Q55" s="44">
        <f aca="true" t="shared" si="37" ref="Q55:V55">SUM(Q56,Q62,Q73,Q98,Q111,)</f>
        <v>21593</v>
      </c>
      <c r="R55" s="44">
        <f t="shared" si="37"/>
        <v>5021853</v>
      </c>
      <c r="S55" s="44">
        <f t="shared" si="37"/>
        <v>0</v>
      </c>
      <c r="T55" s="44">
        <f t="shared" si="37"/>
        <v>5021853</v>
      </c>
      <c r="U55" s="44">
        <f t="shared" si="37"/>
        <v>0</v>
      </c>
      <c r="V55" s="44">
        <f t="shared" si="37"/>
        <v>5021853</v>
      </c>
      <c r="W55" s="44">
        <f>SUM(W56,W62,W73,W98,W111,)</f>
        <v>0</v>
      </c>
      <c r="X55" s="44">
        <f>SUM(X56,X62,X73,X98,X111,)</f>
        <v>5021853</v>
      </c>
    </row>
    <row r="56" spans="1:24" s="27" customFormat="1" ht="21.75" customHeight="1">
      <c r="A56" s="81"/>
      <c r="B56" s="98">
        <v>75011</v>
      </c>
      <c r="C56" s="102"/>
      <c r="D56" s="45" t="s">
        <v>132</v>
      </c>
      <c r="E56" s="96">
        <f>SUM(E57:E61)</f>
        <v>144800</v>
      </c>
      <c r="F56" s="96">
        <f>SUM(F57:F61)</f>
        <v>0</v>
      </c>
      <c r="G56" s="96">
        <f>SUM(G57:G61)</f>
        <v>0</v>
      </c>
      <c r="H56" s="96">
        <f aca="true" t="shared" si="38" ref="H56:H97">E56+F56-G56</f>
        <v>144800</v>
      </c>
      <c r="I56" s="96">
        <f aca="true" t="shared" si="39" ref="I56:N56">SUM(I57:I61)</f>
        <v>0</v>
      </c>
      <c r="J56" s="96">
        <f t="shared" si="39"/>
        <v>144800</v>
      </c>
      <c r="K56" s="96">
        <f t="shared" si="39"/>
        <v>0</v>
      </c>
      <c r="L56" s="96">
        <f t="shared" si="39"/>
        <v>144800</v>
      </c>
      <c r="M56" s="96">
        <f t="shared" si="39"/>
        <v>0</v>
      </c>
      <c r="N56" s="96">
        <f t="shared" si="39"/>
        <v>144800</v>
      </c>
      <c r="O56" s="96">
        <f aca="true" t="shared" si="40" ref="O56:T56">SUM(O57:O61)</f>
        <v>0</v>
      </c>
      <c r="P56" s="96">
        <f t="shared" si="40"/>
        <v>144800</v>
      </c>
      <c r="Q56" s="96">
        <f t="shared" si="40"/>
        <v>0</v>
      </c>
      <c r="R56" s="96">
        <f t="shared" si="40"/>
        <v>144800</v>
      </c>
      <c r="S56" s="96">
        <f t="shared" si="40"/>
        <v>0</v>
      </c>
      <c r="T56" s="96">
        <f t="shared" si="40"/>
        <v>144800</v>
      </c>
      <c r="U56" s="96">
        <f>SUM(U57:U61)</f>
        <v>0</v>
      </c>
      <c r="V56" s="96">
        <f>SUM(V57:V61)</f>
        <v>144800</v>
      </c>
      <c r="W56" s="96">
        <f>SUM(W57:W61)</f>
        <v>0</v>
      </c>
      <c r="X56" s="96">
        <f>SUM(X57:X61)</f>
        <v>144800</v>
      </c>
    </row>
    <row r="57" spans="1:26" s="27" customFormat="1" ht="21" customHeight="1">
      <c r="A57" s="81"/>
      <c r="B57" s="103"/>
      <c r="C57" s="81">
        <v>4010</v>
      </c>
      <c r="D57" s="45" t="s">
        <v>206</v>
      </c>
      <c r="E57" s="96">
        <v>98200</v>
      </c>
      <c r="F57" s="96"/>
      <c r="G57" s="96"/>
      <c r="H57" s="96">
        <f t="shared" si="38"/>
        <v>98200</v>
      </c>
      <c r="I57" s="96"/>
      <c r="J57" s="96">
        <f t="shared" si="4"/>
        <v>98200</v>
      </c>
      <c r="K57" s="96">
        <v>0</v>
      </c>
      <c r="L57" s="96">
        <f t="shared" si="5"/>
        <v>98200</v>
      </c>
      <c r="M57" s="96">
        <v>0</v>
      </c>
      <c r="N57" s="96">
        <f>SUM(L57:M57)</f>
        <v>98200</v>
      </c>
      <c r="O57" s="96">
        <v>0</v>
      </c>
      <c r="P57" s="96">
        <f>SUM(N57:O57)</f>
        <v>98200</v>
      </c>
      <c r="Q57" s="96">
        <v>0</v>
      </c>
      <c r="R57" s="96">
        <f>SUM(P57:Q57)</f>
        <v>98200</v>
      </c>
      <c r="S57" s="96">
        <v>0</v>
      </c>
      <c r="T57" s="96">
        <f>SUM(R57:S57)</f>
        <v>98200</v>
      </c>
      <c r="U57" s="96">
        <v>0</v>
      </c>
      <c r="V57" s="96">
        <f>SUM(T57:U57)</f>
        <v>98200</v>
      </c>
      <c r="W57" s="96">
        <v>0</v>
      </c>
      <c r="X57" s="96">
        <f>SUM(V57:W57)</f>
        <v>98200</v>
      </c>
      <c r="Y57" s="150"/>
      <c r="Z57" s="150"/>
    </row>
    <row r="58" spans="1:26" s="27" customFormat="1" ht="21" customHeight="1">
      <c r="A58" s="81"/>
      <c r="B58" s="103"/>
      <c r="C58" s="81">
        <v>4040</v>
      </c>
      <c r="D58" s="45" t="s">
        <v>207</v>
      </c>
      <c r="E58" s="96">
        <v>16500</v>
      </c>
      <c r="F58" s="96"/>
      <c r="G58" s="96"/>
      <c r="H58" s="96">
        <f t="shared" si="38"/>
        <v>16500</v>
      </c>
      <c r="I58" s="96"/>
      <c r="J58" s="96">
        <f t="shared" si="4"/>
        <v>16500</v>
      </c>
      <c r="K58" s="96">
        <v>0</v>
      </c>
      <c r="L58" s="96">
        <f t="shared" si="5"/>
        <v>16500</v>
      </c>
      <c r="M58" s="96">
        <v>0</v>
      </c>
      <c r="N58" s="96">
        <f>SUM(L58:M58)</f>
        <v>16500</v>
      </c>
      <c r="O58" s="96">
        <v>0</v>
      </c>
      <c r="P58" s="96">
        <f>SUM(N58:O58)</f>
        <v>16500</v>
      </c>
      <c r="Q58" s="96">
        <v>0</v>
      </c>
      <c r="R58" s="96">
        <f>SUM(P58:Q58)</f>
        <v>16500</v>
      </c>
      <c r="S58" s="96">
        <v>0</v>
      </c>
      <c r="T58" s="96">
        <f>SUM(R58:S58)</f>
        <v>16500</v>
      </c>
      <c r="U58" s="96">
        <v>0</v>
      </c>
      <c r="V58" s="96">
        <f>SUM(T58:U58)</f>
        <v>16500</v>
      </c>
      <c r="W58" s="96">
        <v>0</v>
      </c>
      <c r="X58" s="96">
        <f>SUM(V58:W58)</f>
        <v>16500</v>
      </c>
      <c r="Y58" s="150"/>
      <c r="Z58" s="150"/>
    </row>
    <row r="59" spans="1:26" s="27" customFormat="1" ht="21" customHeight="1">
      <c r="A59" s="81"/>
      <c r="B59" s="103"/>
      <c r="C59" s="81">
        <v>4110</v>
      </c>
      <c r="D59" s="45" t="s">
        <v>208</v>
      </c>
      <c r="E59" s="96">
        <v>19950</v>
      </c>
      <c r="F59" s="96"/>
      <c r="G59" s="96"/>
      <c r="H59" s="96">
        <f t="shared" si="38"/>
        <v>19950</v>
      </c>
      <c r="I59" s="96"/>
      <c r="J59" s="96">
        <f t="shared" si="4"/>
        <v>19950</v>
      </c>
      <c r="K59" s="96">
        <v>0</v>
      </c>
      <c r="L59" s="96">
        <f t="shared" si="5"/>
        <v>19950</v>
      </c>
      <c r="M59" s="96">
        <v>0</v>
      </c>
      <c r="N59" s="96">
        <f>SUM(L59:M59)</f>
        <v>19950</v>
      </c>
      <c r="O59" s="96">
        <v>0</v>
      </c>
      <c r="P59" s="96">
        <f>SUM(N59:O59)</f>
        <v>19950</v>
      </c>
      <c r="Q59" s="96">
        <v>0</v>
      </c>
      <c r="R59" s="96">
        <f>SUM(P59:Q59)</f>
        <v>19950</v>
      </c>
      <c r="S59" s="96">
        <v>0</v>
      </c>
      <c r="T59" s="96">
        <f>SUM(R59:S59)</f>
        <v>19950</v>
      </c>
      <c r="U59" s="96">
        <v>0</v>
      </c>
      <c r="V59" s="96">
        <f>SUM(T59:U59)</f>
        <v>19950</v>
      </c>
      <c r="W59" s="96">
        <v>0</v>
      </c>
      <c r="X59" s="96">
        <f>SUM(V59:W59)</f>
        <v>19950</v>
      </c>
      <c r="Y59" s="150"/>
      <c r="Z59" s="150"/>
    </row>
    <row r="60" spans="1:26" s="27" customFormat="1" ht="21" customHeight="1">
      <c r="A60" s="81"/>
      <c r="B60" s="103"/>
      <c r="C60" s="81">
        <v>4120</v>
      </c>
      <c r="D60" s="45" t="s">
        <v>209</v>
      </c>
      <c r="E60" s="96">
        <v>2800</v>
      </c>
      <c r="F60" s="96"/>
      <c r="G60" s="96"/>
      <c r="H60" s="96">
        <f t="shared" si="38"/>
        <v>2800</v>
      </c>
      <c r="I60" s="96"/>
      <c r="J60" s="96">
        <f t="shared" si="4"/>
        <v>2800</v>
      </c>
      <c r="K60" s="96">
        <v>0</v>
      </c>
      <c r="L60" s="96">
        <f t="shared" si="5"/>
        <v>2800</v>
      </c>
      <c r="M60" s="96">
        <v>0</v>
      </c>
      <c r="N60" s="96">
        <f>SUM(L60:M60)</f>
        <v>2800</v>
      </c>
      <c r="O60" s="96">
        <v>0</v>
      </c>
      <c r="P60" s="96">
        <f>SUM(N60:O60)</f>
        <v>2800</v>
      </c>
      <c r="Q60" s="96">
        <v>0</v>
      </c>
      <c r="R60" s="96">
        <f>SUM(P60:Q60)</f>
        <v>2800</v>
      </c>
      <c r="S60" s="96">
        <v>0</v>
      </c>
      <c r="T60" s="96">
        <f>SUM(R60:S60)</f>
        <v>2800</v>
      </c>
      <c r="U60" s="96">
        <v>0</v>
      </c>
      <c r="V60" s="96">
        <f>SUM(T60:U60)</f>
        <v>2800</v>
      </c>
      <c r="W60" s="96">
        <v>0</v>
      </c>
      <c r="X60" s="96">
        <f>SUM(V60:W60)</f>
        <v>2800</v>
      </c>
      <c r="Y60" s="150"/>
      <c r="Z60" s="150"/>
    </row>
    <row r="61" spans="1:24" s="27" customFormat="1" ht="21" customHeight="1">
      <c r="A61" s="81"/>
      <c r="B61" s="103"/>
      <c r="C61" s="84">
        <v>4440</v>
      </c>
      <c r="D61" s="45" t="s">
        <v>210</v>
      </c>
      <c r="E61" s="96">
        <v>7350</v>
      </c>
      <c r="F61" s="96"/>
      <c r="G61" s="96"/>
      <c r="H61" s="96">
        <f t="shared" si="38"/>
        <v>7350</v>
      </c>
      <c r="I61" s="96"/>
      <c r="J61" s="96">
        <f t="shared" si="4"/>
        <v>7350</v>
      </c>
      <c r="K61" s="96">
        <v>0</v>
      </c>
      <c r="L61" s="96">
        <f t="shared" si="5"/>
        <v>7350</v>
      </c>
      <c r="M61" s="96">
        <v>0</v>
      </c>
      <c r="N61" s="96">
        <f>SUM(L61:M61)</f>
        <v>7350</v>
      </c>
      <c r="O61" s="96">
        <v>0</v>
      </c>
      <c r="P61" s="96">
        <f>SUM(N61:O61)</f>
        <v>7350</v>
      </c>
      <c r="Q61" s="96">
        <v>0</v>
      </c>
      <c r="R61" s="96">
        <f>SUM(P61:Q61)</f>
        <v>7350</v>
      </c>
      <c r="S61" s="96">
        <v>0</v>
      </c>
      <c r="T61" s="96">
        <f>SUM(R61:S61)</f>
        <v>7350</v>
      </c>
      <c r="U61" s="96">
        <v>0</v>
      </c>
      <c r="V61" s="96">
        <f>SUM(T61:U61)</f>
        <v>7350</v>
      </c>
      <c r="W61" s="96">
        <v>0</v>
      </c>
      <c r="X61" s="96">
        <f>SUM(V61:W61)</f>
        <v>7350</v>
      </c>
    </row>
    <row r="62" spans="1:24" s="27" customFormat="1" ht="21.75" customHeight="1">
      <c r="A62" s="102"/>
      <c r="B62" s="98" t="s">
        <v>213</v>
      </c>
      <c r="C62" s="102"/>
      <c r="D62" s="45" t="s">
        <v>284</v>
      </c>
      <c r="E62" s="96">
        <f>SUM(E63:E72)</f>
        <v>278200</v>
      </c>
      <c r="F62" s="96">
        <f>SUM(F63:F72)</f>
        <v>17800</v>
      </c>
      <c r="G62" s="96">
        <f>SUM(G63:G72)</f>
        <v>0</v>
      </c>
      <c r="H62" s="96">
        <f t="shared" si="38"/>
        <v>296000</v>
      </c>
      <c r="I62" s="96">
        <f aca="true" t="shared" si="41" ref="I62:N62">SUM(I63:I72)</f>
        <v>0</v>
      </c>
      <c r="J62" s="96">
        <f t="shared" si="41"/>
        <v>296000</v>
      </c>
      <c r="K62" s="96">
        <f t="shared" si="41"/>
        <v>0</v>
      </c>
      <c r="L62" s="96">
        <f t="shared" si="41"/>
        <v>296000</v>
      </c>
      <c r="M62" s="96">
        <f t="shared" si="41"/>
        <v>0</v>
      </c>
      <c r="N62" s="96">
        <f t="shared" si="41"/>
        <v>296000</v>
      </c>
      <c r="O62" s="96">
        <f aca="true" t="shared" si="42" ref="O62:T62">SUM(O63:O72)</f>
        <v>0</v>
      </c>
      <c r="P62" s="96">
        <f t="shared" si="42"/>
        <v>296000</v>
      </c>
      <c r="Q62" s="96">
        <f t="shared" si="42"/>
        <v>0</v>
      </c>
      <c r="R62" s="96">
        <f t="shared" si="42"/>
        <v>296000</v>
      </c>
      <c r="S62" s="96">
        <f t="shared" si="42"/>
        <v>0</v>
      </c>
      <c r="T62" s="96">
        <f t="shared" si="42"/>
        <v>296000</v>
      </c>
      <c r="U62" s="96">
        <f>SUM(U63:U72)</f>
        <v>0</v>
      </c>
      <c r="V62" s="96">
        <f>SUM(V63:V72)</f>
        <v>296000</v>
      </c>
      <c r="W62" s="96">
        <f>SUM(W63:W72)</f>
        <v>0</v>
      </c>
      <c r="X62" s="96">
        <f>SUM(X63:X72)</f>
        <v>296000</v>
      </c>
    </row>
    <row r="63" spans="1:24" s="27" customFormat="1" ht="21" customHeight="1">
      <c r="A63" s="102"/>
      <c r="B63" s="98"/>
      <c r="C63" s="81">
        <v>3030</v>
      </c>
      <c r="D63" s="45" t="s">
        <v>211</v>
      </c>
      <c r="E63" s="96">
        <v>230200</v>
      </c>
      <c r="F63" s="96"/>
      <c r="G63" s="96"/>
      <c r="H63" s="96">
        <f t="shared" si="38"/>
        <v>230200</v>
      </c>
      <c r="I63" s="96"/>
      <c r="J63" s="96">
        <f t="shared" si="4"/>
        <v>230200</v>
      </c>
      <c r="K63" s="96">
        <v>0</v>
      </c>
      <c r="L63" s="96">
        <f t="shared" si="5"/>
        <v>230200</v>
      </c>
      <c r="M63" s="96">
        <v>0</v>
      </c>
      <c r="N63" s="96">
        <f aca="true" t="shared" si="43" ref="N63:N72">SUM(L63:M63)</f>
        <v>230200</v>
      </c>
      <c r="O63" s="96">
        <v>0</v>
      </c>
      <c r="P63" s="96">
        <f aca="true" t="shared" si="44" ref="P63:P72">SUM(N63:O63)</f>
        <v>230200</v>
      </c>
      <c r="Q63" s="96">
        <v>0</v>
      </c>
      <c r="R63" s="96">
        <f aca="true" t="shared" si="45" ref="R63:R72">SUM(P63:Q63)</f>
        <v>230200</v>
      </c>
      <c r="S63" s="96">
        <v>0</v>
      </c>
      <c r="T63" s="96">
        <f aca="true" t="shared" si="46" ref="T63:T72">SUM(R63:S63)</f>
        <v>230200</v>
      </c>
      <c r="U63" s="96">
        <v>0</v>
      </c>
      <c r="V63" s="96">
        <f aca="true" t="shared" si="47" ref="V63:V72">SUM(T63:U63)</f>
        <v>230200</v>
      </c>
      <c r="W63" s="96">
        <v>0</v>
      </c>
      <c r="X63" s="96">
        <f aca="true" t="shared" si="48" ref="X63:X72">SUM(V63:W63)</f>
        <v>230200</v>
      </c>
    </row>
    <row r="64" spans="1:26" s="27" customFormat="1" ht="21" customHeight="1">
      <c r="A64" s="102"/>
      <c r="B64" s="98"/>
      <c r="C64" s="81">
        <v>4170</v>
      </c>
      <c r="D64" s="45" t="s">
        <v>339</v>
      </c>
      <c r="E64" s="96">
        <v>2000</v>
      </c>
      <c r="F64" s="96"/>
      <c r="G64" s="96"/>
      <c r="H64" s="96">
        <f t="shared" si="38"/>
        <v>2000</v>
      </c>
      <c r="I64" s="96"/>
      <c r="J64" s="96">
        <f t="shared" si="4"/>
        <v>2000</v>
      </c>
      <c r="K64" s="96">
        <v>0</v>
      </c>
      <c r="L64" s="96">
        <f t="shared" si="5"/>
        <v>2000</v>
      </c>
      <c r="M64" s="96">
        <v>0</v>
      </c>
      <c r="N64" s="96">
        <f t="shared" si="43"/>
        <v>2000</v>
      </c>
      <c r="O64" s="96">
        <v>0</v>
      </c>
      <c r="P64" s="96">
        <f t="shared" si="44"/>
        <v>2000</v>
      </c>
      <c r="Q64" s="96">
        <v>0</v>
      </c>
      <c r="R64" s="96">
        <f t="shared" si="45"/>
        <v>2000</v>
      </c>
      <c r="S64" s="96">
        <v>0</v>
      </c>
      <c r="T64" s="96">
        <f t="shared" si="46"/>
        <v>2000</v>
      </c>
      <c r="U64" s="96">
        <v>0</v>
      </c>
      <c r="V64" s="96">
        <f t="shared" si="47"/>
        <v>2000</v>
      </c>
      <c r="W64" s="96">
        <v>0</v>
      </c>
      <c r="X64" s="96">
        <f t="shared" si="48"/>
        <v>2000</v>
      </c>
      <c r="Y64" s="150"/>
      <c r="Z64" s="150"/>
    </row>
    <row r="65" spans="1:24" s="27" customFormat="1" ht="21" customHeight="1">
      <c r="A65" s="102"/>
      <c r="B65" s="98"/>
      <c r="C65" s="81">
        <v>4210</v>
      </c>
      <c r="D65" s="45" t="s">
        <v>214</v>
      </c>
      <c r="E65" s="96">
        <v>14500</v>
      </c>
      <c r="F65" s="96">
        <v>8800</v>
      </c>
      <c r="G65" s="96"/>
      <c r="H65" s="96">
        <f t="shared" si="38"/>
        <v>23300</v>
      </c>
      <c r="I65" s="96"/>
      <c r="J65" s="96">
        <f t="shared" si="4"/>
        <v>23300</v>
      </c>
      <c r="K65" s="96">
        <v>0</v>
      </c>
      <c r="L65" s="96">
        <f t="shared" si="5"/>
        <v>23300</v>
      </c>
      <c r="M65" s="96">
        <v>0</v>
      </c>
      <c r="N65" s="96">
        <f t="shared" si="43"/>
        <v>23300</v>
      </c>
      <c r="O65" s="96">
        <v>0</v>
      </c>
      <c r="P65" s="96">
        <f t="shared" si="44"/>
        <v>23300</v>
      </c>
      <c r="Q65" s="96">
        <v>0</v>
      </c>
      <c r="R65" s="96">
        <f t="shared" si="45"/>
        <v>23300</v>
      </c>
      <c r="S65" s="96">
        <v>0</v>
      </c>
      <c r="T65" s="96">
        <f t="shared" si="46"/>
        <v>23300</v>
      </c>
      <c r="U65" s="96">
        <v>0</v>
      </c>
      <c r="V65" s="96">
        <f t="shared" si="47"/>
        <v>23300</v>
      </c>
      <c r="W65" s="96">
        <v>0</v>
      </c>
      <c r="X65" s="96">
        <f t="shared" si="48"/>
        <v>23300</v>
      </c>
    </row>
    <row r="66" spans="1:24" s="27" customFormat="1" ht="21" customHeight="1">
      <c r="A66" s="102"/>
      <c r="B66" s="98"/>
      <c r="C66" s="81">
        <v>4300</v>
      </c>
      <c r="D66" s="45" t="s">
        <v>201</v>
      </c>
      <c r="E66" s="96">
        <v>19000</v>
      </c>
      <c r="F66" s="96"/>
      <c r="G66" s="96"/>
      <c r="H66" s="96">
        <f t="shared" si="38"/>
        <v>19000</v>
      </c>
      <c r="I66" s="96">
        <v>5000</v>
      </c>
      <c r="J66" s="96">
        <f t="shared" si="4"/>
        <v>24000</v>
      </c>
      <c r="K66" s="96">
        <v>0</v>
      </c>
      <c r="L66" s="96">
        <f t="shared" si="5"/>
        <v>24000</v>
      </c>
      <c r="M66" s="96">
        <v>0</v>
      </c>
      <c r="N66" s="96">
        <f t="shared" si="43"/>
        <v>24000</v>
      </c>
      <c r="O66" s="96">
        <v>0</v>
      </c>
      <c r="P66" s="96">
        <f t="shared" si="44"/>
        <v>24000</v>
      </c>
      <c r="Q66" s="96">
        <v>0</v>
      </c>
      <c r="R66" s="96">
        <f t="shared" si="45"/>
        <v>24000</v>
      </c>
      <c r="S66" s="96">
        <v>0</v>
      </c>
      <c r="T66" s="96">
        <f t="shared" si="46"/>
        <v>24000</v>
      </c>
      <c r="U66" s="96">
        <v>0</v>
      </c>
      <c r="V66" s="96">
        <f t="shared" si="47"/>
        <v>24000</v>
      </c>
      <c r="W66" s="96">
        <v>0</v>
      </c>
      <c r="X66" s="96">
        <f t="shared" si="48"/>
        <v>24000</v>
      </c>
    </row>
    <row r="67" spans="1:24" s="27" customFormat="1" ht="24">
      <c r="A67" s="102"/>
      <c r="B67" s="98"/>
      <c r="C67" s="81">
        <v>4370</v>
      </c>
      <c r="D67" s="45" t="s">
        <v>409</v>
      </c>
      <c r="E67" s="96">
        <v>2000</v>
      </c>
      <c r="F67" s="96"/>
      <c r="G67" s="96"/>
      <c r="H67" s="96">
        <f t="shared" si="38"/>
        <v>2000</v>
      </c>
      <c r="I67" s="96"/>
      <c r="J67" s="96">
        <f t="shared" si="4"/>
        <v>2000</v>
      </c>
      <c r="K67" s="96">
        <v>0</v>
      </c>
      <c r="L67" s="96">
        <f t="shared" si="5"/>
        <v>2000</v>
      </c>
      <c r="M67" s="96">
        <v>0</v>
      </c>
      <c r="N67" s="96">
        <f t="shared" si="43"/>
        <v>2000</v>
      </c>
      <c r="O67" s="96">
        <v>0</v>
      </c>
      <c r="P67" s="96">
        <f t="shared" si="44"/>
        <v>2000</v>
      </c>
      <c r="Q67" s="96">
        <v>0</v>
      </c>
      <c r="R67" s="96">
        <f t="shared" si="45"/>
        <v>2000</v>
      </c>
      <c r="S67" s="96">
        <v>0</v>
      </c>
      <c r="T67" s="96">
        <f t="shared" si="46"/>
        <v>2000</v>
      </c>
      <c r="U67" s="96">
        <v>0</v>
      </c>
      <c r="V67" s="96">
        <f t="shared" si="47"/>
        <v>2000</v>
      </c>
      <c r="W67" s="96">
        <v>0</v>
      </c>
      <c r="X67" s="96">
        <f t="shared" si="48"/>
        <v>2000</v>
      </c>
    </row>
    <row r="68" spans="1:24" s="27" customFormat="1" ht="21.75" customHeight="1">
      <c r="A68" s="102"/>
      <c r="B68" s="98"/>
      <c r="C68" s="81">
        <v>4410</v>
      </c>
      <c r="D68" s="45" t="s">
        <v>212</v>
      </c>
      <c r="E68" s="96">
        <v>2000</v>
      </c>
      <c r="F68" s="96">
        <v>9000</v>
      </c>
      <c r="G68" s="96"/>
      <c r="H68" s="96">
        <f t="shared" si="38"/>
        <v>11000</v>
      </c>
      <c r="I68" s="96"/>
      <c r="J68" s="96">
        <f t="shared" si="4"/>
        <v>11000</v>
      </c>
      <c r="K68" s="96">
        <v>0</v>
      </c>
      <c r="L68" s="96">
        <f t="shared" si="5"/>
        <v>11000</v>
      </c>
      <c r="M68" s="96">
        <v>0</v>
      </c>
      <c r="N68" s="96">
        <f t="shared" si="43"/>
        <v>11000</v>
      </c>
      <c r="O68" s="96">
        <v>0</v>
      </c>
      <c r="P68" s="96">
        <f t="shared" si="44"/>
        <v>11000</v>
      </c>
      <c r="Q68" s="96">
        <v>0</v>
      </c>
      <c r="R68" s="96">
        <f t="shared" si="45"/>
        <v>11000</v>
      </c>
      <c r="S68" s="96">
        <v>0</v>
      </c>
      <c r="T68" s="96">
        <f t="shared" si="46"/>
        <v>11000</v>
      </c>
      <c r="U68" s="96">
        <v>0</v>
      </c>
      <c r="V68" s="96">
        <f t="shared" si="47"/>
        <v>11000</v>
      </c>
      <c r="W68" s="96">
        <v>0</v>
      </c>
      <c r="X68" s="96">
        <f t="shared" si="48"/>
        <v>11000</v>
      </c>
    </row>
    <row r="69" spans="1:24" s="27" customFormat="1" ht="21" customHeight="1">
      <c r="A69" s="102"/>
      <c r="B69" s="98"/>
      <c r="C69" s="84">
        <v>4430</v>
      </c>
      <c r="D69" s="45" t="s">
        <v>216</v>
      </c>
      <c r="E69" s="96">
        <v>500</v>
      </c>
      <c r="F69" s="96"/>
      <c r="G69" s="96"/>
      <c r="H69" s="96">
        <f t="shared" si="38"/>
        <v>500</v>
      </c>
      <c r="I69" s="96"/>
      <c r="J69" s="96">
        <f t="shared" si="4"/>
        <v>500</v>
      </c>
      <c r="K69" s="96">
        <v>0</v>
      </c>
      <c r="L69" s="96">
        <f t="shared" si="5"/>
        <v>500</v>
      </c>
      <c r="M69" s="96">
        <v>0</v>
      </c>
      <c r="N69" s="96">
        <f t="shared" si="43"/>
        <v>500</v>
      </c>
      <c r="O69" s="96">
        <v>0</v>
      </c>
      <c r="P69" s="96">
        <f t="shared" si="44"/>
        <v>500</v>
      </c>
      <c r="Q69" s="96">
        <v>0</v>
      </c>
      <c r="R69" s="96">
        <f t="shared" si="45"/>
        <v>500</v>
      </c>
      <c r="S69" s="96">
        <v>0</v>
      </c>
      <c r="T69" s="96">
        <f t="shared" si="46"/>
        <v>500</v>
      </c>
      <c r="U69" s="96">
        <v>0</v>
      </c>
      <c r="V69" s="96">
        <f t="shared" si="47"/>
        <v>500</v>
      </c>
      <c r="W69" s="96">
        <v>0</v>
      </c>
      <c r="X69" s="96">
        <f t="shared" si="48"/>
        <v>500</v>
      </c>
    </row>
    <row r="70" spans="1:24" s="27" customFormat="1" ht="21" customHeight="1">
      <c r="A70" s="102"/>
      <c r="B70" s="98"/>
      <c r="C70" s="84">
        <v>4700</v>
      </c>
      <c r="D70" s="45" t="s">
        <v>412</v>
      </c>
      <c r="E70" s="96">
        <v>5000</v>
      </c>
      <c r="F70" s="96"/>
      <c r="G70" s="96"/>
      <c r="H70" s="96">
        <f t="shared" si="38"/>
        <v>5000</v>
      </c>
      <c r="I70" s="96">
        <v>-5000</v>
      </c>
      <c r="J70" s="96">
        <f t="shared" si="4"/>
        <v>0</v>
      </c>
      <c r="K70" s="96">
        <v>0</v>
      </c>
      <c r="L70" s="96">
        <f t="shared" si="5"/>
        <v>0</v>
      </c>
      <c r="M70" s="96">
        <v>0</v>
      </c>
      <c r="N70" s="96">
        <f t="shared" si="43"/>
        <v>0</v>
      </c>
      <c r="O70" s="96">
        <v>0</v>
      </c>
      <c r="P70" s="96">
        <f t="shared" si="44"/>
        <v>0</v>
      </c>
      <c r="Q70" s="96">
        <v>0</v>
      </c>
      <c r="R70" s="96">
        <f t="shared" si="45"/>
        <v>0</v>
      </c>
      <c r="S70" s="96">
        <v>0</v>
      </c>
      <c r="T70" s="96">
        <f t="shared" si="46"/>
        <v>0</v>
      </c>
      <c r="U70" s="96">
        <v>0</v>
      </c>
      <c r="V70" s="96">
        <f t="shared" si="47"/>
        <v>0</v>
      </c>
      <c r="W70" s="96">
        <v>0</v>
      </c>
      <c r="X70" s="96">
        <f t="shared" si="48"/>
        <v>0</v>
      </c>
    </row>
    <row r="71" spans="1:24" s="27" customFormat="1" ht="24">
      <c r="A71" s="102"/>
      <c r="B71" s="98"/>
      <c r="C71" s="84">
        <v>4740</v>
      </c>
      <c r="D71" s="45" t="s">
        <v>48</v>
      </c>
      <c r="E71" s="96">
        <v>2000</v>
      </c>
      <c r="F71" s="96"/>
      <c r="G71" s="96"/>
      <c r="H71" s="96">
        <f t="shared" si="38"/>
        <v>2000</v>
      </c>
      <c r="I71" s="96"/>
      <c r="J71" s="96">
        <f t="shared" si="4"/>
        <v>2000</v>
      </c>
      <c r="K71" s="96">
        <v>0</v>
      </c>
      <c r="L71" s="96">
        <f t="shared" si="5"/>
        <v>2000</v>
      </c>
      <c r="M71" s="96">
        <v>0</v>
      </c>
      <c r="N71" s="96">
        <f t="shared" si="43"/>
        <v>2000</v>
      </c>
      <c r="O71" s="96">
        <v>0</v>
      </c>
      <c r="P71" s="96">
        <f t="shared" si="44"/>
        <v>2000</v>
      </c>
      <c r="Q71" s="96">
        <v>0</v>
      </c>
      <c r="R71" s="96">
        <f t="shared" si="45"/>
        <v>2000</v>
      </c>
      <c r="S71" s="96">
        <v>0</v>
      </c>
      <c r="T71" s="96">
        <f t="shared" si="46"/>
        <v>2000</v>
      </c>
      <c r="U71" s="96">
        <v>0</v>
      </c>
      <c r="V71" s="96">
        <f t="shared" si="47"/>
        <v>2000</v>
      </c>
      <c r="W71" s="96">
        <v>0</v>
      </c>
      <c r="X71" s="96">
        <f t="shared" si="48"/>
        <v>2000</v>
      </c>
    </row>
    <row r="72" spans="1:24" s="27" customFormat="1" ht="21" customHeight="1">
      <c r="A72" s="102"/>
      <c r="B72" s="98"/>
      <c r="C72" s="84">
        <v>4750</v>
      </c>
      <c r="D72" s="45" t="s">
        <v>413</v>
      </c>
      <c r="E72" s="96">
        <v>1000</v>
      </c>
      <c r="F72" s="96"/>
      <c r="G72" s="96"/>
      <c r="H72" s="96">
        <f t="shared" si="38"/>
        <v>1000</v>
      </c>
      <c r="I72" s="96"/>
      <c r="J72" s="96">
        <f t="shared" si="4"/>
        <v>1000</v>
      </c>
      <c r="K72" s="96">
        <v>0</v>
      </c>
      <c r="L72" s="96">
        <f t="shared" si="5"/>
        <v>1000</v>
      </c>
      <c r="M72" s="96">
        <v>0</v>
      </c>
      <c r="N72" s="96">
        <f t="shared" si="43"/>
        <v>1000</v>
      </c>
      <c r="O72" s="96">
        <v>0</v>
      </c>
      <c r="P72" s="96">
        <f t="shared" si="44"/>
        <v>1000</v>
      </c>
      <c r="Q72" s="96">
        <v>0</v>
      </c>
      <c r="R72" s="96">
        <f t="shared" si="45"/>
        <v>1000</v>
      </c>
      <c r="S72" s="96">
        <v>0</v>
      </c>
      <c r="T72" s="96">
        <f t="shared" si="46"/>
        <v>1000</v>
      </c>
      <c r="U72" s="96">
        <v>0</v>
      </c>
      <c r="V72" s="96">
        <f t="shared" si="47"/>
        <v>1000</v>
      </c>
      <c r="W72" s="96">
        <v>0</v>
      </c>
      <c r="X72" s="96">
        <f t="shared" si="48"/>
        <v>1000</v>
      </c>
    </row>
    <row r="73" spans="1:24" s="27" customFormat="1" ht="21.75" customHeight="1">
      <c r="A73" s="102"/>
      <c r="B73" s="98" t="s">
        <v>133</v>
      </c>
      <c r="C73" s="102"/>
      <c r="D73" s="45" t="s">
        <v>134</v>
      </c>
      <c r="E73" s="96">
        <f>SUM(E74:E97)</f>
        <v>4383550</v>
      </c>
      <c r="F73" s="96">
        <f>SUM(F74:F97)</f>
        <v>0</v>
      </c>
      <c r="G73" s="96">
        <f>SUM(G74:G97)</f>
        <v>17800</v>
      </c>
      <c r="H73" s="96">
        <f t="shared" si="38"/>
        <v>4365750</v>
      </c>
      <c r="I73" s="96">
        <f aca="true" t="shared" si="49" ref="I73:N73">SUM(I74:I97)</f>
        <v>60</v>
      </c>
      <c r="J73" s="96">
        <f t="shared" si="49"/>
        <v>4365810</v>
      </c>
      <c r="K73" s="96">
        <f t="shared" si="49"/>
        <v>0</v>
      </c>
      <c r="L73" s="96">
        <f t="shared" si="49"/>
        <v>4365810</v>
      </c>
      <c r="M73" s="96">
        <f t="shared" si="49"/>
        <v>0</v>
      </c>
      <c r="N73" s="96">
        <f t="shared" si="49"/>
        <v>4365810</v>
      </c>
      <c r="O73" s="96">
        <f aca="true" t="shared" si="50" ref="O73:T73">SUM(O74:O97)</f>
        <v>0</v>
      </c>
      <c r="P73" s="96">
        <f t="shared" si="50"/>
        <v>4365810</v>
      </c>
      <c r="Q73" s="96">
        <f t="shared" si="50"/>
        <v>11393</v>
      </c>
      <c r="R73" s="96">
        <f t="shared" si="50"/>
        <v>4377203</v>
      </c>
      <c r="S73" s="96">
        <f t="shared" si="50"/>
        <v>0</v>
      </c>
      <c r="T73" s="96">
        <f t="shared" si="50"/>
        <v>4377203</v>
      </c>
      <c r="U73" s="96">
        <f>SUM(U74:U97)</f>
        <v>0</v>
      </c>
      <c r="V73" s="96">
        <f>SUM(V74:V97)</f>
        <v>4377203</v>
      </c>
      <c r="W73" s="96">
        <f>SUM(W74:W97)</f>
        <v>300</v>
      </c>
      <c r="X73" s="96">
        <f>SUM(X74:X97)</f>
        <v>4377503</v>
      </c>
    </row>
    <row r="74" spans="1:24" s="27" customFormat="1" ht="21" customHeight="1">
      <c r="A74" s="102"/>
      <c r="B74" s="98"/>
      <c r="C74" s="81">
        <v>3020</v>
      </c>
      <c r="D74" s="45" t="s">
        <v>335</v>
      </c>
      <c r="E74" s="96">
        <v>33500</v>
      </c>
      <c r="F74" s="96"/>
      <c r="G74" s="96"/>
      <c r="H74" s="96">
        <f t="shared" si="38"/>
        <v>33500</v>
      </c>
      <c r="I74" s="96"/>
      <c r="J74" s="96">
        <f t="shared" si="4"/>
        <v>33500</v>
      </c>
      <c r="K74" s="96">
        <v>0</v>
      </c>
      <c r="L74" s="96">
        <f t="shared" si="5"/>
        <v>33500</v>
      </c>
      <c r="M74" s="96">
        <v>0</v>
      </c>
      <c r="N74" s="96">
        <f aca="true" t="shared" si="51" ref="N74:N97">SUM(L74:M74)</f>
        <v>33500</v>
      </c>
      <c r="O74" s="96">
        <v>0</v>
      </c>
      <c r="P74" s="96">
        <f aca="true" t="shared" si="52" ref="P74:P97">SUM(N74:O74)</f>
        <v>33500</v>
      </c>
      <c r="Q74" s="96">
        <v>0</v>
      </c>
      <c r="R74" s="96">
        <f aca="true" t="shared" si="53" ref="R74:R97">SUM(P74:Q74)</f>
        <v>33500</v>
      </c>
      <c r="S74" s="96">
        <v>0</v>
      </c>
      <c r="T74" s="96">
        <f aca="true" t="shared" si="54" ref="T74:T97">SUM(R74:S74)</f>
        <v>33500</v>
      </c>
      <c r="U74" s="96">
        <v>0</v>
      </c>
      <c r="V74" s="96">
        <f aca="true" t="shared" si="55" ref="V74:V97">SUM(T74:U74)</f>
        <v>33500</v>
      </c>
      <c r="W74" s="96">
        <v>0</v>
      </c>
      <c r="X74" s="96">
        <f aca="true" t="shared" si="56" ref="X74:X97">SUM(V74:W74)</f>
        <v>33500</v>
      </c>
    </row>
    <row r="75" spans="1:24" s="27" customFormat="1" ht="21" customHeight="1">
      <c r="A75" s="102"/>
      <c r="B75" s="98"/>
      <c r="C75" s="81">
        <v>3030</v>
      </c>
      <c r="D75" s="45" t="s">
        <v>211</v>
      </c>
      <c r="E75" s="96">
        <v>60000</v>
      </c>
      <c r="F75" s="96"/>
      <c r="G75" s="96"/>
      <c r="H75" s="96">
        <f t="shared" si="38"/>
        <v>60000</v>
      </c>
      <c r="I75" s="96"/>
      <c r="J75" s="96">
        <f t="shared" si="4"/>
        <v>60000</v>
      </c>
      <c r="K75" s="96">
        <v>0</v>
      </c>
      <c r="L75" s="96">
        <f t="shared" si="5"/>
        <v>60000</v>
      </c>
      <c r="M75" s="96">
        <v>0</v>
      </c>
      <c r="N75" s="96">
        <f t="shared" si="51"/>
        <v>60000</v>
      </c>
      <c r="O75" s="96">
        <v>0</v>
      </c>
      <c r="P75" s="96">
        <f t="shared" si="52"/>
        <v>60000</v>
      </c>
      <c r="Q75" s="96">
        <v>0</v>
      </c>
      <c r="R75" s="96">
        <f t="shared" si="53"/>
        <v>60000</v>
      </c>
      <c r="S75" s="96">
        <v>0</v>
      </c>
      <c r="T75" s="96">
        <f t="shared" si="54"/>
        <v>60000</v>
      </c>
      <c r="U75" s="96">
        <v>0</v>
      </c>
      <c r="V75" s="96">
        <f t="shared" si="55"/>
        <v>60000</v>
      </c>
      <c r="W75" s="96">
        <v>0</v>
      </c>
      <c r="X75" s="96">
        <f t="shared" si="56"/>
        <v>60000</v>
      </c>
    </row>
    <row r="76" spans="1:26" s="27" customFormat="1" ht="21" customHeight="1">
      <c r="A76" s="102"/>
      <c r="B76" s="98"/>
      <c r="C76" s="81">
        <v>4010</v>
      </c>
      <c r="D76" s="45" t="s">
        <v>206</v>
      </c>
      <c r="E76" s="96">
        <v>2308200</v>
      </c>
      <c r="F76" s="96"/>
      <c r="G76" s="96"/>
      <c r="H76" s="96">
        <f t="shared" si="38"/>
        <v>2308200</v>
      </c>
      <c r="I76" s="96"/>
      <c r="J76" s="96">
        <f t="shared" si="4"/>
        <v>2308200</v>
      </c>
      <c r="K76" s="96">
        <v>0</v>
      </c>
      <c r="L76" s="96">
        <f t="shared" si="5"/>
        <v>2308200</v>
      </c>
      <c r="M76" s="96">
        <v>0</v>
      </c>
      <c r="N76" s="96">
        <f t="shared" si="51"/>
        <v>2308200</v>
      </c>
      <c r="O76" s="96">
        <v>0</v>
      </c>
      <c r="P76" s="96">
        <f t="shared" si="52"/>
        <v>2308200</v>
      </c>
      <c r="Q76" s="96">
        <f>3542+5444</f>
        <v>8986</v>
      </c>
      <c r="R76" s="96">
        <f t="shared" si="53"/>
        <v>2317186</v>
      </c>
      <c r="S76" s="96">
        <v>0</v>
      </c>
      <c r="T76" s="96">
        <f t="shared" si="54"/>
        <v>2317186</v>
      </c>
      <c r="U76" s="96">
        <v>0</v>
      </c>
      <c r="V76" s="96">
        <f t="shared" si="55"/>
        <v>2317186</v>
      </c>
      <c r="W76" s="96">
        <v>0</v>
      </c>
      <c r="X76" s="96">
        <f t="shared" si="56"/>
        <v>2317186</v>
      </c>
      <c r="Y76" s="150"/>
      <c r="Z76" s="150"/>
    </row>
    <row r="77" spans="1:26" s="27" customFormat="1" ht="21" customHeight="1">
      <c r="A77" s="102"/>
      <c r="B77" s="98"/>
      <c r="C77" s="81">
        <v>4040</v>
      </c>
      <c r="D77" s="45" t="s">
        <v>207</v>
      </c>
      <c r="E77" s="96">
        <v>154000</v>
      </c>
      <c r="F77" s="96"/>
      <c r="G77" s="96"/>
      <c r="H77" s="96">
        <f t="shared" si="38"/>
        <v>154000</v>
      </c>
      <c r="I77" s="96"/>
      <c r="J77" s="96">
        <f t="shared" si="4"/>
        <v>154000</v>
      </c>
      <c r="K77" s="96">
        <v>0</v>
      </c>
      <c r="L77" s="96">
        <f t="shared" si="5"/>
        <v>154000</v>
      </c>
      <c r="M77" s="96">
        <v>0</v>
      </c>
      <c r="N77" s="96">
        <f t="shared" si="51"/>
        <v>154000</v>
      </c>
      <c r="O77" s="96">
        <v>0</v>
      </c>
      <c r="P77" s="96">
        <f t="shared" si="52"/>
        <v>154000</v>
      </c>
      <c r="Q77" s="96">
        <v>0</v>
      </c>
      <c r="R77" s="96">
        <f t="shared" si="53"/>
        <v>154000</v>
      </c>
      <c r="S77" s="96">
        <v>0</v>
      </c>
      <c r="T77" s="96">
        <f t="shared" si="54"/>
        <v>154000</v>
      </c>
      <c r="U77" s="96">
        <v>0</v>
      </c>
      <c r="V77" s="96">
        <f t="shared" si="55"/>
        <v>154000</v>
      </c>
      <c r="W77" s="96">
        <v>0</v>
      </c>
      <c r="X77" s="96">
        <f t="shared" si="56"/>
        <v>154000</v>
      </c>
      <c r="Y77" s="150"/>
      <c r="Z77" s="150"/>
    </row>
    <row r="78" spans="1:26" s="27" customFormat="1" ht="21" customHeight="1">
      <c r="A78" s="102"/>
      <c r="B78" s="98"/>
      <c r="C78" s="81">
        <v>4110</v>
      </c>
      <c r="D78" s="45" t="s">
        <v>208</v>
      </c>
      <c r="E78" s="96">
        <v>428050</v>
      </c>
      <c r="F78" s="96"/>
      <c r="G78" s="96"/>
      <c r="H78" s="96">
        <f t="shared" si="38"/>
        <v>428050</v>
      </c>
      <c r="I78" s="96"/>
      <c r="J78" s="96">
        <f t="shared" si="4"/>
        <v>428050</v>
      </c>
      <c r="K78" s="96">
        <v>0</v>
      </c>
      <c r="L78" s="96">
        <f t="shared" si="5"/>
        <v>428050</v>
      </c>
      <c r="M78" s="96">
        <v>0</v>
      </c>
      <c r="N78" s="96">
        <f t="shared" si="51"/>
        <v>428050</v>
      </c>
      <c r="O78" s="96">
        <v>0</v>
      </c>
      <c r="P78" s="96">
        <f t="shared" si="52"/>
        <v>428050</v>
      </c>
      <c r="Q78" s="96">
        <f>1553</f>
        <v>1553</v>
      </c>
      <c r="R78" s="96">
        <f t="shared" si="53"/>
        <v>429603</v>
      </c>
      <c r="S78" s="96">
        <v>0</v>
      </c>
      <c r="T78" s="96">
        <f t="shared" si="54"/>
        <v>429603</v>
      </c>
      <c r="U78" s="96">
        <v>0</v>
      </c>
      <c r="V78" s="96">
        <f t="shared" si="55"/>
        <v>429603</v>
      </c>
      <c r="W78" s="96">
        <v>0</v>
      </c>
      <c r="X78" s="96">
        <f t="shared" si="56"/>
        <v>429603</v>
      </c>
      <c r="Y78" s="150"/>
      <c r="Z78" s="150"/>
    </row>
    <row r="79" spans="1:26" s="27" customFormat="1" ht="21" customHeight="1">
      <c r="A79" s="102"/>
      <c r="B79" s="98"/>
      <c r="C79" s="81">
        <v>4120</v>
      </c>
      <c r="D79" s="45" t="s">
        <v>209</v>
      </c>
      <c r="E79" s="96">
        <v>60500</v>
      </c>
      <c r="F79" s="96"/>
      <c r="G79" s="96"/>
      <c r="H79" s="96">
        <f t="shared" si="38"/>
        <v>60500</v>
      </c>
      <c r="I79" s="96"/>
      <c r="J79" s="96">
        <f t="shared" si="4"/>
        <v>60500</v>
      </c>
      <c r="K79" s="96">
        <v>0</v>
      </c>
      <c r="L79" s="96">
        <f t="shared" si="5"/>
        <v>60500</v>
      </c>
      <c r="M79" s="96">
        <v>0</v>
      </c>
      <c r="N79" s="96">
        <f t="shared" si="51"/>
        <v>60500</v>
      </c>
      <c r="O79" s="96">
        <v>0</v>
      </c>
      <c r="P79" s="96">
        <f t="shared" si="52"/>
        <v>60500</v>
      </c>
      <c r="Q79" s="96">
        <v>221</v>
      </c>
      <c r="R79" s="96">
        <f t="shared" si="53"/>
        <v>60721</v>
      </c>
      <c r="S79" s="96">
        <v>0</v>
      </c>
      <c r="T79" s="96">
        <f t="shared" si="54"/>
        <v>60721</v>
      </c>
      <c r="U79" s="96">
        <v>0</v>
      </c>
      <c r="V79" s="96">
        <f t="shared" si="55"/>
        <v>60721</v>
      </c>
      <c r="W79" s="96">
        <v>0</v>
      </c>
      <c r="X79" s="96">
        <f t="shared" si="56"/>
        <v>60721</v>
      </c>
      <c r="Y79" s="150"/>
      <c r="Z79" s="150"/>
    </row>
    <row r="80" spans="1:26" s="27" customFormat="1" ht="21" customHeight="1">
      <c r="A80" s="102"/>
      <c r="B80" s="98"/>
      <c r="C80" s="81">
        <v>4170</v>
      </c>
      <c r="D80" s="45" t="s">
        <v>339</v>
      </c>
      <c r="E80" s="96">
        <v>10000</v>
      </c>
      <c r="F80" s="96"/>
      <c r="G80" s="96"/>
      <c r="H80" s="96">
        <f t="shared" si="38"/>
        <v>10000</v>
      </c>
      <c r="I80" s="96"/>
      <c r="J80" s="96">
        <f t="shared" si="4"/>
        <v>10000</v>
      </c>
      <c r="K80" s="96">
        <v>0</v>
      </c>
      <c r="L80" s="96">
        <f t="shared" si="5"/>
        <v>10000</v>
      </c>
      <c r="M80" s="96">
        <v>0</v>
      </c>
      <c r="N80" s="96">
        <f t="shared" si="51"/>
        <v>10000</v>
      </c>
      <c r="O80" s="96">
        <v>0</v>
      </c>
      <c r="P80" s="96">
        <f t="shared" si="52"/>
        <v>10000</v>
      </c>
      <c r="Q80" s="96">
        <v>0</v>
      </c>
      <c r="R80" s="96">
        <f t="shared" si="53"/>
        <v>10000</v>
      </c>
      <c r="S80" s="96">
        <v>0</v>
      </c>
      <c r="T80" s="96">
        <f t="shared" si="54"/>
        <v>10000</v>
      </c>
      <c r="U80" s="96">
        <v>0</v>
      </c>
      <c r="V80" s="96">
        <f t="shared" si="55"/>
        <v>10000</v>
      </c>
      <c r="W80" s="96">
        <v>0</v>
      </c>
      <c r="X80" s="96">
        <f t="shared" si="56"/>
        <v>10000</v>
      </c>
      <c r="Y80" s="150"/>
      <c r="Z80" s="150"/>
    </row>
    <row r="81" spans="1:24" s="27" customFormat="1" ht="21" customHeight="1">
      <c r="A81" s="102"/>
      <c r="B81" s="98"/>
      <c r="C81" s="81">
        <v>4210</v>
      </c>
      <c r="D81" s="45" t="s">
        <v>214</v>
      </c>
      <c r="E81" s="96">
        <f>177700+1400</f>
        <v>179100</v>
      </c>
      <c r="F81" s="96"/>
      <c r="G81" s="96"/>
      <c r="H81" s="96">
        <f t="shared" si="38"/>
        <v>179100</v>
      </c>
      <c r="I81" s="96">
        <v>60</v>
      </c>
      <c r="J81" s="96">
        <f t="shared" si="4"/>
        <v>179160</v>
      </c>
      <c r="K81" s="96">
        <v>0</v>
      </c>
      <c r="L81" s="96">
        <f t="shared" si="5"/>
        <v>179160</v>
      </c>
      <c r="M81" s="96">
        <v>0</v>
      </c>
      <c r="N81" s="96">
        <f t="shared" si="51"/>
        <v>179160</v>
      </c>
      <c r="O81" s="96">
        <v>0</v>
      </c>
      <c r="P81" s="96">
        <f t="shared" si="52"/>
        <v>179160</v>
      </c>
      <c r="Q81" s="96">
        <v>0</v>
      </c>
      <c r="R81" s="96">
        <f t="shared" si="53"/>
        <v>179160</v>
      </c>
      <c r="S81" s="96">
        <v>0</v>
      </c>
      <c r="T81" s="96">
        <f t="shared" si="54"/>
        <v>179160</v>
      </c>
      <c r="U81" s="96">
        <v>0</v>
      </c>
      <c r="V81" s="96">
        <f t="shared" si="55"/>
        <v>179160</v>
      </c>
      <c r="W81" s="96">
        <v>0</v>
      </c>
      <c r="X81" s="96">
        <f t="shared" si="56"/>
        <v>179160</v>
      </c>
    </row>
    <row r="82" spans="1:24" s="27" customFormat="1" ht="21" customHeight="1">
      <c r="A82" s="102"/>
      <c r="B82" s="98"/>
      <c r="C82" s="81">
        <v>4260</v>
      </c>
      <c r="D82" s="45" t="s">
        <v>217</v>
      </c>
      <c r="E82" s="96">
        <v>89500</v>
      </c>
      <c r="F82" s="96"/>
      <c r="G82" s="96"/>
      <c r="H82" s="96">
        <f t="shared" si="38"/>
        <v>89500</v>
      </c>
      <c r="I82" s="96">
        <v>-2418</v>
      </c>
      <c r="J82" s="96">
        <f t="shared" si="4"/>
        <v>87082</v>
      </c>
      <c r="K82" s="96">
        <v>0</v>
      </c>
      <c r="L82" s="96">
        <f t="shared" si="5"/>
        <v>87082</v>
      </c>
      <c r="M82" s="96">
        <v>0</v>
      </c>
      <c r="N82" s="96">
        <f t="shared" si="51"/>
        <v>87082</v>
      </c>
      <c r="O82" s="96">
        <v>0</v>
      </c>
      <c r="P82" s="96">
        <f t="shared" si="52"/>
        <v>87082</v>
      </c>
      <c r="Q82" s="96">
        <v>0</v>
      </c>
      <c r="R82" s="96">
        <f t="shared" si="53"/>
        <v>87082</v>
      </c>
      <c r="S82" s="96">
        <v>0</v>
      </c>
      <c r="T82" s="96">
        <f t="shared" si="54"/>
        <v>87082</v>
      </c>
      <c r="U82" s="96">
        <v>0</v>
      </c>
      <c r="V82" s="96">
        <f t="shared" si="55"/>
        <v>87082</v>
      </c>
      <c r="W82" s="96">
        <v>0</v>
      </c>
      <c r="X82" s="96">
        <f t="shared" si="56"/>
        <v>87082</v>
      </c>
    </row>
    <row r="83" spans="1:24" s="27" customFormat="1" ht="21" customHeight="1">
      <c r="A83" s="102"/>
      <c r="B83" s="98"/>
      <c r="C83" s="81">
        <v>4270</v>
      </c>
      <c r="D83" s="45" t="s">
        <v>200</v>
      </c>
      <c r="E83" s="96">
        <v>411000</v>
      </c>
      <c r="F83" s="96"/>
      <c r="G83" s="96"/>
      <c r="H83" s="96">
        <f t="shared" si="38"/>
        <v>411000</v>
      </c>
      <c r="I83" s="96"/>
      <c r="J83" s="96">
        <f t="shared" si="4"/>
        <v>411000</v>
      </c>
      <c r="K83" s="96">
        <v>0</v>
      </c>
      <c r="L83" s="96">
        <f t="shared" si="5"/>
        <v>411000</v>
      </c>
      <c r="M83" s="96">
        <v>0</v>
      </c>
      <c r="N83" s="96">
        <f t="shared" si="51"/>
        <v>411000</v>
      </c>
      <c r="O83" s="96">
        <v>0</v>
      </c>
      <c r="P83" s="96">
        <f t="shared" si="52"/>
        <v>411000</v>
      </c>
      <c r="Q83" s="96">
        <v>0</v>
      </c>
      <c r="R83" s="96">
        <f t="shared" si="53"/>
        <v>411000</v>
      </c>
      <c r="S83" s="96">
        <v>0</v>
      </c>
      <c r="T83" s="96">
        <f t="shared" si="54"/>
        <v>411000</v>
      </c>
      <c r="U83" s="96">
        <v>0</v>
      </c>
      <c r="V83" s="96">
        <f t="shared" si="55"/>
        <v>411000</v>
      </c>
      <c r="W83" s="96">
        <v>0</v>
      </c>
      <c r="X83" s="96">
        <f t="shared" si="56"/>
        <v>411000</v>
      </c>
    </row>
    <row r="84" spans="1:24" s="27" customFormat="1" ht="21" customHeight="1">
      <c r="A84" s="102"/>
      <c r="B84" s="98"/>
      <c r="C84" s="81">
        <v>4280</v>
      </c>
      <c r="D84" s="45" t="s">
        <v>392</v>
      </c>
      <c r="E84" s="96">
        <v>8000</v>
      </c>
      <c r="F84" s="96"/>
      <c r="G84" s="96"/>
      <c r="H84" s="96">
        <f t="shared" si="38"/>
        <v>8000</v>
      </c>
      <c r="I84" s="96"/>
      <c r="J84" s="96">
        <f t="shared" si="4"/>
        <v>8000</v>
      </c>
      <c r="K84" s="96">
        <v>0</v>
      </c>
      <c r="L84" s="96">
        <f t="shared" si="5"/>
        <v>8000</v>
      </c>
      <c r="M84" s="96">
        <v>0</v>
      </c>
      <c r="N84" s="96">
        <f t="shared" si="51"/>
        <v>8000</v>
      </c>
      <c r="O84" s="96">
        <v>0</v>
      </c>
      <c r="P84" s="96">
        <f t="shared" si="52"/>
        <v>8000</v>
      </c>
      <c r="Q84" s="96">
        <v>280</v>
      </c>
      <c r="R84" s="96">
        <f t="shared" si="53"/>
        <v>8280</v>
      </c>
      <c r="S84" s="96">
        <v>0</v>
      </c>
      <c r="T84" s="96">
        <f t="shared" si="54"/>
        <v>8280</v>
      </c>
      <c r="U84" s="96">
        <v>0</v>
      </c>
      <c r="V84" s="96">
        <f t="shared" si="55"/>
        <v>8280</v>
      </c>
      <c r="W84" s="96">
        <v>0</v>
      </c>
      <c r="X84" s="96">
        <f t="shared" si="56"/>
        <v>8280</v>
      </c>
    </row>
    <row r="85" spans="1:24" s="27" customFormat="1" ht="21" customHeight="1">
      <c r="A85" s="102"/>
      <c r="B85" s="98"/>
      <c r="C85" s="81">
        <v>4300</v>
      </c>
      <c r="D85" s="45" t="s">
        <v>201</v>
      </c>
      <c r="E85" s="96">
        <v>242200</v>
      </c>
      <c r="F85" s="96"/>
      <c r="G85" s="96">
        <v>17800</v>
      </c>
      <c r="H85" s="96">
        <f t="shared" si="38"/>
        <v>224400</v>
      </c>
      <c r="I85" s="96"/>
      <c r="J85" s="96">
        <f aca="true" t="shared" si="57" ref="J85:J156">SUM(H85:I85)</f>
        <v>224400</v>
      </c>
      <c r="K85" s="96">
        <v>0</v>
      </c>
      <c r="L85" s="96">
        <f aca="true" t="shared" si="58" ref="L85:L156">SUM(J85:K85)</f>
        <v>224400</v>
      </c>
      <c r="M85" s="96">
        <v>0</v>
      </c>
      <c r="N85" s="96">
        <f t="shared" si="51"/>
        <v>224400</v>
      </c>
      <c r="O85" s="96">
        <v>6785</v>
      </c>
      <c r="P85" s="96">
        <f t="shared" si="52"/>
        <v>231185</v>
      </c>
      <c r="Q85" s="96">
        <v>0</v>
      </c>
      <c r="R85" s="96">
        <f t="shared" si="53"/>
        <v>231185</v>
      </c>
      <c r="S85" s="96">
        <v>0</v>
      </c>
      <c r="T85" s="96">
        <f t="shared" si="54"/>
        <v>231185</v>
      </c>
      <c r="U85" s="96">
        <v>0</v>
      </c>
      <c r="V85" s="96">
        <f t="shared" si="55"/>
        <v>231185</v>
      </c>
      <c r="W85" s="96">
        <v>300</v>
      </c>
      <c r="X85" s="96">
        <f t="shared" si="56"/>
        <v>231485</v>
      </c>
    </row>
    <row r="86" spans="1:24" s="27" customFormat="1" ht="21" customHeight="1">
      <c r="A86" s="102"/>
      <c r="B86" s="98"/>
      <c r="C86" s="81">
        <v>4350</v>
      </c>
      <c r="D86" s="45" t="s">
        <v>373</v>
      </c>
      <c r="E86" s="96">
        <v>4000</v>
      </c>
      <c r="F86" s="96"/>
      <c r="G86" s="96"/>
      <c r="H86" s="96">
        <f t="shared" si="38"/>
        <v>4000</v>
      </c>
      <c r="I86" s="96"/>
      <c r="J86" s="96">
        <f t="shared" si="57"/>
        <v>4000</v>
      </c>
      <c r="K86" s="96">
        <v>0</v>
      </c>
      <c r="L86" s="96">
        <f t="shared" si="58"/>
        <v>4000</v>
      </c>
      <c r="M86" s="96">
        <v>0</v>
      </c>
      <c r="N86" s="96">
        <f t="shared" si="51"/>
        <v>4000</v>
      </c>
      <c r="O86" s="96">
        <v>0</v>
      </c>
      <c r="P86" s="96">
        <f t="shared" si="52"/>
        <v>4000</v>
      </c>
      <c r="Q86" s="96">
        <v>0</v>
      </c>
      <c r="R86" s="96">
        <f t="shared" si="53"/>
        <v>4000</v>
      </c>
      <c r="S86" s="96">
        <v>0</v>
      </c>
      <c r="T86" s="96">
        <f t="shared" si="54"/>
        <v>4000</v>
      </c>
      <c r="U86" s="96">
        <v>0</v>
      </c>
      <c r="V86" s="96">
        <f t="shared" si="55"/>
        <v>4000</v>
      </c>
      <c r="W86" s="96">
        <v>0</v>
      </c>
      <c r="X86" s="96">
        <f t="shared" si="56"/>
        <v>4000</v>
      </c>
    </row>
    <row r="87" spans="1:24" s="27" customFormat="1" ht="24">
      <c r="A87" s="102"/>
      <c r="B87" s="98"/>
      <c r="C87" s="81">
        <v>4360</v>
      </c>
      <c r="D87" s="45" t="s">
        <v>414</v>
      </c>
      <c r="E87" s="96">
        <v>24000</v>
      </c>
      <c r="F87" s="96"/>
      <c r="G87" s="96"/>
      <c r="H87" s="96">
        <f t="shared" si="38"/>
        <v>24000</v>
      </c>
      <c r="I87" s="96"/>
      <c r="J87" s="96">
        <f t="shared" si="57"/>
        <v>24000</v>
      </c>
      <c r="K87" s="96">
        <v>0</v>
      </c>
      <c r="L87" s="96">
        <f t="shared" si="58"/>
        <v>24000</v>
      </c>
      <c r="M87" s="96">
        <v>0</v>
      </c>
      <c r="N87" s="96">
        <f t="shared" si="51"/>
        <v>24000</v>
      </c>
      <c r="O87" s="96">
        <v>0</v>
      </c>
      <c r="P87" s="96">
        <f t="shared" si="52"/>
        <v>24000</v>
      </c>
      <c r="Q87" s="96">
        <v>0</v>
      </c>
      <c r="R87" s="96">
        <f t="shared" si="53"/>
        <v>24000</v>
      </c>
      <c r="S87" s="96">
        <v>0</v>
      </c>
      <c r="T87" s="96">
        <f t="shared" si="54"/>
        <v>24000</v>
      </c>
      <c r="U87" s="96">
        <v>0</v>
      </c>
      <c r="V87" s="96">
        <f t="shared" si="55"/>
        <v>24000</v>
      </c>
      <c r="W87" s="96">
        <v>0</v>
      </c>
      <c r="X87" s="96">
        <f t="shared" si="56"/>
        <v>24000</v>
      </c>
    </row>
    <row r="88" spans="1:24" s="27" customFormat="1" ht="24">
      <c r="A88" s="102"/>
      <c r="B88" s="98"/>
      <c r="C88" s="81">
        <v>4370</v>
      </c>
      <c r="D88" s="45" t="s">
        <v>409</v>
      </c>
      <c r="E88" s="96">
        <v>48100</v>
      </c>
      <c r="F88" s="96"/>
      <c r="G88" s="96"/>
      <c r="H88" s="96">
        <f t="shared" si="38"/>
        <v>48100</v>
      </c>
      <c r="I88" s="96"/>
      <c r="J88" s="96">
        <f t="shared" si="57"/>
        <v>48100</v>
      </c>
      <c r="K88" s="96">
        <v>0</v>
      </c>
      <c r="L88" s="96">
        <f t="shared" si="58"/>
        <v>48100</v>
      </c>
      <c r="M88" s="96">
        <v>0</v>
      </c>
      <c r="N88" s="96">
        <f t="shared" si="51"/>
        <v>48100</v>
      </c>
      <c r="O88" s="96">
        <v>0</v>
      </c>
      <c r="P88" s="96">
        <f t="shared" si="52"/>
        <v>48100</v>
      </c>
      <c r="Q88" s="96">
        <v>0</v>
      </c>
      <c r="R88" s="96">
        <f t="shared" si="53"/>
        <v>48100</v>
      </c>
      <c r="S88" s="96">
        <v>0</v>
      </c>
      <c r="T88" s="96">
        <f t="shared" si="54"/>
        <v>48100</v>
      </c>
      <c r="U88" s="96">
        <v>0</v>
      </c>
      <c r="V88" s="96">
        <f t="shared" si="55"/>
        <v>48100</v>
      </c>
      <c r="W88" s="96">
        <v>0</v>
      </c>
      <c r="X88" s="96">
        <f t="shared" si="56"/>
        <v>48100</v>
      </c>
    </row>
    <row r="89" spans="1:24" s="27" customFormat="1" ht="24">
      <c r="A89" s="102"/>
      <c r="B89" s="98"/>
      <c r="C89" s="81">
        <v>4400</v>
      </c>
      <c r="D89" s="45" t="s">
        <v>644</v>
      </c>
      <c r="E89" s="96"/>
      <c r="F89" s="96"/>
      <c r="G89" s="96"/>
      <c r="H89" s="96"/>
      <c r="I89" s="96"/>
      <c r="J89" s="96"/>
      <c r="K89" s="96"/>
      <c r="L89" s="96"/>
      <c r="M89" s="96"/>
      <c r="N89" s="96">
        <v>0</v>
      </c>
      <c r="O89" s="96">
        <v>535</v>
      </c>
      <c r="P89" s="96">
        <f t="shared" si="52"/>
        <v>535</v>
      </c>
      <c r="Q89" s="96">
        <v>0</v>
      </c>
      <c r="R89" s="96">
        <f t="shared" si="53"/>
        <v>535</v>
      </c>
      <c r="S89" s="96">
        <v>0</v>
      </c>
      <c r="T89" s="96">
        <f t="shared" si="54"/>
        <v>535</v>
      </c>
      <c r="U89" s="96">
        <v>0</v>
      </c>
      <c r="V89" s="96">
        <f t="shared" si="55"/>
        <v>535</v>
      </c>
      <c r="W89" s="96">
        <v>0</v>
      </c>
      <c r="X89" s="96">
        <f t="shared" si="56"/>
        <v>535</v>
      </c>
    </row>
    <row r="90" spans="1:24" s="27" customFormat="1" ht="21" customHeight="1">
      <c r="A90" s="102"/>
      <c r="B90" s="98"/>
      <c r="C90" s="81">
        <v>4410</v>
      </c>
      <c r="D90" s="45" t="s">
        <v>212</v>
      </c>
      <c r="E90" s="96">
        <v>54000</v>
      </c>
      <c r="F90" s="96"/>
      <c r="G90" s="96"/>
      <c r="H90" s="96">
        <f t="shared" si="38"/>
        <v>54000</v>
      </c>
      <c r="I90" s="96"/>
      <c r="J90" s="96">
        <f t="shared" si="57"/>
        <v>54000</v>
      </c>
      <c r="K90" s="96">
        <v>0</v>
      </c>
      <c r="L90" s="96">
        <f t="shared" si="58"/>
        <v>54000</v>
      </c>
      <c r="M90" s="96">
        <v>0</v>
      </c>
      <c r="N90" s="96">
        <f t="shared" si="51"/>
        <v>54000</v>
      </c>
      <c r="O90" s="96">
        <v>0</v>
      </c>
      <c r="P90" s="96">
        <f t="shared" si="52"/>
        <v>54000</v>
      </c>
      <c r="Q90" s="96">
        <v>0</v>
      </c>
      <c r="R90" s="96">
        <f t="shared" si="53"/>
        <v>54000</v>
      </c>
      <c r="S90" s="96">
        <v>0</v>
      </c>
      <c r="T90" s="96">
        <f t="shared" si="54"/>
        <v>54000</v>
      </c>
      <c r="U90" s="96">
        <v>0</v>
      </c>
      <c r="V90" s="96">
        <f t="shared" si="55"/>
        <v>54000</v>
      </c>
      <c r="W90" s="96">
        <v>0</v>
      </c>
      <c r="X90" s="96">
        <f t="shared" si="56"/>
        <v>54000</v>
      </c>
    </row>
    <row r="91" spans="1:24" s="27" customFormat="1" ht="21" customHeight="1">
      <c r="A91" s="102"/>
      <c r="B91" s="98"/>
      <c r="C91" s="102">
        <v>4420</v>
      </c>
      <c r="D91" s="45" t="s">
        <v>215</v>
      </c>
      <c r="E91" s="96">
        <v>5000</v>
      </c>
      <c r="F91" s="96"/>
      <c r="G91" s="96"/>
      <c r="H91" s="96">
        <f t="shared" si="38"/>
        <v>5000</v>
      </c>
      <c r="I91" s="96"/>
      <c r="J91" s="96">
        <f t="shared" si="57"/>
        <v>5000</v>
      </c>
      <c r="K91" s="96">
        <v>0</v>
      </c>
      <c r="L91" s="96">
        <f t="shared" si="58"/>
        <v>5000</v>
      </c>
      <c r="M91" s="96">
        <v>0</v>
      </c>
      <c r="N91" s="96">
        <f t="shared" si="51"/>
        <v>5000</v>
      </c>
      <c r="O91" s="96">
        <v>0</v>
      </c>
      <c r="P91" s="96">
        <f t="shared" si="52"/>
        <v>5000</v>
      </c>
      <c r="Q91" s="96">
        <v>0</v>
      </c>
      <c r="R91" s="96">
        <f t="shared" si="53"/>
        <v>5000</v>
      </c>
      <c r="S91" s="96">
        <v>0</v>
      </c>
      <c r="T91" s="96">
        <f t="shared" si="54"/>
        <v>5000</v>
      </c>
      <c r="U91" s="96">
        <v>0</v>
      </c>
      <c r="V91" s="96">
        <f t="shared" si="55"/>
        <v>5000</v>
      </c>
      <c r="W91" s="96">
        <v>0</v>
      </c>
      <c r="X91" s="96">
        <f t="shared" si="56"/>
        <v>5000</v>
      </c>
    </row>
    <row r="92" spans="1:24" s="27" customFormat="1" ht="21" customHeight="1">
      <c r="A92" s="102"/>
      <c r="B92" s="98"/>
      <c r="C92" s="84">
        <v>4430</v>
      </c>
      <c r="D92" s="45" t="s">
        <v>216</v>
      </c>
      <c r="E92" s="96">
        <v>52800</v>
      </c>
      <c r="F92" s="96"/>
      <c r="G92" s="96"/>
      <c r="H92" s="96">
        <f t="shared" si="38"/>
        <v>52800</v>
      </c>
      <c r="I92" s="96">
        <v>2418</v>
      </c>
      <c r="J92" s="96">
        <f t="shared" si="57"/>
        <v>55218</v>
      </c>
      <c r="K92" s="96">
        <v>0</v>
      </c>
      <c r="L92" s="96">
        <f t="shared" si="58"/>
        <v>55218</v>
      </c>
      <c r="M92" s="96">
        <v>0</v>
      </c>
      <c r="N92" s="96">
        <f t="shared" si="51"/>
        <v>55218</v>
      </c>
      <c r="O92" s="96">
        <v>-7320</v>
      </c>
      <c r="P92" s="96">
        <f t="shared" si="52"/>
        <v>47898</v>
      </c>
      <c r="Q92" s="96">
        <v>0</v>
      </c>
      <c r="R92" s="96">
        <f t="shared" si="53"/>
        <v>47898</v>
      </c>
      <c r="S92" s="96">
        <v>0</v>
      </c>
      <c r="T92" s="96">
        <f t="shared" si="54"/>
        <v>47898</v>
      </c>
      <c r="U92" s="96">
        <v>0</v>
      </c>
      <c r="V92" s="96">
        <f t="shared" si="55"/>
        <v>47898</v>
      </c>
      <c r="W92" s="96">
        <v>0</v>
      </c>
      <c r="X92" s="96">
        <f t="shared" si="56"/>
        <v>47898</v>
      </c>
    </row>
    <row r="93" spans="1:24" s="27" customFormat="1" ht="21" customHeight="1">
      <c r="A93" s="102"/>
      <c r="B93" s="98"/>
      <c r="C93" s="84">
        <v>4440</v>
      </c>
      <c r="D93" s="45" t="s">
        <v>210</v>
      </c>
      <c r="E93" s="96">
        <v>75100</v>
      </c>
      <c r="F93" s="96"/>
      <c r="G93" s="96"/>
      <c r="H93" s="96">
        <f t="shared" si="38"/>
        <v>75100</v>
      </c>
      <c r="I93" s="96"/>
      <c r="J93" s="96">
        <f t="shared" si="57"/>
        <v>75100</v>
      </c>
      <c r="K93" s="96">
        <v>0</v>
      </c>
      <c r="L93" s="96">
        <f t="shared" si="58"/>
        <v>75100</v>
      </c>
      <c r="M93" s="96">
        <v>0</v>
      </c>
      <c r="N93" s="96">
        <f t="shared" si="51"/>
        <v>75100</v>
      </c>
      <c r="O93" s="96">
        <v>0</v>
      </c>
      <c r="P93" s="96">
        <f t="shared" si="52"/>
        <v>75100</v>
      </c>
      <c r="Q93" s="96">
        <v>353</v>
      </c>
      <c r="R93" s="96">
        <f t="shared" si="53"/>
        <v>75453</v>
      </c>
      <c r="S93" s="96">
        <v>0</v>
      </c>
      <c r="T93" s="96">
        <f t="shared" si="54"/>
        <v>75453</v>
      </c>
      <c r="U93" s="96">
        <v>0</v>
      </c>
      <c r="V93" s="96">
        <f t="shared" si="55"/>
        <v>75453</v>
      </c>
      <c r="W93" s="96">
        <v>0</v>
      </c>
      <c r="X93" s="96">
        <f t="shared" si="56"/>
        <v>75453</v>
      </c>
    </row>
    <row r="94" spans="1:24" s="27" customFormat="1" ht="21" customHeight="1">
      <c r="A94" s="102"/>
      <c r="B94" s="98"/>
      <c r="C94" s="84">
        <v>4700</v>
      </c>
      <c r="D94" s="45" t="s">
        <v>412</v>
      </c>
      <c r="E94" s="96">
        <v>28000</v>
      </c>
      <c r="F94" s="96"/>
      <c r="G94" s="96"/>
      <c r="H94" s="96">
        <f t="shared" si="38"/>
        <v>28000</v>
      </c>
      <c r="I94" s="96"/>
      <c r="J94" s="96">
        <f t="shared" si="57"/>
        <v>28000</v>
      </c>
      <c r="K94" s="96">
        <v>0</v>
      </c>
      <c r="L94" s="96">
        <f t="shared" si="58"/>
        <v>28000</v>
      </c>
      <c r="M94" s="96">
        <v>0</v>
      </c>
      <c r="N94" s="96">
        <f t="shared" si="51"/>
        <v>28000</v>
      </c>
      <c r="O94" s="96">
        <v>0</v>
      </c>
      <c r="P94" s="96">
        <f t="shared" si="52"/>
        <v>28000</v>
      </c>
      <c r="Q94" s="96">
        <v>0</v>
      </c>
      <c r="R94" s="96">
        <f t="shared" si="53"/>
        <v>28000</v>
      </c>
      <c r="S94" s="96">
        <v>0</v>
      </c>
      <c r="T94" s="96">
        <f t="shared" si="54"/>
        <v>28000</v>
      </c>
      <c r="U94" s="96">
        <v>0</v>
      </c>
      <c r="V94" s="96">
        <f t="shared" si="55"/>
        <v>28000</v>
      </c>
      <c r="W94" s="96">
        <v>0</v>
      </c>
      <c r="X94" s="96">
        <f t="shared" si="56"/>
        <v>28000</v>
      </c>
    </row>
    <row r="95" spans="1:24" s="27" customFormat="1" ht="24">
      <c r="A95" s="102"/>
      <c r="B95" s="98"/>
      <c r="C95" s="84">
        <v>4740</v>
      </c>
      <c r="D95" s="45" t="s">
        <v>48</v>
      </c>
      <c r="E95" s="96">
        <v>20000</v>
      </c>
      <c r="F95" s="96"/>
      <c r="G95" s="96"/>
      <c r="H95" s="96">
        <f t="shared" si="38"/>
        <v>20000</v>
      </c>
      <c r="I95" s="96"/>
      <c r="J95" s="96">
        <f t="shared" si="57"/>
        <v>20000</v>
      </c>
      <c r="K95" s="96">
        <v>0</v>
      </c>
      <c r="L95" s="96">
        <f t="shared" si="58"/>
        <v>20000</v>
      </c>
      <c r="M95" s="96">
        <v>0</v>
      </c>
      <c r="N95" s="96">
        <f t="shared" si="51"/>
        <v>20000</v>
      </c>
      <c r="O95" s="96">
        <v>0</v>
      </c>
      <c r="P95" s="96">
        <f t="shared" si="52"/>
        <v>20000</v>
      </c>
      <c r="Q95" s="96">
        <v>0</v>
      </c>
      <c r="R95" s="96">
        <f t="shared" si="53"/>
        <v>20000</v>
      </c>
      <c r="S95" s="96">
        <v>0</v>
      </c>
      <c r="T95" s="96">
        <f t="shared" si="54"/>
        <v>20000</v>
      </c>
      <c r="U95" s="96">
        <v>0</v>
      </c>
      <c r="V95" s="96">
        <f t="shared" si="55"/>
        <v>20000</v>
      </c>
      <c r="W95" s="96">
        <v>0</v>
      </c>
      <c r="X95" s="96">
        <f t="shared" si="56"/>
        <v>20000</v>
      </c>
    </row>
    <row r="96" spans="1:24" s="27" customFormat="1" ht="21" customHeight="1">
      <c r="A96" s="102"/>
      <c r="B96" s="98"/>
      <c r="C96" s="84">
        <v>4750</v>
      </c>
      <c r="D96" s="45" t="s">
        <v>413</v>
      </c>
      <c r="E96" s="96">
        <v>36700</v>
      </c>
      <c r="F96" s="96"/>
      <c r="G96" s="96"/>
      <c r="H96" s="96">
        <f t="shared" si="38"/>
        <v>36700</v>
      </c>
      <c r="I96" s="96"/>
      <c r="J96" s="96">
        <f t="shared" si="57"/>
        <v>36700</v>
      </c>
      <c r="K96" s="96">
        <v>0</v>
      </c>
      <c r="L96" s="96">
        <f t="shared" si="58"/>
        <v>36700</v>
      </c>
      <c r="M96" s="96">
        <v>0</v>
      </c>
      <c r="N96" s="96">
        <f t="shared" si="51"/>
        <v>36700</v>
      </c>
      <c r="O96" s="96">
        <v>0</v>
      </c>
      <c r="P96" s="96">
        <f t="shared" si="52"/>
        <v>36700</v>
      </c>
      <c r="Q96" s="96">
        <v>0</v>
      </c>
      <c r="R96" s="96">
        <f t="shared" si="53"/>
        <v>36700</v>
      </c>
      <c r="S96" s="96">
        <v>0</v>
      </c>
      <c r="T96" s="96">
        <f t="shared" si="54"/>
        <v>36700</v>
      </c>
      <c r="U96" s="96">
        <v>0</v>
      </c>
      <c r="V96" s="96">
        <f t="shared" si="55"/>
        <v>36700</v>
      </c>
      <c r="W96" s="96">
        <v>0</v>
      </c>
      <c r="X96" s="96">
        <f t="shared" si="56"/>
        <v>36700</v>
      </c>
    </row>
    <row r="97" spans="1:24" s="27" customFormat="1" ht="21" customHeight="1">
      <c r="A97" s="102"/>
      <c r="B97" s="98"/>
      <c r="C97" s="84">
        <v>6060</v>
      </c>
      <c r="D97" s="45" t="s">
        <v>218</v>
      </c>
      <c r="E97" s="96">
        <v>51800</v>
      </c>
      <c r="F97" s="96"/>
      <c r="G97" s="96"/>
      <c r="H97" s="96">
        <f t="shared" si="38"/>
        <v>51800</v>
      </c>
      <c r="I97" s="96"/>
      <c r="J97" s="96">
        <f t="shared" si="57"/>
        <v>51800</v>
      </c>
      <c r="K97" s="96">
        <v>0</v>
      </c>
      <c r="L97" s="96">
        <f t="shared" si="58"/>
        <v>51800</v>
      </c>
      <c r="M97" s="96">
        <v>0</v>
      </c>
      <c r="N97" s="96">
        <f t="shared" si="51"/>
        <v>51800</v>
      </c>
      <c r="O97" s="96">
        <v>0</v>
      </c>
      <c r="P97" s="96">
        <f t="shared" si="52"/>
        <v>51800</v>
      </c>
      <c r="Q97" s="96">
        <v>0</v>
      </c>
      <c r="R97" s="96">
        <f t="shared" si="53"/>
        <v>51800</v>
      </c>
      <c r="S97" s="96">
        <v>0</v>
      </c>
      <c r="T97" s="96">
        <f t="shared" si="54"/>
        <v>51800</v>
      </c>
      <c r="U97" s="96">
        <v>0</v>
      </c>
      <c r="V97" s="96">
        <f t="shared" si="55"/>
        <v>51800</v>
      </c>
      <c r="W97" s="96">
        <v>0</v>
      </c>
      <c r="X97" s="96">
        <f t="shared" si="56"/>
        <v>51800</v>
      </c>
    </row>
    <row r="98" spans="1:24" s="27" customFormat="1" ht="24" customHeight="1">
      <c r="A98" s="102"/>
      <c r="B98" s="98">
        <v>75075</v>
      </c>
      <c r="C98" s="102"/>
      <c r="D98" s="45" t="s">
        <v>367</v>
      </c>
      <c r="E98" s="96">
        <f>SUM(E99:E108)</f>
        <v>340200</v>
      </c>
      <c r="F98" s="96">
        <f>SUM(F99:F108)</f>
        <v>0</v>
      </c>
      <c r="G98" s="96">
        <f>SUM(G99:G108)</f>
        <v>166000</v>
      </c>
      <c r="H98" s="96">
        <f aca="true" t="shared" si="59" ref="H98:N98">SUM(H99:H110)</f>
        <v>174200</v>
      </c>
      <c r="I98" s="96">
        <f t="shared" si="59"/>
        <v>0</v>
      </c>
      <c r="J98" s="96">
        <f t="shared" si="59"/>
        <v>174200</v>
      </c>
      <c r="K98" s="96">
        <f t="shared" si="59"/>
        <v>-300</v>
      </c>
      <c r="L98" s="96">
        <f t="shared" si="59"/>
        <v>173900</v>
      </c>
      <c r="M98" s="96">
        <f t="shared" si="59"/>
        <v>0</v>
      </c>
      <c r="N98" s="96">
        <f t="shared" si="59"/>
        <v>173900</v>
      </c>
      <c r="O98" s="96">
        <f aca="true" t="shared" si="60" ref="O98:T98">SUM(O99:O110)</f>
        <v>-250</v>
      </c>
      <c r="P98" s="96">
        <f t="shared" si="60"/>
        <v>173650</v>
      </c>
      <c r="Q98" s="96">
        <f t="shared" si="60"/>
        <v>10200</v>
      </c>
      <c r="R98" s="96">
        <f t="shared" si="60"/>
        <v>183850</v>
      </c>
      <c r="S98" s="96">
        <f t="shared" si="60"/>
        <v>0</v>
      </c>
      <c r="T98" s="96">
        <f t="shared" si="60"/>
        <v>183850</v>
      </c>
      <c r="U98" s="96">
        <f>SUM(U99:U110)</f>
        <v>0</v>
      </c>
      <c r="V98" s="96">
        <f>SUM(V99:V110)</f>
        <v>183850</v>
      </c>
      <c r="W98" s="96">
        <f>SUM(W99:W110)</f>
        <v>-300</v>
      </c>
      <c r="X98" s="96">
        <f>SUM(X99:X110)</f>
        <v>183550</v>
      </c>
    </row>
    <row r="99" spans="1:24" s="27" customFormat="1" ht="21" customHeight="1">
      <c r="A99" s="102"/>
      <c r="B99" s="98"/>
      <c r="C99" s="102">
        <v>3020</v>
      </c>
      <c r="D99" s="45" t="s">
        <v>335</v>
      </c>
      <c r="E99" s="96">
        <f>11000</f>
        <v>11000</v>
      </c>
      <c r="F99" s="96"/>
      <c r="G99" s="96"/>
      <c r="H99" s="96">
        <f aca="true" t="shared" si="61" ref="H99:H108">E99+F99-G99</f>
        <v>11000</v>
      </c>
      <c r="I99" s="96"/>
      <c r="J99" s="96">
        <f t="shared" si="57"/>
        <v>11000</v>
      </c>
      <c r="K99" s="96">
        <v>0</v>
      </c>
      <c r="L99" s="96">
        <f t="shared" si="58"/>
        <v>11000</v>
      </c>
      <c r="M99" s="96">
        <v>0</v>
      </c>
      <c r="N99" s="96">
        <f aca="true" t="shared" si="62" ref="N99:N110">SUM(L99:M99)</f>
        <v>11000</v>
      </c>
      <c r="O99" s="96">
        <v>0</v>
      </c>
      <c r="P99" s="96">
        <f aca="true" t="shared" si="63" ref="P99:P110">SUM(N99:O99)</f>
        <v>11000</v>
      </c>
      <c r="Q99" s="96">
        <v>0</v>
      </c>
      <c r="R99" s="96">
        <f aca="true" t="shared" si="64" ref="R99:R110">SUM(P99:Q99)</f>
        <v>11000</v>
      </c>
      <c r="S99" s="96">
        <v>0</v>
      </c>
      <c r="T99" s="96">
        <f aca="true" t="shared" si="65" ref="T99:T110">SUM(R99:S99)</f>
        <v>11000</v>
      </c>
      <c r="U99" s="96">
        <v>0</v>
      </c>
      <c r="V99" s="96">
        <f aca="true" t="shared" si="66" ref="V99:V110">SUM(T99:U99)</f>
        <v>11000</v>
      </c>
      <c r="W99" s="96">
        <v>0</v>
      </c>
      <c r="X99" s="96">
        <f aca="true" t="shared" si="67" ref="X99:X110">SUM(V99:W99)</f>
        <v>11000</v>
      </c>
    </row>
    <row r="100" spans="1:26" s="27" customFormat="1" ht="21" customHeight="1">
      <c r="A100" s="102"/>
      <c r="B100" s="98"/>
      <c r="C100" s="102">
        <v>4110</v>
      </c>
      <c r="D100" s="45" t="s">
        <v>208</v>
      </c>
      <c r="E100" s="96">
        <v>1000</v>
      </c>
      <c r="F100" s="96"/>
      <c r="G100" s="96"/>
      <c r="H100" s="96">
        <f t="shared" si="61"/>
        <v>1000</v>
      </c>
      <c r="I100" s="96"/>
      <c r="J100" s="96">
        <f t="shared" si="57"/>
        <v>1000</v>
      </c>
      <c r="K100" s="96">
        <v>0</v>
      </c>
      <c r="L100" s="96">
        <f t="shared" si="58"/>
        <v>1000</v>
      </c>
      <c r="M100" s="96">
        <v>0</v>
      </c>
      <c r="N100" s="96">
        <f t="shared" si="62"/>
        <v>1000</v>
      </c>
      <c r="O100" s="96">
        <v>0</v>
      </c>
      <c r="P100" s="96">
        <f t="shared" si="63"/>
        <v>1000</v>
      </c>
      <c r="Q100" s="96">
        <v>0</v>
      </c>
      <c r="R100" s="96">
        <f t="shared" si="64"/>
        <v>1000</v>
      </c>
      <c r="S100" s="96">
        <v>0</v>
      </c>
      <c r="T100" s="96">
        <f t="shared" si="65"/>
        <v>1000</v>
      </c>
      <c r="U100" s="96">
        <v>0</v>
      </c>
      <c r="V100" s="96">
        <f t="shared" si="66"/>
        <v>1000</v>
      </c>
      <c r="W100" s="96">
        <v>0</v>
      </c>
      <c r="X100" s="96">
        <f t="shared" si="67"/>
        <v>1000</v>
      </c>
      <c r="Y100" s="150"/>
      <c r="Z100" s="150"/>
    </row>
    <row r="101" spans="1:26" s="27" customFormat="1" ht="21" customHeight="1">
      <c r="A101" s="102"/>
      <c r="B101" s="98"/>
      <c r="C101" s="102">
        <v>4120</v>
      </c>
      <c r="D101" s="45" t="s">
        <v>209</v>
      </c>
      <c r="E101" s="96">
        <v>100</v>
      </c>
      <c r="F101" s="96"/>
      <c r="G101" s="96"/>
      <c r="H101" s="96">
        <f t="shared" si="61"/>
        <v>100</v>
      </c>
      <c r="I101" s="96"/>
      <c r="J101" s="96">
        <f t="shared" si="57"/>
        <v>100</v>
      </c>
      <c r="K101" s="96">
        <v>0</v>
      </c>
      <c r="L101" s="96">
        <f t="shared" si="58"/>
        <v>100</v>
      </c>
      <c r="M101" s="96">
        <v>0</v>
      </c>
      <c r="N101" s="96">
        <f t="shared" si="62"/>
        <v>100</v>
      </c>
      <c r="O101" s="96">
        <v>0</v>
      </c>
      <c r="P101" s="96">
        <f t="shared" si="63"/>
        <v>100</v>
      </c>
      <c r="Q101" s="96">
        <v>0</v>
      </c>
      <c r="R101" s="96">
        <f t="shared" si="64"/>
        <v>100</v>
      </c>
      <c r="S101" s="96">
        <v>0</v>
      </c>
      <c r="T101" s="96">
        <f t="shared" si="65"/>
        <v>100</v>
      </c>
      <c r="U101" s="96">
        <v>0</v>
      </c>
      <c r="V101" s="96">
        <f t="shared" si="66"/>
        <v>100</v>
      </c>
      <c r="W101" s="96">
        <v>0</v>
      </c>
      <c r="X101" s="96">
        <f t="shared" si="67"/>
        <v>100</v>
      </c>
      <c r="Y101" s="150"/>
      <c r="Z101" s="150"/>
    </row>
    <row r="102" spans="1:26" s="27" customFormat="1" ht="21" customHeight="1">
      <c r="A102" s="102"/>
      <c r="B102" s="98"/>
      <c r="C102" s="102">
        <v>4170</v>
      </c>
      <c r="D102" s="45" t="s">
        <v>339</v>
      </c>
      <c r="E102" s="96">
        <v>6000</v>
      </c>
      <c r="F102" s="96"/>
      <c r="G102" s="96"/>
      <c r="H102" s="96">
        <f t="shared" si="61"/>
        <v>6000</v>
      </c>
      <c r="I102" s="96"/>
      <c r="J102" s="96">
        <f t="shared" si="57"/>
        <v>6000</v>
      </c>
      <c r="K102" s="96">
        <v>0</v>
      </c>
      <c r="L102" s="96">
        <f t="shared" si="58"/>
        <v>6000</v>
      </c>
      <c r="M102" s="96">
        <v>0</v>
      </c>
      <c r="N102" s="96">
        <f t="shared" si="62"/>
        <v>6000</v>
      </c>
      <c r="O102" s="96">
        <v>0</v>
      </c>
      <c r="P102" s="96">
        <f t="shared" si="63"/>
        <v>6000</v>
      </c>
      <c r="Q102" s="96">
        <v>0</v>
      </c>
      <c r="R102" s="96">
        <f t="shared" si="64"/>
        <v>6000</v>
      </c>
      <c r="S102" s="96">
        <v>0</v>
      </c>
      <c r="T102" s="96">
        <f t="shared" si="65"/>
        <v>6000</v>
      </c>
      <c r="U102" s="96">
        <v>0</v>
      </c>
      <c r="V102" s="96">
        <f t="shared" si="66"/>
        <v>6000</v>
      </c>
      <c r="W102" s="96">
        <v>700</v>
      </c>
      <c r="X102" s="96">
        <f t="shared" si="67"/>
        <v>6700</v>
      </c>
      <c r="Y102" s="150"/>
      <c r="Z102" s="150"/>
    </row>
    <row r="103" spans="1:24" s="27" customFormat="1" ht="21" customHeight="1">
      <c r="A103" s="102"/>
      <c r="B103" s="98"/>
      <c r="C103" s="102">
        <v>4210</v>
      </c>
      <c r="D103" s="45" t="s">
        <v>214</v>
      </c>
      <c r="E103" s="96">
        <f>100000+15900</f>
        <v>115900</v>
      </c>
      <c r="F103" s="96"/>
      <c r="G103" s="96">
        <f>20000+10000+30000</f>
        <v>60000</v>
      </c>
      <c r="H103" s="96">
        <f t="shared" si="61"/>
        <v>55900</v>
      </c>
      <c r="I103" s="96">
        <f>-1400+400-900</f>
        <v>-1900</v>
      </c>
      <c r="J103" s="96">
        <f t="shared" si="57"/>
        <v>54000</v>
      </c>
      <c r="K103" s="96">
        <v>-300</v>
      </c>
      <c r="L103" s="96">
        <f t="shared" si="58"/>
        <v>53700</v>
      </c>
      <c r="M103" s="96"/>
      <c r="N103" s="96">
        <f t="shared" si="62"/>
        <v>53700</v>
      </c>
      <c r="O103" s="96">
        <f>1750-2000</f>
        <v>-250</v>
      </c>
      <c r="P103" s="96">
        <f t="shared" si="63"/>
        <v>53450</v>
      </c>
      <c r="Q103" s="96">
        <v>-500</v>
      </c>
      <c r="R103" s="96">
        <f t="shared" si="64"/>
        <v>52950</v>
      </c>
      <c r="S103" s="96">
        <v>0</v>
      </c>
      <c r="T103" s="96">
        <f t="shared" si="65"/>
        <v>52950</v>
      </c>
      <c r="U103" s="96">
        <v>0</v>
      </c>
      <c r="V103" s="96">
        <f t="shared" si="66"/>
        <v>52950</v>
      </c>
      <c r="W103" s="96">
        <v>-1032</v>
      </c>
      <c r="X103" s="96">
        <f t="shared" si="67"/>
        <v>51918</v>
      </c>
    </row>
    <row r="104" spans="1:24" s="27" customFormat="1" ht="21" customHeight="1">
      <c r="A104" s="102"/>
      <c r="B104" s="98"/>
      <c r="C104" s="81">
        <v>4300</v>
      </c>
      <c r="D104" s="45" t="s">
        <v>201</v>
      </c>
      <c r="E104" s="96">
        <f>186900+3700+1600</f>
        <v>192200</v>
      </c>
      <c r="F104" s="96"/>
      <c r="G104" s="96">
        <f>30000+30000+46000</f>
        <v>106000</v>
      </c>
      <c r="H104" s="96">
        <f t="shared" si="61"/>
        <v>86200</v>
      </c>
      <c r="I104" s="96">
        <f>-400+900</f>
        <v>500</v>
      </c>
      <c r="J104" s="96">
        <f t="shared" si="57"/>
        <v>86700</v>
      </c>
      <c r="K104" s="96">
        <v>0</v>
      </c>
      <c r="L104" s="96">
        <f t="shared" si="58"/>
        <v>86700</v>
      </c>
      <c r="M104" s="96">
        <v>0</v>
      </c>
      <c r="N104" s="96">
        <f t="shared" si="62"/>
        <v>86700</v>
      </c>
      <c r="O104" s="96">
        <v>0</v>
      </c>
      <c r="P104" s="96">
        <f t="shared" si="63"/>
        <v>86700</v>
      </c>
      <c r="Q104" s="286">
        <f>10000+1500-800</f>
        <v>10700</v>
      </c>
      <c r="R104" s="96">
        <f t="shared" si="64"/>
        <v>97400</v>
      </c>
      <c r="S104" s="269">
        <v>0</v>
      </c>
      <c r="T104" s="96">
        <f t="shared" si="65"/>
        <v>97400</v>
      </c>
      <c r="U104" s="269">
        <v>0</v>
      </c>
      <c r="V104" s="96">
        <f t="shared" si="66"/>
        <v>97400</v>
      </c>
      <c r="W104" s="269">
        <f>732-700</f>
        <v>32</v>
      </c>
      <c r="X104" s="96">
        <f t="shared" si="67"/>
        <v>97432</v>
      </c>
    </row>
    <row r="105" spans="1:24" s="27" customFormat="1" ht="21" customHeight="1">
      <c r="A105" s="102"/>
      <c r="B105" s="98"/>
      <c r="C105" s="81">
        <v>4350</v>
      </c>
      <c r="D105" s="45" t="s">
        <v>369</v>
      </c>
      <c r="E105" s="96">
        <v>5000</v>
      </c>
      <c r="F105" s="96"/>
      <c r="G105" s="96"/>
      <c r="H105" s="96">
        <f t="shared" si="61"/>
        <v>5000</v>
      </c>
      <c r="I105" s="96"/>
      <c r="J105" s="96">
        <f t="shared" si="57"/>
        <v>5000</v>
      </c>
      <c r="K105" s="96">
        <v>0</v>
      </c>
      <c r="L105" s="96">
        <f t="shared" si="58"/>
        <v>5000</v>
      </c>
      <c r="M105" s="96">
        <v>0</v>
      </c>
      <c r="N105" s="96">
        <f t="shared" si="62"/>
        <v>5000</v>
      </c>
      <c r="O105" s="96">
        <v>0</v>
      </c>
      <c r="P105" s="96">
        <f t="shared" si="63"/>
        <v>5000</v>
      </c>
      <c r="Q105" s="96">
        <v>0</v>
      </c>
      <c r="R105" s="96">
        <f t="shared" si="64"/>
        <v>5000</v>
      </c>
      <c r="S105" s="96">
        <v>0</v>
      </c>
      <c r="T105" s="96">
        <f t="shared" si="65"/>
        <v>5000</v>
      </c>
      <c r="U105" s="96">
        <v>0</v>
      </c>
      <c r="V105" s="96">
        <f t="shared" si="66"/>
        <v>5000</v>
      </c>
      <c r="W105" s="96">
        <v>0</v>
      </c>
      <c r="X105" s="96">
        <f t="shared" si="67"/>
        <v>5000</v>
      </c>
    </row>
    <row r="106" spans="1:24" s="27" customFormat="1" ht="21" customHeight="1">
      <c r="A106" s="102"/>
      <c r="B106" s="98"/>
      <c r="C106" s="81">
        <v>4410</v>
      </c>
      <c r="D106" s="45" t="s">
        <v>212</v>
      </c>
      <c r="E106" s="96">
        <v>3000</v>
      </c>
      <c r="F106" s="96"/>
      <c r="G106" s="96"/>
      <c r="H106" s="96">
        <f t="shared" si="61"/>
        <v>3000</v>
      </c>
      <c r="I106" s="96"/>
      <c r="J106" s="96">
        <f t="shared" si="57"/>
        <v>3000</v>
      </c>
      <c r="K106" s="96">
        <v>0</v>
      </c>
      <c r="L106" s="96">
        <f t="shared" si="58"/>
        <v>3000</v>
      </c>
      <c r="M106" s="96">
        <v>0</v>
      </c>
      <c r="N106" s="96">
        <f t="shared" si="62"/>
        <v>3000</v>
      </c>
      <c r="O106" s="96">
        <v>0</v>
      </c>
      <c r="P106" s="96">
        <f t="shared" si="63"/>
        <v>3000</v>
      </c>
      <c r="Q106" s="96">
        <v>0</v>
      </c>
      <c r="R106" s="96">
        <f t="shared" si="64"/>
        <v>3000</v>
      </c>
      <c r="S106" s="96">
        <v>0</v>
      </c>
      <c r="T106" s="96">
        <f t="shared" si="65"/>
        <v>3000</v>
      </c>
      <c r="U106" s="96">
        <v>0</v>
      </c>
      <c r="V106" s="96">
        <f t="shared" si="66"/>
        <v>3000</v>
      </c>
      <c r="W106" s="96">
        <v>0</v>
      </c>
      <c r="X106" s="96">
        <f t="shared" si="67"/>
        <v>3000</v>
      </c>
    </row>
    <row r="107" spans="1:24" s="27" customFormat="1" ht="21" customHeight="1">
      <c r="A107" s="102"/>
      <c r="B107" s="98"/>
      <c r="C107" s="102">
        <v>4420</v>
      </c>
      <c r="D107" s="45" t="s">
        <v>215</v>
      </c>
      <c r="E107" s="96">
        <v>3000</v>
      </c>
      <c r="F107" s="96"/>
      <c r="G107" s="96"/>
      <c r="H107" s="96">
        <f t="shared" si="61"/>
        <v>3000</v>
      </c>
      <c r="I107" s="96"/>
      <c r="J107" s="96">
        <f t="shared" si="57"/>
        <v>3000</v>
      </c>
      <c r="K107" s="96">
        <v>0</v>
      </c>
      <c r="L107" s="96">
        <f t="shared" si="58"/>
        <v>3000</v>
      </c>
      <c r="M107" s="96">
        <v>0</v>
      </c>
      <c r="N107" s="96">
        <f t="shared" si="62"/>
        <v>3000</v>
      </c>
      <c r="O107" s="96">
        <v>0</v>
      </c>
      <c r="P107" s="96">
        <f t="shared" si="63"/>
        <v>3000</v>
      </c>
      <c r="Q107" s="96">
        <v>0</v>
      </c>
      <c r="R107" s="96">
        <f t="shared" si="64"/>
        <v>3000</v>
      </c>
      <c r="S107" s="96">
        <v>0</v>
      </c>
      <c r="T107" s="96">
        <f t="shared" si="65"/>
        <v>3000</v>
      </c>
      <c r="U107" s="96">
        <v>0</v>
      </c>
      <c r="V107" s="96">
        <f t="shared" si="66"/>
        <v>3000</v>
      </c>
      <c r="W107" s="96">
        <v>0</v>
      </c>
      <c r="X107" s="96">
        <f t="shared" si="67"/>
        <v>3000</v>
      </c>
    </row>
    <row r="108" spans="1:24" s="27" customFormat="1" ht="21" customHeight="1">
      <c r="A108" s="102"/>
      <c r="B108" s="98"/>
      <c r="C108" s="81">
        <v>4430</v>
      </c>
      <c r="D108" s="45" t="s">
        <v>216</v>
      </c>
      <c r="E108" s="96">
        <v>3000</v>
      </c>
      <c r="F108" s="96"/>
      <c r="G108" s="96"/>
      <c r="H108" s="96">
        <f t="shared" si="61"/>
        <v>3000</v>
      </c>
      <c r="I108" s="96"/>
      <c r="J108" s="96">
        <f t="shared" si="57"/>
        <v>3000</v>
      </c>
      <c r="K108" s="96">
        <v>0</v>
      </c>
      <c r="L108" s="96">
        <f t="shared" si="58"/>
        <v>3000</v>
      </c>
      <c r="M108" s="96">
        <v>0</v>
      </c>
      <c r="N108" s="96">
        <f t="shared" si="62"/>
        <v>3000</v>
      </c>
      <c r="O108" s="96">
        <v>0</v>
      </c>
      <c r="P108" s="96">
        <f t="shared" si="63"/>
        <v>3000</v>
      </c>
      <c r="Q108" s="96">
        <v>0</v>
      </c>
      <c r="R108" s="96">
        <f t="shared" si="64"/>
        <v>3000</v>
      </c>
      <c r="S108" s="96">
        <v>0</v>
      </c>
      <c r="T108" s="96">
        <f t="shared" si="65"/>
        <v>3000</v>
      </c>
      <c r="U108" s="96">
        <v>0</v>
      </c>
      <c r="V108" s="96">
        <f t="shared" si="66"/>
        <v>3000</v>
      </c>
      <c r="W108" s="96">
        <v>0</v>
      </c>
      <c r="X108" s="96">
        <f t="shared" si="67"/>
        <v>3000</v>
      </c>
    </row>
    <row r="109" spans="1:24" s="27" customFormat="1" ht="24">
      <c r="A109" s="102"/>
      <c r="B109" s="98"/>
      <c r="C109" s="81">
        <v>4740</v>
      </c>
      <c r="D109" s="45" t="s">
        <v>48</v>
      </c>
      <c r="E109" s="96"/>
      <c r="F109" s="96"/>
      <c r="G109" s="96"/>
      <c r="H109" s="96"/>
      <c r="I109" s="96">
        <v>300</v>
      </c>
      <c r="J109" s="96">
        <f t="shared" si="57"/>
        <v>300</v>
      </c>
      <c r="K109" s="96">
        <v>0</v>
      </c>
      <c r="L109" s="96">
        <f t="shared" si="58"/>
        <v>300</v>
      </c>
      <c r="M109" s="96">
        <v>0</v>
      </c>
      <c r="N109" s="96">
        <f t="shared" si="62"/>
        <v>300</v>
      </c>
      <c r="O109" s="96">
        <v>0</v>
      </c>
      <c r="P109" s="96">
        <f t="shared" si="63"/>
        <v>300</v>
      </c>
      <c r="Q109" s="96">
        <v>0</v>
      </c>
      <c r="R109" s="96">
        <f t="shared" si="64"/>
        <v>300</v>
      </c>
      <c r="S109" s="96">
        <v>0</v>
      </c>
      <c r="T109" s="96">
        <f t="shared" si="65"/>
        <v>300</v>
      </c>
      <c r="U109" s="96">
        <v>0</v>
      </c>
      <c r="V109" s="96">
        <f t="shared" si="66"/>
        <v>300</v>
      </c>
      <c r="W109" s="96">
        <v>0</v>
      </c>
      <c r="X109" s="96">
        <f t="shared" si="67"/>
        <v>300</v>
      </c>
    </row>
    <row r="110" spans="1:24" s="27" customFormat="1" ht="24">
      <c r="A110" s="102"/>
      <c r="B110" s="98"/>
      <c r="C110" s="81">
        <v>4750</v>
      </c>
      <c r="D110" s="45" t="s">
        <v>413</v>
      </c>
      <c r="E110" s="96"/>
      <c r="F110" s="96"/>
      <c r="G110" s="96"/>
      <c r="H110" s="96">
        <v>0</v>
      </c>
      <c r="I110" s="96">
        <v>1100</v>
      </c>
      <c r="J110" s="96">
        <f t="shared" si="57"/>
        <v>1100</v>
      </c>
      <c r="K110" s="96">
        <v>0</v>
      </c>
      <c r="L110" s="96">
        <f t="shared" si="58"/>
        <v>1100</v>
      </c>
      <c r="M110" s="96">
        <v>0</v>
      </c>
      <c r="N110" s="96">
        <f t="shared" si="62"/>
        <v>1100</v>
      </c>
      <c r="O110" s="96">
        <v>0</v>
      </c>
      <c r="P110" s="96">
        <f t="shared" si="63"/>
        <v>1100</v>
      </c>
      <c r="Q110" s="96">
        <v>0</v>
      </c>
      <c r="R110" s="96">
        <f t="shared" si="64"/>
        <v>1100</v>
      </c>
      <c r="S110" s="96">
        <v>0</v>
      </c>
      <c r="T110" s="96">
        <f t="shared" si="65"/>
        <v>1100</v>
      </c>
      <c r="U110" s="96">
        <v>0</v>
      </c>
      <c r="V110" s="96">
        <f t="shared" si="66"/>
        <v>1100</v>
      </c>
      <c r="W110" s="96">
        <v>0</v>
      </c>
      <c r="X110" s="96">
        <f t="shared" si="67"/>
        <v>1100</v>
      </c>
    </row>
    <row r="111" spans="1:24" s="27" customFormat="1" ht="21" customHeight="1">
      <c r="A111" s="102"/>
      <c r="B111" s="98">
        <v>75095</v>
      </c>
      <c r="C111" s="81"/>
      <c r="D111" s="45" t="s">
        <v>118</v>
      </c>
      <c r="E111" s="96">
        <f>SUM(E112)</f>
        <v>0</v>
      </c>
      <c r="F111" s="96">
        <f>SUM(F112)</f>
        <v>20000</v>
      </c>
      <c r="G111" s="96">
        <f>SUM(G112)</f>
        <v>0</v>
      </c>
      <c r="H111" s="96">
        <f aca="true" t="shared" si="68" ref="H111:H148">E111+F111-G111</f>
        <v>20000</v>
      </c>
      <c r="I111" s="96">
        <f aca="true" t="shared" si="69" ref="I111:X111">SUM(I112)</f>
        <v>0</v>
      </c>
      <c r="J111" s="96">
        <f t="shared" si="69"/>
        <v>20000</v>
      </c>
      <c r="K111" s="96">
        <f t="shared" si="69"/>
        <v>0</v>
      </c>
      <c r="L111" s="96">
        <f t="shared" si="69"/>
        <v>20000</v>
      </c>
      <c r="M111" s="96">
        <f t="shared" si="69"/>
        <v>0</v>
      </c>
      <c r="N111" s="96">
        <f t="shared" si="69"/>
        <v>20000</v>
      </c>
      <c r="O111" s="96">
        <f t="shared" si="69"/>
        <v>0</v>
      </c>
      <c r="P111" s="96">
        <f t="shared" si="69"/>
        <v>20000</v>
      </c>
      <c r="Q111" s="96">
        <f t="shared" si="69"/>
        <v>0</v>
      </c>
      <c r="R111" s="96">
        <f t="shared" si="69"/>
        <v>20000</v>
      </c>
      <c r="S111" s="96">
        <f t="shared" si="69"/>
        <v>0</v>
      </c>
      <c r="T111" s="96">
        <f t="shared" si="69"/>
        <v>20000</v>
      </c>
      <c r="U111" s="96">
        <f t="shared" si="69"/>
        <v>0</v>
      </c>
      <c r="V111" s="96">
        <f t="shared" si="69"/>
        <v>20000</v>
      </c>
      <c r="W111" s="96">
        <f t="shared" si="69"/>
        <v>0</v>
      </c>
      <c r="X111" s="96">
        <f t="shared" si="69"/>
        <v>20000</v>
      </c>
    </row>
    <row r="112" spans="1:24" s="27" customFormat="1" ht="21" customHeight="1">
      <c r="A112" s="102"/>
      <c r="B112" s="98"/>
      <c r="C112" s="81">
        <v>4300</v>
      </c>
      <c r="D112" s="45" t="s">
        <v>201</v>
      </c>
      <c r="E112" s="96">
        <v>0</v>
      </c>
      <c r="F112" s="96">
        <v>20000</v>
      </c>
      <c r="G112" s="96"/>
      <c r="H112" s="96">
        <f t="shared" si="68"/>
        <v>20000</v>
      </c>
      <c r="I112" s="96"/>
      <c r="J112" s="96">
        <f t="shared" si="57"/>
        <v>20000</v>
      </c>
      <c r="K112" s="96">
        <v>0</v>
      </c>
      <c r="L112" s="96">
        <f t="shared" si="58"/>
        <v>20000</v>
      </c>
      <c r="M112" s="96">
        <v>0</v>
      </c>
      <c r="N112" s="96">
        <f>SUM(L112:M112)</f>
        <v>20000</v>
      </c>
      <c r="O112" s="96">
        <v>0</v>
      </c>
      <c r="P112" s="96">
        <f>SUM(N112:O112)</f>
        <v>20000</v>
      </c>
      <c r="Q112" s="96">
        <v>0</v>
      </c>
      <c r="R112" s="96">
        <f>SUM(P112:Q112)</f>
        <v>20000</v>
      </c>
      <c r="S112" s="96">
        <v>0</v>
      </c>
      <c r="T112" s="96">
        <f>SUM(R112:S112)</f>
        <v>20000</v>
      </c>
      <c r="U112" s="96">
        <v>0</v>
      </c>
      <c r="V112" s="96">
        <f>SUM(T112:U112)</f>
        <v>20000</v>
      </c>
      <c r="W112" s="96">
        <v>0</v>
      </c>
      <c r="X112" s="96">
        <f>SUM(V112:W112)</f>
        <v>20000</v>
      </c>
    </row>
    <row r="113" spans="1:24" s="7" customFormat="1" ht="45" customHeight="1">
      <c r="A113" s="40">
        <v>751</v>
      </c>
      <c r="B113" s="41"/>
      <c r="C113" s="42"/>
      <c r="D113" s="43" t="s">
        <v>220</v>
      </c>
      <c r="E113" s="44">
        <f>SUM(E114)</f>
        <v>3809</v>
      </c>
      <c r="F113" s="44">
        <f>SUM(F114)</f>
        <v>0</v>
      </c>
      <c r="G113" s="44">
        <f>SUM(G114)</f>
        <v>0</v>
      </c>
      <c r="H113" s="44">
        <f t="shared" si="68"/>
        <v>3809</v>
      </c>
      <c r="I113" s="44">
        <f aca="true" t="shared" si="70" ref="I113:U113">SUM(I114)</f>
        <v>0</v>
      </c>
      <c r="J113" s="44">
        <f t="shared" si="70"/>
        <v>3809</v>
      </c>
      <c r="K113" s="44">
        <f t="shared" si="70"/>
        <v>0</v>
      </c>
      <c r="L113" s="44">
        <f t="shared" si="70"/>
        <v>3809</v>
      </c>
      <c r="M113" s="44">
        <f t="shared" si="70"/>
        <v>0</v>
      </c>
      <c r="N113" s="44">
        <f t="shared" si="70"/>
        <v>3809</v>
      </c>
      <c r="O113" s="44">
        <f t="shared" si="70"/>
        <v>0</v>
      </c>
      <c r="P113" s="44">
        <f t="shared" si="70"/>
        <v>3809</v>
      </c>
      <c r="Q113" s="44">
        <f t="shared" si="70"/>
        <v>0</v>
      </c>
      <c r="R113" s="44">
        <f t="shared" si="70"/>
        <v>3809</v>
      </c>
      <c r="S113" s="44">
        <f t="shared" si="70"/>
        <v>0</v>
      </c>
      <c r="T113" s="44">
        <f t="shared" si="70"/>
        <v>3809</v>
      </c>
      <c r="U113" s="44">
        <f t="shared" si="70"/>
        <v>0</v>
      </c>
      <c r="V113" s="44">
        <f>SUM(V114,V118)</f>
        <v>3809</v>
      </c>
      <c r="W113" s="44">
        <f>SUM(W114,W118)</f>
        <v>6644</v>
      </c>
      <c r="X113" s="44">
        <f>SUM(X114,X118)</f>
        <v>10453</v>
      </c>
    </row>
    <row r="114" spans="1:24" s="27" customFormat="1" ht="32.25" customHeight="1">
      <c r="A114" s="102"/>
      <c r="B114" s="98">
        <v>75101</v>
      </c>
      <c r="C114" s="102"/>
      <c r="D114" s="45" t="s">
        <v>136</v>
      </c>
      <c r="E114" s="96">
        <f>SUM(E115:E117)</f>
        <v>3809</v>
      </c>
      <c r="F114" s="96">
        <f>SUM(F115:F117)</f>
        <v>0</v>
      </c>
      <c r="G114" s="96">
        <f>SUM(G115:G117)</f>
        <v>0</v>
      </c>
      <c r="H114" s="96">
        <f t="shared" si="68"/>
        <v>3809</v>
      </c>
      <c r="I114" s="96">
        <f aca="true" t="shared" si="71" ref="I114:N114">SUM(I115:I117)</f>
        <v>0</v>
      </c>
      <c r="J114" s="96">
        <f t="shared" si="71"/>
        <v>3809</v>
      </c>
      <c r="K114" s="96">
        <f t="shared" si="71"/>
        <v>0</v>
      </c>
      <c r="L114" s="96">
        <f t="shared" si="71"/>
        <v>3809</v>
      </c>
      <c r="M114" s="96">
        <f t="shared" si="71"/>
        <v>0</v>
      </c>
      <c r="N114" s="96">
        <f t="shared" si="71"/>
        <v>3809</v>
      </c>
      <c r="O114" s="96">
        <f aca="true" t="shared" si="72" ref="O114:T114">SUM(O115:O117)</f>
        <v>0</v>
      </c>
      <c r="P114" s="96">
        <f t="shared" si="72"/>
        <v>3809</v>
      </c>
      <c r="Q114" s="96">
        <f t="shared" si="72"/>
        <v>0</v>
      </c>
      <c r="R114" s="96">
        <f t="shared" si="72"/>
        <v>3809</v>
      </c>
      <c r="S114" s="96">
        <f t="shared" si="72"/>
        <v>0</v>
      </c>
      <c r="T114" s="96">
        <f t="shared" si="72"/>
        <v>3809</v>
      </c>
      <c r="U114" s="96">
        <f>SUM(U115:U117)</f>
        <v>0</v>
      </c>
      <c r="V114" s="96">
        <f>SUM(V115:V117)</f>
        <v>3809</v>
      </c>
      <c r="W114" s="96">
        <f>SUM(W115:W117)</f>
        <v>0</v>
      </c>
      <c r="X114" s="96">
        <f>SUM(X115:X117)</f>
        <v>3809</v>
      </c>
    </row>
    <row r="115" spans="1:24" s="27" customFormat="1" ht="21" customHeight="1">
      <c r="A115" s="102"/>
      <c r="B115" s="98"/>
      <c r="C115" s="81">
        <v>4210</v>
      </c>
      <c r="D115" s="45" t="s">
        <v>214</v>
      </c>
      <c r="E115" s="96">
        <v>1009</v>
      </c>
      <c r="F115" s="96"/>
      <c r="G115" s="96"/>
      <c r="H115" s="96">
        <f t="shared" si="68"/>
        <v>1009</v>
      </c>
      <c r="I115" s="96"/>
      <c r="J115" s="96">
        <f t="shared" si="57"/>
        <v>1009</v>
      </c>
      <c r="K115" s="96">
        <v>0</v>
      </c>
      <c r="L115" s="96">
        <f t="shared" si="58"/>
        <v>1009</v>
      </c>
      <c r="M115" s="96">
        <v>0</v>
      </c>
      <c r="N115" s="96">
        <f>SUM(L115:M115)</f>
        <v>1009</v>
      </c>
      <c r="O115" s="96">
        <v>0</v>
      </c>
      <c r="P115" s="96">
        <f>SUM(N115:O115)</f>
        <v>1009</v>
      </c>
      <c r="Q115" s="96">
        <v>800</v>
      </c>
      <c r="R115" s="96">
        <f>SUM(P115:Q115)</f>
        <v>1809</v>
      </c>
      <c r="S115" s="96">
        <v>0</v>
      </c>
      <c r="T115" s="96">
        <f>SUM(R115:S115)</f>
        <v>1809</v>
      </c>
      <c r="U115" s="96">
        <v>0</v>
      </c>
      <c r="V115" s="96">
        <f>SUM(T115:U115)</f>
        <v>1809</v>
      </c>
      <c r="W115" s="96">
        <v>0</v>
      </c>
      <c r="X115" s="96">
        <f>SUM(V115:W115)</f>
        <v>1809</v>
      </c>
    </row>
    <row r="116" spans="1:24" s="27" customFormat="1" ht="25.5" customHeight="1">
      <c r="A116" s="102"/>
      <c r="B116" s="98"/>
      <c r="C116" s="81">
        <v>4700</v>
      </c>
      <c r="D116" s="45" t="s">
        <v>412</v>
      </c>
      <c r="E116" s="96">
        <v>1600</v>
      </c>
      <c r="F116" s="96"/>
      <c r="G116" s="96"/>
      <c r="H116" s="96">
        <f t="shared" si="68"/>
        <v>1600</v>
      </c>
      <c r="I116" s="96"/>
      <c r="J116" s="96">
        <f t="shared" si="57"/>
        <v>1600</v>
      </c>
      <c r="K116" s="96">
        <v>0</v>
      </c>
      <c r="L116" s="96">
        <f t="shared" si="58"/>
        <v>1600</v>
      </c>
      <c r="M116" s="96">
        <v>0</v>
      </c>
      <c r="N116" s="96">
        <f>SUM(L116:M116)</f>
        <v>1600</v>
      </c>
      <c r="O116" s="96">
        <v>0</v>
      </c>
      <c r="P116" s="96">
        <f>SUM(N116:O116)</f>
        <v>1600</v>
      </c>
      <c r="Q116" s="96">
        <v>-800</v>
      </c>
      <c r="R116" s="96">
        <f>SUM(P116:Q116)</f>
        <v>800</v>
      </c>
      <c r="S116" s="96">
        <v>0</v>
      </c>
      <c r="T116" s="96">
        <f>SUM(R116:S116)</f>
        <v>800</v>
      </c>
      <c r="U116" s="96">
        <v>0</v>
      </c>
      <c r="V116" s="96">
        <f>SUM(T116:U116)</f>
        <v>800</v>
      </c>
      <c r="W116" s="96">
        <v>0</v>
      </c>
      <c r="X116" s="96">
        <f>SUM(V116:W116)</f>
        <v>800</v>
      </c>
    </row>
    <row r="117" spans="1:24" s="27" customFormat="1" ht="24">
      <c r="A117" s="102"/>
      <c r="B117" s="98"/>
      <c r="C117" s="81">
        <v>4740</v>
      </c>
      <c r="D117" s="45" t="s">
        <v>411</v>
      </c>
      <c r="E117" s="96">
        <v>1200</v>
      </c>
      <c r="F117" s="96"/>
      <c r="G117" s="96"/>
      <c r="H117" s="96">
        <f t="shared" si="68"/>
        <v>1200</v>
      </c>
      <c r="I117" s="96"/>
      <c r="J117" s="96">
        <f t="shared" si="57"/>
        <v>1200</v>
      </c>
      <c r="K117" s="96">
        <v>0</v>
      </c>
      <c r="L117" s="96">
        <f t="shared" si="58"/>
        <v>1200</v>
      </c>
      <c r="M117" s="96">
        <v>0</v>
      </c>
      <c r="N117" s="96">
        <f>SUM(L117:M117)</f>
        <v>1200</v>
      </c>
      <c r="O117" s="96">
        <v>0</v>
      </c>
      <c r="P117" s="96">
        <f>SUM(N117:O117)</f>
        <v>1200</v>
      </c>
      <c r="Q117" s="96">
        <v>0</v>
      </c>
      <c r="R117" s="96">
        <f>SUM(P117:Q117)</f>
        <v>1200</v>
      </c>
      <c r="S117" s="96">
        <v>0</v>
      </c>
      <c r="T117" s="96">
        <f>SUM(R117:S117)</f>
        <v>1200</v>
      </c>
      <c r="U117" s="96">
        <v>0</v>
      </c>
      <c r="V117" s="96">
        <f>SUM(T117:U117)</f>
        <v>1200</v>
      </c>
      <c r="W117" s="96">
        <v>0</v>
      </c>
      <c r="X117" s="96">
        <f>SUM(V117:W117)</f>
        <v>1200</v>
      </c>
    </row>
    <row r="118" spans="1:24" s="27" customFormat="1" ht="21" customHeight="1">
      <c r="A118" s="102"/>
      <c r="B118" s="98">
        <v>75108</v>
      </c>
      <c r="C118" s="81"/>
      <c r="D118" s="45" t="s">
        <v>440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>
        <f>SUM(V119:V120)</f>
        <v>0</v>
      </c>
      <c r="W118" s="96">
        <f>SUM(W119:W120)</f>
        <v>6644</v>
      </c>
      <c r="X118" s="96">
        <f>SUM(X119:X120)</f>
        <v>6644</v>
      </c>
    </row>
    <row r="119" spans="1:24" s="27" customFormat="1" ht="22.5" customHeight="1">
      <c r="A119" s="102"/>
      <c r="B119" s="98"/>
      <c r="C119" s="81">
        <v>4210</v>
      </c>
      <c r="D119" s="45" t="s">
        <v>214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>
        <v>0</v>
      </c>
      <c r="W119" s="96">
        <v>6000</v>
      </c>
      <c r="X119" s="96">
        <f>SUM(V119:W119)</f>
        <v>6000</v>
      </c>
    </row>
    <row r="120" spans="1:24" s="27" customFormat="1" ht="23.25" customHeight="1">
      <c r="A120" s="102"/>
      <c r="B120" s="98"/>
      <c r="C120" s="81">
        <v>4300</v>
      </c>
      <c r="D120" s="45" t="s">
        <v>201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>
        <v>0</v>
      </c>
      <c r="W120" s="96">
        <v>644</v>
      </c>
      <c r="X120" s="96">
        <f>SUM(V120:W120)</f>
        <v>644</v>
      </c>
    </row>
    <row r="121" spans="1:24" s="7" customFormat="1" ht="24.75" customHeight="1">
      <c r="A121" s="40" t="s">
        <v>137</v>
      </c>
      <c r="B121" s="41"/>
      <c r="C121" s="42"/>
      <c r="D121" s="43" t="s">
        <v>221</v>
      </c>
      <c r="E121" s="44">
        <f>SUM(E125,E138,E155,)</f>
        <v>472000</v>
      </c>
      <c r="F121" s="44">
        <f>SUM(F125,F138,F155,)</f>
        <v>20000</v>
      </c>
      <c r="G121" s="44">
        <f>SUM(G125,G138,G155,)</f>
        <v>0</v>
      </c>
      <c r="H121" s="44">
        <f t="shared" si="68"/>
        <v>492000</v>
      </c>
      <c r="I121" s="44">
        <f aca="true" t="shared" si="73" ref="I121:N121">SUM(I125,I138,I155,)</f>
        <v>0</v>
      </c>
      <c r="J121" s="44">
        <f t="shared" si="73"/>
        <v>492000</v>
      </c>
      <c r="K121" s="44">
        <f t="shared" si="73"/>
        <v>900</v>
      </c>
      <c r="L121" s="44">
        <f t="shared" si="73"/>
        <v>492900</v>
      </c>
      <c r="M121" s="44">
        <f t="shared" si="73"/>
        <v>0</v>
      </c>
      <c r="N121" s="44">
        <f t="shared" si="73"/>
        <v>492900</v>
      </c>
      <c r="O121" s="44">
        <f>SUM(O125,O138,O155,)</f>
        <v>0</v>
      </c>
      <c r="P121" s="44">
        <f aca="true" t="shared" si="74" ref="P121:V121">SUM(P125,P138,P155,P122)</f>
        <v>492900</v>
      </c>
      <c r="Q121" s="44">
        <f t="shared" si="74"/>
        <v>25000</v>
      </c>
      <c r="R121" s="44">
        <f t="shared" si="74"/>
        <v>517900</v>
      </c>
      <c r="S121" s="44">
        <f t="shared" si="74"/>
        <v>0</v>
      </c>
      <c r="T121" s="44">
        <f t="shared" si="74"/>
        <v>517900</v>
      </c>
      <c r="U121" s="44">
        <f t="shared" si="74"/>
        <v>0</v>
      </c>
      <c r="V121" s="44">
        <f t="shared" si="74"/>
        <v>517900</v>
      </c>
      <c r="W121" s="44">
        <f>SUM(W125,W138,W155,W122)</f>
        <v>0</v>
      </c>
      <c r="X121" s="44">
        <f>SUM(X125,X138,X155,X122)</f>
        <v>517900</v>
      </c>
    </row>
    <row r="122" spans="1:24" s="27" customFormat="1" ht="24.75" customHeight="1">
      <c r="A122" s="81"/>
      <c r="B122" s="103">
        <v>75411</v>
      </c>
      <c r="C122" s="102"/>
      <c r="D122" s="45" t="s">
        <v>83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>
        <f aca="true" t="shared" si="75" ref="P122:U122">SUM(P123)</f>
        <v>0</v>
      </c>
      <c r="Q122" s="96">
        <f t="shared" si="75"/>
        <v>25000</v>
      </c>
      <c r="R122" s="96">
        <f t="shared" si="75"/>
        <v>25000</v>
      </c>
      <c r="S122" s="96">
        <f t="shared" si="75"/>
        <v>0</v>
      </c>
      <c r="T122" s="96">
        <f t="shared" si="75"/>
        <v>25000</v>
      </c>
      <c r="U122" s="96">
        <f t="shared" si="75"/>
        <v>0</v>
      </c>
      <c r="V122" s="96">
        <f>SUM(V123:V124)</f>
        <v>25000</v>
      </c>
      <c r="W122" s="96">
        <f>SUM(W123:W124)</f>
        <v>0</v>
      </c>
      <c r="X122" s="96">
        <f>SUM(X123:X124)</f>
        <v>25000</v>
      </c>
    </row>
    <row r="123" spans="1:24" s="27" customFormat="1" ht="48">
      <c r="A123" s="81"/>
      <c r="B123" s="103"/>
      <c r="C123" s="102">
        <v>6220</v>
      </c>
      <c r="D123" s="45" t="s">
        <v>88</v>
      </c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>
        <v>0</v>
      </c>
      <c r="Q123" s="286">
        <v>25000</v>
      </c>
      <c r="R123" s="96">
        <f>SUM(P123:Q123)</f>
        <v>25000</v>
      </c>
      <c r="S123" s="269">
        <v>0</v>
      </c>
      <c r="T123" s="96">
        <f>SUM(R123:S123)</f>
        <v>25000</v>
      </c>
      <c r="U123" s="269">
        <v>0</v>
      </c>
      <c r="V123" s="96">
        <f>SUM(T123:U123)</f>
        <v>25000</v>
      </c>
      <c r="W123" s="269">
        <v>-25000</v>
      </c>
      <c r="X123" s="96">
        <f>SUM(V123:W123)</f>
        <v>0</v>
      </c>
    </row>
    <row r="124" spans="1:24" s="27" customFormat="1" ht="48">
      <c r="A124" s="81"/>
      <c r="B124" s="103"/>
      <c r="C124" s="102">
        <v>6620</v>
      </c>
      <c r="D124" s="45" t="s">
        <v>664</v>
      </c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286"/>
      <c r="R124" s="96"/>
      <c r="S124" s="269"/>
      <c r="T124" s="96"/>
      <c r="U124" s="269"/>
      <c r="V124" s="96">
        <v>0</v>
      </c>
      <c r="W124" s="269">
        <v>25000</v>
      </c>
      <c r="X124" s="96">
        <f>SUM(V124:W124)</f>
        <v>25000</v>
      </c>
    </row>
    <row r="125" spans="1:24" s="27" customFormat="1" ht="21.75" customHeight="1">
      <c r="A125" s="102"/>
      <c r="B125" s="98" t="s">
        <v>222</v>
      </c>
      <c r="C125" s="102"/>
      <c r="D125" s="45" t="s">
        <v>223</v>
      </c>
      <c r="E125" s="96">
        <f>SUM(E126:E137)</f>
        <v>202000</v>
      </c>
      <c r="F125" s="96">
        <f>SUM(F126:F137)</f>
        <v>0</v>
      </c>
      <c r="G125" s="96">
        <f>SUM(G126:G137)</f>
        <v>0</v>
      </c>
      <c r="H125" s="96">
        <f t="shared" si="68"/>
        <v>202000</v>
      </c>
      <c r="I125" s="96">
        <f aca="true" t="shared" si="76" ref="I125:N125">SUM(I126:I137)</f>
        <v>0</v>
      </c>
      <c r="J125" s="96">
        <f t="shared" si="76"/>
        <v>202000</v>
      </c>
      <c r="K125" s="96">
        <f t="shared" si="76"/>
        <v>900</v>
      </c>
      <c r="L125" s="96">
        <f t="shared" si="76"/>
        <v>202900</v>
      </c>
      <c r="M125" s="96">
        <f t="shared" si="76"/>
        <v>0</v>
      </c>
      <c r="N125" s="96">
        <f t="shared" si="76"/>
        <v>202900</v>
      </c>
      <c r="O125" s="96">
        <f aca="true" t="shared" si="77" ref="O125:T125">SUM(O126:O137)</f>
        <v>0</v>
      </c>
      <c r="P125" s="96">
        <f t="shared" si="77"/>
        <v>202900</v>
      </c>
      <c r="Q125" s="96">
        <f t="shared" si="77"/>
        <v>0</v>
      </c>
      <c r="R125" s="96">
        <f t="shared" si="77"/>
        <v>202900</v>
      </c>
      <c r="S125" s="96">
        <f t="shared" si="77"/>
        <v>0</v>
      </c>
      <c r="T125" s="96">
        <f t="shared" si="77"/>
        <v>202900</v>
      </c>
      <c r="U125" s="96">
        <f>SUM(U126:U137)</f>
        <v>0</v>
      </c>
      <c r="V125" s="96">
        <f>SUM(V126:V137)</f>
        <v>202900</v>
      </c>
      <c r="W125" s="96">
        <f>SUM(W126:W137)</f>
        <v>0</v>
      </c>
      <c r="X125" s="96">
        <f>SUM(X126:X137)</f>
        <v>202900</v>
      </c>
    </row>
    <row r="126" spans="1:24" s="27" customFormat="1" ht="21" customHeight="1">
      <c r="A126" s="102"/>
      <c r="B126" s="98"/>
      <c r="C126" s="102">
        <v>3020</v>
      </c>
      <c r="D126" s="45" t="s">
        <v>335</v>
      </c>
      <c r="E126" s="96">
        <v>18800</v>
      </c>
      <c r="F126" s="96"/>
      <c r="G126" s="96"/>
      <c r="H126" s="96">
        <f t="shared" si="68"/>
        <v>18800</v>
      </c>
      <c r="I126" s="96"/>
      <c r="J126" s="96">
        <f t="shared" si="57"/>
        <v>18800</v>
      </c>
      <c r="K126" s="96">
        <v>0</v>
      </c>
      <c r="L126" s="96">
        <f t="shared" si="58"/>
        <v>18800</v>
      </c>
      <c r="M126" s="96">
        <v>0</v>
      </c>
      <c r="N126" s="96">
        <f aca="true" t="shared" si="78" ref="N126:N137">SUM(L126:M126)</f>
        <v>18800</v>
      </c>
      <c r="O126" s="96">
        <v>0</v>
      </c>
      <c r="P126" s="96">
        <f aca="true" t="shared" si="79" ref="P126:P137">SUM(N126:O126)</f>
        <v>18800</v>
      </c>
      <c r="Q126" s="96">
        <v>0</v>
      </c>
      <c r="R126" s="96">
        <f aca="true" t="shared" si="80" ref="R126:R137">SUM(P126:Q126)</f>
        <v>18800</v>
      </c>
      <c r="S126" s="96">
        <v>0</v>
      </c>
      <c r="T126" s="96">
        <f aca="true" t="shared" si="81" ref="T126:T137">SUM(R126:S126)</f>
        <v>18800</v>
      </c>
      <c r="U126" s="96">
        <v>0</v>
      </c>
      <c r="V126" s="96">
        <f aca="true" t="shared" si="82" ref="V126:V137">SUM(T126:U126)</f>
        <v>18800</v>
      </c>
      <c r="W126" s="96">
        <v>0</v>
      </c>
      <c r="X126" s="96">
        <f aca="true" t="shared" si="83" ref="X126:X137">SUM(V126:W126)</f>
        <v>18800</v>
      </c>
    </row>
    <row r="127" spans="1:26" s="27" customFormat="1" ht="21" customHeight="1">
      <c r="A127" s="102"/>
      <c r="B127" s="98"/>
      <c r="C127" s="102">
        <v>4110</v>
      </c>
      <c r="D127" s="45" t="s">
        <v>208</v>
      </c>
      <c r="E127" s="96">
        <v>4200</v>
      </c>
      <c r="F127" s="96"/>
      <c r="G127" s="96"/>
      <c r="H127" s="96">
        <f t="shared" si="68"/>
        <v>4200</v>
      </c>
      <c r="I127" s="96"/>
      <c r="J127" s="96">
        <f t="shared" si="57"/>
        <v>4200</v>
      </c>
      <c r="K127" s="96">
        <v>0</v>
      </c>
      <c r="L127" s="96">
        <f t="shared" si="58"/>
        <v>4200</v>
      </c>
      <c r="M127" s="96">
        <v>0</v>
      </c>
      <c r="N127" s="96">
        <f t="shared" si="78"/>
        <v>4200</v>
      </c>
      <c r="O127" s="96">
        <v>0</v>
      </c>
      <c r="P127" s="96">
        <f t="shared" si="79"/>
        <v>4200</v>
      </c>
      <c r="Q127" s="96">
        <v>0</v>
      </c>
      <c r="R127" s="96">
        <f t="shared" si="80"/>
        <v>4200</v>
      </c>
      <c r="S127" s="96">
        <v>0</v>
      </c>
      <c r="T127" s="96">
        <f t="shared" si="81"/>
        <v>4200</v>
      </c>
      <c r="U127" s="96">
        <v>0</v>
      </c>
      <c r="V127" s="96">
        <f t="shared" si="82"/>
        <v>4200</v>
      </c>
      <c r="W127" s="96">
        <v>-2300</v>
      </c>
      <c r="X127" s="96">
        <f t="shared" si="83"/>
        <v>1900</v>
      </c>
      <c r="Y127" s="150"/>
      <c r="Z127" s="150"/>
    </row>
    <row r="128" spans="1:26" s="27" customFormat="1" ht="21" customHeight="1">
      <c r="A128" s="102"/>
      <c r="B128" s="98"/>
      <c r="C128" s="102">
        <v>4120</v>
      </c>
      <c r="D128" s="45" t="s">
        <v>393</v>
      </c>
      <c r="E128" s="96">
        <v>600</v>
      </c>
      <c r="F128" s="96"/>
      <c r="G128" s="96"/>
      <c r="H128" s="96">
        <f t="shared" si="68"/>
        <v>600</v>
      </c>
      <c r="I128" s="96"/>
      <c r="J128" s="96">
        <f t="shared" si="57"/>
        <v>600</v>
      </c>
      <c r="K128" s="96">
        <v>0</v>
      </c>
      <c r="L128" s="96">
        <f t="shared" si="58"/>
        <v>600</v>
      </c>
      <c r="M128" s="96">
        <v>0</v>
      </c>
      <c r="N128" s="96">
        <f t="shared" si="78"/>
        <v>600</v>
      </c>
      <c r="O128" s="96">
        <v>0</v>
      </c>
      <c r="P128" s="96">
        <f t="shared" si="79"/>
        <v>600</v>
      </c>
      <c r="Q128" s="96">
        <v>0</v>
      </c>
      <c r="R128" s="96">
        <f t="shared" si="80"/>
        <v>600</v>
      </c>
      <c r="S128" s="96">
        <v>0</v>
      </c>
      <c r="T128" s="96">
        <f t="shared" si="81"/>
        <v>600</v>
      </c>
      <c r="U128" s="96">
        <v>0</v>
      </c>
      <c r="V128" s="96">
        <f t="shared" si="82"/>
        <v>600</v>
      </c>
      <c r="W128" s="96">
        <v>-600</v>
      </c>
      <c r="X128" s="96">
        <f t="shared" si="83"/>
        <v>0</v>
      </c>
      <c r="Y128" s="150"/>
      <c r="Z128" s="150"/>
    </row>
    <row r="129" spans="1:26" s="27" customFormat="1" ht="21" customHeight="1">
      <c r="A129" s="102"/>
      <c r="B129" s="98"/>
      <c r="C129" s="81">
        <v>4170</v>
      </c>
      <c r="D129" s="45" t="s">
        <v>339</v>
      </c>
      <c r="E129" s="96">
        <v>24000</v>
      </c>
      <c r="F129" s="96"/>
      <c r="G129" s="96"/>
      <c r="H129" s="96">
        <f t="shared" si="68"/>
        <v>24000</v>
      </c>
      <c r="I129" s="96"/>
      <c r="J129" s="96">
        <f t="shared" si="57"/>
        <v>24000</v>
      </c>
      <c r="K129" s="96">
        <v>0</v>
      </c>
      <c r="L129" s="96">
        <f t="shared" si="58"/>
        <v>24000</v>
      </c>
      <c r="M129" s="96">
        <v>0</v>
      </c>
      <c r="N129" s="96">
        <f t="shared" si="78"/>
        <v>24000</v>
      </c>
      <c r="O129" s="96">
        <v>0</v>
      </c>
      <c r="P129" s="96">
        <f t="shared" si="79"/>
        <v>24000</v>
      </c>
      <c r="Q129" s="96">
        <v>0</v>
      </c>
      <c r="R129" s="96">
        <f t="shared" si="80"/>
        <v>24000</v>
      </c>
      <c r="S129" s="96">
        <v>0</v>
      </c>
      <c r="T129" s="96">
        <f t="shared" si="81"/>
        <v>24000</v>
      </c>
      <c r="U129" s="96">
        <v>0</v>
      </c>
      <c r="V129" s="96">
        <f t="shared" si="82"/>
        <v>24000</v>
      </c>
      <c r="W129" s="96">
        <v>-1800</v>
      </c>
      <c r="X129" s="96">
        <f t="shared" si="83"/>
        <v>22200</v>
      </c>
      <c r="Y129" s="150"/>
      <c r="Z129" s="150"/>
    </row>
    <row r="130" spans="1:24" s="27" customFormat="1" ht="21" customHeight="1">
      <c r="A130" s="102"/>
      <c r="B130" s="98"/>
      <c r="C130" s="81">
        <v>4210</v>
      </c>
      <c r="D130" s="45" t="s">
        <v>214</v>
      </c>
      <c r="E130" s="96">
        <f>23730+5000</f>
        <v>28730</v>
      </c>
      <c r="F130" s="96"/>
      <c r="G130" s="96"/>
      <c r="H130" s="96">
        <f t="shared" si="68"/>
        <v>28730</v>
      </c>
      <c r="I130" s="96"/>
      <c r="J130" s="96">
        <f t="shared" si="57"/>
        <v>28730</v>
      </c>
      <c r="K130" s="96">
        <v>0</v>
      </c>
      <c r="L130" s="96">
        <f t="shared" si="58"/>
        <v>28730</v>
      </c>
      <c r="M130" s="96">
        <v>0</v>
      </c>
      <c r="N130" s="96">
        <f t="shared" si="78"/>
        <v>28730</v>
      </c>
      <c r="O130" s="96">
        <v>0</v>
      </c>
      <c r="P130" s="96">
        <f t="shared" si="79"/>
        <v>28730</v>
      </c>
      <c r="Q130" s="96">
        <v>1000</v>
      </c>
      <c r="R130" s="96">
        <f t="shared" si="80"/>
        <v>29730</v>
      </c>
      <c r="S130" s="96">
        <v>0</v>
      </c>
      <c r="T130" s="96">
        <f t="shared" si="81"/>
        <v>29730</v>
      </c>
      <c r="U130" s="96">
        <v>0</v>
      </c>
      <c r="V130" s="96">
        <f t="shared" si="82"/>
        <v>29730</v>
      </c>
      <c r="W130" s="96">
        <v>4700</v>
      </c>
      <c r="X130" s="96">
        <f t="shared" si="83"/>
        <v>34430</v>
      </c>
    </row>
    <row r="131" spans="1:24" s="27" customFormat="1" ht="21" customHeight="1">
      <c r="A131" s="102"/>
      <c r="B131" s="98"/>
      <c r="C131" s="81">
        <v>4260</v>
      </c>
      <c r="D131" s="45" t="s">
        <v>217</v>
      </c>
      <c r="E131" s="96">
        <v>10000</v>
      </c>
      <c r="F131" s="96"/>
      <c r="G131" s="96"/>
      <c r="H131" s="96">
        <f t="shared" si="68"/>
        <v>10000</v>
      </c>
      <c r="I131" s="96"/>
      <c r="J131" s="96">
        <f t="shared" si="57"/>
        <v>10000</v>
      </c>
      <c r="K131" s="96">
        <v>0</v>
      </c>
      <c r="L131" s="96">
        <f t="shared" si="58"/>
        <v>10000</v>
      </c>
      <c r="M131" s="96">
        <v>0</v>
      </c>
      <c r="N131" s="96">
        <f t="shared" si="78"/>
        <v>10000</v>
      </c>
      <c r="O131" s="96">
        <v>0</v>
      </c>
      <c r="P131" s="96">
        <f t="shared" si="79"/>
        <v>10000</v>
      </c>
      <c r="Q131" s="96">
        <v>0</v>
      </c>
      <c r="R131" s="96">
        <f t="shared" si="80"/>
        <v>10000</v>
      </c>
      <c r="S131" s="96">
        <v>0</v>
      </c>
      <c r="T131" s="96">
        <f t="shared" si="81"/>
        <v>10000</v>
      </c>
      <c r="U131" s="96">
        <v>0</v>
      </c>
      <c r="V131" s="96">
        <f t="shared" si="82"/>
        <v>10000</v>
      </c>
      <c r="W131" s="96">
        <v>0</v>
      </c>
      <c r="X131" s="96">
        <f t="shared" si="83"/>
        <v>10000</v>
      </c>
    </row>
    <row r="132" spans="1:24" s="27" customFormat="1" ht="21" customHeight="1">
      <c r="A132" s="102"/>
      <c r="B132" s="98"/>
      <c r="C132" s="81">
        <v>4270</v>
      </c>
      <c r="D132" s="45" t="s">
        <v>200</v>
      </c>
      <c r="E132" s="96">
        <v>14000</v>
      </c>
      <c r="F132" s="96"/>
      <c r="G132" s="96"/>
      <c r="H132" s="96">
        <f t="shared" si="68"/>
        <v>14000</v>
      </c>
      <c r="I132" s="96"/>
      <c r="J132" s="96">
        <f t="shared" si="57"/>
        <v>14000</v>
      </c>
      <c r="K132" s="96">
        <v>0</v>
      </c>
      <c r="L132" s="96">
        <f t="shared" si="58"/>
        <v>14000</v>
      </c>
      <c r="M132" s="96">
        <v>0</v>
      </c>
      <c r="N132" s="96">
        <f t="shared" si="78"/>
        <v>14000</v>
      </c>
      <c r="O132" s="96">
        <v>0</v>
      </c>
      <c r="P132" s="96">
        <f t="shared" si="79"/>
        <v>14000</v>
      </c>
      <c r="Q132" s="96">
        <v>0</v>
      </c>
      <c r="R132" s="96">
        <f t="shared" si="80"/>
        <v>14000</v>
      </c>
      <c r="S132" s="96">
        <v>0</v>
      </c>
      <c r="T132" s="96">
        <f t="shared" si="81"/>
        <v>14000</v>
      </c>
      <c r="U132" s="96">
        <v>0</v>
      </c>
      <c r="V132" s="96">
        <f t="shared" si="82"/>
        <v>14000</v>
      </c>
      <c r="W132" s="96">
        <v>0</v>
      </c>
      <c r="X132" s="96">
        <f t="shared" si="83"/>
        <v>14000</v>
      </c>
    </row>
    <row r="133" spans="1:24" s="27" customFormat="1" ht="21" customHeight="1">
      <c r="A133" s="102"/>
      <c r="B133" s="98"/>
      <c r="C133" s="81">
        <v>4280</v>
      </c>
      <c r="D133" s="45" t="s">
        <v>392</v>
      </c>
      <c r="E133" s="96">
        <v>3600</v>
      </c>
      <c r="F133" s="96"/>
      <c r="G133" s="96"/>
      <c r="H133" s="96">
        <f t="shared" si="68"/>
        <v>3600</v>
      </c>
      <c r="I133" s="96"/>
      <c r="J133" s="96">
        <f t="shared" si="57"/>
        <v>3600</v>
      </c>
      <c r="K133" s="96">
        <v>0</v>
      </c>
      <c r="L133" s="96">
        <f t="shared" si="58"/>
        <v>3600</v>
      </c>
      <c r="M133" s="96">
        <v>0</v>
      </c>
      <c r="N133" s="96">
        <f t="shared" si="78"/>
        <v>3600</v>
      </c>
      <c r="O133" s="96">
        <v>0</v>
      </c>
      <c r="P133" s="96">
        <f t="shared" si="79"/>
        <v>3600</v>
      </c>
      <c r="Q133" s="96">
        <v>0</v>
      </c>
      <c r="R133" s="96">
        <f t="shared" si="80"/>
        <v>3600</v>
      </c>
      <c r="S133" s="96">
        <v>0</v>
      </c>
      <c r="T133" s="96">
        <f t="shared" si="81"/>
        <v>3600</v>
      </c>
      <c r="U133" s="96">
        <v>0</v>
      </c>
      <c r="V133" s="96">
        <f t="shared" si="82"/>
        <v>3600</v>
      </c>
      <c r="W133" s="96">
        <v>0</v>
      </c>
      <c r="X133" s="96">
        <f t="shared" si="83"/>
        <v>3600</v>
      </c>
    </row>
    <row r="134" spans="1:24" s="27" customFormat="1" ht="21" customHeight="1">
      <c r="A134" s="102"/>
      <c r="B134" s="98"/>
      <c r="C134" s="81">
        <v>4300</v>
      </c>
      <c r="D134" s="45" t="s">
        <v>201</v>
      </c>
      <c r="E134" s="96">
        <v>16500</v>
      </c>
      <c r="F134" s="96"/>
      <c r="G134" s="96"/>
      <c r="H134" s="96">
        <f t="shared" si="68"/>
        <v>16500</v>
      </c>
      <c r="I134" s="96"/>
      <c r="J134" s="96">
        <f t="shared" si="57"/>
        <v>16500</v>
      </c>
      <c r="K134" s="96">
        <v>900</v>
      </c>
      <c r="L134" s="96">
        <f t="shared" si="58"/>
        <v>17400</v>
      </c>
      <c r="M134" s="96">
        <v>0</v>
      </c>
      <c r="N134" s="96">
        <f t="shared" si="78"/>
        <v>17400</v>
      </c>
      <c r="O134" s="96">
        <v>0</v>
      </c>
      <c r="P134" s="96">
        <f t="shared" si="79"/>
        <v>17400</v>
      </c>
      <c r="Q134" s="96">
        <v>0</v>
      </c>
      <c r="R134" s="96">
        <f t="shared" si="80"/>
        <v>17400</v>
      </c>
      <c r="S134" s="96">
        <v>0</v>
      </c>
      <c r="T134" s="96">
        <f t="shared" si="81"/>
        <v>17400</v>
      </c>
      <c r="U134" s="96">
        <v>0</v>
      </c>
      <c r="V134" s="96">
        <f t="shared" si="82"/>
        <v>17400</v>
      </c>
      <c r="W134" s="96">
        <v>0</v>
      </c>
      <c r="X134" s="96">
        <f t="shared" si="83"/>
        <v>17400</v>
      </c>
    </row>
    <row r="135" spans="1:24" s="27" customFormat="1" ht="21" customHeight="1">
      <c r="A135" s="102"/>
      <c r="B135" s="98"/>
      <c r="C135" s="81">
        <v>4410</v>
      </c>
      <c r="D135" s="45" t="s">
        <v>212</v>
      </c>
      <c r="E135" s="96">
        <v>3400</v>
      </c>
      <c r="F135" s="96"/>
      <c r="G135" s="96"/>
      <c r="H135" s="96">
        <f t="shared" si="68"/>
        <v>3400</v>
      </c>
      <c r="I135" s="96"/>
      <c r="J135" s="96">
        <f t="shared" si="57"/>
        <v>3400</v>
      </c>
      <c r="K135" s="96">
        <v>0</v>
      </c>
      <c r="L135" s="96">
        <f t="shared" si="58"/>
        <v>3400</v>
      </c>
      <c r="M135" s="96">
        <v>0</v>
      </c>
      <c r="N135" s="96">
        <f t="shared" si="78"/>
        <v>3400</v>
      </c>
      <c r="O135" s="96">
        <v>0</v>
      </c>
      <c r="P135" s="96">
        <f t="shared" si="79"/>
        <v>3400</v>
      </c>
      <c r="Q135" s="96">
        <v>0</v>
      </c>
      <c r="R135" s="96">
        <f t="shared" si="80"/>
        <v>3400</v>
      </c>
      <c r="S135" s="96">
        <v>0</v>
      </c>
      <c r="T135" s="96">
        <f t="shared" si="81"/>
        <v>3400</v>
      </c>
      <c r="U135" s="96">
        <v>0</v>
      </c>
      <c r="V135" s="96">
        <f t="shared" si="82"/>
        <v>3400</v>
      </c>
      <c r="W135" s="96">
        <v>0</v>
      </c>
      <c r="X135" s="96">
        <f t="shared" si="83"/>
        <v>3400</v>
      </c>
    </row>
    <row r="136" spans="1:24" s="27" customFormat="1" ht="21" customHeight="1">
      <c r="A136" s="102"/>
      <c r="B136" s="98"/>
      <c r="C136" s="81">
        <v>4430</v>
      </c>
      <c r="D136" s="45" t="s">
        <v>216</v>
      </c>
      <c r="E136" s="96">
        <v>10000</v>
      </c>
      <c r="F136" s="96"/>
      <c r="G136" s="96"/>
      <c r="H136" s="96">
        <f t="shared" si="68"/>
        <v>10000</v>
      </c>
      <c r="I136" s="96"/>
      <c r="J136" s="96">
        <f t="shared" si="57"/>
        <v>10000</v>
      </c>
      <c r="K136" s="96">
        <v>0</v>
      </c>
      <c r="L136" s="96">
        <f t="shared" si="58"/>
        <v>10000</v>
      </c>
      <c r="M136" s="96">
        <v>0</v>
      </c>
      <c r="N136" s="96">
        <f t="shared" si="78"/>
        <v>10000</v>
      </c>
      <c r="O136" s="96">
        <v>0</v>
      </c>
      <c r="P136" s="96">
        <f t="shared" si="79"/>
        <v>10000</v>
      </c>
      <c r="Q136" s="96">
        <v>-1000</v>
      </c>
      <c r="R136" s="96">
        <f t="shared" si="80"/>
        <v>9000</v>
      </c>
      <c r="S136" s="96">
        <v>0</v>
      </c>
      <c r="T136" s="96">
        <f t="shared" si="81"/>
        <v>9000</v>
      </c>
      <c r="U136" s="96">
        <v>0</v>
      </c>
      <c r="V136" s="96">
        <f t="shared" si="82"/>
        <v>9000</v>
      </c>
      <c r="W136" s="96">
        <v>0</v>
      </c>
      <c r="X136" s="96">
        <f t="shared" si="83"/>
        <v>9000</v>
      </c>
    </row>
    <row r="137" spans="1:24" s="27" customFormat="1" ht="21" customHeight="1">
      <c r="A137" s="102"/>
      <c r="B137" s="98"/>
      <c r="C137" s="81">
        <v>6050</v>
      </c>
      <c r="D137" s="45" t="s">
        <v>195</v>
      </c>
      <c r="E137" s="96">
        <v>68170</v>
      </c>
      <c r="F137" s="96"/>
      <c r="G137" s="96"/>
      <c r="H137" s="96">
        <f t="shared" si="68"/>
        <v>68170</v>
      </c>
      <c r="I137" s="96"/>
      <c r="J137" s="96">
        <f t="shared" si="57"/>
        <v>68170</v>
      </c>
      <c r="K137" s="96">
        <v>0</v>
      </c>
      <c r="L137" s="96">
        <f t="shared" si="58"/>
        <v>68170</v>
      </c>
      <c r="M137" s="96">
        <v>0</v>
      </c>
      <c r="N137" s="96">
        <f t="shared" si="78"/>
        <v>68170</v>
      </c>
      <c r="O137" s="96">
        <v>0</v>
      </c>
      <c r="P137" s="96">
        <f t="shared" si="79"/>
        <v>68170</v>
      </c>
      <c r="Q137" s="286">
        <f>-31213+31213</f>
        <v>0</v>
      </c>
      <c r="R137" s="96">
        <f t="shared" si="80"/>
        <v>68170</v>
      </c>
      <c r="S137" s="269">
        <v>0</v>
      </c>
      <c r="T137" s="96">
        <f t="shared" si="81"/>
        <v>68170</v>
      </c>
      <c r="U137" s="269">
        <v>0</v>
      </c>
      <c r="V137" s="96">
        <f t="shared" si="82"/>
        <v>68170</v>
      </c>
      <c r="W137" s="269">
        <v>0</v>
      </c>
      <c r="X137" s="96">
        <f t="shared" si="83"/>
        <v>68170</v>
      </c>
    </row>
    <row r="138" spans="1:24" s="27" customFormat="1" ht="21.75" customHeight="1">
      <c r="A138" s="102"/>
      <c r="B138" s="98">
        <v>75416</v>
      </c>
      <c r="C138" s="102"/>
      <c r="D138" s="45" t="s">
        <v>140</v>
      </c>
      <c r="E138" s="96">
        <f>SUM(E139:E154)</f>
        <v>265000</v>
      </c>
      <c r="F138" s="96">
        <f>SUM(F139:F154)</f>
        <v>0</v>
      </c>
      <c r="G138" s="96">
        <f>SUM(G139:G154)</f>
        <v>0</v>
      </c>
      <c r="H138" s="96">
        <f t="shared" si="68"/>
        <v>265000</v>
      </c>
      <c r="I138" s="96">
        <f aca="true" t="shared" si="84" ref="I138:N138">SUM(I139:I154)</f>
        <v>0</v>
      </c>
      <c r="J138" s="96">
        <f t="shared" si="84"/>
        <v>265000</v>
      </c>
      <c r="K138" s="96">
        <f t="shared" si="84"/>
        <v>0</v>
      </c>
      <c r="L138" s="96">
        <f t="shared" si="84"/>
        <v>265000</v>
      </c>
      <c r="M138" s="96">
        <f t="shared" si="84"/>
        <v>0</v>
      </c>
      <c r="N138" s="96">
        <f t="shared" si="84"/>
        <v>265000</v>
      </c>
      <c r="O138" s="96">
        <f aca="true" t="shared" si="85" ref="O138:T138">SUM(O139:O154)</f>
        <v>0</v>
      </c>
      <c r="P138" s="96">
        <f t="shared" si="85"/>
        <v>265000</v>
      </c>
      <c r="Q138" s="96">
        <f t="shared" si="85"/>
        <v>0</v>
      </c>
      <c r="R138" s="96">
        <f t="shared" si="85"/>
        <v>265000</v>
      </c>
      <c r="S138" s="96">
        <f t="shared" si="85"/>
        <v>0</v>
      </c>
      <c r="T138" s="96">
        <f t="shared" si="85"/>
        <v>265000</v>
      </c>
      <c r="U138" s="96">
        <f>SUM(U139:U154)</f>
        <v>0</v>
      </c>
      <c r="V138" s="96">
        <f>SUM(V139:V154)</f>
        <v>265000</v>
      </c>
      <c r="W138" s="96">
        <f>SUM(W139:W154)</f>
        <v>0</v>
      </c>
      <c r="X138" s="96">
        <f>SUM(X139:X154)</f>
        <v>265000</v>
      </c>
    </row>
    <row r="139" spans="1:24" s="27" customFormat="1" ht="21" customHeight="1">
      <c r="A139" s="102"/>
      <c r="B139" s="98"/>
      <c r="C139" s="81">
        <v>3020</v>
      </c>
      <c r="D139" s="45" t="s">
        <v>335</v>
      </c>
      <c r="E139" s="96">
        <f>10400+3500</f>
        <v>13900</v>
      </c>
      <c r="F139" s="96"/>
      <c r="G139" s="96"/>
      <c r="H139" s="96">
        <f t="shared" si="68"/>
        <v>13900</v>
      </c>
      <c r="I139" s="96"/>
      <c r="J139" s="96">
        <f t="shared" si="57"/>
        <v>13900</v>
      </c>
      <c r="K139" s="96">
        <v>0</v>
      </c>
      <c r="L139" s="96">
        <f t="shared" si="58"/>
        <v>13900</v>
      </c>
      <c r="M139" s="96">
        <v>0</v>
      </c>
      <c r="N139" s="96">
        <f aca="true" t="shared" si="86" ref="N139:N154">SUM(L139:M139)</f>
        <v>13900</v>
      </c>
      <c r="O139" s="96">
        <v>0</v>
      </c>
      <c r="P139" s="96">
        <f aca="true" t="shared" si="87" ref="P139:P154">SUM(N139:O139)</f>
        <v>13900</v>
      </c>
      <c r="Q139" s="96">
        <v>0</v>
      </c>
      <c r="R139" s="96">
        <f aca="true" t="shared" si="88" ref="R139:R154">SUM(P139:Q139)</f>
        <v>13900</v>
      </c>
      <c r="S139" s="96">
        <v>0</v>
      </c>
      <c r="T139" s="96">
        <f aca="true" t="shared" si="89" ref="T139:T154">SUM(R139:S139)</f>
        <v>13900</v>
      </c>
      <c r="U139" s="96">
        <v>0</v>
      </c>
      <c r="V139" s="96">
        <f aca="true" t="shared" si="90" ref="V139:V154">SUM(T139:U139)</f>
        <v>13900</v>
      </c>
      <c r="W139" s="96">
        <v>0</v>
      </c>
      <c r="X139" s="96">
        <f aca="true" t="shared" si="91" ref="X139:X154">SUM(V139:W139)</f>
        <v>13900</v>
      </c>
    </row>
    <row r="140" spans="1:26" s="27" customFormat="1" ht="21" customHeight="1">
      <c r="A140" s="102"/>
      <c r="B140" s="98"/>
      <c r="C140" s="81">
        <v>4010</v>
      </c>
      <c r="D140" s="45" t="s">
        <v>206</v>
      </c>
      <c r="E140" s="96">
        <f>126900+43000</f>
        <v>169900</v>
      </c>
      <c r="F140" s="96"/>
      <c r="G140" s="96"/>
      <c r="H140" s="96">
        <f t="shared" si="68"/>
        <v>169900</v>
      </c>
      <c r="I140" s="96"/>
      <c r="J140" s="96">
        <f t="shared" si="57"/>
        <v>169900</v>
      </c>
      <c r="K140" s="96">
        <v>0</v>
      </c>
      <c r="L140" s="96">
        <f t="shared" si="58"/>
        <v>169900</v>
      </c>
      <c r="M140" s="96">
        <v>0</v>
      </c>
      <c r="N140" s="96">
        <f t="shared" si="86"/>
        <v>169900</v>
      </c>
      <c r="O140" s="96">
        <v>0</v>
      </c>
      <c r="P140" s="96">
        <f t="shared" si="87"/>
        <v>169900</v>
      </c>
      <c r="Q140" s="96">
        <v>0</v>
      </c>
      <c r="R140" s="96">
        <f t="shared" si="88"/>
        <v>169900</v>
      </c>
      <c r="S140" s="96">
        <v>0</v>
      </c>
      <c r="T140" s="96">
        <f t="shared" si="89"/>
        <v>169900</v>
      </c>
      <c r="U140" s="96">
        <v>0</v>
      </c>
      <c r="V140" s="96">
        <f t="shared" si="90"/>
        <v>169900</v>
      </c>
      <c r="W140" s="96">
        <v>0</v>
      </c>
      <c r="X140" s="96">
        <f t="shared" si="91"/>
        <v>169900</v>
      </c>
      <c r="Y140" s="150"/>
      <c r="Z140" s="150"/>
    </row>
    <row r="141" spans="1:26" s="27" customFormat="1" ht="21" customHeight="1">
      <c r="A141" s="102"/>
      <c r="B141" s="98"/>
      <c r="C141" s="81">
        <v>4040</v>
      </c>
      <c r="D141" s="45" t="s">
        <v>207</v>
      </c>
      <c r="E141" s="96">
        <v>6300</v>
      </c>
      <c r="F141" s="96"/>
      <c r="G141" s="96"/>
      <c r="H141" s="96">
        <f t="shared" si="68"/>
        <v>6300</v>
      </c>
      <c r="I141" s="96"/>
      <c r="J141" s="96">
        <f t="shared" si="57"/>
        <v>6300</v>
      </c>
      <c r="K141" s="96">
        <v>0</v>
      </c>
      <c r="L141" s="96">
        <f t="shared" si="58"/>
        <v>6300</v>
      </c>
      <c r="M141" s="96">
        <v>0</v>
      </c>
      <c r="N141" s="96">
        <f t="shared" si="86"/>
        <v>6300</v>
      </c>
      <c r="O141" s="96">
        <v>0</v>
      </c>
      <c r="P141" s="96">
        <f t="shared" si="87"/>
        <v>6300</v>
      </c>
      <c r="Q141" s="96">
        <v>0</v>
      </c>
      <c r="R141" s="96">
        <f t="shared" si="88"/>
        <v>6300</v>
      </c>
      <c r="S141" s="96">
        <v>0</v>
      </c>
      <c r="T141" s="96">
        <f t="shared" si="89"/>
        <v>6300</v>
      </c>
      <c r="U141" s="96">
        <v>0</v>
      </c>
      <c r="V141" s="96">
        <f t="shared" si="90"/>
        <v>6300</v>
      </c>
      <c r="W141" s="96">
        <v>0</v>
      </c>
      <c r="X141" s="96">
        <f t="shared" si="91"/>
        <v>6300</v>
      </c>
      <c r="Y141" s="150"/>
      <c r="Z141" s="150"/>
    </row>
    <row r="142" spans="1:26" s="27" customFormat="1" ht="21" customHeight="1">
      <c r="A142" s="102"/>
      <c r="B142" s="98"/>
      <c r="C142" s="81">
        <v>4110</v>
      </c>
      <c r="D142" s="45" t="s">
        <v>208</v>
      </c>
      <c r="E142" s="96">
        <f>23200+7400</f>
        <v>30600</v>
      </c>
      <c r="F142" s="96"/>
      <c r="G142" s="96"/>
      <c r="H142" s="96">
        <f t="shared" si="68"/>
        <v>30600</v>
      </c>
      <c r="I142" s="96"/>
      <c r="J142" s="96">
        <f t="shared" si="57"/>
        <v>30600</v>
      </c>
      <c r="K142" s="96">
        <v>0</v>
      </c>
      <c r="L142" s="96">
        <f t="shared" si="58"/>
        <v>30600</v>
      </c>
      <c r="M142" s="96">
        <v>0</v>
      </c>
      <c r="N142" s="96">
        <f t="shared" si="86"/>
        <v>30600</v>
      </c>
      <c r="O142" s="96">
        <v>0</v>
      </c>
      <c r="P142" s="96">
        <f t="shared" si="87"/>
        <v>30600</v>
      </c>
      <c r="Q142" s="96">
        <v>0</v>
      </c>
      <c r="R142" s="96">
        <f t="shared" si="88"/>
        <v>30600</v>
      </c>
      <c r="S142" s="96">
        <v>0</v>
      </c>
      <c r="T142" s="96">
        <f t="shared" si="89"/>
        <v>30600</v>
      </c>
      <c r="U142" s="96">
        <v>0</v>
      </c>
      <c r="V142" s="96">
        <f t="shared" si="90"/>
        <v>30600</v>
      </c>
      <c r="W142" s="96">
        <v>0</v>
      </c>
      <c r="X142" s="96">
        <f t="shared" si="91"/>
        <v>30600</v>
      </c>
      <c r="Y142" s="150"/>
      <c r="Z142" s="150"/>
    </row>
    <row r="143" spans="1:26" s="27" customFormat="1" ht="21" customHeight="1">
      <c r="A143" s="102"/>
      <c r="B143" s="98"/>
      <c r="C143" s="81">
        <v>4120</v>
      </c>
      <c r="D143" s="45" t="s">
        <v>209</v>
      </c>
      <c r="E143" s="96">
        <f>3300+1000</f>
        <v>4300</v>
      </c>
      <c r="F143" s="96"/>
      <c r="G143" s="96"/>
      <c r="H143" s="96">
        <f t="shared" si="68"/>
        <v>4300</v>
      </c>
      <c r="I143" s="96"/>
      <c r="J143" s="96">
        <f t="shared" si="57"/>
        <v>4300</v>
      </c>
      <c r="K143" s="96">
        <v>0</v>
      </c>
      <c r="L143" s="96">
        <f t="shared" si="58"/>
        <v>4300</v>
      </c>
      <c r="M143" s="96">
        <v>0</v>
      </c>
      <c r="N143" s="96">
        <f t="shared" si="86"/>
        <v>4300</v>
      </c>
      <c r="O143" s="96">
        <v>0</v>
      </c>
      <c r="P143" s="96">
        <f t="shared" si="87"/>
        <v>4300</v>
      </c>
      <c r="Q143" s="96">
        <v>0</v>
      </c>
      <c r="R143" s="96">
        <f t="shared" si="88"/>
        <v>4300</v>
      </c>
      <c r="S143" s="96">
        <v>0</v>
      </c>
      <c r="T143" s="96">
        <f t="shared" si="89"/>
        <v>4300</v>
      </c>
      <c r="U143" s="96">
        <v>0</v>
      </c>
      <c r="V143" s="96">
        <f t="shared" si="90"/>
        <v>4300</v>
      </c>
      <c r="W143" s="96">
        <v>0</v>
      </c>
      <c r="X143" s="96">
        <f t="shared" si="91"/>
        <v>4300</v>
      </c>
      <c r="Y143" s="150"/>
      <c r="Z143" s="150"/>
    </row>
    <row r="144" spans="1:24" s="27" customFormat="1" ht="21" customHeight="1">
      <c r="A144" s="102"/>
      <c r="B144" s="98"/>
      <c r="C144" s="81">
        <v>4210</v>
      </c>
      <c r="D144" s="45" t="s">
        <v>214</v>
      </c>
      <c r="E144" s="96">
        <v>8500</v>
      </c>
      <c r="F144" s="96"/>
      <c r="G144" s="96"/>
      <c r="H144" s="96">
        <f t="shared" si="68"/>
        <v>8500</v>
      </c>
      <c r="I144" s="96"/>
      <c r="J144" s="96">
        <f t="shared" si="57"/>
        <v>8500</v>
      </c>
      <c r="K144" s="96">
        <v>0</v>
      </c>
      <c r="L144" s="96">
        <f t="shared" si="58"/>
        <v>8500</v>
      </c>
      <c r="M144" s="96">
        <v>0</v>
      </c>
      <c r="N144" s="96">
        <f t="shared" si="86"/>
        <v>8500</v>
      </c>
      <c r="O144" s="96">
        <v>0</v>
      </c>
      <c r="P144" s="96">
        <f t="shared" si="87"/>
        <v>8500</v>
      </c>
      <c r="Q144" s="96">
        <v>0</v>
      </c>
      <c r="R144" s="96">
        <f t="shared" si="88"/>
        <v>8500</v>
      </c>
      <c r="S144" s="96">
        <v>0</v>
      </c>
      <c r="T144" s="96">
        <f t="shared" si="89"/>
        <v>8500</v>
      </c>
      <c r="U144" s="96">
        <v>0</v>
      </c>
      <c r="V144" s="96">
        <f t="shared" si="90"/>
        <v>8500</v>
      </c>
      <c r="W144" s="96">
        <v>0</v>
      </c>
      <c r="X144" s="96">
        <f t="shared" si="91"/>
        <v>8500</v>
      </c>
    </row>
    <row r="145" spans="1:24" s="27" customFormat="1" ht="21" customHeight="1">
      <c r="A145" s="102"/>
      <c r="B145" s="98"/>
      <c r="C145" s="81">
        <v>4270</v>
      </c>
      <c r="D145" s="45" t="s">
        <v>200</v>
      </c>
      <c r="E145" s="96">
        <v>4000</v>
      </c>
      <c r="F145" s="96"/>
      <c r="G145" s="96"/>
      <c r="H145" s="96">
        <f t="shared" si="68"/>
        <v>4000</v>
      </c>
      <c r="I145" s="96"/>
      <c r="J145" s="96">
        <f t="shared" si="57"/>
        <v>4000</v>
      </c>
      <c r="K145" s="96">
        <v>0</v>
      </c>
      <c r="L145" s="96">
        <f t="shared" si="58"/>
        <v>4000</v>
      </c>
      <c r="M145" s="96">
        <v>0</v>
      </c>
      <c r="N145" s="96">
        <f t="shared" si="86"/>
        <v>4000</v>
      </c>
      <c r="O145" s="96">
        <v>0</v>
      </c>
      <c r="P145" s="96">
        <f t="shared" si="87"/>
        <v>4000</v>
      </c>
      <c r="Q145" s="96">
        <v>0</v>
      </c>
      <c r="R145" s="96">
        <f t="shared" si="88"/>
        <v>4000</v>
      </c>
      <c r="S145" s="96">
        <v>0</v>
      </c>
      <c r="T145" s="96">
        <f t="shared" si="89"/>
        <v>4000</v>
      </c>
      <c r="U145" s="96">
        <v>0</v>
      </c>
      <c r="V145" s="96">
        <f t="shared" si="90"/>
        <v>4000</v>
      </c>
      <c r="W145" s="96">
        <v>0</v>
      </c>
      <c r="X145" s="96">
        <f t="shared" si="91"/>
        <v>4000</v>
      </c>
    </row>
    <row r="146" spans="1:24" s="27" customFormat="1" ht="21" customHeight="1">
      <c r="A146" s="102"/>
      <c r="B146" s="98"/>
      <c r="C146" s="81">
        <v>4280</v>
      </c>
      <c r="D146" s="45" t="s">
        <v>392</v>
      </c>
      <c r="E146" s="96">
        <f>1200+500</f>
        <v>1700</v>
      </c>
      <c r="F146" s="96"/>
      <c r="G146" s="96"/>
      <c r="H146" s="96">
        <f t="shared" si="68"/>
        <v>1700</v>
      </c>
      <c r="I146" s="96"/>
      <c r="J146" s="96">
        <f t="shared" si="57"/>
        <v>1700</v>
      </c>
      <c r="K146" s="96">
        <v>0</v>
      </c>
      <c r="L146" s="96">
        <f t="shared" si="58"/>
        <v>1700</v>
      </c>
      <c r="M146" s="96">
        <v>0</v>
      </c>
      <c r="N146" s="96">
        <f t="shared" si="86"/>
        <v>1700</v>
      </c>
      <c r="O146" s="96">
        <v>0</v>
      </c>
      <c r="P146" s="96">
        <f t="shared" si="87"/>
        <v>1700</v>
      </c>
      <c r="Q146" s="96">
        <v>0</v>
      </c>
      <c r="R146" s="96">
        <f t="shared" si="88"/>
        <v>1700</v>
      </c>
      <c r="S146" s="96">
        <v>0</v>
      </c>
      <c r="T146" s="96">
        <f t="shared" si="89"/>
        <v>1700</v>
      </c>
      <c r="U146" s="96">
        <v>0</v>
      </c>
      <c r="V146" s="96">
        <f t="shared" si="90"/>
        <v>1700</v>
      </c>
      <c r="W146" s="96">
        <v>0</v>
      </c>
      <c r="X146" s="96">
        <f t="shared" si="91"/>
        <v>1700</v>
      </c>
    </row>
    <row r="147" spans="1:24" s="27" customFormat="1" ht="21" customHeight="1">
      <c r="A147" s="102"/>
      <c r="B147" s="98"/>
      <c r="C147" s="81">
        <v>4300</v>
      </c>
      <c r="D147" s="45" t="s">
        <v>201</v>
      </c>
      <c r="E147" s="96">
        <v>4000</v>
      </c>
      <c r="F147" s="96"/>
      <c r="G147" s="96"/>
      <c r="H147" s="96">
        <f t="shared" si="68"/>
        <v>4000</v>
      </c>
      <c r="I147" s="96"/>
      <c r="J147" s="96">
        <f t="shared" si="57"/>
        <v>4000</v>
      </c>
      <c r="K147" s="96">
        <v>0</v>
      </c>
      <c r="L147" s="96">
        <f t="shared" si="58"/>
        <v>4000</v>
      </c>
      <c r="M147" s="96">
        <v>0</v>
      </c>
      <c r="N147" s="96">
        <f t="shared" si="86"/>
        <v>4000</v>
      </c>
      <c r="O147" s="96">
        <v>-558</v>
      </c>
      <c r="P147" s="96">
        <f t="shared" si="87"/>
        <v>3442</v>
      </c>
      <c r="Q147" s="96"/>
      <c r="R147" s="96">
        <f t="shared" si="88"/>
        <v>3442</v>
      </c>
      <c r="S147" s="96">
        <v>0</v>
      </c>
      <c r="T147" s="96">
        <f t="shared" si="89"/>
        <v>3442</v>
      </c>
      <c r="U147" s="96">
        <v>0</v>
      </c>
      <c r="V147" s="96">
        <f t="shared" si="90"/>
        <v>3442</v>
      </c>
      <c r="W147" s="96">
        <v>0</v>
      </c>
      <c r="X147" s="96">
        <f t="shared" si="91"/>
        <v>3442</v>
      </c>
    </row>
    <row r="148" spans="1:24" s="27" customFormat="1" ht="26.25" customHeight="1">
      <c r="A148" s="102"/>
      <c r="B148" s="98"/>
      <c r="C148" s="81">
        <v>4360</v>
      </c>
      <c r="D148" s="45" t="s">
        <v>414</v>
      </c>
      <c r="E148" s="96">
        <v>2000</v>
      </c>
      <c r="F148" s="96"/>
      <c r="G148" s="96"/>
      <c r="H148" s="96">
        <f t="shared" si="68"/>
        <v>2000</v>
      </c>
      <c r="I148" s="96"/>
      <c r="J148" s="96">
        <f t="shared" si="57"/>
        <v>2000</v>
      </c>
      <c r="K148" s="96">
        <v>0</v>
      </c>
      <c r="L148" s="96">
        <f t="shared" si="58"/>
        <v>2000</v>
      </c>
      <c r="M148" s="96">
        <v>0</v>
      </c>
      <c r="N148" s="96">
        <f t="shared" si="86"/>
        <v>2000</v>
      </c>
      <c r="O148" s="96">
        <v>0</v>
      </c>
      <c r="P148" s="96">
        <f t="shared" si="87"/>
        <v>2000</v>
      </c>
      <c r="Q148" s="96">
        <v>0</v>
      </c>
      <c r="R148" s="96">
        <f t="shared" si="88"/>
        <v>2000</v>
      </c>
      <c r="S148" s="96">
        <v>0</v>
      </c>
      <c r="T148" s="96">
        <f t="shared" si="89"/>
        <v>2000</v>
      </c>
      <c r="U148" s="96">
        <v>0</v>
      </c>
      <c r="V148" s="96">
        <f t="shared" si="90"/>
        <v>2000</v>
      </c>
      <c r="W148" s="96">
        <v>0</v>
      </c>
      <c r="X148" s="96">
        <f t="shared" si="91"/>
        <v>2000</v>
      </c>
    </row>
    <row r="149" spans="1:24" s="27" customFormat="1" ht="25.5" customHeight="1">
      <c r="A149" s="102"/>
      <c r="B149" s="98"/>
      <c r="C149" s="81">
        <v>4370</v>
      </c>
      <c r="D149" s="45" t="s">
        <v>409</v>
      </c>
      <c r="E149" s="96">
        <v>1000</v>
      </c>
      <c r="F149" s="96"/>
      <c r="G149" s="96"/>
      <c r="H149" s="96">
        <f aca="true" t="shared" si="92" ref="H149:H182">E149+F149-G149</f>
        <v>1000</v>
      </c>
      <c r="I149" s="96"/>
      <c r="J149" s="96">
        <f t="shared" si="57"/>
        <v>1000</v>
      </c>
      <c r="K149" s="96">
        <v>0</v>
      </c>
      <c r="L149" s="96">
        <f t="shared" si="58"/>
        <v>1000</v>
      </c>
      <c r="M149" s="96">
        <v>0</v>
      </c>
      <c r="N149" s="96">
        <f t="shared" si="86"/>
        <v>1000</v>
      </c>
      <c r="O149" s="96">
        <v>0</v>
      </c>
      <c r="P149" s="96">
        <f t="shared" si="87"/>
        <v>1000</v>
      </c>
      <c r="Q149" s="96">
        <v>0</v>
      </c>
      <c r="R149" s="96">
        <f t="shared" si="88"/>
        <v>1000</v>
      </c>
      <c r="S149" s="96">
        <v>0</v>
      </c>
      <c r="T149" s="96">
        <f t="shared" si="89"/>
        <v>1000</v>
      </c>
      <c r="U149" s="96">
        <v>0</v>
      </c>
      <c r="V149" s="96">
        <f t="shared" si="90"/>
        <v>1000</v>
      </c>
      <c r="W149" s="96">
        <v>0</v>
      </c>
      <c r="X149" s="96">
        <f t="shared" si="91"/>
        <v>1000</v>
      </c>
    </row>
    <row r="150" spans="1:24" s="27" customFormat="1" ht="25.5" customHeight="1">
      <c r="A150" s="102"/>
      <c r="B150" s="98"/>
      <c r="C150" s="81">
        <v>4400</v>
      </c>
      <c r="D150" s="45" t="s">
        <v>644</v>
      </c>
      <c r="E150" s="96"/>
      <c r="F150" s="96"/>
      <c r="G150" s="96"/>
      <c r="H150" s="96"/>
      <c r="I150" s="96"/>
      <c r="J150" s="96"/>
      <c r="K150" s="96"/>
      <c r="L150" s="96"/>
      <c r="M150" s="96"/>
      <c r="N150" s="96">
        <v>0</v>
      </c>
      <c r="O150" s="96">
        <v>558</v>
      </c>
      <c r="P150" s="96">
        <f t="shared" si="87"/>
        <v>558</v>
      </c>
      <c r="Q150" s="96"/>
      <c r="R150" s="96">
        <f t="shared" si="88"/>
        <v>558</v>
      </c>
      <c r="S150" s="96">
        <v>0</v>
      </c>
      <c r="T150" s="96">
        <f t="shared" si="89"/>
        <v>558</v>
      </c>
      <c r="U150" s="96">
        <v>0</v>
      </c>
      <c r="V150" s="96">
        <f t="shared" si="90"/>
        <v>558</v>
      </c>
      <c r="W150" s="96">
        <v>0</v>
      </c>
      <c r="X150" s="96">
        <f t="shared" si="91"/>
        <v>558</v>
      </c>
    </row>
    <row r="151" spans="1:24" s="27" customFormat="1" ht="21" customHeight="1">
      <c r="A151" s="102"/>
      <c r="B151" s="98"/>
      <c r="C151" s="81">
        <v>4410</v>
      </c>
      <c r="D151" s="45" t="s">
        <v>212</v>
      </c>
      <c r="E151" s="96">
        <v>500</v>
      </c>
      <c r="F151" s="96"/>
      <c r="G151" s="96"/>
      <c r="H151" s="96">
        <f t="shared" si="92"/>
        <v>500</v>
      </c>
      <c r="I151" s="96"/>
      <c r="J151" s="96">
        <f t="shared" si="57"/>
        <v>500</v>
      </c>
      <c r="K151" s="96">
        <v>0</v>
      </c>
      <c r="L151" s="96">
        <f t="shared" si="58"/>
        <v>500</v>
      </c>
      <c r="M151" s="96">
        <v>0</v>
      </c>
      <c r="N151" s="96">
        <f t="shared" si="86"/>
        <v>500</v>
      </c>
      <c r="O151" s="96">
        <v>0</v>
      </c>
      <c r="P151" s="96">
        <f t="shared" si="87"/>
        <v>500</v>
      </c>
      <c r="Q151" s="96">
        <v>0</v>
      </c>
      <c r="R151" s="96">
        <f t="shared" si="88"/>
        <v>500</v>
      </c>
      <c r="S151" s="96">
        <v>0</v>
      </c>
      <c r="T151" s="96">
        <f t="shared" si="89"/>
        <v>500</v>
      </c>
      <c r="U151" s="96">
        <v>0</v>
      </c>
      <c r="V151" s="96">
        <f t="shared" si="90"/>
        <v>500</v>
      </c>
      <c r="W151" s="96">
        <v>0</v>
      </c>
      <c r="X151" s="96">
        <f t="shared" si="91"/>
        <v>500</v>
      </c>
    </row>
    <row r="152" spans="1:24" s="27" customFormat="1" ht="16.5" customHeight="1">
      <c r="A152" s="102"/>
      <c r="B152" s="98"/>
      <c r="C152" s="84">
        <v>4430</v>
      </c>
      <c r="D152" s="45" t="s">
        <v>216</v>
      </c>
      <c r="E152" s="96">
        <v>3500</v>
      </c>
      <c r="F152" s="96"/>
      <c r="G152" s="96"/>
      <c r="H152" s="96">
        <f t="shared" si="92"/>
        <v>3500</v>
      </c>
      <c r="I152" s="96"/>
      <c r="J152" s="96">
        <f t="shared" si="57"/>
        <v>3500</v>
      </c>
      <c r="K152" s="96">
        <v>0</v>
      </c>
      <c r="L152" s="96">
        <f t="shared" si="58"/>
        <v>3500</v>
      </c>
      <c r="M152" s="96">
        <v>0</v>
      </c>
      <c r="N152" s="96">
        <f t="shared" si="86"/>
        <v>3500</v>
      </c>
      <c r="O152" s="96">
        <v>0</v>
      </c>
      <c r="P152" s="96">
        <f t="shared" si="87"/>
        <v>3500</v>
      </c>
      <c r="Q152" s="96">
        <v>0</v>
      </c>
      <c r="R152" s="96">
        <f t="shared" si="88"/>
        <v>3500</v>
      </c>
      <c r="S152" s="96">
        <v>0</v>
      </c>
      <c r="T152" s="96">
        <f t="shared" si="89"/>
        <v>3500</v>
      </c>
      <c r="U152" s="96">
        <v>0</v>
      </c>
      <c r="V152" s="96">
        <f t="shared" si="90"/>
        <v>3500</v>
      </c>
      <c r="W152" s="96">
        <v>0</v>
      </c>
      <c r="X152" s="96">
        <f t="shared" si="91"/>
        <v>3500</v>
      </c>
    </row>
    <row r="153" spans="1:24" s="27" customFormat="1" ht="21" customHeight="1">
      <c r="A153" s="102"/>
      <c r="B153" s="98"/>
      <c r="C153" s="84">
        <v>4440</v>
      </c>
      <c r="D153" s="45" t="s">
        <v>210</v>
      </c>
      <c r="E153" s="96">
        <f>4000+800</f>
        <v>4800</v>
      </c>
      <c r="F153" s="96"/>
      <c r="G153" s="96"/>
      <c r="H153" s="96">
        <f t="shared" si="92"/>
        <v>4800</v>
      </c>
      <c r="I153" s="96"/>
      <c r="J153" s="96">
        <f t="shared" si="57"/>
        <v>4800</v>
      </c>
      <c r="K153" s="96">
        <v>0</v>
      </c>
      <c r="L153" s="96">
        <f t="shared" si="58"/>
        <v>4800</v>
      </c>
      <c r="M153" s="96">
        <v>0</v>
      </c>
      <c r="N153" s="96">
        <f t="shared" si="86"/>
        <v>4800</v>
      </c>
      <c r="O153" s="96">
        <v>0</v>
      </c>
      <c r="P153" s="96">
        <f t="shared" si="87"/>
        <v>4800</v>
      </c>
      <c r="Q153" s="96">
        <v>0</v>
      </c>
      <c r="R153" s="96">
        <f t="shared" si="88"/>
        <v>4800</v>
      </c>
      <c r="S153" s="96">
        <v>0</v>
      </c>
      <c r="T153" s="96">
        <f t="shared" si="89"/>
        <v>4800</v>
      </c>
      <c r="U153" s="96">
        <v>0</v>
      </c>
      <c r="V153" s="96">
        <f t="shared" si="90"/>
        <v>4800</v>
      </c>
      <c r="W153" s="96">
        <v>0</v>
      </c>
      <c r="X153" s="96">
        <f t="shared" si="91"/>
        <v>4800</v>
      </c>
    </row>
    <row r="154" spans="1:24" s="27" customFormat="1" ht="21" customHeight="1">
      <c r="A154" s="102"/>
      <c r="B154" s="98"/>
      <c r="C154" s="84">
        <v>4700</v>
      </c>
      <c r="D154" s="45" t="s">
        <v>412</v>
      </c>
      <c r="E154" s="96">
        <f>7000+3000</f>
        <v>10000</v>
      </c>
      <c r="F154" s="96"/>
      <c r="G154" s="96"/>
      <c r="H154" s="96">
        <f t="shared" si="92"/>
        <v>10000</v>
      </c>
      <c r="I154" s="96"/>
      <c r="J154" s="96">
        <f t="shared" si="57"/>
        <v>10000</v>
      </c>
      <c r="K154" s="96">
        <v>0</v>
      </c>
      <c r="L154" s="96">
        <f t="shared" si="58"/>
        <v>10000</v>
      </c>
      <c r="M154" s="96">
        <v>0</v>
      </c>
      <c r="N154" s="96">
        <f t="shared" si="86"/>
        <v>10000</v>
      </c>
      <c r="O154" s="96">
        <v>0</v>
      </c>
      <c r="P154" s="96">
        <f t="shared" si="87"/>
        <v>10000</v>
      </c>
      <c r="Q154" s="96">
        <v>0</v>
      </c>
      <c r="R154" s="96">
        <f t="shared" si="88"/>
        <v>10000</v>
      </c>
      <c r="S154" s="96">
        <v>0</v>
      </c>
      <c r="T154" s="96">
        <f t="shared" si="89"/>
        <v>10000</v>
      </c>
      <c r="U154" s="96">
        <v>0</v>
      </c>
      <c r="V154" s="96">
        <f t="shared" si="90"/>
        <v>10000</v>
      </c>
      <c r="W154" s="96">
        <v>0</v>
      </c>
      <c r="X154" s="96">
        <f t="shared" si="91"/>
        <v>10000</v>
      </c>
    </row>
    <row r="155" spans="1:24" s="27" customFormat="1" ht="21.75" customHeight="1">
      <c r="A155" s="102"/>
      <c r="B155" s="98" t="s">
        <v>224</v>
      </c>
      <c r="C155" s="102"/>
      <c r="D155" s="45" t="s">
        <v>118</v>
      </c>
      <c r="E155" s="96">
        <f>SUM(E156:E157)</f>
        <v>5000</v>
      </c>
      <c r="F155" s="96">
        <f>SUM(F156:F157)</f>
        <v>20000</v>
      </c>
      <c r="G155" s="96">
        <f>SUM(G156:G157)</f>
        <v>0</v>
      </c>
      <c r="H155" s="96">
        <f t="shared" si="92"/>
        <v>25000</v>
      </c>
      <c r="I155" s="96">
        <f aca="true" t="shared" si="93" ref="I155:N155">SUM(I156:I157)</f>
        <v>0</v>
      </c>
      <c r="J155" s="96">
        <f t="shared" si="93"/>
        <v>25000</v>
      </c>
      <c r="K155" s="96">
        <f t="shared" si="93"/>
        <v>0</v>
      </c>
      <c r="L155" s="96">
        <f t="shared" si="93"/>
        <v>25000</v>
      </c>
      <c r="M155" s="96">
        <f t="shared" si="93"/>
        <v>0</v>
      </c>
      <c r="N155" s="96">
        <f t="shared" si="93"/>
        <v>25000</v>
      </c>
      <c r="O155" s="96">
        <f aca="true" t="shared" si="94" ref="O155:T155">SUM(O156:O157)</f>
        <v>0</v>
      </c>
      <c r="P155" s="96">
        <f t="shared" si="94"/>
        <v>25000</v>
      </c>
      <c r="Q155" s="96">
        <f t="shared" si="94"/>
        <v>0</v>
      </c>
      <c r="R155" s="96">
        <f t="shared" si="94"/>
        <v>25000</v>
      </c>
      <c r="S155" s="96">
        <f t="shared" si="94"/>
        <v>0</v>
      </c>
      <c r="T155" s="96">
        <f t="shared" si="94"/>
        <v>25000</v>
      </c>
      <c r="U155" s="96">
        <f>SUM(U156:U157)</f>
        <v>0</v>
      </c>
      <c r="V155" s="96">
        <f>SUM(V156:V157)</f>
        <v>25000</v>
      </c>
      <c r="W155" s="96">
        <f>SUM(W156:W157)</f>
        <v>0</v>
      </c>
      <c r="X155" s="96">
        <f>SUM(X156:X157)</f>
        <v>25000</v>
      </c>
    </row>
    <row r="156" spans="1:24" s="27" customFormat="1" ht="21.75" customHeight="1">
      <c r="A156" s="102"/>
      <c r="B156" s="98"/>
      <c r="C156" s="102">
        <v>4300</v>
      </c>
      <c r="D156" s="45" t="s">
        <v>201</v>
      </c>
      <c r="E156" s="96">
        <v>0</v>
      </c>
      <c r="F156" s="96">
        <v>20000</v>
      </c>
      <c r="G156" s="96"/>
      <c r="H156" s="96">
        <f t="shared" si="92"/>
        <v>20000</v>
      </c>
      <c r="I156" s="96"/>
      <c r="J156" s="96">
        <f t="shared" si="57"/>
        <v>20000</v>
      </c>
      <c r="K156" s="96">
        <v>0</v>
      </c>
      <c r="L156" s="96">
        <f t="shared" si="58"/>
        <v>20000</v>
      </c>
      <c r="M156" s="96">
        <v>0</v>
      </c>
      <c r="N156" s="96">
        <f>SUM(L156:M156)</f>
        <v>20000</v>
      </c>
      <c r="O156" s="96">
        <v>0</v>
      </c>
      <c r="P156" s="96">
        <f>SUM(N156:O156)</f>
        <v>20000</v>
      </c>
      <c r="Q156" s="96">
        <v>0</v>
      </c>
      <c r="R156" s="96">
        <f>SUM(P156:Q156)</f>
        <v>20000</v>
      </c>
      <c r="S156" s="96">
        <v>0</v>
      </c>
      <c r="T156" s="96">
        <f>SUM(R156:S156)</f>
        <v>20000</v>
      </c>
      <c r="U156" s="96">
        <v>0</v>
      </c>
      <c r="V156" s="96">
        <f>SUM(T156:U156)</f>
        <v>20000</v>
      </c>
      <c r="W156" s="96">
        <v>0</v>
      </c>
      <c r="X156" s="96">
        <f>SUM(V156:W156)</f>
        <v>20000</v>
      </c>
    </row>
    <row r="157" spans="1:24" s="27" customFormat="1" ht="21" customHeight="1">
      <c r="A157" s="102"/>
      <c r="B157" s="98"/>
      <c r="C157" s="84">
        <v>4430</v>
      </c>
      <c r="D157" s="45" t="s">
        <v>216</v>
      </c>
      <c r="E157" s="96">
        <v>5000</v>
      </c>
      <c r="F157" s="96"/>
      <c r="G157" s="96"/>
      <c r="H157" s="96">
        <f t="shared" si="92"/>
        <v>5000</v>
      </c>
      <c r="I157" s="96"/>
      <c r="J157" s="96">
        <f aca="true" t="shared" si="95" ref="J157:J221">SUM(H157:I157)</f>
        <v>5000</v>
      </c>
      <c r="K157" s="96">
        <v>0</v>
      </c>
      <c r="L157" s="96">
        <f aca="true" t="shared" si="96" ref="L157:L221">SUM(J157:K157)</f>
        <v>5000</v>
      </c>
      <c r="M157" s="96">
        <v>0</v>
      </c>
      <c r="N157" s="96">
        <f>SUM(L157:M157)</f>
        <v>5000</v>
      </c>
      <c r="O157" s="96">
        <v>0</v>
      </c>
      <c r="P157" s="96">
        <f>SUM(N157:O157)</f>
        <v>5000</v>
      </c>
      <c r="Q157" s="96">
        <v>0</v>
      </c>
      <c r="R157" s="96">
        <f>SUM(P157:Q157)</f>
        <v>5000</v>
      </c>
      <c r="S157" s="96">
        <v>0</v>
      </c>
      <c r="T157" s="96">
        <f>SUM(R157:S157)</f>
        <v>5000</v>
      </c>
      <c r="U157" s="96">
        <v>0</v>
      </c>
      <c r="V157" s="96">
        <f>SUM(T157:U157)</f>
        <v>5000</v>
      </c>
      <c r="W157" s="96">
        <v>0</v>
      </c>
      <c r="X157" s="96">
        <f>SUM(V157:W157)</f>
        <v>5000</v>
      </c>
    </row>
    <row r="158" spans="1:24" s="48" customFormat="1" ht="53.25" customHeight="1">
      <c r="A158" s="42">
        <v>756</v>
      </c>
      <c r="B158" s="75"/>
      <c r="C158" s="74"/>
      <c r="D158" s="43" t="s">
        <v>288</v>
      </c>
      <c r="E158" s="44">
        <f>SUM(E159)</f>
        <v>74800</v>
      </c>
      <c r="F158" s="44">
        <f>SUM(F159)</f>
        <v>0</v>
      </c>
      <c r="G158" s="44">
        <f>SUM(G159)</f>
        <v>0</v>
      </c>
      <c r="H158" s="44">
        <f t="shared" si="92"/>
        <v>74800</v>
      </c>
      <c r="I158" s="44">
        <f aca="true" t="shared" si="97" ref="I158:X158">SUM(I159)</f>
        <v>0</v>
      </c>
      <c r="J158" s="44">
        <f t="shared" si="97"/>
        <v>82800</v>
      </c>
      <c r="K158" s="44">
        <f t="shared" si="97"/>
        <v>0</v>
      </c>
      <c r="L158" s="44">
        <f t="shared" si="97"/>
        <v>82800</v>
      </c>
      <c r="M158" s="44">
        <f t="shared" si="97"/>
        <v>0</v>
      </c>
      <c r="N158" s="44">
        <f t="shared" si="97"/>
        <v>82800</v>
      </c>
      <c r="O158" s="44">
        <f t="shared" si="97"/>
        <v>0</v>
      </c>
      <c r="P158" s="44">
        <f t="shared" si="97"/>
        <v>82800</v>
      </c>
      <c r="Q158" s="44">
        <f t="shared" si="97"/>
        <v>0</v>
      </c>
      <c r="R158" s="44">
        <f t="shared" si="97"/>
        <v>82800</v>
      </c>
      <c r="S158" s="44">
        <f t="shared" si="97"/>
        <v>0</v>
      </c>
      <c r="T158" s="44">
        <f t="shared" si="97"/>
        <v>82800</v>
      </c>
      <c r="U158" s="44">
        <f t="shared" si="97"/>
        <v>0</v>
      </c>
      <c r="V158" s="44">
        <f t="shared" si="97"/>
        <v>82800</v>
      </c>
      <c r="W158" s="44">
        <f t="shared" si="97"/>
        <v>0</v>
      </c>
      <c r="X158" s="44">
        <f t="shared" si="97"/>
        <v>82800</v>
      </c>
    </row>
    <row r="159" spans="1:24" s="27" customFormat="1" ht="24.75" customHeight="1">
      <c r="A159" s="102"/>
      <c r="B159" s="98">
        <v>75647</v>
      </c>
      <c r="C159" s="84"/>
      <c r="D159" s="45" t="s">
        <v>321</v>
      </c>
      <c r="E159" s="96">
        <f>SUM(E160:E167)</f>
        <v>74800</v>
      </c>
      <c r="F159" s="96">
        <f>SUM(F160:F167)</f>
        <v>0</v>
      </c>
      <c r="G159" s="96">
        <f>SUM(G160:G167)</f>
        <v>0</v>
      </c>
      <c r="H159" s="96">
        <f t="shared" si="92"/>
        <v>74800</v>
      </c>
      <c r="I159" s="96">
        <f aca="true" t="shared" si="98" ref="I159:N159">SUM(I160:I167)</f>
        <v>0</v>
      </c>
      <c r="J159" s="96">
        <f t="shared" si="98"/>
        <v>82800</v>
      </c>
      <c r="K159" s="96">
        <f t="shared" si="98"/>
        <v>0</v>
      </c>
      <c r="L159" s="96">
        <f t="shared" si="98"/>
        <v>82800</v>
      </c>
      <c r="M159" s="96">
        <f t="shared" si="98"/>
        <v>0</v>
      </c>
      <c r="N159" s="96">
        <f t="shared" si="98"/>
        <v>82800</v>
      </c>
      <c r="O159" s="96">
        <f aca="true" t="shared" si="99" ref="O159:T159">SUM(O160:O167)</f>
        <v>0</v>
      </c>
      <c r="P159" s="96">
        <f t="shared" si="99"/>
        <v>82800</v>
      </c>
      <c r="Q159" s="96">
        <f t="shared" si="99"/>
        <v>0</v>
      </c>
      <c r="R159" s="96">
        <f t="shared" si="99"/>
        <v>82800</v>
      </c>
      <c r="S159" s="96">
        <f t="shared" si="99"/>
        <v>0</v>
      </c>
      <c r="T159" s="96">
        <f t="shared" si="99"/>
        <v>82800</v>
      </c>
      <c r="U159" s="96">
        <f>SUM(U160:U167)</f>
        <v>0</v>
      </c>
      <c r="V159" s="96">
        <f>SUM(V160:V167)</f>
        <v>82800</v>
      </c>
      <c r="W159" s="96">
        <f>SUM(W160:W167)</f>
        <v>0</v>
      </c>
      <c r="X159" s="96">
        <f>SUM(X160:X167)</f>
        <v>82800</v>
      </c>
    </row>
    <row r="160" spans="1:26" s="27" customFormat="1" ht="21" customHeight="1">
      <c r="A160" s="102"/>
      <c r="B160" s="98"/>
      <c r="C160" s="84">
        <v>4100</v>
      </c>
      <c r="D160" s="45" t="s">
        <v>219</v>
      </c>
      <c r="E160" s="96">
        <v>39000</v>
      </c>
      <c r="F160" s="96"/>
      <c r="G160" s="96"/>
      <c r="H160" s="96">
        <f t="shared" si="92"/>
        <v>39000</v>
      </c>
      <c r="I160" s="96"/>
      <c r="J160" s="96">
        <f t="shared" si="95"/>
        <v>39000</v>
      </c>
      <c r="K160" s="96">
        <v>0</v>
      </c>
      <c r="L160" s="96">
        <f t="shared" si="96"/>
        <v>39000</v>
      </c>
      <c r="M160" s="96">
        <v>0</v>
      </c>
      <c r="N160" s="96">
        <f aca="true" t="shared" si="100" ref="N160:N167">SUM(L160:M160)</f>
        <v>39000</v>
      </c>
      <c r="O160" s="96">
        <v>0</v>
      </c>
      <c r="P160" s="96">
        <f aca="true" t="shared" si="101" ref="P160:P167">SUM(N160:O160)</f>
        <v>39000</v>
      </c>
      <c r="Q160" s="96">
        <v>0</v>
      </c>
      <c r="R160" s="96">
        <f aca="true" t="shared" si="102" ref="R160:R167">SUM(P160:Q160)</f>
        <v>39000</v>
      </c>
      <c r="S160" s="96">
        <v>0</v>
      </c>
      <c r="T160" s="96">
        <f aca="true" t="shared" si="103" ref="T160:T167">SUM(R160:S160)</f>
        <v>39000</v>
      </c>
      <c r="U160" s="96">
        <v>0</v>
      </c>
      <c r="V160" s="96">
        <f aca="true" t="shared" si="104" ref="V160:V167">SUM(T160:U160)</f>
        <v>39000</v>
      </c>
      <c r="W160" s="96">
        <v>0</v>
      </c>
      <c r="X160" s="96">
        <f aca="true" t="shared" si="105" ref="X160:X167">SUM(V160:W160)</f>
        <v>39000</v>
      </c>
      <c r="Y160" s="150"/>
      <c r="Z160" s="150"/>
    </row>
    <row r="161" spans="1:26" s="27" customFormat="1" ht="16.5" customHeight="1">
      <c r="A161" s="102"/>
      <c r="B161" s="98"/>
      <c r="C161" s="84">
        <v>4170</v>
      </c>
      <c r="D161" s="45" t="s">
        <v>339</v>
      </c>
      <c r="E161" s="96">
        <v>10800</v>
      </c>
      <c r="F161" s="96"/>
      <c r="G161" s="96"/>
      <c r="H161" s="96">
        <f t="shared" si="92"/>
        <v>10800</v>
      </c>
      <c r="I161" s="96"/>
      <c r="J161" s="96">
        <f t="shared" si="95"/>
        <v>10800</v>
      </c>
      <c r="K161" s="96">
        <v>0</v>
      </c>
      <c r="L161" s="96">
        <f t="shared" si="96"/>
        <v>10800</v>
      </c>
      <c r="M161" s="96">
        <v>0</v>
      </c>
      <c r="N161" s="96">
        <f t="shared" si="100"/>
        <v>10800</v>
      </c>
      <c r="O161" s="96">
        <v>0</v>
      </c>
      <c r="P161" s="96">
        <f t="shared" si="101"/>
        <v>10800</v>
      </c>
      <c r="Q161" s="96">
        <v>0</v>
      </c>
      <c r="R161" s="96">
        <f t="shared" si="102"/>
        <v>10800</v>
      </c>
      <c r="S161" s="96">
        <v>0</v>
      </c>
      <c r="T161" s="96">
        <f t="shared" si="103"/>
        <v>10800</v>
      </c>
      <c r="U161" s="96">
        <v>0</v>
      </c>
      <c r="V161" s="96">
        <f t="shared" si="104"/>
        <v>10800</v>
      </c>
      <c r="W161" s="96">
        <v>-8128</v>
      </c>
      <c r="X161" s="96">
        <f t="shared" si="105"/>
        <v>2672</v>
      </c>
      <c r="Y161" s="150"/>
      <c r="Z161" s="150"/>
    </row>
    <row r="162" spans="1:24" s="27" customFormat="1" ht="16.5" customHeight="1">
      <c r="A162" s="102"/>
      <c r="B162" s="98"/>
      <c r="C162" s="84">
        <v>4210</v>
      </c>
      <c r="D162" s="45" t="s">
        <v>194</v>
      </c>
      <c r="E162" s="96">
        <v>2000</v>
      </c>
      <c r="F162" s="96"/>
      <c r="G162" s="96"/>
      <c r="H162" s="96">
        <f t="shared" si="92"/>
        <v>2000</v>
      </c>
      <c r="I162" s="96"/>
      <c r="J162" s="96">
        <f t="shared" si="95"/>
        <v>2000</v>
      </c>
      <c r="K162" s="96">
        <v>0</v>
      </c>
      <c r="L162" s="96">
        <f t="shared" si="96"/>
        <v>2000</v>
      </c>
      <c r="M162" s="96">
        <v>0</v>
      </c>
      <c r="N162" s="96">
        <f t="shared" si="100"/>
        <v>2000</v>
      </c>
      <c r="O162" s="96">
        <v>0</v>
      </c>
      <c r="P162" s="96">
        <f t="shared" si="101"/>
        <v>2000</v>
      </c>
      <c r="Q162" s="96">
        <v>0</v>
      </c>
      <c r="R162" s="96">
        <f t="shared" si="102"/>
        <v>2000</v>
      </c>
      <c r="S162" s="96">
        <v>0</v>
      </c>
      <c r="T162" s="96">
        <f t="shared" si="103"/>
        <v>2000</v>
      </c>
      <c r="U162" s="96">
        <v>0</v>
      </c>
      <c r="V162" s="96">
        <f t="shared" si="104"/>
        <v>2000</v>
      </c>
      <c r="W162" s="96">
        <v>3000</v>
      </c>
      <c r="X162" s="96">
        <f t="shared" si="105"/>
        <v>5000</v>
      </c>
    </row>
    <row r="163" spans="1:24" s="27" customFormat="1" ht="17.25" customHeight="1">
      <c r="A163" s="102"/>
      <c r="B163" s="98"/>
      <c r="C163" s="84">
        <v>4300</v>
      </c>
      <c r="D163" s="45" t="s">
        <v>201</v>
      </c>
      <c r="E163" s="96">
        <v>18000</v>
      </c>
      <c r="F163" s="96"/>
      <c r="G163" s="96"/>
      <c r="H163" s="96">
        <f t="shared" si="92"/>
        <v>18000</v>
      </c>
      <c r="I163" s="96"/>
      <c r="J163" s="96">
        <f t="shared" si="95"/>
        <v>18000</v>
      </c>
      <c r="K163" s="96">
        <v>0</v>
      </c>
      <c r="L163" s="96">
        <f t="shared" si="96"/>
        <v>18000</v>
      </c>
      <c r="M163" s="96">
        <v>0</v>
      </c>
      <c r="N163" s="96">
        <f t="shared" si="100"/>
        <v>18000</v>
      </c>
      <c r="O163" s="96">
        <v>0</v>
      </c>
      <c r="P163" s="96">
        <f t="shared" si="101"/>
        <v>18000</v>
      </c>
      <c r="Q163" s="96">
        <v>0</v>
      </c>
      <c r="R163" s="96">
        <f t="shared" si="102"/>
        <v>18000</v>
      </c>
      <c r="S163" s="96">
        <v>0</v>
      </c>
      <c r="T163" s="96">
        <f t="shared" si="103"/>
        <v>18000</v>
      </c>
      <c r="U163" s="96">
        <v>0</v>
      </c>
      <c r="V163" s="96">
        <f t="shared" si="104"/>
        <v>18000</v>
      </c>
      <c r="W163" s="96">
        <v>0</v>
      </c>
      <c r="X163" s="96">
        <f t="shared" si="105"/>
        <v>18000</v>
      </c>
    </row>
    <row r="164" spans="1:24" s="27" customFormat="1" ht="18" customHeight="1">
      <c r="A164" s="102"/>
      <c r="B164" s="98"/>
      <c r="C164" s="84">
        <v>4430</v>
      </c>
      <c r="D164" s="45" t="s">
        <v>216</v>
      </c>
      <c r="E164" s="96">
        <v>1000</v>
      </c>
      <c r="F164" s="96"/>
      <c r="G164" s="96"/>
      <c r="H164" s="96">
        <f>E164+F164-G164</f>
        <v>1000</v>
      </c>
      <c r="I164" s="96"/>
      <c r="J164" s="96">
        <f>SUM(H164:I164)</f>
        <v>1000</v>
      </c>
      <c r="K164" s="96">
        <v>0</v>
      </c>
      <c r="L164" s="96">
        <f>SUM(J164:K164)</f>
        <v>1000</v>
      </c>
      <c r="M164" s="96">
        <v>0</v>
      </c>
      <c r="N164" s="96">
        <f t="shared" si="100"/>
        <v>1000</v>
      </c>
      <c r="O164" s="96">
        <v>0</v>
      </c>
      <c r="P164" s="96">
        <f t="shared" si="101"/>
        <v>1000</v>
      </c>
      <c r="Q164" s="96">
        <v>0</v>
      </c>
      <c r="R164" s="96">
        <f t="shared" si="102"/>
        <v>1000</v>
      </c>
      <c r="S164" s="96">
        <v>0</v>
      </c>
      <c r="T164" s="96">
        <f t="shared" si="103"/>
        <v>1000</v>
      </c>
      <c r="U164" s="96">
        <v>0</v>
      </c>
      <c r="V164" s="96">
        <f t="shared" si="104"/>
        <v>1000</v>
      </c>
      <c r="W164" s="96">
        <v>0</v>
      </c>
      <c r="X164" s="96">
        <f t="shared" si="105"/>
        <v>1000</v>
      </c>
    </row>
    <row r="165" spans="1:24" s="27" customFormat="1" ht="18" customHeight="1">
      <c r="A165" s="102"/>
      <c r="B165" s="98"/>
      <c r="C165" s="84">
        <v>4580</v>
      </c>
      <c r="D165" s="45" t="s">
        <v>126</v>
      </c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>
        <v>0</v>
      </c>
      <c r="W165" s="96">
        <v>128</v>
      </c>
      <c r="X165" s="96">
        <f t="shared" si="105"/>
        <v>128</v>
      </c>
    </row>
    <row r="166" spans="1:24" s="27" customFormat="1" ht="24" customHeight="1">
      <c r="A166" s="102"/>
      <c r="B166" s="98"/>
      <c r="C166" s="84">
        <v>4610</v>
      </c>
      <c r="D166" s="45" t="s">
        <v>323</v>
      </c>
      <c r="E166" s="96"/>
      <c r="F166" s="96"/>
      <c r="G166" s="96"/>
      <c r="H166" s="96"/>
      <c r="I166" s="96"/>
      <c r="J166" s="96">
        <v>8000</v>
      </c>
      <c r="K166" s="96">
        <v>0</v>
      </c>
      <c r="L166" s="96">
        <f t="shared" si="96"/>
        <v>8000</v>
      </c>
      <c r="M166" s="96">
        <v>0</v>
      </c>
      <c r="N166" s="96">
        <f t="shared" si="100"/>
        <v>8000</v>
      </c>
      <c r="O166" s="96">
        <v>0</v>
      </c>
      <c r="P166" s="96">
        <f t="shared" si="101"/>
        <v>8000</v>
      </c>
      <c r="Q166" s="96">
        <v>0</v>
      </c>
      <c r="R166" s="96">
        <f t="shared" si="102"/>
        <v>8000</v>
      </c>
      <c r="S166" s="96">
        <v>0</v>
      </c>
      <c r="T166" s="96">
        <f t="shared" si="103"/>
        <v>8000</v>
      </c>
      <c r="U166" s="96">
        <v>0</v>
      </c>
      <c r="V166" s="96">
        <f t="shared" si="104"/>
        <v>8000</v>
      </c>
      <c r="W166" s="96">
        <v>5000</v>
      </c>
      <c r="X166" s="96">
        <f t="shared" si="105"/>
        <v>13000</v>
      </c>
    </row>
    <row r="167" spans="1:24" s="27" customFormat="1" ht="24">
      <c r="A167" s="102"/>
      <c r="B167" s="98"/>
      <c r="C167" s="84">
        <v>4740</v>
      </c>
      <c r="D167" s="45" t="s">
        <v>48</v>
      </c>
      <c r="E167" s="96">
        <v>4000</v>
      </c>
      <c r="F167" s="96"/>
      <c r="G167" s="96"/>
      <c r="H167" s="96">
        <f t="shared" si="92"/>
        <v>4000</v>
      </c>
      <c r="I167" s="96"/>
      <c r="J167" s="96">
        <f t="shared" si="95"/>
        <v>4000</v>
      </c>
      <c r="K167" s="96">
        <v>0</v>
      </c>
      <c r="L167" s="96">
        <f t="shared" si="96"/>
        <v>4000</v>
      </c>
      <c r="M167" s="96">
        <v>0</v>
      </c>
      <c r="N167" s="96">
        <f t="shared" si="100"/>
        <v>4000</v>
      </c>
      <c r="O167" s="96">
        <v>0</v>
      </c>
      <c r="P167" s="96">
        <f t="shared" si="101"/>
        <v>4000</v>
      </c>
      <c r="Q167" s="96">
        <v>0</v>
      </c>
      <c r="R167" s="96">
        <f t="shared" si="102"/>
        <v>4000</v>
      </c>
      <c r="S167" s="96">
        <v>0</v>
      </c>
      <c r="T167" s="96">
        <f t="shared" si="103"/>
        <v>4000</v>
      </c>
      <c r="U167" s="96">
        <v>0</v>
      </c>
      <c r="V167" s="96">
        <f t="shared" si="104"/>
        <v>4000</v>
      </c>
      <c r="W167" s="96">
        <v>0</v>
      </c>
      <c r="X167" s="96">
        <f t="shared" si="105"/>
        <v>4000</v>
      </c>
    </row>
    <row r="168" spans="1:24" s="7" customFormat="1" ht="17.25" customHeight="1">
      <c r="A168" s="40" t="s">
        <v>225</v>
      </c>
      <c r="B168" s="41"/>
      <c r="C168" s="42"/>
      <c r="D168" s="43" t="s">
        <v>226</v>
      </c>
      <c r="E168" s="44">
        <f>SUM(E169)</f>
        <v>573410</v>
      </c>
      <c r="F168" s="44">
        <f>SUM(F169)</f>
        <v>0</v>
      </c>
      <c r="G168" s="44">
        <f>SUM(G169)</f>
        <v>0</v>
      </c>
      <c r="H168" s="44">
        <f t="shared" si="92"/>
        <v>573410</v>
      </c>
      <c r="I168" s="44">
        <f aca="true" t="shared" si="106" ref="I168:X168">SUM(I169)</f>
        <v>12237</v>
      </c>
      <c r="J168" s="44">
        <f t="shared" si="106"/>
        <v>585647</v>
      </c>
      <c r="K168" s="44">
        <f t="shared" si="106"/>
        <v>0</v>
      </c>
      <c r="L168" s="44">
        <f t="shared" si="106"/>
        <v>585647</v>
      </c>
      <c r="M168" s="44">
        <f t="shared" si="106"/>
        <v>0</v>
      </c>
      <c r="N168" s="44">
        <f t="shared" si="106"/>
        <v>585647</v>
      </c>
      <c r="O168" s="44">
        <f t="shared" si="106"/>
        <v>0</v>
      </c>
      <c r="P168" s="44">
        <f t="shared" si="106"/>
        <v>585647</v>
      </c>
      <c r="Q168" s="44">
        <f t="shared" si="106"/>
        <v>0</v>
      </c>
      <c r="R168" s="44">
        <f t="shared" si="106"/>
        <v>585647</v>
      </c>
      <c r="S168" s="44">
        <f t="shared" si="106"/>
        <v>0</v>
      </c>
      <c r="T168" s="44">
        <f t="shared" si="106"/>
        <v>585647</v>
      </c>
      <c r="U168" s="44">
        <f t="shared" si="106"/>
        <v>0</v>
      </c>
      <c r="V168" s="44">
        <f t="shared" si="106"/>
        <v>585647</v>
      </c>
      <c r="W168" s="44">
        <f t="shared" si="106"/>
        <v>0</v>
      </c>
      <c r="X168" s="44">
        <f t="shared" si="106"/>
        <v>585647</v>
      </c>
    </row>
    <row r="169" spans="1:24" s="27" customFormat="1" ht="25.5" customHeight="1">
      <c r="A169" s="81"/>
      <c r="B169" s="98" t="s">
        <v>227</v>
      </c>
      <c r="C169" s="102"/>
      <c r="D169" s="45" t="s">
        <v>228</v>
      </c>
      <c r="E169" s="96">
        <f>SUM(E170:E170)</f>
        <v>573410</v>
      </c>
      <c r="F169" s="96">
        <f>SUM(F170:F170)</f>
        <v>0</v>
      </c>
      <c r="G169" s="96">
        <f>SUM(G170:G170)</f>
        <v>0</v>
      </c>
      <c r="H169" s="96">
        <f t="shared" si="92"/>
        <v>573410</v>
      </c>
      <c r="I169" s="96">
        <f>SUM(I170:I170)</f>
        <v>12237</v>
      </c>
      <c r="J169" s="96">
        <f aca="true" t="shared" si="107" ref="J169:X169">SUM(J170)</f>
        <v>585647</v>
      </c>
      <c r="K169" s="96">
        <f t="shared" si="107"/>
        <v>0</v>
      </c>
      <c r="L169" s="96">
        <f t="shared" si="107"/>
        <v>585647</v>
      </c>
      <c r="M169" s="96">
        <f t="shared" si="107"/>
        <v>0</v>
      </c>
      <c r="N169" s="96">
        <f t="shared" si="107"/>
        <v>585647</v>
      </c>
      <c r="O169" s="96">
        <f t="shared" si="107"/>
        <v>0</v>
      </c>
      <c r="P169" s="96">
        <f t="shared" si="107"/>
        <v>585647</v>
      </c>
      <c r="Q169" s="96">
        <f t="shared" si="107"/>
        <v>0</v>
      </c>
      <c r="R169" s="96">
        <f t="shared" si="107"/>
        <v>585647</v>
      </c>
      <c r="S169" s="96">
        <f t="shared" si="107"/>
        <v>0</v>
      </c>
      <c r="T169" s="96">
        <f t="shared" si="107"/>
        <v>585647</v>
      </c>
      <c r="U169" s="96">
        <f t="shared" si="107"/>
        <v>0</v>
      </c>
      <c r="V169" s="96">
        <f t="shared" si="107"/>
        <v>585647</v>
      </c>
      <c r="W169" s="96">
        <f t="shared" si="107"/>
        <v>0</v>
      </c>
      <c r="X169" s="96">
        <f t="shared" si="107"/>
        <v>585647</v>
      </c>
    </row>
    <row r="170" spans="1:24" s="27" customFormat="1" ht="36" customHeight="1">
      <c r="A170" s="81"/>
      <c r="B170" s="103"/>
      <c r="C170" s="102">
        <v>8070</v>
      </c>
      <c r="D170" s="45" t="s">
        <v>229</v>
      </c>
      <c r="E170" s="96">
        <f>563410+10000</f>
        <v>573410</v>
      </c>
      <c r="F170" s="96"/>
      <c r="G170" s="96"/>
      <c r="H170" s="96">
        <f t="shared" si="92"/>
        <v>573410</v>
      </c>
      <c r="I170" s="96">
        <v>12237</v>
      </c>
      <c r="J170" s="96">
        <f t="shared" si="95"/>
        <v>585647</v>
      </c>
      <c r="K170" s="96">
        <v>0</v>
      </c>
      <c r="L170" s="96">
        <f t="shared" si="96"/>
        <v>585647</v>
      </c>
      <c r="M170" s="96">
        <v>0</v>
      </c>
      <c r="N170" s="96">
        <f>SUM(L170:M170)</f>
        <v>585647</v>
      </c>
      <c r="O170" s="96">
        <v>0</v>
      </c>
      <c r="P170" s="96">
        <f>SUM(N170:O170)</f>
        <v>585647</v>
      </c>
      <c r="Q170" s="96">
        <v>0</v>
      </c>
      <c r="R170" s="96">
        <f>SUM(P170:Q170)</f>
        <v>585647</v>
      </c>
      <c r="S170" s="96">
        <v>0</v>
      </c>
      <c r="T170" s="96">
        <f>SUM(R170:S170)</f>
        <v>585647</v>
      </c>
      <c r="U170" s="96">
        <v>0</v>
      </c>
      <c r="V170" s="96">
        <f>SUM(T170:U170)</f>
        <v>585647</v>
      </c>
      <c r="W170" s="96">
        <v>0</v>
      </c>
      <c r="X170" s="96">
        <f>SUM(V170:W170)</f>
        <v>585647</v>
      </c>
    </row>
    <row r="171" spans="1:24" s="7" customFormat="1" ht="24.75" customHeight="1">
      <c r="A171" s="40" t="s">
        <v>166</v>
      </c>
      <c r="B171" s="41"/>
      <c r="C171" s="42"/>
      <c r="D171" s="43" t="s">
        <v>167</v>
      </c>
      <c r="E171" s="44">
        <f aca="true" t="shared" si="108" ref="E171:G172">SUM(E172)</f>
        <v>300000</v>
      </c>
      <c r="F171" s="44">
        <f t="shared" si="108"/>
        <v>0</v>
      </c>
      <c r="G171" s="44">
        <f t="shared" si="108"/>
        <v>0</v>
      </c>
      <c r="H171" s="44">
        <f t="shared" si="92"/>
        <v>300000</v>
      </c>
      <c r="I171" s="44">
        <f aca="true" t="shared" si="109" ref="I171:X172">SUM(I172)</f>
        <v>0</v>
      </c>
      <c r="J171" s="44">
        <f t="shared" si="109"/>
        <v>300000</v>
      </c>
      <c r="K171" s="44">
        <f t="shared" si="109"/>
        <v>0</v>
      </c>
      <c r="L171" s="44">
        <f t="shared" si="109"/>
        <v>300000</v>
      </c>
      <c r="M171" s="44">
        <f t="shared" si="109"/>
        <v>0</v>
      </c>
      <c r="N171" s="44">
        <f t="shared" si="109"/>
        <v>300000</v>
      </c>
      <c r="O171" s="44">
        <f t="shared" si="109"/>
        <v>0</v>
      </c>
      <c r="P171" s="44">
        <f t="shared" si="109"/>
        <v>300000</v>
      </c>
      <c r="Q171" s="44">
        <f t="shared" si="109"/>
        <v>0</v>
      </c>
      <c r="R171" s="44">
        <f t="shared" si="109"/>
        <v>300000</v>
      </c>
      <c r="S171" s="44">
        <f t="shared" si="109"/>
        <v>0</v>
      </c>
      <c r="T171" s="44">
        <f t="shared" si="109"/>
        <v>300000</v>
      </c>
      <c r="U171" s="44">
        <f t="shared" si="109"/>
        <v>0</v>
      </c>
      <c r="V171" s="44">
        <f t="shared" si="109"/>
        <v>300000</v>
      </c>
      <c r="W171" s="44">
        <f t="shared" si="109"/>
        <v>-86000</v>
      </c>
      <c r="X171" s="44">
        <f t="shared" si="109"/>
        <v>214000</v>
      </c>
    </row>
    <row r="172" spans="1:24" s="27" customFormat="1" ht="21.75" customHeight="1">
      <c r="A172" s="81"/>
      <c r="B172" s="98" t="s">
        <v>230</v>
      </c>
      <c r="C172" s="102"/>
      <c r="D172" s="45" t="s">
        <v>231</v>
      </c>
      <c r="E172" s="96">
        <f t="shared" si="108"/>
        <v>300000</v>
      </c>
      <c r="F172" s="96">
        <f t="shared" si="108"/>
        <v>0</v>
      </c>
      <c r="G172" s="96">
        <f t="shared" si="108"/>
        <v>0</v>
      </c>
      <c r="H172" s="96">
        <f t="shared" si="92"/>
        <v>300000</v>
      </c>
      <c r="I172" s="96">
        <f t="shared" si="109"/>
        <v>0</v>
      </c>
      <c r="J172" s="96">
        <f t="shared" si="109"/>
        <v>300000</v>
      </c>
      <c r="K172" s="96">
        <f t="shared" si="109"/>
        <v>0</v>
      </c>
      <c r="L172" s="96">
        <f t="shared" si="109"/>
        <v>300000</v>
      </c>
      <c r="M172" s="96">
        <f t="shared" si="109"/>
        <v>0</v>
      </c>
      <c r="N172" s="96">
        <f t="shared" si="109"/>
        <v>300000</v>
      </c>
      <c r="O172" s="96">
        <f t="shared" si="109"/>
        <v>0</v>
      </c>
      <c r="P172" s="96">
        <f t="shared" si="109"/>
        <v>300000</v>
      </c>
      <c r="Q172" s="96">
        <f t="shared" si="109"/>
        <v>0</v>
      </c>
      <c r="R172" s="96">
        <f t="shared" si="109"/>
        <v>300000</v>
      </c>
      <c r="S172" s="96">
        <f t="shared" si="109"/>
        <v>0</v>
      </c>
      <c r="T172" s="96">
        <f t="shared" si="109"/>
        <v>300000</v>
      </c>
      <c r="U172" s="96">
        <f t="shared" si="109"/>
        <v>0</v>
      </c>
      <c r="V172" s="96">
        <f t="shared" si="109"/>
        <v>300000</v>
      </c>
      <c r="W172" s="96">
        <f t="shared" si="109"/>
        <v>-86000</v>
      </c>
      <c r="X172" s="96">
        <f t="shared" si="109"/>
        <v>214000</v>
      </c>
    </row>
    <row r="173" spans="1:24" s="27" customFormat="1" ht="21" customHeight="1">
      <c r="A173" s="81"/>
      <c r="B173" s="103"/>
      <c r="C173" s="102">
        <v>4810</v>
      </c>
      <c r="D173" s="45" t="s">
        <v>232</v>
      </c>
      <c r="E173" s="96">
        <f>158429+141571</f>
        <v>300000</v>
      </c>
      <c r="F173" s="96"/>
      <c r="G173" s="96"/>
      <c r="H173" s="96">
        <f t="shared" si="92"/>
        <v>300000</v>
      </c>
      <c r="I173" s="96"/>
      <c r="J173" s="96">
        <f t="shared" si="95"/>
        <v>300000</v>
      </c>
      <c r="K173" s="96">
        <v>0</v>
      </c>
      <c r="L173" s="96">
        <f t="shared" si="96"/>
        <v>300000</v>
      </c>
      <c r="M173" s="96">
        <v>0</v>
      </c>
      <c r="N173" s="96">
        <f>SUM(L173:M173)</f>
        <v>300000</v>
      </c>
      <c r="O173" s="96">
        <v>0</v>
      </c>
      <c r="P173" s="96">
        <f>SUM(N173:O173)</f>
        <v>300000</v>
      </c>
      <c r="Q173" s="96">
        <v>0</v>
      </c>
      <c r="R173" s="96">
        <f>SUM(P173:Q173)</f>
        <v>300000</v>
      </c>
      <c r="S173" s="96">
        <v>0</v>
      </c>
      <c r="T173" s="96">
        <f>SUM(R173:S173)</f>
        <v>300000</v>
      </c>
      <c r="U173" s="96">
        <v>0</v>
      </c>
      <c r="V173" s="96">
        <f>SUM(T173:U173)</f>
        <v>300000</v>
      </c>
      <c r="W173" s="96">
        <v>-86000</v>
      </c>
      <c r="X173" s="96">
        <f>SUM(V173:W173)</f>
        <v>214000</v>
      </c>
    </row>
    <row r="174" spans="1:24" s="8" customFormat="1" ht="24.75" customHeight="1">
      <c r="A174" s="40" t="s">
        <v>233</v>
      </c>
      <c r="B174" s="41"/>
      <c r="C174" s="42"/>
      <c r="D174" s="43" t="s">
        <v>234</v>
      </c>
      <c r="E174" s="44">
        <f>SUM(E175,E201,E214,E218,E246,E253,E257)</f>
        <v>18436553</v>
      </c>
      <c r="F174" s="44">
        <f>SUM(F175,F201,F214,F218,F246,F253,F257)</f>
        <v>200000</v>
      </c>
      <c r="G174" s="44">
        <f>SUM(G175,G201,G214,G218,G246,G253,G257)</f>
        <v>0</v>
      </c>
      <c r="H174" s="44">
        <f t="shared" si="92"/>
        <v>18636553</v>
      </c>
      <c r="I174" s="44">
        <f>SUM(I175,I201,I214,I218,I246,I253,I257)</f>
        <v>-143140</v>
      </c>
      <c r="J174" s="44">
        <f aca="true" t="shared" si="110" ref="J174:P174">SUM(J175,J201,J214,J218,J246,J253,J257,)</f>
        <v>18493413</v>
      </c>
      <c r="K174" s="44">
        <f t="shared" si="110"/>
        <v>17495</v>
      </c>
      <c r="L174" s="44">
        <f t="shared" si="110"/>
        <v>18510908</v>
      </c>
      <c r="M174" s="44">
        <f t="shared" si="110"/>
        <v>33110</v>
      </c>
      <c r="N174" s="44">
        <f t="shared" si="110"/>
        <v>18544018</v>
      </c>
      <c r="O174" s="44">
        <f t="shared" si="110"/>
        <v>0</v>
      </c>
      <c r="P174" s="44">
        <f t="shared" si="110"/>
        <v>18544018</v>
      </c>
      <c r="Q174" s="44">
        <f aca="true" t="shared" si="111" ref="Q174:V174">SUM(Q175,Q201,Q214,Q218,Q246,Q253,Q257,)</f>
        <v>100355</v>
      </c>
      <c r="R174" s="44">
        <f t="shared" si="111"/>
        <v>18644373</v>
      </c>
      <c r="S174" s="44">
        <f t="shared" si="111"/>
        <v>40107</v>
      </c>
      <c r="T174" s="44">
        <f t="shared" si="111"/>
        <v>18684480</v>
      </c>
      <c r="U174" s="44">
        <f t="shared" si="111"/>
        <v>0</v>
      </c>
      <c r="V174" s="44">
        <f t="shared" si="111"/>
        <v>18684480</v>
      </c>
      <c r="W174" s="44">
        <f>SUM(W175,W201,W214,W218,W246,W253,W257,)</f>
        <v>72654</v>
      </c>
      <c r="X174" s="44">
        <f>SUM(X175,X201,X214,X218,X246,X253,X257,)</f>
        <v>18757134</v>
      </c>
    </row>
    <row r="175" spans="1:24" s="27" customFormat="1" ht="21.75" customHeight="1">
      <c r="A175" s="81"/>
      <c r="B175" s="98" t="s">
        <v>235</v>
      </c>
      <c r="C175" s="102"/>
      <c r="D175" s="45" t="s">
        <v>172</v>
      </c>
      <c r="E175" s="96">
        <f>SUM(E176:E200)</f>
        <v>9949032</v>
      </c>
      <c r="F175" s="96">
        <f>SUM(F176:F200)</f>
        <v>150000</v>
      </c>
      <c r="G175" s="96">
        <f>SUM(G176:G200)</f>
        <v>0</v>
      </c>
      <c r="H175" s="96">
        <f t="shared" si="92"/>
        <v>10099032</v>
      </c>
      <c r="I175" s="96">
        <f aca="true" t="shared" si="112" ref="I175:N175">SUM(I176:I200)</f>
        <v>-146960</v>
      </c>
      <c r="J175" s="96">
        <f t="shared" si="112"/>
        <v>9952072</v>
      </c>
      <c r="K175" s="96">
        <f t="shared" si="112"/>
        <v>11277</v>
      </c>
      <c r="L175" s="96">
        <f t="shared" si="112"/>
        <v>9963349</v>
      </c>
      <c r="M175" s="96">
        <f t="shared" si="112"/>
        <v>33110</v>
      </c>
      <c r="N175" s="96">
        <f t="shared" si="112"/>
        <v>9996459</v>
      </c>
      <c r="O175" s="96">
        <f aca="true" t="shared" si="113" ref="O175:T175">SUM(O176:O200)</f>
        <v>0</v>
      </c>
      <c r="P175" s="96">
        <f t="shared" si="113"/>
        <v>9996459</v>
      </c>
      <c r="Q175" s="96">
        <f t="shared" si="113"/>
        <v>13977</v>
      </c>
      <c r="R175" s="96">
        <f t="shared" si="113"/>
        <v>10010436</v>
      </c>
      <c r="S175" s="96">
        <f t="shared" si="113"/>
        <v>0</v>
      </c>
      <c r="T175" s="96">
        <f t="shared" si="113"/>
        <v>10010436</v>
      </c>
      <c r="U175" s="96">
        <f>SUM(U176:U200)</f>
        <v>0</v>
      </c>
      <c r="V175" s="96">
        <f>SUM(V176:V200)</f>
        <v>10010436</v>
      </c>
      <c r="W175" s="96">
        <f>SUM(W176:W200)</f>
        <v>70182</v>
      </c>
      <c r="X175" s="96">
        <f>SUM(X176:X200)</f>
        <v>10080618</v>
      </c>
    </row>
    <row r="176" spans="1:24" s="27" customFormat="1" ht="32.25" customHeight="1">
      <c r="A176" s="81"/>
      <c r="B176" s="98"/>
      <c r="C176" s="102">
        <v>2540</v>
      </c>
      <c r="D176" s="45" t="s">
        <v>325</v>
      </c>
      <c r="E176" s="96">
        <v>262446</v>
      </c>
      <c r="F176" s="96"/>
      <c r="G176" s="96"/>
      <c r="H176" s="96">
        <f t="shared" si="92"/>
        <v>262446</v>
      </c>
      <c r="I176" s="96"/>
      <c r="J176" s="96">
        <f t="shared" si="95"/>
        <v>262446</v>
      </c>
      <c r="K176" s="96">
        <v>0</v>
      </c>
      <c r="L176" s="96">
        <f t="shared" si="96"/>
        <v>262446</v>
      </c>
      <c r="M176" s="96">
        <v>0</v>
      </c>
      <c r="N176" s="96">
        <f aca="true" t="shared" si="114" ref="N176:N200">SUM(L176:M176)</f>
        <v>262446</v>
      </c>
      <c r="O176" s="96">
        <v>0</v>
      </c>
      <c r="P176" s="96">
        <f aca="true" t="shared" si="115" ref="P176:P200">SUM(N176:O176)</f>
        <v>262446</v>
      </c>
      <c r="Q176" s="96">
        <v>22222</v>
      </c>
      <c r="R176" s="96">
        <f aca="true" t="shared" si="116" ref="R176:R200">SUM(P176:Q176)</f>
        <v>284668</v>
      </c>
      <c r="S176" s="96">
        <v>0</v>
      </c>
      <c r="T176" s="96">
        <f aca="true" t="shared" si="117" ref="T176:T200">SUM(R176:S176)</f>
        <v>284668</v>
      </c>
      <c r="U176" s="96">
        <v>0</v>
      </c>
      <c r="V176" s="96">
        <f aca="true" t="shared" si="118" ref="V176:V200">SUM(T176:U176)</f>
        <v>284668</v>
      </c>
      <c r="W176" s="96">
        <v>0</v>
      </c>
      <c r="X176" s="96">
        <f aca="true" t="shared" si="119" ref="X176:X200">SUM(V176:W176)</f>
        <v>284668</v>
      </c>
    </row>
    <row r="177" spans="1:24" s="27" customFormat="1" ht="21" customHeight="1">
      <c r="A177" s="81"/>
      <c r="B177" s="98"/>
      <c r="C177" s="81">
        <v>3020</v>
      </c>
      <c r="D177" s="45" t="s">
        <v>377</v>
      </c>
      <c r="E177" s="96">
        <v>168777</v>
      </c>
      <c r="F177" s="96"/>
      <c r="G177" s="96"/>
      <c r="H177" s="96">
        <f t="shared" si="92"/>
        <v>168777</v>
      </c>
      <c r="I177" s="96"/>
      <c r="J177" s="96">
        <f t="shared" si="95"/>
        <v>168777</v>
      </c>
      <c r="K177" s="96">
        <v>0</v>
      </c>
      <c r="L177" s="96">
        <f t="shared" si="96"/>
        <v>168777</v>
      </c>
      <c r="M177" s="96">
        <v>0</v>
      </c>
      <c r="N177" s="96">
        <f t="shared" si="114"/>
        <v>168777</v>
      </c>
      <c r="O177" s="96">
        <v>0</v>
      </c>
      <c r="P177" s="96">
        <f t="shared" si="115"/>
        <v>168777</v>
      </c>
      <c r="Q177" s="96">
        <v>0</v>
      </c>
      <c r="R177" s="96">
        <f t="shared" si="116"/>
        <v>168777</v>
      </c>
      <c r="S177" s="96">
        <v>0</v>
      </c>
      <c r="T177" s="96">
        <f t="shared" si="117"/>
        <v>168777</v>
      </c>
      <c r="U177" s="96">
        <v>0</v>
      </c>
      <c r="V177" s="96">
        <f t="shared" si="118"/>
        <v>168777</v>
      </c>
      <c r="W177" s="96">
        <v>-1630</v>
      </c>
      <c r="X177" s="96">
        <f t="shared" si="119"/>
        <v>167147</v>
      </c>
    </row>
    <row r="178" spans="1:26" s="27" customFormat="1" ht="21" customHeight="1">
      <c r="A178" s="81"/>
      <c r="B178" s="98"/>
      <c r="C178" s="81">
        <v>4010</v>
      </c>
      <c r="D178" s="45" t="s">
        <v>206</v>
      </c>
      <c r="E178" s="96">
        <v>5948500</v>
      </c>
      <c r="F178" s="96"/>
      <c r="G178" s="96"/>
      <c r="H178" s="96">
        <f t="shared" si="92"/>
        <v>5948500</v>
      </c>
      <c r="I178" s="96"/>
      <c r="J178" s="96">
        <f t="shared" si="95"/>
        <v>5948500</v>
      </c>
      <c r="K178" s="96">
        <v>0</v>
      </c>
      <c r="L178" s="96">
        <f t="shared" si="96"/>
        <v>5948500</v>
      </c>
      <c r="M178" s="96">
        <v>27644</v>
      </c>
      <c r="N178" s="96">
        <f t="shared" si="114"/>
        <v>5976144</v>
      </c>
      <c r="O178" s="96">
        <v>0</v>
      </c>
      <c r="P178" s="96">
        <f t="shared" si="115"/>
        <v>5976144</v>
      </c>
      <c r="Q178" s="96">
        <v>0</v>
      </c>
      <c r="R178" s="96">
        <f t="shared" si="116"/>
        <v>5976144</v>
      </c>
      <c r="S178" s="96">
        <v>0</v>
      </c>
      <c r="T178" s="96">
        <f t="shared" si="117"/>
        <v>5976144</v>
      </c>
      <c r="U178" s="96">
        <v>0</v>
      </c>
      <c r="V178" s="96">
        <f t="shared" si="118"/>
        <v>5976144</v>
      </c>
      <c r="W178" s="96">
        <f>-1000+28102</f>
        <v>27102</v>
      </c>
      <c r="X178" s="96">
        <f t="shared" si="119"/>
        <v>6003246</v>
      </c>
      <c r="Y178" s="150"/>
      <c r="Z178" s="150"/>
    </row>
    <row r="179" spans="1:26" s="27" customFormat="1" ht="21" customHeight="1">
      <c r="A179" s="81"/>
      <c r="B179" s="98"/>
      <c r="C179" s="81">
        <v>4040</v>
      </c>
      <c r="D179" s="45" t="s">
        <v>207</v>
      </c>
      <c r="E179" s="96">
        <v>462147</v>
      </c>
      <c r="F179" s="96"/>
      <c r="G179" s="96"/>
      <c r="H179" s="96">
        <f t="shared" si="92"/>
        <v>462147</v>
      </c>
      <c r="I179" s="96"/>
      <c r="J179" s="96">
        <f t="shared" si="95"/>
        <v>462147</v>
      </c>
      <c r="K179" s="96">
        <v>0</v>
      </c>
      <c r="L179" s="96">
        <f t="shared" si="96"/>
        <v>462147</v>
      </c>
      <c r="M179" s="96">
        <v>0</v>
      </c>
      <c r="N179" s="96">
        <f t="shared" si="114"/>
        <v>462147</v>
      </c>
      <c r="O179" s="96">
        <v>0</v>
      </c>
      <c r="P179" s="96">
        <f t="shared" si="115"/>
        <v>462147</v>
      </c>
      <c r="Q179" s="96">
        <v>-24322</v>
      </c>
      <c r="R179" s="96">
        <f t="shared" si="116"/>
        <v>437825</v>
      </c>
      <c r="S179" s="96">
        <v>0</v>
      </c>
      <c r="T179" s="96">
        <f t="shared" si="117"/>
        <v>437825</v>
      </c>
      <c r="U179" s="96">
        <v>0</v>
      </c>
      <c r="V179" s="96">
        <f t="shared" si="118"/>
        <v>437825</v>
      </c>
      <c r="W179" s="96">
        <v>0</v>
      </c>
      <c r="X179" s="96">
        <f t="shared" si="119"/>
        <v>437825</v>
      </c>
      <c r="Y179" s="150"/>
      <c r="Z179" s="150"/>
    </row>
    <row r="180" spans="1:26" s="27" customFormat="1" ht="21" customHeight="1">
      <c r="A180" s="81"/>
      <c r="B180" s="98"/>
      <c r="C180" s="81">
        <v>4110</v>
      </c>
      <c r="D180" s="45" t="s">
        <v>208</v>
      </c>
      <c r="E180" s="96">
        <v>1109510</v>
      </c>
      <c r="F180" s="96"/>
      <c r="G180" s="96"/>
      <c r="H180" s="96">
        <f t="shared" si="92"/>
        <v>1109510</v>
      </c>
      <c r="I180" s="96"/>
      <c r="J180" s="96">
        <f t="shared" si="95"/>
        <v>1109510</v>
      </c>
      <c r="K180" s="96">
        <v>0</v>
      </c>
      <c r="L180" s="96">
        <f t="shared" si="96"/>
        <v>1109510</v>
      </c>
      <c r="M180" s="96">
        <v>4786</v>
      </c>
      <c r="N180" s="96">
        <f t="shared" si="114"/>
        <v>1114296</v>
      </c>
      <c r="O180" s="96">
        <v>0</v>
      </c>
      <c r="P180" s="96">
        <f t="shared" si="115"/>
        <v>1114296</v>
      </c>
      <c r="Q180" s="96">
        <v>0</v>
      </c>
      <c r="R180" s="96">
        <f t="shared" si="116"/>
        <v>1114296</v>
      </c>
      <c r="S180" s="96">
        <v>0</v>
      </c>
      <c r="T180" s="96">
        <f t="shared" si="117"/>
        <v>1114296</v>
      </c>
      <c r="U180" s="96">
        <v>0</v>
      </c>
      <c r="V180" s="96">
        <f t="shared" si="118"/>
        <v>1114296</v>
      </c>
      <c r="W180" s="96">
        <f>300+6126</f>
        <v>6426</v>
      </c>
      <c r="X180" s="96">
        <f t="shared" si="119"/>
        <v>1120722</v>
      </c>
      <c r="Y180" s="150"/>
      <c r="Z180" s="150"/>
    </row>
    <row r="181" spans="1:26" s="27" customFormat="1" ht="21" customHeight="1">
      <c r="A181" s="81"/>
      <c r="B181" s="98"/>
      <c r="C181" s="81">
        <v>4120</v>
      </c>
      <c r="D181" s="45" t="s">
        <v>209</v>
      </c>
      <c r="E181" s="96">
        <v>156481</v>
      </c>
      <c r="F181" s="96"/>
      <c r="G181" s="96"/>
      <c r="H181" s="96">
        <f t="shared" si="92"/>
        <v>156481</v>
      </c>
      <c r="I181" s="96"/>
      <c r="J181" s="96">
        <f t="shared" si="95"/>
        <v>156481</v>
      </c>
      <c r="K181" s="96">
        <v>0</v>
      </c>
      <c r="L181" s="96">
        <f t="shared" si="96"/>
        <v>156481</v>
      </c>
      <c r="M181" s="96">
        <v>680</v>
      </c>
      <c r="N181" s="96">
        <f t="shared" si="114"/>
        <v>157161</v>
      </c>
      <c r="O181" s="96">
        <v>0</v>
      </c>
      <c r="P181" s="96">
        <f t="shared" si="115"/>
        <v>157161</v>
      </c>
      <c r="Q181" s="96">
        <v>0</v>
      </c>
      <c r="R181" s="96">
        <f t="shared" si="116"/>
        <v>157161</v>
      </c>
      <c r="S181" s="96">
        <v>0</v>
      </c>
      <c r="T181" s="96">
        <f t="shared" si="117"/>
        <v>157161</v>
      </c>
      <c r="U181" s="96">
        <v>0</v>
      </c>
      <c r="V181" s="96">
        <f t="shared" si="118"/>
        <v>157161</v>
      </c>
      <c r="W181" s="96">
        <f>200+860</f>
        <v>1060</v>
      </c>
      <c r="X181" s="96">
        <f t="shared" si="119"/>
        <v>158221</v>
      </c>
      <c r="Y181" s="150"/>
      <c r="Z181" s="150"/>
    </row>
    <row r="182" spans="1:26" s="27" customFormat="1" ht="19.5" customHeight="1">
      <c r="A182" s="81"/>
      <c r="B182" s="98"/>
      <c r="C182" s="81">
        <v>4170</v>
      </c>
      <c r="D182" s="45" t="s">
        <v>339</v>
      </c>
      <c r="E182" s="96">
        <v>30986</v>
      </c>
      <c r="F182" s="96"/>
      <c r="G182" s="96"/>
      <c r="H182" s="96">
        <f t="shared" si="92"/>
        <v>30986</v>
      </c>
      <c r="I182" s="96"/>
      <c r="J182" s="96">
        <f t="shared" si="95"/>
        <v>30986</v>
      </c>
      <c r="K182" s="96">
        <v>0</v>
      </c>
      <c r="L182" s="96">
        <f t="shared" si="96"/>
        <v>30986</v>
      </c>
      <c r="M182" s="96">
        <v>0</v>
      </c>
      <c r="N182" s="96">
        <f t="shared" si="114"/>
        <v>30986</v>
      </c>
      <c r="O182" s="96">
        <v>0</v>
      </c>
      <c r="P182" s="96">
        <f t="shared" si="115"/>
        <v>30986</v>
      </c>
      <c r="Q182" s="96">
        <v>0</v>
      </c>
      <c r="R182" s="96">
        <f t="shared" si="116"/>
        <v>30986</v>
      </c>
      <c r="S182" s="96">
        <v>0</v>
      </c>
      <c r="T182" s="96">
        <f t="shared" si="117"/>
        <v>30986</v>
      </c>
      <c r="U182" s="96">
        <v>0</v>
      </c>
      <c r="V182" s="96">
        <f t="shared" si="118"/>
        <v>30986</v>
      </c>
      <c r="W182" s="96">
        <f>-270+830</f>
        <v>560</v>
      </c>
      <c r="X182" s="96">
        <f t="shared" si="119"/>
        <v>31546</v>
      </c>
      <c r="Y182" s="150"/>
      <c r="Z182" s="150"/>
    </row>
    <row r="183" spans="1:24" s="27" customFormat="1" ht="19.5" customHeight="1">
      <c r="A183" s="81"/>
      <c r="B183" s="98"/>
      <c r="C183" s="81">
        <v>4210</v>
      </c>
      <c r="D183" s="45" t="s">
        <v>214</v>
      </c>
      <c r="E183" s="96">
        <f>3000+329460</f>
        <v>332460</v>
      </c>
      <c r="F183" s="96"/>
      <c r="G183" s="96"/>
      <c r="H183" s="96">
        <f aca="true" t="shared" si="120" ref="H183:H195">E183+F183-G183</f>
        <v>332460</v>
      </c>
      <c r="I183" s="96">
        <f>300+300+200+200</f>
        <v>1000</v>
      </c>
      <c r="J183" s="96">
        <f t="shared" si="95"/>
        <v>333460</v>
      </c>
      <c r="K183" s="96">
        <v>6591</v>
      </c>
      <c r="L183" s="96">
        <f t="shared" si="96"/>
        <v>340051</v>
      </c>
      <c r="M183" s="96">
        <v>0</v>
      </c>
      <c r="N183" s="96">
        <f t="shared" si="114"/>
        <v>340051</v>
      </c>
      <c r="O183" s="96">
        <v>0</v>
      </c>
      <c r="P183" s="96">
        <f t="shared" si="115"/>
        <v>340051</v>
      </c>
      <c r="Q183" s="96">
        <v>9056</v>
      </c>
      <c r="R183" s="96">
        <f t="shared" si="116"/>
        <v>349107</v>
      </c>
      <c r="S183" s="96">
        <v>0</v>
      </c>
      <c r="T183" s="96">
        <f t="shared" si="117"/>
        <v>349107</v>
      </c>
      <c r="U183" s="96">
        <v>0</v>
      </c>
      <c r="V183" s="96">
        <f t="shared" si="118"/>
        <v>349107</v>
      </c>
      <c r="W183" s="96">
        <f>8110-200</f>
        <v>7910</v>
      </c>
      <c r="X183" s="96">
        <f t="shared" si="119"/>
        <v>357017</v>
      </c>
    </row>
    <row r="184" spans="1:24" s="27" customFormat="1" ht="25.5" customHeight="1">
      <c r="A184" s="81"/>
      <c r="B184" s="98"/>
      <c r="C184" s="102">
        <v>4230</v>
      </c>
      <c r="D184" s="45" t="s">
        <v>626</v>
      </c>
      <c r="E184" s="96">
        <v>1360</v>
      </c>
      <c r="F184" s="96"/>
      <c r="G184" s="96"/>
      <c r="H184" s="96">
        <f t="shared" si="120"/>
        <v>1360</v>
      </c>
      <c r="I184" s="96"/>
      <c r="J184" s="96">
        <f t="shared" si="95"/>
        <v>1360</v>
      </c>
      <c r="K184" s="96">
        <v>0</v>
      </c>
      <c r="L184" s="96">
        <f t="shared" si="96"/>
        <v>1360</v>
      </c>
      <c r="M184" s="96">
        <v>0</v>
      </c>
      <c r="N184" s="96">
        <f t="shared" si="114"/>
        <v>1360</v>
      </c>
      <c r="O184" s="96">
        <v>0</v>
      </c>
      <c r="P184" s="96">
        <f t="shared" si="115"/>
        <v>1360</v>
      </c>
      <c r="Q184" s="96">
        <v>0</v>
      </c>
      <c r="R184" s="96">
        <f t="shared" si="116"/>
        <v>1360</v>
      </c>
      <c r="S184" s="96">
        <v>0</v>
      </c>
      <c r="T184" s="96">
        <f t="shared" si="117"/>
        <v>1360</v>
      </c>
      <c r="U184" s="96">
        <v>0</v>
      </c>
      <c r="V184" s="96">
        <f t="shared" si="118"/>
        <v>1360</v>
      </c>
      <c r="W184" s="96">
        <v>0</v>
      </c>
      <c r="X184" s="96">
        <f t="shared" si="119"/>
        <v>1360</v>
      </c>
    </row>
    <row r="185" spans="1:24" s="27" customFormat="1" ht="21" customHeight="1">
      <c r="A185" s="81"/>
      <c r="B185" s="98"/>
      <c r="C185" s="102">
        <v>4240</v>
      </c>
      <c r="D185" s="45" t="s">
        <v>247</v>
      </c>
      <c r="E185" s="96">
        <f>14050+50000</f>
        <v>64050</v>
      </c>
      <c r="F185" s="96"/>
      <c r="G185" s="96"/>
      <c r="H185" s="96">
        <f t="shared" si="120"/>
        <v>64050</v>
      </c>
      <c r="I185" s="96"/>
      <c r="J185" s="96">
        <f t="shared" si="95"/>
        <v>64050</v>
      </c>
      <c r="K185" s="96">
        <v>0</v>
      </c>
      <c r="L185" s="96">
        <f t="shared" si="96"/>
        <v>64050</v>
      </c>
      <c r="M185" s="96">
        <v>0</v>
      </c>
      <c r="N185" s="96">
        <f t="shared" si="114"/>
        <v>64050</v>
      </c>
      <c r="O185" s="96">
        <v>0</v>
      </c>
      <c r="P185" s="96">
        <f t="shared" si="115"/>
        <v>64050</v>
      </c>
      <c r="Q185" s="96">
        <v>1090</v>
      </c>
      <c r="R185" s="96">
        <f t="shared" si="116"/>
        <v>65140</v>
      </c>
      <c r="S185" s="96">
        <v>0</v>
      </c>
      <c r="T185" s="96">
        <f t="shared" si="117"/>
        <v>65140</v>
      </c>
      <c r="U185" s="96">
        <v>0</v>
      </c>
      <c r="V185" s="96">
        <f t="shared" si="118"/>
        <v>65140</v>
      </c>
      <c r="W185" s="96">
        <v>0</v>
      </c>
      <c r="X185" s="96">
        <f t="shared" si="119"/>
        <v>65140</v>
      </c>
    </row>
    <row r="186" spans="1:24" s="27" customFormat="1" ht="21" customHeight="1">
      <c r="A186" s="81"/>
      <c r="B186" s="98"/>
      <c r="C186" s="81">
        <v>4260</v>
      </c>
      <c r="D186" s="45" t="s">
        <v>217</v>
      </c>
      <c r="E186" s="96">
        <v>471760</v>
      </c>
      <c r="F186" s="96"/>
      <c r="G186" s="96"/>
      <c r="H186" s="96">
        <f t="shared" si="120"/>
        <v>471760</v>
      </c>
      <c r="I186" s="96"/>
      <c r="J186" s="96">
        <f t="shared" si="95"/>
        <v>471760</v>
      </c>
      <c r="K186" s="96">
        <v>0</v>
      </c>
      <c r="L186" s="96">
        <f t="shared" si="96"/>
        <v>471760</v>
      </c>
      <c r="M186" s="96">
        <v>0</v>
      </c>
      <c r="N186" s="96">
        <f t="shared" si="114"/>
        <v>471760</v>
      </c>
      <c r="O186" s="96">
        <v>0</v>
      </c>
      <c r="P186" s="96">
        <f t="shared" si="115"/>
        <v>471760</v>
      </c>
      <c r="Q186" s="96">
        <v>0</v>
      </c>
      <c r="R186" s="96">
        <f t="shared" si="116"/>
        <v>471760</v>
      </c>
      <c r="S186" s="96">
        <v>0</v>
      </c>
      <c r="T186" s="96">
        <f t="shared" si="117"/>
        <v>471760</v>
      </c>
      <c r="U186" s="96">
        <v>0</v>
      </c>
      <c r="V186" s="96">
        <f t="shared" si="118"/>
        <v>471760</v>
      </c>
      <c r="W186" s="96">
        <v>-2400</v>
      </c>
      <c r="X186" s="96">
        <f t="shared" si="119"/>
        <v>469360</v>
      </c>
    </row>
    <row r="187" spans="1:24" s="27" customFormat="1" ht="21" customHeight="1">
      <c r="A187" s="81"/>
      <c r="B187" s="98"/>
      <c r="C187" s="81">
        <v>4270</v>
      </c>
      <c r="D187" s="45" t="s">
        <v>200</v>
      </c>
      <c r="E187" s="96">
        <f>300000+71200</f>
        <v>371200</v>
      </c>
      <c r="F187" s="96"/>
      <c r="G187" s="96"/>
      <c r="H187" s="96">
        <f t="shared" si="120"/>
        <v>371200</v>
      </c>
      <c r="I187" s="96"/>
      <c r="J187" s="96">
        <f t="shared" si="95"/>
        <v>371200</v>
      </c>
      <c r="K187" s="96">
        <v>2372</v>
      </c>
      <c r="L187" s="96">
        <f t="shared" si="96"/>
        <v>373572</v>
      </c>
      <c r="M187" s="96">
        <v>0</v>
      </c>
      <c r="N187" s="96">
        <f t="shared" si="114"/>
        <v>373572</v>
      </c>
      <c r="O187" s="96">
        <f>-850+850</f>
        <v>0</v>
      </c>
      <c r="P187" s="96">
        <f t="shared" si="115"/>
        <v>373572</v>
      </c>
      <c r="Q187" s="286">
        <v>13787</v>
      </c>
      <c r="R187" s="96">
        <f t="shared" si="116"/>
        <v>387359</v>
      </c>
      <c r="S187" s="269">
        <v>0</v>
      </c>
      <c r="T187" s="96">
        <f t="shared" si="117"/>
        <v>387359</v>
      </c>
      <c r="U187" s="269">
        <v>0</v>
      </c>
      <c r="V187" s="96">
        <f t="shared" si="118"/>
        <v>387359</v>
      </c>
      <c r="W187" s="269">
        <f>21624-6000-1000+15000</f>
        <v>29624</v>
      </c>
      <c r="X187" s="96">
        <f t="shared" si="119"/>
        <v>416983</v>
      </c>
    </row>
    <row r="188" spans="1:24" s="27" customFormat="1" ht="21" customHeight="1">
      <c r="A188" s="81"/>
      <c r="B188" s="98"/>
      <c r="C188" s="81">
        <v>4280</v>
      </c>
      <c r="D188" s="45" t="s">
        <v>353</v>
      </c>
      <c r="E188" s="96">
        <v>21650</v>
      </c>
      <c r="F188" s="96"/>
      <c r="G188" s="96"/>
      <c r="H188" s="96">
        <f t="shared" si="120"/>
        <v>21650</v>
      </c>
      <c r="I188" s="96"/>
      <c r="J188" s="96">
        <f t="shared" si="95"/>
        <v>21650</v>
      </c>
      <c r="K188" s="96">
        <v>0</v>
      </c>
      <c r="L188" s="96">
        <f t="shared" si="96"/>
        <v>21650</v>
      </c>
      <c r="M188" s="96">
        <v>0</v>
      </c>
      <c r="N188" s="96">
        <f t="shared" si="114"/>
        <v>21650</v>
      </c>
      <c r="O188" s="96">
        <v>0</v>
      </c>
      <c r="P188" s="96">
        <f t="shared" si="115"/>
        <v>21650</v>
      </c>
      <c r="Q188" s="96">
        <v>0</v>
      </c>
      <c r="R188" s="96">
        <f t="shared" si="116"/>
        <v>21650</v>
      </c>
      <c r="S188" s="96">
        <v>0</v>
      </c>
      <c r="T188" s="96">
        <f t="shared" si="117"/>
        <v>21650</v>
      </c>
      <c r="U188" s="96">
        <v>0</v>
      </c>
      <c r="V188" s="96">
        <f t="shared" si="118"/>
        <v>21650</v>
      </c>
      <c r="W188" s="96">
        <v>0</v>
      </c>
      <c r="X188" s="96">
        <f t="shared" si="119"/>
        <v>21650</v>
      </c>
    </row>
    <row r="189" spans="1:24" s="27" customFormat="1" ht="21" customHeight="1">
      <c r="A189" s="81"/>
      <c r="B189" s="98"/>
      <c r="C189" s="81">
        <v>4300</v>
      </c>
      <c r="D189" s="45" t="s">
        <v>201</v>
      </c>
      <c r="E189" s="96">
        <f>4000+85000</f>
        <v>89000</v>
      </c>
      <c r="F189" s="96"/>
      <c r="G189" s="96"/>
      <c r="H189" s="96">
        <f t="shared" si="120"/>
        <v>89000</v>
      </c>
      <c r="I189" s="96">
        <v>-4200</v>
      </c>
      <c r="J189" s="96">
        <f t="shared" si="95"/>
        <v>84800</v>
      </c>
      <c r="K189" s="96">
        <v>463</v>
      </c>
      <c r="L189" s="96">
        <f t="shared" si="96"/>
        <v>85263</v>
      </c>
      <c r="M189" s="96">
        <v>0</v>
      </c>
      <c r="N189" s="96">
        <f t="shared" si="114"/>
        <v>85263</v>
      </c>
      <c r="O189" s="96">
        <v>1000</v>
      </c>
      <c r="P189" s="96">
        <f t="shared" si="115"/>
        <v>86263</v>
      </c>
      <c r="Q189" s="96">
        <v>400</v>
      </c>
      <c r="R189" s="96">
        <f t="shared" si="116"/>
        <v>86663</v>
      </c>
      <c r="S189" s="96">
        <v>0</v>
      </c>
      <c r="T189" s="96">
        <f t="shared" si="117"/>
        <v>86663</v>
      </c>
      <c r="U189" s="96">
        <v>0</v>
      </c>
      <c r="V189" s="96">
        <f t="shared" si="118"/>
        <v>86663</v>
      </c>
      <c r="W189" s="96">
        <f>13700+1800</f>
        <v>15500</v>
      </c>
      <c r="X189" s="96">
        <f t="shared" si="119"/>
        <v>102163</v>
      </c>
    </row>
    <row r="190" spans="1:24" s="27" customFormat="1" ht="21" customHeight="1">
      <c r="A190" s="81"/>
      <c r="B190" s="98"/>
      <c r="C190" s="81">
        <v>4350</v>
      </c>
      <c r="D190" s="45" t="s">
        <v>369</v>
      </c>
      <c r="E190" s="96">
        <v>6150</v>
      </c>
      <c r="F190" s="96"/>
      <c r="G190" s="96"/>
      <c r="H190" s="96">
        <f t="shared" si="120"/>
        <v>6150</v>
      </c>
      <c r="I190" s="96"/>
      <c r="J190" s="96">
        <f t="shared" si="95"/>
        <v>6150</v>
      </c>
      <c r="K190" s="96">
        <v>0</v>
      </c>
      <c r="L190" s="96">
        <f t="shared" si="96"/>
        <v>6150</v>
      </c>
      <c r="M190" s="96">
        <v>0</v>
      </c>
      <c r="N190" s="96">
        <f t="shared" si="114"/>
        <v>6150</v>
      </c>
      <c r="O190" s="96">
        <v>0</v>
      </c>
      <c r="P190" s="96">
        <f t="shared" si="115"/>
        <v>6150</v>
      </c>
      <c r="Q190" s="96">
        <v>0</v>
      </c>
      <c r="R190" s="96">
        <f t="shared" si="116"/>
        <v>6150</v>
      </c>
      <c r="S190" s="96">
        <v>0</v>
      </c>
      <c r="T190" s="96">
        <f t="shared" si="117"/>
        <v>6150</v>
      </c>
      <c r="U190" s="96">
        <v>0</v>
      </c>
      <c r="V190" s="96">
        <f t="shared" si="118"/>
        <v>6150</v>
      </c>
      <c r="W190" s="96">
        <v>0</v>
      </c>
      <c r="X190" s="96">
        <f t="shared" si="119"/>
        <v>6150</v>
      </c>
    </row>
    <row r="191" spans="1:24" s="27" customFormat="1" ht="24">
      <c r="A191" s="81"/>
      <c r="B191" s="98"/>
      <c r="C191" s="81">
        <v>4370</v>
      </c>
      <c r="D191" s="14" t="s">
        <v>409</v>
      </c>
      <c r="E191" s="96">
        <v>15150</v>
      </c>
      <c r="F191" s="96"/>
      <c r="G191" s="96"/>
      <c r="H191" s="96">
        <f t="shared" si="120"/>
        <v>15150</v>
      </c>
      <c r="I191" s="96"/>
      <c r="J191" s="96">
        <f t="shared" si="95"/>
        <v>15150</v>
      </c>
      <c r="K191" s="96">
        <v>1551</v>
      </c>
      <c r="L191" s="96">
        <f t="shared" si="96"/>
        <v>16701</v>
      </c>
      <c r="M191" s="96">
        <v>0</v>
      </c>
      <c r="N191" s="96">
        <f t="shared" si="114"/>
        <v>16701</v>
      </c>
      <c r="O191" s="96">
        <v>0</v>
      </c>
      <c r="P191" s="96">
        <f t="shared" si="115"/>
        <v>16701</v>
      </c>
      <c r="Q191" s="96">
        <v>0</v>
      </c>
      <c r="R191" s="96">
        <f t="shared" si="116"/>
        <v>16701</v>
      </c>
      <c r="S191" s="96">
        <v>0</v>
      </c>
      <c r="T191" s="96">
        <f t="shared" si="117"/>
        <v>16701</v>
      </c>
      <c r="U191" s="96">
        <v>0</v>
      </c>
      <c r="V191" s="96">
        <f t="shared" si="118"/>
        <v>16701</v>
      </c>
      <c r="W191" s="96">
        <v>300</v>
      </c>
      <c r="X191" s="96">
        <f t="shared" si="119"/>
        <v>17001</v>
      </c>
    </row>
    <row r="192" spans="1:24" s="27" customFormat="1" ht="21" customHeight="1">
      <c r="A192" s="81"/>
      <c r="B192" s="98"/>
      <c r="C192" s="81">
        <v>4390</v>
      </c>
      <c r="D192" s="45" t="s">
        <v>415</v>
      </c>
      <c r="E192" s="96">
        <v>14500</v>
      </c>
      <c r="F192" s="96"/>
      <c r="G192" s="96"/>
      <c r="H192" s="96">
        <f t="shared" si="120"/>
        <v>14500</v>
      </c>
      <c r="I192" s="96"/>
      <c r="J192" s="96">
        <f t="shared" si="95"/>
        <v>14500</v>
      </c>
      <c r="K192" s="96">
        <v>0</v>
      </c>
      <c r="L192" s="96">
        <f t="shared" si="96"/>
        <v>14500</v>
      </c>
      <c r="M192" s="96">
        <v>0</v>
      </c>
      <c r="N192" s="96">
        <f t="shared" si="114"/>
        <v>14500</v>
      </c>
      <c r="O192" s="96">
        <v>0</v>
      </c>
      <c r="P192" s="96">
        <f t="shared" si="115"/>
        <v>14500</v>
      </c>
      <c r="Q192" s="96">
        <v>0</v>
      </c>
      <c r="R192" s="96">
        <f t="shared" si="116"/>
        <v>14500</v>
      </c>
      <c r="S192" s="96">
        <v>0</v>
      </c>
      <c r="T192" s="96">
        <f t="shared" si="117"/>
        <v>14500</v>
      </c>
      <c r="U192" s="96">
        <v>0</v>
      </c>
      <c r="V192" s="96">
        <f t="shared" si="118"/>
        <v>14500</v>
      </c>
      <c r="W192" s="96">
        <v>-6800</v>
      </c>
      <c r="X192" s="96">
        <f t="shared" si="119"/>
        <v>7700</v>
      </c>
    </row>
    <row r="193" spans="1:24" s="27" customFormat="1" ht="21" customHeight="1">
      <c r="A193" s="81"/>
      <c r="B193" s="98"/>
      <c r="C193" s="81">
        <v>4410</v>
      </c>
      <c r="D193" s="45" t="s">
        <v>212</v>
      </c>
      <c r="E193" s="96">
        <v>13800</v>
      </c>
      <c r="F193" s="96"/>
      <c r="G193" s="96"/>
      <c r="H193" s="96">
        <f t="shared" si="120"/>
        <v>13800</v>
      </c>
      <c r="I193" s="96"/>
      <c r="J193" s="96">
        <f t="shared" si="95"/>
        <v>13800</v>
      </c>
      <c r="K193" s="96">
        <v>0</v>
      </c>
      <c r="L193" s="96">
        <f t="shared" si="96"/>
        <v>13800</v>
      </c>
      <c r="M193" s="96">
        <v>0</v>
      </c>
      <c r="N193" s="96">
        <f t="shared" si="114"/>
        <v>13800</v>
      </c>
      <c r="O193" s="96">
        <v>0</v>
      </c>
      <c r="P193" s="96">
        <f t="shared" si="115"/>
        <v>13800</v>
      </c>
      <c r="Q193" s="96">
        <v>0</v>
      </c>
      <c r="R193" s="96">
        <f t="shared" si="116"/>
        <v>13800</v>
      </c>
      <c r="S193" s="96">
        <v>0</v>
      </c>
      <c r="T193" s="96">
        <f t="shared" si="117"/>
        <v>13800</v>
      </c>
      <c r="U193" s="96">
        <v>0</v>
      </c>
      <c r="V193" s="96">
        <f t="shared" si="118"/>
        <v>13800</v>
      </c>
      <c r="W193" s="96">
        <v>0</v>
      </c>
      <c r="X193" s="96">
        <f t="shared" si="119"/>
        <v>13800</v>
      </c>
    </row>
    <row r="194" spans="1:24" s="27" customFormat="1" ht="21" customHeight="1">
      <c r="A194" s="81"/>
      <c r="B194" s="98"/>
      <c r="C194" s="84">
        <v>4430</v>
      </c>
      <c r="D194" s="45" t="s">
        <v>216</v>
      </c>
      <c r="E194" s="96">
        <v>6100</v>
      </c>
      <c r="F194" s="96"/>
      <c r="G194" s="96"/>
      <c r="H194" s="96">
        <f t="shared" si="120"/>
        <v>6100</v>
      </c>
      <c r="I194" s="96"/>
      <c r="J194" s="96">
        <f t="shared" si="95"/>
        <v>6100</v>
      </c>
      <c r="K194" s="96">
        <v>300</v>
      </c>
      <c r="L194" s="96">
        <f t="shared" si="96"/>
        <v>6400</v>
      </c>
      <c r="M194" s="96">
        <v>0</v>
      </c>
      <c r="N194" s="96">
        <f t="shared" si="114"/>
        <v>6400</v>
      </c>
      <c r="O194" s="96">
        <v>0</v>
      </c>
      <c r="P194" s="96">
        <f t="shared" si="115"/>
        <v>6400</v>
      </c>
      <c r="Q194" s="96">
        <v>804</v>
      </c>
      <c r="R194" s="96">
        <f t="shared" si="116"/>
        <v>7204</v>
      </c>
      <c r="S194" s="96">
        <v>0</v>
      </c>
      <c r="T194" s="96">
        <f t="shared" si="117"/>
        <v>7204</v>
      </c>
      <c r="U194" s="96">
        <v>0</v>
      </c>
      <c r="V194" s="96">
        <f t="shared" si="118"/>
        <v>7204</v>
      </c>
      <c r="W194" s="96">
        <f>-1500-200</f>
        <v>-1700</v>
      </c>
      <c r="X194" s="96">
        <f t="shared" si="119"/>
        <v>5504</v>
      </c>
    </row>
    <row r="195" spans="1:24" s="27" customFormat="1" ht="21" customHeight="1">
      <c r="A195" s="81"/>
      <c r="B195" s="98"/>
      <c r="C195" s="84">
        <v>4440</v>
      </c>
      <c r="D195" s="45" t="s">
        <v>210</v>
      </c>
      <c r="E195" s="96">
        <v>347245</v>
      </c>
      <c r="F195" s="96"/>
      <c r="G195" s="96"/>
      <c r="H195" s="96">
        <f t="shared" si="120"/>
        <v>347245</v>
      </c>
      <c r="I195" s="96"/>
      <c r="J195" s="96">
        <f t="shared" si="95"/>
        <v>347245</v>
      </c>
      <c r="K195" s="96">
        <v>0</v>
      </c>
      <c r="L195" s="96">
        <f t="shared" si="96"/>
        <v>347245</v>
      </c>
      <c r="M195" s="96">
        <v>0</v>
      </c>
      <c r="N195" s="96">
        <f t="shared" si="114"/>
        <v>347245</v>
      </c>
      <c r="O195" s="96">
        <v>0</v>
      </c>
      <c r="P195" s="96">
        <f t="shared" si="115"/>
        <v>347245</v>
      </c>
      <c r="Q195" s="96">
        <v>0</v>
      </c>
      <c r="R195" s="96">
        <f t="shared" si="116"/>
        <v>347245</v>
      </c>
      <c r="S195" s="96">
        <v>0</v>
      </c>
      <c r="T195" s="96">
        <f t="shared" si="117"/>
        <v>347245</v>
      </c>
      <c r="U195" s="96">
        <v>0</v>
      </c>
      <c r="V195" s="96">
        <f t="shared" si="118"/>
        <v>347245</v>
      </c>
      <c r="W195" s="96">
        <v>0</v>
      </c>
      <c r="X195" s="96">
        <f t="shared" si="119"/>
        <v>347245</v>
      </c>
    </row>
    <row r="196" spans="1:24" s="27" customFormat="1" ht="21" customHeight="1">
      <c r="A196" s="81"/>
      <c r="B196" s="98"/>
      <c r="C196" s="84">
        <v>4700</v>
      </c>
      <c r="D196" s="45" t="s">
        <v>412</v>
      </c>
      <c r="E196" s="96"/>
      <c r="F196" s="96"/>
      <c r="G196" s="96"/>
      <c r="H196" s="96">
        <v>0</v>
      </c>
      <c r="I196" s="96">
        <v>6240</v>
      </c>
      <c r="J196" s="96">
        <f t="shared" si="95"/>
        <v>6240</v>
      </c>
      <c r="K196" s="96">
        <v>0</v>
      </c>
      <c r="L196" s="96">
        <f t="shared" si="96"/>
        <v>6240</v>
      </c>
      <c r="M196" s="96">
        <v>0</v>
      </c>
      <c r="N196" s="96">
        <f t="shared" si="114"/>
        <v>6240</v>
      </c>
      <c r="O196" s="96">
        <v>0</v>
      </c>
      <c r="P196" s="96">
        <f t="shared" si="115"/>
        <v>6240</v>
      </c>
      <c r="Q196" s="96">
        <v>0</v>
      </c>
      <c r="R196" s="96">
        <f t="shared" si="116"/>
        <v>6240</v>
      </c>
      <c r="S196" s="96">
        <v>0</v>
      </c>
      <c r="T196" s="96">
        <f t="shared" si="117"/>
        <v>6240</v>
      </c>
      <c r="U196" s="96">
        <v>0</v>
      </c>
      <c r="V196" s="96">
        <f t="shared" si="118"/>
        <v>6240</v>
      </c>
      <c r="W196" s="96">
        <v>-270</v>
      </c>
      <c r="X196" s="96">
        <f t="shared" si="119"/>
        <v>5970</v>
      </c>
    </row>
    <row r="197" spans="1:24" s="27" customFormat="1" ht="21" customHeight="1">
      <c r="A197" s="81"/>
      <c r="B197" s="98"/>
      <c r="C197" s="84">
        <v>4740</v>
      </c>
      <c r="D197" s="14" t="s">
        <v>48</v>
      </c>
      <c r="E197" s="96">
        <v>6800</v>
      </c>
      <c r="F197" s="96"/>
      <c r="G197" s="96"/>
      <c r="H197" s="96">
        <f aca="true" t="shared" si="121" ref="H197:H225">E197+F197-G197</f>
        <v>6800</v>
      </c>
      <c r="I197" s="96"/>
      <c r="J197" s="96">
        <f t="shared" si="95"/>
        <v>6800</v>
      </c>
      <c r="K197" s="96">
        <v>0</v>
      </c>
      <c r="L197" s="96">
        <f t="shared" si="96"/>
        <v>6800</v>
      </c>
      <c r="M197" s="96">
        <v>0</v>
      </c>
      <c r="N197" s="96">
        <f t="shared" si="114"/>
        <v>6800</v>
      </c>
      <c r="O197" s="96">
        <v>0</v>
      </c>
      <c r="P197" s="96">
        <f t="shared" si="115"/>
        <v>6800</v>
      </c>
      <c r="Q197" s="96">
        <v>0</v>
      </c>
      <c r="R197" s="96">
        <f t="shared" si="116"/>
        <v>6800</v>
      </c>
      <c r="S197" s="96">
        <v>0</v>
      </c>
      <c r="T197" s="96">
        <f t="shared" si="117"/>
        <v>6800</v>
      </c>
      <c r="U197" s="96">
        <v>0</v>
      </c>
      <c r="V197" s="96">
        <f t="shared" si="118"/>
        <v>6800</v>
      </c>
      <c r="W197" s="96">
        <v>-1500</v>
      </c>
      <c r="X197" s="96">
        <f t="shared" si="119"/>
        <v>5300</v>
      </c>
    </row>
    <row r="198" spans="1:24" s="27" customFormat="1" ht="21" customHeight="1">
      <c r="A198" s="81"/>
      <c r="B198" s="98"/>
      <c r="C198" s="84">
        <v>4750</v>
      </c>
      <c r="D198" s="14" t="s">
        <v>413</v>
      </c>
      <c r="E198" s="96">
        <v>14400</v>
      </c>
      <c r="F198" s="96"/>
      <c r="G198" s="96"/>
      <c r="H198" s="96">
        <f t="shared" si="121"/>
        <v>14400</v>
      </c>
      <c r="I198" s="96"/>
      <c r="J198" s="96">
        <f t="shared" si="95"/>
        <v>14400</v>
      </c>
      <c r="K198" s="96">
        <v>0</v>
      </c>
      <c r="L198" s="96">
        <f t="shared" si="96"/>
        <v>14400</v>
      </c>
      <c r="M198" s="96">
        <v>0</v>
      </c>
      <c r="N198" s="96">
        <f t="shared" si="114"/>
        <v>14400</v>
      </c>
      <c r="O198" s="96">
        <v>7500</v>
      </c>
      <c r="P198" s="96">
        <f t="shared" si="115"/>
        <v>21900</v>
      </c>
      <c r="Q198" s="96">
        <v>1500</v>
      </c>
      <c r="R198" s="96">
        <f t="shared" si="116"/>
        <v>23400</v>
      </c>
      <c r="S198" s="96">
        <v>0</v>
      </c>
      <c r="T198" s="96">
        <f t="shared" si="117"/>
        <v>23400</v>
      </c>
      <c r="U198" s="96">
        <v>0</v>
      </c>
      <c r="V198" s="96">
        <f t="shared" si="118"/>
        <v>23400</v>
      </c>
      <c r="W198" s="96">
        <v>6500</v>
      </c>
      <c r="X198" s="96">
        <f t="shared" si="119"/>
        <v>29900</v>
      </c>
    </row>
    <row r="199" spans="1:24" s="27" customFormat="1" ht="21" customHeight="1">
      <c r="A199" s="81"/>
      <c r="B199" s="98"/>
      <c r="C199" s="84">
        <v>6050</v>
      </c>
      <c r="D199" s="45" t="s">
        <v>195</v>
      </c>
      <c r="E199" s="96">
        <v>0</v>
      </c>
      <c r="F199" s="96">
        <v>150000</v>
      </c>
      <c r="G199" s="96"/>
      <c r="H199" s="96">
        <f t="shared" si="121"/>
        <v>150000</v>
      </c>
      <c r="I199" s="96">
        <v>-150000</v>
      </c>
      <c r="J199" s="96">
        <f t="shared" si="95"/>
        <v>0</v>
      </c>
      <c r="K199" s="96">
        <v>0</v>
      </c>
      <c r="L199" s="96">
        <f t="shared" si="96"/>
        <v>0</v>
      </c>
      <c r="M199" s="96">
        <v>0</v>
      </c>
      <c r="N199" s="96">
        <f t="shared" si="114"/>
        <v>0</v>
      </c>
      <c r="O199" s="96">
        <v>0</v>
      </c>
      <c r="P199" s="96">
        <f t="shared" si="115"/>
        <v>0</v>
      </c>
      <c r="Q199" s="96">
        <v>0</v>
      </c>
      <c r="R199" s="96">
        <f t="shared" si="116"/>
        <v>0</v>
      </c>
      <c r="S199" s="96">
        <v>0</v>
      </c>
      <c r="T199" s="96">
        <f t="shared" si="117"/>
        <v>0</v>
      </c>
      <c r="U199" s="96">
        <v>0</v>
      </c>
      <c r="V199" s="96">
        <f t="shared" si="118"/>
        <v>0</v>
      </c>
      <c r="W199" s="96">
        <v>0</v>
      </c>
      <c r="X199" s="96">
        <f t="shared" si="119"/>
        <v>0</v>
      </c>
    </row>
    <row r="200" spans="1:24" s="27" customFormat="1" ht="21" customHeight="1">
      <c r="A200" s="81"/>
      <c r="B200" s="98"/>
      <c r="C200" s="97">
        <v>6060</v>
      </c>
      <c r="D200" s="14" t="s">
        <v>218</v>
      </c>
      <c r="E200" s="85">
        <f>34560</f>
        <v>34560</v>
      </c>
      <c r="F200" s="85"/>
      <c r="G200" s="85"/>
      <c r="H200" s="96">
        <f t="shared" si="121"/>
        <v>34560</v>
      </c>
      <c r="I200" s="85"/>
      <c r="J200" s="96">
        <f t="shared" si="95"/>
        <v>34560</v>
      </c>
      <c r="K200" s="85">
        <v>0</v>
      </c>
      <c r="L200" s="96">
        <f t="shared" si="96"/>
        <v>34560</v>
      </c>
      <c r="M200" s="85">
        <v>0</v>
      </c>
      <c r="N200" s="96">
        <f t="shared" si="114"/>
        <v>34560</v>
      </c>
      <c r="O200" s="85">
        <v>-8500</v>
      </c>
      <c r="P200" s="96">
        <f t="shared" si="115"/>
        <v>26060</v>
      </c>
      <c r="Q200" s="85">
        <v>-10560</v>
      </c>
      <c r="R200" s="96">
        <f t="shared" si="116"/>
        <v>15500</v>
      </c>
      <c r="S200" s="85">
        <v>0</v>
      </c>
      <c r="T200" s="96">
        <f t="shared" si="117"/>
        <v>15500</v>
      </c>
      <c r="U200" s="85">
        <v>0</v>
      </c>
      <c r="V200" s="96">
        <f t="shared" si="118"/>
        <v>15500</v>
      </c>
      <c r="W200" s="85">
        <v>-10500</v>
      </c>
      <c r="X200" s="96">
        <f t="shared" si="119"/>
        <v>5000</v>
      </c>
    </row>
    <row r="201" spans="1:24" s="27" customFormat="1" ht="27.75" customHeight="1">
      <c r="A201" s="81"/>
      <c r="B201" s="98">
        <v>80103</v>
      </c>
      <c r="C201" s="84"/>
      <c r="D201" s="45" t="s">
        <v>366</v>
      </c>
      <c r="E201" s="96">
        <f>SUM(E202:E213)</f>
        <v>356706</v>
      </c>
      <c r="F201" s="96">
        <f>SUM(F202:F213)</f>
        <v>0</v>
      </c>
      <c r="G201" s="96">
        <f>SUM(G202:G213)</f>
        <v>0</v>
      </c>
      <c r="H201" s="96">
        <f t="shared" si="121"/>
        <v>356706</v>
      </c>
      <c r="I201" s="96">
        <f aca="true" t="shared" si="122" ref="I201:N201">SUM(I202:I213)</f>
        <v>0</v>
      </c>
      <c r="J201" s="96">
        <f t="shared" si="122"/>
        <v>356706</v>
      </c>
      <c r="K201" s="96">
        <f t="shared" si="122"/>
        <v>0</v>
      </c>
      <c r="L201" s="96">
        <f t="shared" si="122"/>
        <v>356706</v>
      </c>
      <c r="M201" s="96">
        <f t="shared" si="122"/>
        <v>0</v>
      </c>
      <c r="N201" s="96">
        <f t="shared" si="122"/>
        <v>356706</v>
      </c>
      <c r="O201" s="96">
        <f aca="true" t="shared" si="123" ref="O201:T201">SUM(O202:O213)</f>
        <v>0</v>
      </c>
      <c r="P201" s="96">
        <f t="shared" si="123"/>
        <v>356706</v>
      </c>
      <c r="Q201" s="96">
        <f t="shared" si="123"/>
        <v>13458</v>
      </c>
      <c r="R201" s="96">
        <f t="shared" si="123"/>
        <v>370164</v>
      </c>
      <c r="S201" s="96">
        <f t="shared" si="123"/>
        <v>0</v>
      </c>
      <c r="T201" s="96">
        <f t="shared" si="123"/>
        <v>370164</v>
      </c>
      <c r="U201" s="96">
        <f>SUM(U202:U213)</f>
        <v>0</v>
      </c>
      <c r="V201" s="96">
        <f>SUM(V202:V213)</f>
        <v>370164</v>
      </c>
      <c r="W201" s="96">
        <f>SUM(W202:W213)</f>
        <v>900</v>
      </c>
      <c r="X201" s="96">
        <f>SUM(X202:X213)</f>
        <v>371064</v>
      </c>
    </row>
    <row r="202" spans="1:24" s="27" customFormat="1" ht="31.5" customHeight="1">
      <c r="A202" s="81"/>
      <c r="B202" s="98"/>
      <c r="C202" s="102">
        <v>2540</v>
      </c>
      <c r="D202" s="45" t="s">
        <v>325</v>
      </c>
      <c r="E202" s="96">
        <v>67245</v>
      </c>
      <c r="F202" s="96"/>
      <c r="G202" s="96"/>
      <c r="H202" s="96">
        <f t="shared" si="121"/>
        <v>67245</v>
      </c>
      <c r="I202" s="96"/>
      <c r="J202" s="96">
        <f t="shared" si="95"/>
        <v>67245</v>
      </c>
      <c r="K202" s="96">
        <v>0</v>
      </c>
      <c r="L202" s="96">
        <f t="shared" si="96"/>
        <v>67245</v>
      </c>
      <c r="M202" s="96">
        <v>0</v>
      </c>
      <c r="N202" s="96">
        <f aca="true" t="shared" si="124" ref="N202:N213">SUM(L202:M202)</f>
        <v>67245</v>
      </c>
      <c r="O202" s="96">
        <v>0</v>
      </c>
      <c r="P202" s="96">
        <f aca="true" t="shared" si="125" ref="P202:P213">SUM(N202:O202)</f>
        <v>67245</v>
      </c>
      <c r="Q202" s="96">
        <v>0</v>
      </c>
      <c r="R202" s="96">
        <f aca="true" t="shared" si="126" ref="R202:R213">SUM(P202:Q202)</f>
        <v>67245</v>
      </c>
      <c r="S202" s="96">
        <v>0</v>
      </c>
      <c r="T202" s="96">
        <f aca="true" t="shared" si="127" ref="T202:T213">SUM(R202:S202)</f>
        <v>67245</v>
      </c>
      <c r="U202" s="96">
        <v>0</v>
      </c>
      <c r="V202" s="96">
        <f aca="true" t="shared" si="128" ref="V202:V213">SUM(T202:U202)</f>
        <v>67245</v>
      </c>
      <c r="W202" s="96">
        <v>0</v>
      </c>
      <c r="X202" s="96">
        <f aca="true" t="shared" si="129" ref="X202:X213">SUM(V202:W202)</f>
        <v>67245</v>
      </c>
    </row>
    <row r="203" spans="1:24" s="27" customFormat="1" ht="21" customHeight="1">
      <c r="A203" s="81"/>
      <c r="B203" s="98"/>
      <c r="C203" s="102">
        <v>3020</v>
      </c>
      <c r="D203" s="45" t="s">
        <v>335</v>
      </c>
      <c r="E203" s="96">
        <v>16845</v>
      </c>
      <c r="F203" s="96"/>
      <c r="G203" s="96"/>
      <c r="H203" s="96">
        <f t="shared" si="121"/>
        <v>16845</v>
      </c>
      <c r="I203" s="96"/>
      <c r="J203" s="96">
        <f t="shared" si="95"/>
        <v>16845</v>
      </c>
      <c r="K203" s="96">
        <v>0</v>
      </c>
      <c r="L203" s="96">
        <f t="shared" si="96"/>
        <v>16845</v>
      </c>
      <c r="M203" s="96">
        <v>0</v>
      </c>
      <c r="N203" s="96">
        <f t="shared" si="124"/>
        <v>16845</v>
      </c>
      <c r="O203" s="96">
        <v>0</v>
      </c>
      <c r="P203" s="96">
        <f t="shared" si="125"/>
        <v>16845</v>
      </c>
      <c r="Q203" s="96">
        <v>1035</v>
      </c>
      <c r="R203" s="96">
        <f t="shared" si="126"/>
        <v>17880</v>
      </c>
      <c r="S203" s="96">
        <v>0</v>
      </c>
      <c r="T203" s="96">
        <f t="shared" si="127"/>
        <v>17880</v>
      </c>
      <c r="U203" s="96">
        <v>0</v>
      </c>
      <c r="V203" s="96">
        <f t="shared" si="128"/>
        <v>17880</v>
      </c>
      <c r="W203" s="96">
        <v>950</v>
      </c>
      <c r="X203" s="96">
        <f t="shared" si="129"/>
        <v>18830</v>
      </c>
    </row>
    <row r="204" spans="1:26" s="27" customFormat="1" ht="21" customHeight="1">
      <c r="A204" s="81"/>
      <c r="B204" s="98"/>
      <c r="C204" s="102">
        <v>4010</v>
      </c>
      <c r="D204" s="45" t="s">
        <v>206</v>
      </c>
      <c r="E204" s="96">
        <v>190216</v>
      </c>
      <c r="F204" s="96"/>
      <c r="G204" s="96"/>
      <c r="H204" s="96">
        <f t="shared" si="121"/>
        <v>190216</v>
      </c>
      <c r="I204" s="96"/>
      <c r="J204" s="96">
        <f t="shared" si="95"/>
        <v>190216</v>
      </c>
      <c r="K204" s="96">
        <v>0</v>
      </c>
      <c r="L204" s="96">
        <f t="shared" si="96"/>
        <v>190216</v>
      </c>
      <c r="M204" s="96">
        <v>0</v>
      </c>
      <c r="N204" s="96">
        <f t="shared" si="124"/>
        <v>190216</v>
      </c>
      <c r="O204" s="96">
        <v>0</v>
      </c>
      <c r="P204" s="96">
        <f t="shared" si="125"/>
        <v>190216</v>
      </c>
      <c r="Q204" s="96">
        <v>11920</v>
      </c>
      <c r="R204" s="96">
        <f t="shared" si="126"/>
        <v>202136</v>
      </c>
      <c r="S204" s="96">
        <v>0</v>
      </c>
      <c r="T204" s="96">
        <f t="shared" si="127"/>
        <v>202136</v>
      </c>
      <c r="U204" s="96">
        <v>0</v>
      </c>
      <c r="V204" s="96">
        <f t="shared" si="128"/>
        <v>202136</v>
      </c>
      <c r="W204" s="96">
        <v>-380</v>
      </c>
      <c r="X204" s="96">
        <f t="shared" si="129"/>
        <v>201756</v>
      </c>
      <c r="Y204" s="150"/>
      <c r="Z204" s="150"/>
    </row>
    <row r="205" spans="1:26" s="27" customFormat="1" ht="21" customHeight="1">
      <c r="A205" s="81"/>
      <c r="B205" s="98"/>
      <c r="C205" s="102">
        <v>4040</v>
      </c>
      <c r="D205" s="45" t="s">
        <v>207</v>
      </c>
      <c r="E205" s="96">
        <v>14968</v>
      </c>
      <c r="F205" s="96"/>
      <c r="G205" s="96"/>
      <c r="H205" s="96">
        <f t="shared" si="121"/>
        <v>14968</v>
      </c>
      <c r="I205" s="96"/>
      <c r="J205" s="96">
        <f t="shared" si="95"/>
        <v>14968</v>
      </c>
      <c r="K205" s="96">
        <v>0</v>
      </c>
      <c r="L205" s="96">
        <f t="shared" si="96"/>
        <v>14968</v>
      </c>
      <c r="M205" s="96">
        <v>0</v>
      </c>
      <c r="N205" s="96">
        <f t="shared" si="124"/>
        <v>14968</v>
      </c>
      <c r="O205" s="96">
        <v>0</v>
      </c>
      <c r="P205" s="96">
        <f t="shared" si="125"/>
        <v>14968</v>
      </c>
      <c r="Q205" s="96">
        <v>-2046</v>
      </c>
      <c r="R205" s="96">
        <f t="shared" si="126"/>
        <v>12922</v>
      </c>
      <c r="S205" s="96">
        <v>0</v>
      </c>
      <c r="T205" s="96">
        <f t="shared" si="127"/>
        <v>12922</v>
      </c>
      <c r="U205" s="96">
        <v>0</v>
      </c>
      <c r="V205" s="96">
        <f t="shared" si="128"/>
        <v>12922</v>
      </c>
      <c r="W205" s="96">
        <v>0</v>
      </c>
      <c r="X205" s="96">
        <f t="shared" si="129"/>
        <v>12922</v>
      </c>
      <c r="Y205" s="150"/>
      <c r="Z205" s="150"/>
    </row>
    <row r="206" spans="1:26" s="27" customFormat="1" ht="21" customHeight="1">
      <c r="A206" s="81"/>
      <c r="B206" s="98"/>
      <c r="C206" s="102">
        <v>4110</v>
      </c>
      <c r="D206" s="45" t="s">
        <v>208</v>
      </c>
      <c r="E206" s="96">
        <v>37470</v>
      </c>
      <c r="F206" s="96"/>
      <c r="G206" s="96"/>
      <c r="H206" s="96">
        <f t="shared" si="121"/>
        <v>37470</v>
      </c>
      <c r="I206" s="96"/>
      <c r="J206" s="96">
        <f t="shared" si="95"/>
        <v>37470</v>
      </c>
      <c r="K206" s="96">
        <v>0</v>
      </c>
      <c r="L206" s="96">
        <f t="shared" si="96"/>
        <v>37470</v>
      </c>
      <c r="M206" s="96">
        <v>0</v>
      </c>
      <c r="N206" s="96">
        <f t="shared" si="124"/>
        <v>37470</v>
      </c>
      <c r="O206" s="96">
        <v>0</v>
      </c>
      <c r="P206" s="96">
        <f t="shared" si="125"/>
        <v>37470</v>
      </c>
      <c r="Q206" s="96">
        <v>2231</v>
      </c>
      <c r="R206" s="96">
        <f t="shared" si="126"/>
        <v>39701</v>
      </c>
      <c r="S206" s="96">
        <v>0</v>
      </c>
      <c r="T206" s="96">
        <f t="shared" si="127"/>
        <v>39701</v>
      </c>
      <c r="U206" s="96">
        <v>0</v>
      </c>
      <c r="V206" s="96">
        <f t="shared" si="128"/>
        <v>39701</v>
      </c>
      <c r="W206" s="96">
        <v>250</v>
      </c>
      <c r="X206" s="96">
        <f t="shared" si="129"/>
        <v>39951</v>
      </c>
      <c r="Y206" s="150"/>
      <c r="Z206" s="150"/>
    </row>
    <row r="207" spans="1:26" s="27" customFormat="1" ht="21" customHeight="1">
      <c r="A207" s="81"/>
      <c r="B207" s="98"/>
      <c r="C207" s="102">
        <v>4120</v>
      </c>
      <c r="D207" s="45" t="s">
        <v>209</v>
      </c>
      <c r="E207" s="96">
        <v>5276</v>
      </c>
      <c r="F207" s="96"/>
      <c r="G207" s="96"/>
      <c r="H207" s="96">
        <f t="shared" si="121"/>
        <v>5276</v>
      </c>
      <c r="I207" s="96"/>
      <c r="J207" s="96">
        <f t="shared" si="95"/>
        <v>5276</v>
      </c>
      <c r="K207" s="96">
        <v>0</v>
      </c>
      <c r="L207" s="96">
        <f t="shared" si="96"/>
        <v>5276</v>
      </c>
      <c r="M207" s="96">
        <v>0</v>
      </c>
      <c r="N207" s="96">
        <f t="shared" si="124"/>
        <v>5276</v>
      </c>
      <c r="O207" s="96">
        <v>0</v>
      </c>
      <c r="P207" s="96">
        <f t="shared" si="125"/>
        <v>5276</v>
      </c>
      <c r="Q207" s="96">
        <v>318</v>
      </c>
      <c r="R207" s="96">
        <f t="shared" si="126"/>
        <v>5594</v>
      </c>
      <c r="S207" s="96">
        <v>0</v>
      </c>
      <c r="T207" s="96">
        <f t="shared" si="127"/>
        <v>5594</v>
      </c>
      <c r="U207" s="96">
        <v>0</v>
      </c>
      <c r="V207" s="96">
        <f t="shared" si="128"/>
        <v>5594</v>
      </c>
      <c r="W207" s="96">
        <v>80</v>
      </c>
      <c r="X207" s="96">
        <f t="shared" si="129"/>
        <v>5674</v>
      </c>
      <c r="Y207" s="150"/>
      <c r="Z207" s="150"/>
    </row>
    <row r="208" spans="1:24" s="27" customFormat="1" ht="21" customHeight="1">
      <c r="A208" s="81"/>
      <c r="B208" s="98"/>
      <c r="C208" s="102">
        <v>4210</v>
      </c>
      <c r="D208" s="45" t="s">
        <v>194</v>
      </c>
      <c r="E208" s="96">
        <f>1000+3800</f>
        <v>4800</v>
      </c>
      <c r="F208" s="96"/>
      <c r="G208" s="96"/>
      <c r="H208" s="96">
        <f t="shared" si="121"/>
        <v>4800</v>
      </c>
      <c r="I208" s="96"/>
      <c r="J208" s="96">
        <f t="shared" si="95"/>
        <v>4800</v>
      </c>
      <c r="K208" s="96">
        <v>0</v>
      </c>
      <c r="L208" s="96">
        <f t="shared" si="96"/>
        <v>4800</v>
      </c>
      <c r="M208" s="96">
        <v>0</v>
      </c>
      <c r="N208" s="96">
        <f t="shared" si="124"/>
        <v>4800</v>
      </c>
      <c r="O208" s="96">
        <v>0</v>
      </c>
      <c r="P208" s="96">
        <f t="shared" si="125"/>
        <v>4800</v>
      </c>
      <c r="Q208" s="96">
        <v>0</v>
      </c>
      <c r="R208" s="96">
        <f t="shared" si="126"/>
        <v>4800</v>
      </c>
      <c r="S208" s="96">
        <v>0</v>
      </c>
      <c r="T208" s="96">
        <f t="shared" si="127"/>
        <v>4800</v>
      </c>
      <c r="U208" s="96">
        <v>0</v>
      </c>
      <c r="V208" s="96">
        <f t="shared" si="128"/>
        <v>4800</v>
      </c>
      <c r="W208" s="96">
        <v>600</v>
      </c>
      <c r="X208" s="96">
        <f t="shared" si="129"/>
        <v>5400</v>
      </c>
    </row>
    <row r="209" spans="1:24" s="27" customFormat="1" ht="21" customHeight="1">
      <c r="A209" s="81"/>
      <c r="B209" s="98"/>
      <c r="C209" s="102">
        <v>4240</v>
      </c>
      <c r="D209" s="45" t="s">
        <v>247</v>
      </c>
      <c r="E209" s="96">
        <v>2350</v>
      </c>
      <c r="F209" s="96"/>
      <c r="G209" s="96"/>
      <c r="H209" s="96">
        <f t="shared" si="121"/>
        <v>2350</v>
      </c>
      <c r="I209" s="96"/>
      <c r="J209" s="96">
        <f t="shared" si="95"/>
        <v>2350</v>
      </c>
      <c r="K209" s="96">
        <v>0</v>
      </c>
      <c r="L209" s="96">
        <f t="shared" si="96"/>
        <v>2350</v>
      </c>
      <c r="M209" s="96">
        <v>0</v>
      </c>
      <c r="N209" s="96">
        <f t="shared" si="124"/>
        <v>2350</v>
      </c>
      <c r="O209" s="96">
        <v>0</v>
      </c>
      <c r="P209" s="96">
        <f t="shared" si="125"/>
        <v>2350</v>
      </c>
      <c r="Q209" s="96">
        <v>0</v>
      </c>
      <c r="R209" s="96">
        <f t="shared" si="126"/>
        <v>2350</v>
      </c>
      <c r="S209" s="96">
        <v>0</v>
      </c>
      <c r="T209" s="96">
        <f t="shared" si="127"/>
        <v>2350</v>
      </c>
      <c r="U209" s="96">
        <v>0</v>
      </c>
      <c r="V209" s="96">
        <f t="shared" si="128"/>
        <v>2350</v>
      </c>
      <c r="W209" s="96">
        <v>0</v>
      </c>
      <c r="X209" s="96">
        <f t="shared" si="129"/>
        <v>2350</v>
      </c>
    </row>
    <row r="210" spans="1:24" s="27" customFormat="1" ht="21" customHeight="1">
      <c r="A210" s="81"/>
      <c r="B210" s="98"/>
      <c r="C210" s="102">
        <v>4260</v>
      </c>
      <c r="D210" s="45" t="s">
        <v>217</v>
      </c>
      <c r="E210" s="96">
        <v>500</v>
      </c>
      <c r="F210" s="96"/>
      <c r="G210" s="96"/>
      <c r="H210" s="96">
        <f t="shared" si="121"/>
        <v>500</v>
      </c>
      <c r="I210" s="96"/>
      <c r="J210" s="96">
        <f t="shared" si="95"/>
        <v>500</v>
      </c>
      <c r="K210" s="96">
        <v>0</v>
      </c>
      <c r="L210" s="96">
        <f t="shared" si="96"/>
        <v>500</v>
      </c>
      <c r="M210" s="96">
        <v>0</v>
      </c>
      <c r="N210" s="96">
        <f t="shared" si="124"/>
        <v>500</v>
      </c>
      <c r="O210" s="96">
        <v>0</v>
      </c>
      <c r="P210" s="96">
        <f t="shared" si="125"/>
        <v>500</v>
      </c>
      <c r="Q210" s="96">
        <v>0</v>
      </c>
      <c r="R210" s="96">
        <f t="shared" si="126"/>
        <v>500</v>
      </c>
      <c r="S210" s="96">
        <v>0</v>
      </c>
      <c r="T210" s="96">
        <f t="shared" si="127"/>
        <v>500</v>
      </c>
      <c r="U210" s="96">
        <v>0</v>
      </c>
      <c r="V210" s="96">
        <f t="shared" si="128"/>
        <v>500</v>
      </c>
      <c r="W210" s="96">
        <v>-150</v>
      </c>
      <c r="X210" s="96">
        <f t="shared" si="129"/>
        <v>350</v>
      </c>
    </row>
    <row r="211" spans="1:24" s="27" customFormat="1" ht="21" customHeight="1">
      <c r="A211" s="81"/>
      <c r="B211" s="98"/>
      <c r="C211" s="102">
        <v>4270</v>
      </c>
      <c r="D211" s="45" t="s">
        <v>200</v>
      </c>
      <c r="E211" s="96">
        <v>1100</v>
      </c>
      <c r="F211" s="96"/>
      <c r="G211" s="96"/>
      <c r="H211" s="96">
        <f t="shared" si="121"/>
        <v>1100</v>
      </c>
      <c r="I211" s="96"/>
      <c r="J211" s="96">
        <f t="shared" si="95"/>
        <v>1100</v>
      </c>
      <c r="K211" s="96">
        <v>0</v>
      </c>
      <c r="L211" s="96">
        <f t="shared" si="96"/>
        <v>1100</v>
      </c>
      <c r="M211" s="96">
        <v>0</v>
      </c>
      <c r="N211" s="96">
        <f t="shared" si="124"/>
        <v>1100</v>
      </c>
      <c r="O211" s="96">
        <v>0</v>
      </c>
      <c r="P211" s="96">
        <f t="shared" si="125"/>
        <v>1100</v>
      </c>
      <c r="Q211" s="96">
        <v>0</v>
      </c>
      <c r="R211" s="96">
        <f t="shared" si="126"/>
        <v>1100</v>
      </c>
      <c r="S211" s="96">
        <v>0</v>
      </c>
      <c r="T211" s="96">
        <f t="shared" si="127"/>
        <v>1100</v>
      </c>
      <c r="U211" s="96">
        <v>0</v>
      </c>
      <c r="V211" s="96">
        <f t="shared" si="128"/>
        <v>1100</v>
      </c>
      <c r="W211" s="96">
        <v>-450</v>
      </c>
      <c r="X211" s="96">
        <f t="shared" si="129"/>
        <v>650</v>
      </c>
    </row>
    <row r="212" spans="1:24" s="27" customFormat="1" ht="21" customHeight="1">
      <c r="A212" s="81"/>
      <c r="B212" s="98"/>
      <c r="C212" s="102">
        <v>4280</v>
      </c>
      <c r="D212" s="45" t="s">
        <v>353</v>
      </c>
      <c r="E212" s="96">
        <v>400</v>
      </c>
      <c r="F212" s="96"/>
      <c r="G212" s="96"/>
      <c r="H212" s="96">
        <f t="shared" si="121"/>
        <v>400</v>
      </c>
      <c r="I212" s="96"/>
      <c r="J212" s="96">
        <f t="shared" si="95"/>
        <v>400</v>
      </c>
      <c r="K212" s="96">
        <v>0</v>
      </c>
      <c r="L212" s="96">
        <f t="shared" si="96"/>
        <v>400</v>
      </c>
      <c r="M212" s="96">
        <v>0</v>
      </c>
      <c r="N212" s="96">
        <f t="shared" si="124"/>
        <v>400</v>
      </c>
      <c r="O212" s="96">
        <v>0</v>
      </c>
      <c r="P212" s="96">
        <f t="shared" si="125"/>
        <v>400</v>
      </c>
      <c r="Q212" s="96">
        <v>0</v>
      </c>
      <c r="R212" s="96">
        <f t="shared" si="126"/>
        <v>400</v>
      </c>
      <c r="S212" s="96">
        <v>0</v>
      </c>
      <c r="T212" s="96">
        <f t="shared" si="127"/>
        <v>400</v>
      </c>
      <c r="U212" s="96">
        <v>0</v>
      </c>
      <c r="V212" s="96">
        <f t="shared" si="128"/>
        <v>400</v>
      </c>
      <c r="W212" s="96">
        <v>0</v>
      </c>
      <c r="X212" s="96">
        <f t="shared" si="129"/>
        <v>400</v>
      </c>
    </row>
    <row r="213" spans="1:24" s="27" customFormat="1" ht="21" customHeight="1">
      <c r="A213" s="81"/>
      <c r="B213" s="98"/>
      <c r="C213" s="102">
        <v>4440</v>
      </c>
      <c r="D213" s="45" t="s">
        <v>238</v>
      </c>
      <c r="E213" s="96">
        <v>15536</v>
      </c>
      <c r="F213" s="96"/>
      <c r="G213" s="96"/>
      <c r="H213" s="96">
        <f t="shared" si="121"/>
        <v>15536</v>
      </c>
      <c r="I213" s="96"/>
      <c r="J213" s="96">
        <f t="shared" si="95"/>
        <v>15536</v>
      </c>
      <c r="K213" s="96">
        <v>0</v>
      </c>
      <c r="L213" s="96">
        <f t="shared" si="96"/>
        <v>15536</v>
      </c>
      <c r="M213" s="96">
        <v>0</v>
      </c>
      <c r="N213" s="96">
        <f t="shared" si="124"/>
        <v>15536</v>
      </c>
      <c r="O213" s="96">
        <v>0</v>
      </c>
      <c r="P213" s="96">
        <f t="shared" si="125"/>
        <v>15536</v>
      </c>
      <c r="Q213" s="96">
        <v>0</v>
      </c>
      <c r="R213" s="96">
        <f t="shared" si="126"/>
        <v>15536</v>
      </c>
      <c r="S213" s="96">
        <v>0</v>
      </c>
      <c r="T213" s="96">
        <f t="shared" si="127"/>
        <v>15536</v>
      </c>
      <c r="U213" s="96">
        <v>0</v>
      </c>
      <c r="V213" s="96">
        <f t="shared" si="128"/>
        <v>15536</v>
      </c>
      <c r="W213" s="96">
        <v>0</v>
      </c>
      <c r="X213" s="96">
        <f t="shared" si="129"/>
        <v>15536</v>
      </c>
    </row>
    <row r="214" spans="1:24" s="27" customFormat="1" ht="21.75" customHeight="1">
      <c r="A214" s="104"/>
      <c r="B214" s="98" t="s">
        <v>237</v>
      </c>
      <c r="C214" s="102"/>
      <c r="D214" s="45" t="s">
        <v>248</v>
      </c>
      <c r="E214" s="96">
        <f>SUM(E215:E217)</f>
        <v>2725008</v>
      </c>
      <c r="F214" s="96">
        <f>SUM(F215:F217)</f>
        <v>0</v>
      </c>
      <c r="G214" s="96">
        <f>SUM(G215:G217)</f>
        <v>0</v>
      </c>
      <c r="H214" s="96">
        <f t="shared" si="121"/>
        <v>2725008</v>
      </c>
      <c r="I214" s="96">
        <f aca="true" t="shared" si="130" ref="I214:N214">SUM(I215:I217)</f>
        <v>0</v>
      </c>
      <c r="J214" s="96">
        <f t="shared" si="130"/>
        <v>2725008</v>
      </c>
      <c r="K214" s="96">
        <f t="shared" si="130"/>
        <v>0</v>
      </c>
      <c r="L214" s="96">
        <f t="shared" si="130"/>
        <v>2725008</v>
      </c>
      <c r="M214" s="96">
        <f t="shared" si="130"/>
        <v>0</v>
      </c>
      <c r="N214" s="96">
        <f t="shared" si="130"/>
        <v>2725008</v>
      </c>
      <c r="O214" s="96">
        <f aca="true" t="shared" si="131" ref="O214:T214">SUM(O215:O217)</f>
        <v>0</v>
      </c>
      <c r="P214" s="96">
        <f t="shared" si="131"/>
        <v>2725008</v>
      </c>
      <c r="Q214" s="96">
        <f t="shared" si="131"/>
        <v>86839</v>
      </c>
      <c r="R214" s="96">
        <f t="shared" si="131"/>
        <v>2811847</v>
      </c>
      <c r="S214" s="96">
        <f t="shared" si="131"/>
        <v>0</v>
      </c>
      <c r="T214" s="96">
        <f t="shared" si="131"/>
        <v>2811847</v>
      </c>
      <c r="U214" s="96">
        <f>SUM(U215:U217)</f>
        <v>0</v>
      </c>
      <c r="V214" s="96">
        <f>SUM(V215:V217)</f>
        <v>2811847</v>
      </c>
      <c r="W214" s="96">
        <f>SUM(W215:W217)</f>
        <v>0</v>
      </c>
      <c r="X214" s="96">
        <f>SUM(X215:X217)</f>
        <v>2811847</v>
      </c>
    </row>
    <row r="215" spans="1:24" s="27" customFormat="1" ht="26.25" customHeight="1">
      <c r="A215" s="104"/>
      <c r="B215" s="98"/>
      <c r="C215" s="102">
        <v>2510</v>
      </c>
      <c r="D215" s="45" t="s">
        <v>249</v>
      </c>
      <c r="E215" s="96">
        <v>2624508</v>
      </c>
      <c r="F215" s="96"/>
      <c r="G215" s="96"/>
      <c r="H215" s="96">
        <f t="shared" si="121"/>
        <v>2624508</v>
      </c>
      <c r="I215" s="96"/>
      <c r="J215" s="96">
        <f t="shared" si="95"/>
        <v>2624508</v>
      </c>
      <c r="K215" s="96">
        <v>500</v>
      </c>
      <c r="L215" s="96">
        <f t="shared" si="96"/>
        <v>2625008</v>
      </c>
      <c r="M215" s="96">
        <v>0</v>
      </c>
      <c r="N215" s="96">
        <f>SUM(L215:M215)</f>
        <v>2625008</v>
      </c>
      <c r="O215" s="96">
        <v>0</v>
      </c>
      <c r="P215" s="96">
        <f>SUM(N215:O215)</f>
        <v>2625008</v>
      </c>
      <c r="Q215" s="96">
        <v>86839</v>
      </c>
      <c r="R215" s="96">
        <f>SUM(P215:Q215)</f>
        <v>2711847</v>
      </c>
      <c r="S215" s="96">
        <v>0</v>
      </c>
      <c r="T215" s="96">
        <f>SUM(R215:S215)</f>
        <v>2711847</v>
      </c>
      <c r="U215" s="96">
        <v>0</v>
      </c>
      <c r="V215" s="96">
        <f>SUM(T215:U215)</f>
        <v>2711847</v>
      </c>
      <c r="W215" s="96">
        <v>0</v>
      </c>
      <c r="X215" s="96">
        <f>SUM(V215:W215)</f>
        <v>2711847</v>
      </c>
    </row>
    <row r="216" spans="1:24" s="27" customFormat="1" ht="26.25" customHeight="1">
      <c r="A216" s="104"/>
      <c r="B216" s="98"/>
      <c r="C216" s="102">
        <v>4210</v>
      </c>
      <c r="D216" s="45" t="s">
        <v>194</v>
      </c>
      <c r="E216" s="96">
        <v>500</v>
      </c>
      <c r="F216" s="96"/>
      <c r="G216" s="96"/>
      <c r="H216" s="96">
        <f t="shared" si="121"/>
        <v>500</v>
      </c>
      <c r="I216" s="96"/>
      <c r="J216" s="96">
        <f t="shared" si="95"/>
        <v>500</v>
      </c>
      <c r="K216" s="96">
        <v>-500</v>
      </c>
      <c r="L216" s="96">
        <f t="shared" si="96"/>
        <v>0</v>
      </c>
      <c r="M216" s="96">
        <v>0</v>
      </c>
      <c r="N216" s="96">
        <f>SUM(L216:M216)</f>
        <v>0</v>
      </c>
      <c r="O216" s="96">
        <v>0</v>
      </c>
      <c r="P216" s="96">
        <f>SUM(N216:O216)</f>
        <v>0</v>
      </c>
      <c r="Q216" s="96">
        <v>0</v>
      </c>
      <c r="R216" s="96">
        <f>SUM(P216:Q216)</f>
        <v>0</v>
      </c>
      <c r="S216" s="96">
        <v>0</v>
      </c>
      <c r="T216" s="96">
        <f>SUM(R216:S216)</f>
        <v>0</v>
      </c>
      <c r="U216" s="96">
        <v>0</v>
      </c>
      <c r="V216" s="96">
        <f>SUM(T216:U216)</f>
        <v>0</v>
      </c>
      <c r="W216" s="96">
        <v>0</v>
      </c>
      <c r="X216" s="96">
        <f>SUM(V216:W216)</f>
        <v>0</v>
      </c>
    </row>
    <row r="217" spans="1:24" s="27" customFormat="1" ht="19.5" customHeight="1">
      <c r="A217" s="104"/>
      <c r="B217" s="98"/>
      <c r="C217" s="102">
        <v>4270</v>
      </c>
      <c r="D217" s="45" t="s">
        <v>200</v>
      </c>
      <c r="E217" s="96">
        <v>100000</v>
      </c>
      <c r="F217" s="96"/>
      <c r="G217" s="96"/>
      <c r="H217" s="96">
        <f t="shared" si="121"/>
        <v>100000</v>
      </c>
      <c r="I217" s="96"/>
      <c r="J217" s="96">
        <f t="shared" si="95"/>
        <v>100000</v>
      </c>
      <c r="K217" s="96">
        <v>0</v>
      </c>
      <c r="L217" s="96">
        <f t="shared" si="96"/>
        <v>100000</v>
      </c>
      <c r="M217" s="96">
        <v>0</v>
      </c>
      <c r="N217" s="96">
        <f>SUM(L217:M217)</f>
        <v>100000</v>
      </c>
      <c r="O217" s="96">
        <v>0</v>
      </c>
      <c r="P217" s="96">
        <f>SUM(N217:O217)</f>
        <v>100000</v>
      </c>
      <c r="Q217" s="96">
        <v>0</v>
      </c>
      <c r="R217" s="96">
        <f>SUM(P217:Q217)</f>
        <v>100000</v>
      </c>
      <c r="S217" s="96">
        <v>0</v>
      </c>
      <c r="T217" s="96">
        <f>SUM(R217:S217)</f>
        <v>100000</v>
      </c>
      <c r="U217" s="96">
        <v>0</v>
      </c>
      <c r="V217" s="96">
        <f>SUM(T217:U217)</f>
        <v>100000</v>
      </c>
      <c r="W217" s="96">
        <v>0</v>
      </c>
      <c r="X217" s="96">
        <f>SUM(V217:W217)</f>
        <v>100000</v>
      </c>
    </row>
    <row r="218" spans="1:24" s="27" customFormat="1" ht="21.75" customHeight="1">
      <c r="A218" s="104"/>
      <c r="B218" s="98" t="s">
        <v>239</v>
      </c>
      <c r="C218" s="102"/>
      <c r="D218" s="45" t="s">
        <v>173</v>
      </c>
      <c r="E218" s="96">
        <f>SUM(E219:E245)</f>
        <v>4810168</v>
      </c>
      <c r="F218" s="96">
        <f>SUM(F219:F245)</f>
        <v>50000</v>
      </c>
      <c r="G218" s="96">
        <f>SUM(G219:G245)</f>
        <v>0</v>
      </c>
      <c r="H218" s="96">
        <f t="shared" si="121"/>
        <v>4860168</v>
      </c>
      <c r="I218" s="96">
        <f aca="true" t="shared" si="132" ref="I218:N218">SUM(I219:I245)</f>
        <v>3820</v>
      </c>
      <c r="J218" s="96">
        <f t="shared" si="132"/>
        <v>4863988</v>
      </c>
      <c r="K218" s="96">
        <f t="shared" si="132"/>
        <v>6218</v>
      </c>
      <c r="L218" s="96">
        <f t="shared" si="132"/>
        <v>4870206</v>
      </c>
      <c r="M218" s="96">
        <f t="shared" si="132"/>
        <v>0</v>
      </c>
      <c r="N218" s="96">
        <f t="shared" si="132"/>
        <v>4870206</v>
      </c>
      <c r="O218" s="96">
        <f aca="true" t="shared" si="133" ref="O218:T218">SUM(O219:O245)</f>
        <v>0</v>
      </c>
      <c r="P218" s="96">
        <f t="shared" si="133"/>
        <v>4870206</v>
      </c>
      <c r="Q218" s="96">
        <f t="shared" si="133"/>
        <v>-13828</v>
      </c>
      <c r="R218" s="96">
        <f t="shared" si="133"/>
        <v>4856378</v>
      </c>
      <c r="S218" s="96">
        <f t="shared" si="133"/>
        <v>0</v>
      </c>
      <c r="T218" s="96">
        <f t="shared" si="133"/>
        <v>4856378</v>
      </c>
      <c r="U218" s="96">
        <f>SUM(U219:U245)</f>
        <v>0</v>
      </c>
      <c r="V218" s="96">
        <f>SUM(V219:V245)</f>
        <v>4856378</v>
      </c>
      <c r="W218" s="96">
        <f>SUM(W219:W245)</f>
        <v>-4870</v>
      </c>
      <c r="X218" s="96">
        <f>SUM(X219:X245)</f>
        <v>4851508</v>
      </c>
    </row>
    <row r="219" spans="1:24" s="27" customFormat="1" ht="21" customHeight="1">
      <c r="A219" s="81"/>
      <c r="B219" s="98"/>
      <c r="C219" s="102">
        <v>3020</v>
      </c>
      <c r="D219" s="45" t="s">
        <v>335</v>
      </c>
      <c r="E219" s="96">
        <v>28916</v>
      </c>
      <c r="F219" s="96"/>
      <c r="G219" s="96"/>
      <c r="H219" s="96">
        <f t="shared" si="121"/>
        <v>28916</v>
      </c>
      <c r="I219" s="96"/>
      <c r="J219" s="96">
        <f t="shared" si="95"/>
        <v>28916</v>
      </c>
      <c r="K219" s="96">
        <v>0</v>
      </c>
      <c r="L219" s="96">
        <f t="shared" si="96"/>
        <v>28916</v>
      </c>
      <c r="M219" s="96">
        <v>0</v>
      </c>
      <c r="N219" s="96">
        <f aca="true" t="shared" si="134" ref="N219:N245">SUM(L219:M219)</f>
        <v>28916</v>
      </c>
      <c r="O219" s="96">
        <v>0</v>
      </c>
      <c r="P219" s="96">
        <f aca="true" t="shared" si="135" ref="P219:P245">SUM(N219:O219)</f>
        <v>28916</v>
      </c>
      <c r="Q219" s="96">
        <v>0</v>
      </c>
      <c r="R219" s="96">
        <f aca="true" t="shared" si="136" ref="R219:R245">SUM(P219:Q219)</f>
        <v>28916</v>
      </c>
      <c r="S219" s="96">
        <v>0</v>
      </c>
      <c r="T219" s="96">
        <f aca="true" t="shared" si="137" ref="T219:T245">SUM(R219:S219)</f>
        <v>28916</v>
      </c>
      <c r="U219" s="96">
        <v>0</v>
      </c>
      <c r="V219" s="96">
        <f aca="true" t="shared" si="138" ref="V219:V245">SUM(T219:U219)</f>
        <v>28916</v>
      </c>
      <c r="W219" s="96">
        <v>0</v>
      </c>
      <c r="X219" s="96">
        <f aca="true" t="shared" si="139" ref="X219:X245">SUM(V219:W219)</f>
        <v>28916</v>
      </c>
    </row>
    <row r="220" spans="1:26" s="27" customFormat="1" ht="21" customHeight="1">
      <c r="A220" s="81"/>
      <c r="B220" s="98"/>
      <c r="C220" s="102">
        <v>4010</v>
      </c>
      <c r="D220" s="45" t="s">
        <v>206</v>
      </c>
      <c r="E220" s="96">
        <v>2920180</v>
      </c>
      <c r="F220" s="96"/>
      <c r="G220" s="96"/>
      <c r="H220" s="96">
        <f t="shared" si="121"/>
        <v>2920180</v>
      </c>
      <c r="I220" s="96"/>
      <c r="J220" s="96">
        <f t="shared" si="95"/>
        <v>2920180</v>
      </c>
      <c r="K220" s="96">
        <v>0</v>
      </c>
      <c r="L220" s="96">
        <f t="shared" si="96"/>
        <v>2920180</v>
      </c>
      <c r="M220" s="96">
        <v>0</v>
      </c>
      <c r="N220" s="96">
        <f t="shared" si="134"/>
        <v>2920180</v>
      </c>
      <c r="O220" s="96">
        <v>0</v>
      </c>
      <c r="P220" s="96">
        <f t="shared" si="135"/>
        <v>2920180</v>
      </c>
      <c r="Q220" s="96">
        <v>0</v>
      </c>
      <c r="R220" s="96">
        <f t="shared" si="136"/>
        <v>2920180</v>
      </c>
      <c r="S220" s="96">
        <v>0</v>
      </c>
      <c r="T220" s="96">
        <f t="shared" si="137"/>
        <v>2920180</v>
      </c>
      <c r="U220" s="96">
        <v>0</v>
      </c>
      <c r="V220" s="96">
        <f t="shared" si="138"/>
        <v>2920180</v>
      </c>
      <c r="W220" s="96">
        <v>-4600</v>
      </c>
      <c r="X220" s="96">
        <f t="shared" si="139"/>
        <v>2915580</v>
      </c>
      <c r="Y220" s="150"/>
      <c r="Z220" s="150"/>
    </row>
    <row r="221" spans="1:26" s="27" customFormat="1" ht="21" customHeight="1">
      <c r="A221" s="81"/>
      <c r="B221" s="98"/>
      <c r="C221" s="102">
        <v>4040</v>
      </c>
      <c r="D221" s="45" t="s">
        <v>207</v>
      </c>
      <c r="E221" s="96">
        <v>233840</v>
      </c>
      <c r="F221" s="96"/>
      <c r="G221" s="96"/>
      <c r="H221" s="96">
        <f t="shared" si="121"/>
        <v>233840</v>
      </c>
      <c r="I221" s="96"/>
      <c r="J221" s="96">
        <f t="shared" si="95"/>
        <v>233840</v>
      </c>
      <c r="K221" s="96">
        <v>0</v>
      </c>
      <c r="L221" s="96">
        <f t="shared" si="96"/>
        <v>233840</v>
      </c>
      <c r="M221" s="96">
        <v>0</v>
      </c>
      <c r="N221" s="96">
        <f t="shared" si="134"/>
        <v>233840</v>
      </c>
      <c r="O221" s="96">
        <v>0</v>
      </c>
      <c r="P221" s="96">
        <f t="shared" si="135"/>
        <v>233840</v>
      </c>
      <c r="Q221" s="96">
        <v>-14159</v>
      </c>
      <c r="R221" s="96">
        <f t="shared" si="136"/>
        <v>219681</v>
      </c>
      <c r="S221" s="96">
        <v>0</v>
      </c>
      <c r="T221" s="96">
        <f t="shared" si="137"/>
        <v>219681</v>
      </c>
      <c r="U221" s="96">
        <v>0</v>
      </c>
      <c r="V221" s="96">
        <f t="shared" si="138"/>
        <v>219681</v>
      </c>
      <c r="W221" s="96">
        <v>0</v>
      </c>
      <c r="X221" s="96">
        <f t="shared" si="139"/>
        <v>219681</v>
      </c>
      <c r="Y221" s="150"/>
      <c r="Z221" s="150"/>
    </row>
    <row r="222" spans="1:26" s="27" customFormat="1" ht="21" customHeight="1">
      <c r="A222" s="81"/>
      <c r="B222" s="98"/>
      <c r="C222" s="102">
        <v>4110</v>
      </c>
      <c r="D222" s="45" t="s">
        <v>208</v>
      </c>
      <c r="E222" s="96">
        <v>539098</v>
      </c>
      <c r="F222" s="96"/>
      <c r="G222" s="96"/>
      <c r="H222" s="96">
        <f t="shared" si="121"/>
        <v>539098</v>
      </c>
      <c r="I222" s="96"/>
      <c r="J222" s="96">
        <f aca="true" t="shared" si="140" ref="J222:J292">SUM(H222:I222)</f>
        <v>539098</v>
      </c>
      <c r="K222" s="96">
        <v>0</v>
      </c>
      <c r="L222" s="96">
        <f aca="true" t="shared" si="141" ref="L222:L292">SUM(J222:K222)</f>
        <v>539098</v>
      </c>
      <c r="M222" s="96">
        <v>0</v>
      </c>
      <c r="N222" s="96">
        <f t="shared" si="134"/>
        <v>539098</v>
      </c>
      <c r="O222" s="96">
        <v>0</v>
      </c>
      <c r="P222" s="96">
        <f t="shared" si="135"/>
        <v>539098</v>
      </c>
      <c r="Q222" s="96">
        <v>0</v>
      </c>
      <c r="R222" s="96">
        <f t="shared" si="136"/>
        <v>539098</v>
      </c>
      <c r="S222" s="96">
        <v>0</v>
      </c>
      <c r="T222" s="96">
        <f t="shared" si="137"/>
        <v>539098</v>
      </c>
      <c r="U222" s="96">
        <v>0</v>
      </c>
      <c r="V222" s="96">
        <f t="shared" si="138"/>
        <v>539098</v>
      </c>
      <c r="W222" s="96">
        <v>0</v>
      </c>
      <c r="X222" s="96">
        <f t="shared" si="139"/>
        <v>539098</v>
      </c>
      <c r="Y222" s="150"/>
      <c r="Z222" s="150"/>
    </row>
    <row r="223" spans="1:26" s="27" customFormat="1" ht="21" customHeight="1">
      <c r="A223" s="81"/>
      <c r="B223" s="98"/>
      <c r="C223" s="102">
        <v>4120</v>
      </c>
      <c r="D223" s="45" t="s">
        <v>209</v>
      </c>
      <c r="E223" s="96">
        <v>76111</v>
      </c>
      <c r="F223" s="96"/>
      <c r="G223" s="96"/>
      <c r="H223" s="96">
        <f t="shared" si="121"/>
        <v>76111</v>
      </c>
      <c r="I223" s="96"/>
      <c r="J223" s="96">
        <f t="shared" si="140"/>
        <v>76111</v>
      </c>
      <c r="K223" s="96">
        <v>0</v>
      </c>
      <c r="L223" s="96">
        <f t="shared" si="141"/>
        <v>76111</v>
      </c>
      <c r="M223" s="96">
        <v>0</v>
      </c>
      <c r="N223" s="96">
        <f t="shared" si="134"/>
        <v>76111</v>
      </c>
      <c r="O223" s="96">
        <v>0</v>
      </c>
      <c r="P223" s="96">
        <f t="shared" si="135"/>
        <v>76111</v>
      </c>
      <c r="Q223" s="96">
        <v>0</v>
      </c>
      <c r="R223" s="96">
        <f t="shared" si="136"/>
        <v>76111</v>
      </c>
      <c r="S223" s="96">
        <v>0</v>
      </c>
      <c r="T223" s="96">
        <f t="shared" si="137"/>
        <v>76111</v>
      </c>
      <c r="U223" s="96">
        <v>0</v>
      </c>
      <c r="V223" s="96">
        <f t="shared" si="138"/>
        <v>76111</v>
      </c>
      <c r="W223" s="96">
        <v>0</v>
      </c>
      <c r="X223" s="96">
        <f t="shared" si="139"/>
        <v>76111</v>
      </c>
      <c r="Y223" s="150"/>
      <c r="Z223" s="150"/>
    </row>
    <row r="224" spans="1:26" s="27" customFormat="1" ht="21" customHeight="1">
      <c r="A224" s="81"/>
      <c r="B224" s="98"/>
      <c r="C224" s="102">
        <v>4170</v>
      </c>
      <c r="D224" s="45" t="s">
        <v>339</v>
      </c>
      <c r="E224" s="96">
        <v>11400</v>
      </c>
      <c r="F224" s="96"/>
      <c r="G224" s="96"/>
      <c r="H224" s="96">
        <f t="shared" si="121"/>
        <v>11400</v>
      </c>
      <c r="I224" s="96">
        <v>800</v>
      </c>
      <c r="J224" s="96">
        <f t="shared" si="140"/>
        <v>12200</v>
      </c>
      <c r="K224" s="96">
        <v>0</v>
      </c>
      <c r="L224" s="96">
        <f t="shared" si="141"/>
        <v>12200</v>
      </c>
      <c r="M224" s="96">
        <v>0</v>
      </c>
      <c r="N224" s="96">
        <f t="shared" si="134"/>
        <v>12200</v>
      </c>
      <c r="O224" s="96">
        <v>0</v>
      </c>
      <c r="P224" s="96">
        <f t="shared" si="135"/>
        <v>12200</v>
      </c>
      <c r="Q224" s="96">
        <v>0</v>
      </c>
      <c r="R224" s="96">
        <f t="shared" si="136"/>
        <v>12200</v>
      </c>
      <c r="S224" s="96">
        <v>0</v>
      </c>
      <c r="T224" s="96">
        <f t="shared" si="137"/>
        <v>12200</v>
      </c>
      <c r="U224" s="96">
        <v>0</v>
      </c>
      <c r="V224" s="96">
        <f t="shared" si="138"/>
        <v>12200</v>
      </c>
      <c r="W224" s="96">
        <v>-180</v>
      </c>
      <c r="X224" s="96">
        <f t="shared" si="139"/>
        <v>12020</v>
      </c>
      <c r="Y224" s="150"/>
      <c r="Z224" s="150"/>
    </row>
    <row r="225" spans="1:24" s="27" customFormat="1" ht="21" customHeight="1">
      <c r="A225" s="81"/>
      <c r="B225" s="98"/>
      <c r="C225" s="102">
        <v>4210</v>
      </c>
      <c r="D225" s="45" t="s">
        <v>214</v>
      </c>
      <c r="E225" s="96">
        <v>129060</v>
      </c>
      <c r="F225" s="96"/>
      <c r="G225" s="96"/>
      <c r="H225" s="96">
        <f t="shared" si="121"/>
        <v>129060</v>
      </c>
      <c r="I225" s="96">
        <f>300+300</f>
        <v>600</v>
      </c>
      <c r="J225" s="96">
        <f t="shared" si="140"/>
        <v>129660</v>
      </c>
      <c r="K225" s="96">
        <v>2914</v>
      </c>
      <c r="L225" s="96">
        <f t="shared" si="141"/>
        <v>132574</v>
      </c>
      <c r="M225" s="96">
        <v>0</v>
      </c>
      <c r="N225" s="96">
        <f t="shared" si="134"/>
        <v>132574</v>
      </c>
      <c r="O225" s="96">
        <v>0</v>
      </c>
      <c r="P225" s="96">
        <f t="shared" si="135"/>
        <v>132574</v>
      </c>
      <c r="Q225" s="96">
        <v>0</v>
      </c>
      <c r="R225" s="96">
        <f t="shared" si="136"/>
        <v>132574</v>
      </c>
      <c r="S225" s="96">
        <v>0</v>
      </c>
      <c r="T225" s="96">
        <f t="shared" si="137"/>
        <v>132574</v>
      </c>
      <c r="U225" s="96">
        <v>0</v>
      </c>
      <c r="V225" s="96">
        <f t="shared" si="138"/>
        <v>132574</v>
      </c>
      <c r="W225" s="96">
        <v>9410</v>
      </c>
      <c r="X225" s="96">
        <f t="shared" si="139"/>
        <v>141984</v>
      </c>
    </row>
    <row r="226" spans="1:24" s="27" customFormat="1" ht="21" customHeight="1">
      <c r="A226" s="81"/>
      <c r="B226" s="98"/>
      <c r="C226" s="102">
        <v>4215</v>
      </c>
      <c r="D226" s="45" t="s">
        <v>214</v>
      </c>
      <c r="E226" s="96"/>
      <c r="F226" s="96"/>
      <c r="G226" s="96"/>
      <c r="H226" s="96">
        <v>0</v>
      </c>
      <c r="I226" s="96">
        <v>521</v>
      </c>
      <c r="J226" s="96">
        <f t="shared" si="140"/>
        <v>521</v>
      </c>
      <c r="K226" s="96">
        <v>0</v>
      </c>
      <c r="L226" s="96">
        <f t="shared" si="141"/>
        <v>521</v>
      </c>
      <c r="M226" s="96">
        <v>0</v>
      </c>
      <c r="N226" s="96">
        <f t="shared" si="134"/>
        <v>521</v>
      </c>
      <c r="O226" s="96">
        <v>0</v>
      </c>
      <c r="P226" s="96">
        <f t="shared" si="135"/>
        <v>521</v>
      </c>
      <c r="Q226" s="96">
        <v>0</v>
      </c>
      <c r="R226" s="96">
        <f t="shared" si="136"/>
        <v>521</v>
      </c>
      <c r="S226" s="96">
        <v>0</v>
      </c>
      <c r="T226" s="96">
        <f t="shared" si="137"/>
        <v>521</v>
      </c>
      <c r="U226" s="96">
        <v>0</v>
      </c>
      <c r="V226" s="96">
        <f t="shared" si="138"/>
        <v>521</v>
      </c>
      <c r="W226" s="96">
        <v>0</v>
      </c>
      <c r="X226" s="96">
        <f t="shared" si="139"/>
        <v>521</v>
      </c>
    </row>
    <row r="227" spans="1:24" s="27" customFormat="1" ht="21" customHeight="1">
      <c r="A227" s="81"/>
      <c r="B227" s="98"/>
      <c r="C227" s="102">
        <v>4230</v>
      </c>
      <c r="D227" s="45" t="s">
        <v>626</v>
      </c>
      <c r="E227" s="96">
        <v>1400</v>
      </c>
      <c r="F227" s="96"/>
      <c r="G227" s="96"/>
      <c r="H227" s="96">
        <f aca="true" t="shared" si="142" ref="H227:H232">E227+F227-G227</f>
        <v>1400</v>
      </c>
      <c r="I227" s="96"/>
      <c r="J227" s="96">
        <f t="shared" si="140"/>
        <v>1400</v>
      </c>
      <c r="K227" s="96">
        <v>0</v>
      </c>
      <c r="L227" s="96">
        <f t="shared" si="141"/>
        <v>1400</v>
      </c>
      <c r="M227" s="96">
        <v>0</v>
      </c>
      <c r="N227" s="96">
        <f t="shared" si="134"/>
        <v>1400</v>
      </c>
      <c r="O227" s="96">
        <v>0</v>
      </c>
      <c r="P227" s="96">
        <f t="shared" si="135"/>
        <v>1400</v>
      </c>
      <c r="Q227" s="96">
        <v>0</v>
      </c>
      <c r="R227" s="96">
        <f t="shared" si="136"/>
        <v>1400</v>
      </c>
      <c r="S227" s="96">
        <v>0</v>
      </c>
      <c r="T227" s="96">
        <f t="shared" si="137"/>
        <v>1400</v>
      </c>
      <c r="U227" s="96">
        <v>0</v>
      </c>
      <c r="V227" s="96">
        <f t="shared" si="138"/>
        <v>1400</v>
      </c>
      <c r="W227" s="96">
        <v>0</v>
      </c>
      <c r="X227" s="96">
        <f t="shared" si="139"/>
        <v>1400</v>
      </c>
    </row>
    <row r="228" spans="1:24" s="27" customFormat="1" ht="21" customHeight="1">
      <c r="A228" s="81"/>
      <c r="B228" s="98"/>
      <c r="C228" s="102">
        <v>4240</v>
      </c>
      <c r="D228" s="45" t="s">
        <v>247</v>
      </c>
      <c r="E228" s="96">
        <f>4500+50000</f>
        <v>54500</v>
      </c>
      <c r="F228" s="96"/>
      <c r="G228" s="96"/>
      <c r="H228" s="96">
        <f t="shared" si="142"/>
        <v>54500</v>
      </c>
      <c r="I228" s="96"/>
      <c r="J228" s="96">
        <f t="shared" si="140"/>
        <v>54500</v>
      </c>
      <c r="K228" s="96">
        <v>0</v>
      </c>
      <c r="L228" s="96">
        <f t="shared" si="141"/>
        <v>54500</v>
      </c>
      <c r="M228" s="96">
        <v>0</v>
      </c>
      <c r="N228" s="96">
        <f t="shared" si="134"/>
        <v>54500</v>
      </c>
      <c r="O228" s="96">
        <v>0</v>
      </c>
      <c r="P228" s="96">
        <f t="shared" si="135"/>
        <v>54500</v>
      </c>
      <c r="Q228" s="96">
        <v>0</v>
      </c>
      <c r="R228" s="96">
        <f t="shared" si="136"/>
        <v>54500</v>
      </c>
      <c r="S228" s="96">
        <v>0</v>
      </c>
      <c r="T228" s="96">
        <f t="shared" si="137"/>
        <v>54500</v>
      </c>
      <c r="U228" s="96">
        <v>0</v>
      </c>
      <c r="V228" s="96">
        <f t="shared" si="138"/>
        <v>54500</v>
      </c>
      <c r="W228" s="96">
        <v>0</v>
      </c>
      <c r="X228" s="96">
        <f t="shared" si="139"/>
        <v>54500</v>
      </c>
    </row>
    <row r="229" spans="1:24" s="27" customFormat="1" ht="21" customHeight="1">
      <c r="A229" s="81"/>
      <c r="B229" s="98"/>
      <c r="C229" s="102">
        <v>4260</v>
      </c>
      <c r="D229" s="45" t="s">
        <v>217</v>
      </c>
      <c r="E229" s="96">
        <v>288300</v>
      </c>
      <c r="F229" s="96"/>
      <c r="G229" s="96"/>
      <c r="H229" s="96">
        <f t="shared" si="142"/>
        <v>288300</v>
      </c>
      <c r="I229" s="96">
        <v>-800</v>
      </c>
      <c r="J229" s="96">
        <f t="shared" si="140"/>
        <v>287500</v>
      </c>
      <c r="K229" s="96">
        <v>1304</v>
      </c>
      <c r="L229" s="96">
        <f t="shared" si="141"/>
        <v>288804</v>
      </c>
      <c r="M229" s="96">
        <v>0</v>
      </c>
      <c r="N229" s="96">
        <f t="shared" si="134"/>
        <v>288804</v>
      </c>
      <c r="O229" s="96">
        <v>0</v>
      </c>
      <c r="P229" s="96">
        <f t="shared" si="135"/>
        <v>288804</v>
      </c>
      <c r="Q229" s="96">
        <v>0</v>
      </c>
      <c r="R229" s="96">
        <f t="shared" si="136"/>
        <v>288804</v>
      </c>
      <c r="S229" s="96">
        <v>0</v>
      </c>
      <c r="T229" s="96">
        <f t="shared" si="137"/>
        <v>288804</v>
      </c>
      <c r="U229" s="96">
        <v>0</v>
      </c>
      <c r="V229" s="96">
        <f t="shared" si="138"/>
        <v>288804</v>
      </c>
      <c r="W229" s="96">
        <v>0</v>
      </c>
      <c r="X229" s="96">
        <f t="shared" si="139"/>
        <v>288804</v>
      </c>
    </row>
    <row r="230" spans="1:24" s="27" customFormat="1" ht="21" customHeight="1">
      <c r="A230" s="81"/>
      <c r="B230" s="98"/>
      <c r="C230" s="102">
        <v>4270</v>
      </c>
      <c r="D230" s="45" t="s">
        <v>200</v>
      </c>
      <c r="E230" s="96">
        <f>150000+18600</f>
        <v>168600</v>
      </c>
      <c r="F230" s="96"/>
      <c r="G230" s="96"/>
      <c r="H230" s="96">
        <f t="shared" si="142"/>
        <v>168600</v>
      </c>
      <c r="I230" s="96"/>
      <c r="J230" s="96">
        <f t="shared" si="140"/>
        <v>168600</v>
      </c>
      <c r="K230" s="96">
        <v>0</v>
      </c>
      <c r="L230" s="96">
        <f t="shared" si="141"/>
        <v>168600</v>
      </c>
      <c r="M230" s="96">
        <v>0</v>
      </c>
      <c r="N230" s="96">
        <f t="shared" si="134"/>
        <v>168600</v>
      </c>
      <c r="O230" s="96">
        <v>0</v>
      </c>
      <c r="P230" s="96">
        <f t="shared" si="135"/>
        <v>168600</v>
      </c>
      <c r="Q230" s="96">
        <v>0</v>
      </c>
      <c r="R230" s="96">
        <f t="shared" si="136"/>
        <v>168600</v>
      </c>
      <c r="S230" s="96">
        <v>0</v>
      </c>
      <c r="T230" s="96">
        <f t="shared" si="137"/>
        <v>168600</v>
      </c>
      <c r="U230" s="96">
        <v>0</v>
      </c>
      <c r="V230" s="96">
        <f t="shared" si="138"/>
        <v>168600</v>
      </c>
      <c r="W230" s="96">
        <v>2000</v>
      </c>
      <c r="X230" s="96">
        <f t="shared" si="139"/>
        <v>170600</v>
      </c>
    </row>
    <row r="231" spans="1:24" s="27" customFormat="1" ht="21" customHeight="1">
      <c r="A231" s="81"/>
      <c r="B231" s="98"/>
      <c r="C231" s="102">
        <v>4280</v>
      </c>
      <c r="D231" s="45" t="s">
        <v>353</v>
      </c>
      <c r="E231" s="96">
        <v>7200</v>
      </c>
      <c r="F231" s="96"/>
      <c r="G231" s="96"/>
      <c r="H231" s="96">
        <f t="shared" si="142"/>
        <v>7200</v>
      </c>
      <c r="I231" s="96"/>
      <c r="J231" s="96">
        <f t="shared" si="140"/>
        <v>7200</v>
      </c>
      <c r="K231" s="96">
        <v>0</v>
      </c>
      <c r="L231" s="96">
        <f t="shared" si="141"/>
        <v>7200</v>
      </c>
      <c r="M231" s="96">
        <v>0</v>
      </c>
      <c r="N231" s="96">
        <f t="shared" si="134"/>
        <v>7200</v>
      </c>
      <c r="O231" s="96">
        <v>0</v>
      </c>
      <c r="P231" s="96">
        <f t="shared" si="135"/>
        <v>7200</v>
      </c>
      <c r="Q231" s="96">
        <v>0</v>
      </c>
      <c r="R231" s="96">
        <f t="shared" si="136"/>
        <v>7200</v>
      </c>
      <c r="S231" s="96">
        <v>0</v>
      </c>
      <c r="T231" s="96">
        <f t="shared" si="137"/>
        <v>7200</v>
      </c>
      <c r="U231" s="96">
        <v>0</v>
      </c>
      <c r="V231" s="96">
        <f t="shared" si="138"/>
        <v>7200</v>
      </c>
      <c r="W231" s="96">
        <v>0</v>
      </c>
      <c r="X231" s="96">
        <f t="shared" si="139"/>
        <v>7200</v>
      </c>
    </row>
    <row r="232" spans="1:24" s="27" customFormat="1" ht="21" customHeight="1">
      <c r="A232" s="81"/>
      <c r="B232" s="98"/>
      <c r="C232" s="102">
        <v>4300</v>
      </c>
      <c r="D232" s="45" t="s">
        <v>201</v>
      </c>
      <c r="E232" s="96">
        <f>1000+37940</f>
        <v>38940</v>
      </c>
      <c r="F232" s="96">
        <v>50000</v>
      </c>
      <c r="G232" s="96"/>
      <c r="H232" s="96">
        <f t="shared" si="142"/>
        <v>88940</v>
      </c>
      <c r="I232" s="96">
        <v>-3500</v>
      </c>
      <c r="J232" s="96">
        <f t="shared" si="140"/>
        <v>85440</v>
      </c>
      <c r="K232" s="96">
        <v>2000</v>
      </c>
      <c r="L232" s="96">
        <f t="shared" si="141"/>
        <v>87440</v>
      </c>
      <c r="M232" s="96">
        <v>0</v>
      </c>
      <c r="N232" s="96">
        <f t="shared" si="134"/>
        <v>87440</v>
      </c>
      <c r="O232" s="96">
        <v>0</v>
      </c>
      <c r="P232" s="269">
        <f t="shared" si="135"/>
        <v>87440</v>
      </c>
      <c r="Q232" s="269">
        <v>0</v>
      </c>
      <c r="R232" s="269">
        <f t="shared" si="136"/>
        <v>87440</v>
      </c>
      <c r="S232" s="269">
        <v>0</v>
      </c>
      <c r="T232" s="269">
        <f t="shared" si="137"/>
        <v>87440</v>
      </c>
      <c r="U232" s="269">
        <v>0</v>
      </c>
      <c r="V232" s="269">
        <f t="shared" si="138"/>
        <v>87440</v>
      </c>
      <c r="W232" s="269">
        <f>1287+1000</f>
        <v>2287</v>
      </c>
      <c r="X232" s="269">
        <f t="shared" si="139"/>
        <v>89727</v>
      </c>
    </row>
    <row r="233" spans="1:24" s="27" customFormat="1" ht="21" customHeight="1">
      <c r="A233" s="81"/>
      <c r="B233" s="98"/>
      <c r="C233" s="102">
        <v>4305</v>
      </c>
      <c r="D233" s="45" t="s">
        <v>201</v>
      </c>
      <c r="E233" s="96"/>
      <c r="F233" s="96"/>
      <c r="G233" s="96"/>
      <c r="H233" s="96">
        <v>0</v>
      </c>
      <c r="I233" s="96">
        <v>373</v>
      </c>
      <c r="J233" s="96">
        <f t="shared" si="140"/>
        <v>373</v>
      </c>
      <c r="K233" s="96">
        <v>0</v>
      </c>
      <c r="L233" s="96">
        <f t="shared" si="141"/>
        <v>373</v>
      </c>
      <c r="M233" s="96">
        <v>0</v>
      </c>
      <c r="N233" s="96">
        <f t="shared" si="134"/>
        <v>373</v>
      </c>
      <c r="O233" s="96">
        <v>0</v>
      </c>
      <c r="P233" s="96">
        <f t="shared" si="135"/>
        <v>373</v>
      </c>
      <c r="Q233" s="96">
        <f>73+19</f>
        <v>92</v>
      </c>
      <c r="R233" s="96">
        <f t="shared" si="136"/>
        <v>465</v>
      </c>
      <c r="S233" s="96">
        <v>0</v>
      </c>
      <c r="T233" s="96">
        <f t="shared" si="137"/>
        <v>465</v>
      </c>
      <c r="U233" s="96">
        <v>0</v>
      </c>
      <c r="V233" s="96">
        <f t="shared" si="138"/>
        <v>465</v>
      </c>
      <c r="W233" s="96">
        <v>0</v>
      </c>
      <c r="X233" s="96">
        <f t="shared" si="139"/>
        <v>465</v>
      </c>
    </row>
    <row r="234" spans="1:24" s="27" customFormat="1" ht="21" customHeight="1">
      <c r="A234" s="81"/>
      <c r="B234" s="98"/>
      <c r="C234" s="102">
        <v>4350</v>
      </c>
      <c r="D234" s="45" t="s">
        <v>369</v>
      </c>
      <c r="E234" s="96">
        <v>4400</v>
      </c>
      <c r="F234" s="96"/>
      <c r="G234" s="96"/>
      <c r="H234" s="96">
        <f>E234+F234-G234</f>
        <v>4400</v>
      </c>
      <c r="I234" s="96"/>
      <c r="J234" s="96">
        <f t="shared" si="140"/>
        <v>4400</v>
      </c>
      <c r="K234" s="96">
        <v>0</v>
      </c>
      <c r="L234" s="96">
        <f t="shared" si="141"/>
        <v>4400</v>
      </c>
      <c r="M234" s="96">
        <v>0</v>
      </c>
      <c r="N234" s="96">
        <f t="shared" si="134"/>
        <v>4400</v>
      </c>
      <c r="O234" s="96">
        <v>0</v>
      </c>
      <c r="P234" s="96">
        <f t="shared" si="135"/>
        <v>4400</v>
      </c>
      <c r="Q234" s="96">
        <v>0</v>
      </c>
      <c r="R234" s="96">
        <f t="shared" si="136"/>
        <v>4400</v>
      </c>
      <c r="S234" s="96">
        <v>0</v>
      </c>
      <c r="T234" s="96">
        <f t="shared" si="137"/>
        <v>4400</v>
      </c>
      <c r="U234" s="96">
        <v>0</v>
      </c>
      <c r="V234" s="96">
        <f t="shared" si="138"/>
        <v>4400</v>
      </c>
      <c r="W234" s="96">
        <v>-400</v>
      </c>
      <c r="X234" s="96">
        <f t="shared" si="139"/>
        <v>4000</v>
      </c>
    </row>
    <row r="235" spans="1:24" s="27" customFormat="1" ht="24">
      <c r="A235" s="81"/>
      <c r="B235" s="98"/>
      <c r="C235" s="102">
        <v>4370</v>
      </c>
      <c r="D235" s="14" t="s">
        <v>409</v>
      </c>
      <c r="E235" s="96">
        <v>8000</v>
      </c>
      <c r="F235" s="96"/>
      <c r="G235" s="96"/>
      <c r="H235" s="96">
        <f>E235+F235-G235</f>
        <v>8000</v>
      </c>
      <c r="I235" s="96"/>
      <c r="J235" s="96">
        <f t="shared" si="140"/>
        <v>8000</v>
      </c>
      <c r="K235" s="96">
        <v>0</v>
      </c>
      <c r="L235" s="96">
        <f t="shared" si="141"/>
        <v>8000</v>
      </c>
      <c r="M235" s="96">
        <v>0</v>
      </c>
      <c r="N235" s="96">
        <f t="shared" si="134"/>
        <v>8000</v>
      </c>
      <c r="O235" s="96">
        <v>0</v>
      </c>
      <c r="P235" s="96">
        <f t="shared" si="135"/>
        <v>8000</v>
      </c>
      <c r="Q235" s="96">
        <v>0</v>
      </c>
      <c r="R235" s="96">
        <f t="shared" si="136"/>
        <v>8000</v>
      </c>
      <c r="S235" s="96">
        <v>0</v>
      </c>
      <c r="T235" s="96">
        <f t="shared" si="137"/>
        <v>8000</v>
      </c>
      <c r="U235" s="96">
        <v>0</v>
      </c>
      <c r="V235" s="96">
        <f t="shared" si="138"/>
        <v>8000</v>
      </c>
      <c r="W235" s="96">
        <v>0</v>
      </c>
      <c r="X235" s="96">
        <f t="shared" si="139"/>
        <v>8000</v>
      </c>
    </row>
    <row r="236" spans="1:24" s="27" customFormat="1" ht="21" customHeight="1">
      <c r="A236" s="81"/>
      <c r="B236" s="98"/>
      <c r="C236" s="102">
        <v>4390</v>
      </c>
      <c r="D236" s="45" t="s">
        <v>415</v>
      </c>
      <c r="E236" s="96">
        <v>3800</v>
      </c>
      <c r="F236" s="96"/>
      <c r="G236" s="96"/>
      <c r="H236" s="96">
        <f>E236+F236-G236</f>
        <v>3800</v>
      </c>
      <c r="I236" s="96"/>
      <c r="J236" s="96">
        <f t="shared" si="140"/>
        <v>3800</v>
      </c>
      <c r="K236" s="96">
        <v>0</v>
      </c>
      <c r="L236" s="96">
        <f t="shared" si="141"/>
        <v>3800</v>
      </c>
      <c r="M236" s="96">
        <v>0</v>
      </c>
      <c r="N236" s="96">
        <f t="shared" si="134"/>
        <v>3800</v>
      </c>
      <c r="O236" s="96">
        <v>0</v>
      </c>
      <c r="P236" s="96">
        <f t="shared" si="135"/>
        <v>3800</v>
      </c>
      <c r="Q236" s="96">
        <v>0</v>
      </c>
      <c r="R236" s="96">
        <f t="shared" si="136"/>
        <v>3800</v>
      </c>
      <c r="S236" s="96">
        <v>0</v>
      </c>
      <c r="T236" s="96">
        <f t="shared" si="137"/>
        <v>3800</v>
      </c>
      <c r="U236" s="96">
        <v>0</v>
      </c>
      <c r="V236" s="96">
        <f t="shared" si="138"/>
        <v>3800</v>
      </c>
      <c r="W236" s="96">
        <v>0</v>
      </c>
      <c r="X236" s="96">
        <f t="shared" si="139"/>
        <v>3800</v>
      </c>
    </row>
    <row r="237" spans="1:24" s="27" customFormat="1" ht="21" customHeight="1">
      <c r="A237" s="81"/>
      <c r="B237" s="98"/>
      <c r="C237" s="102">
        <v>4410</v>
      </c>
      <c r="D237" s="45" t="s">
        <v>212</v>
      </c>
      <c r="E237" s="96">
        <v>6000</v>
      </c>
      <c r="F237" s="96"/>
      <c r="G237" s="96"/>
      <c r="H237" s="96">
        <f>E237+F237-G237</f>
        <v>6000</v>
      </c>
      <c r="I237" s="96"/>
      <c r="J237" s="96">
        <f t="shared" si="140"/>
        <v>6000</v>
      </c>
      <c r="K237" s="96">
        <v>0</v>
      </c>
      <c r="L237" s="96">
        <f t="shared" si="141"/>
        <v>6000</v>
      </c>
      <c r="M237" s="96">
        <v>0</v>
      </c>
      <c r="N237" s="96">
        <f t="shared" si="134"/>
        <v>6000</v>
      </c>
      <c r="O237" s="96">
        <v>0</v>
      </c>
      <c r="P237" s="96">
        <f t="shared" si="135"/>
        <v>6000</v>
      </c>
      <c r="Q237" s="96">
        <v>0</v>
      </c>
      <c r="R237" s="96">
        <f t="shared" si="136"/>
        <v>6000</v>
      </c>
      <c r="S237" s="96">
        <v>0</v>
      </c>
      <c r="T237" s="96">
        <f t="shared" si="137"/>
        <v>6000</v>
      </c>
      <c r="U237" s="96">
        <v>0</v>
      </c>
      <c r="V237" s="96">
        <f t="shared" si="138"/>
        <v>6000</v>
      </c>
      <c r="W237" s="96">
        <v>0</v>
      </c>
      <c r="X237" s="96">
        <f t="shared" si="139"/>
        <v>6000</v>
      </c>
    </row>
    <row r="238" spans="1:24" s="27" customFormat="1" ht="21" customHeight="1">
      <c r="A238" s="81"/>
      <c r="B238" s="98"/>
      <c r="C238" s="102">
        <v>4425</v>
      </c>
      <c r="D238" s="45" t="s">
        <v>215</v>
      </c>
      <c r="E238" s="96"/>
      <c r="F238" s="96"/>
      <c r="G238" s="96"/>
      <c r="H238" s="96">
        <v>0</v>
      </c>
      <c r="I238" s="96">
        <v>2326</v>
      </c>
      <c r="J238" s="96">
        <f t="shared" si="140"/>
        <v>2326</v>
      </c>
      <c r="K238" s="96">
        <v>0</v>
      </c>
      <c r="L238" s="96">
        <f t="shared" si="141"/>
        <v>2326</v>
      </c>
      <c r="M238" s="96">
        <v>0</v>
      </c>
      <c r="N238" s="96">
        <f t="shared" si="134"/>
        <v>2326</v>
      </c>
      <c r="O238" s="96">
        <v>0</v>
      </c>
      <c r="P238" s="96">
        <f t="shared" si="135"/>
        <v>2326</v>
      </c>
      <c r="Q238" s="96">
        <f>192+47</f>
        <v>239</v>
      </c>
      <c r="R238" s="96">
        <f t="shared" si="136"/>
        <v>2565</v>
      </c>
      <c r="S238" s="96">
        <v>0</v>
      </c>
      <c r="T238" s="96">
        <f t="shared" si="137"/>
        <v>2565</v>
      </c>
      <c r="U238" s="96">
        <v>0</v>
      </c>
      <c r="V238" s="96">
        <f t="shared" si="138"/>
        <v>2565</v>
      </c>
      <c r="W238" s="96">
        <v>0</v>
      </c>
      <c r="X238" s="96">
        <f t="shared" si="139"/>
        <v>2565</v>
      </c>
    </row>
    <row r="239" spans="1:24" s="27" customFormat="1" ht="21" customHeight="1">
      <c r="A239" s="81"/>
      <c r="B239" s="98"/>
      <c r="C239" s="102">
        <v>4430</v>
      </c>
      <c r="D239" s="45" t="s">
        <v>216</v>
      </c>
      <c r="E239" s="96">
        <v>3300</v>
      </c>
      <c r="F239" s="96"/>
      <c r="G239" s="96"/>
      <c r="H239" s="96">
        <f>E239+F239-G239</f>
        <v>3300</v>
      </c>
      <c r="I239" s="96"/>
      <c r="J239" s="96">
        <f t="shared" si="140"/>
        <v>3300</v>
      </c>
      <c r="K239" s="96">
        <v>0</v>
      </c>
      <c r="L239" s="96">
        <f t="shared" si="141"/>
        <v>3300</v>
      </c>
      <c r="M239" s="96">
        <v>0</v>
      </c>
      <c r="N239" s="96">
        <f t="shared" si="134"/>
        <v>3300</v>
      </c>
      <c r="O239" s="96">
        <v>0</v>
      </c>
      <c r="P239" s="96">
        <f t="shared" si="135"/>
        <v>3300</v>
      </c>
      <c r="Q239" s="96">
        <v>0</v>
      </c>
      <c r="R239" s="96">
        <f t="shared" si="136"/>
        <v>3300</v>
      </c>
      <c r="S239" s="96">
        <v>0</v>
      </c>
      <c r="T239" s="96">
        <f t="shared" si="137"/>
        <v>3300</v>
      </c>
      <c r="U239" s="96">
        <v>0</v>
      </c>
      <c r="V239" s="96">
        <f t="shared" si="138"/>
        <v>3300</v>
      </c>
      <c r="W239" s="96">
        <f>-787-600</f>
        <v>-1387</v>
      </c>
      <c r="X239" s="96">
        <f t="shared" si="139"/>
        <v>1913</v>
      </c>
    </row>
    <row r="240" spans="1:24" s="27" customFormat="1" ht="21" customHeight="1">
      <c r="A240" s="81"/>
      <c r="B240" s="98"/>
      <c r="C240" s="102">
        <v>4440</v>
      </c>
      <c r="D240" s="45" t="s">
        <v>210</v>
      </c>
      <c r="E240" s="96">
        <v>166073</v>
      </c>
      <c r="F240" s="96"/>
      <c r="G240" s="96"/>
      <c r="H240" s="96">
        <f>E240+F240-G240</f>
        <v>166073</v>
      </c>
      <c r="I240" s="96"/>
      <c r="J240" s="96">
        <f t="shared" si="140"/>
        <v>166073</v>
      </c>
      <c r="K240" s="96">
        <v>0</v>
      </c>
      <c r="L240" s="96">
        <f t="shared" si="141"/>
        <v>166073</v>
      </c>
      <c r="M240" s="96">
        <v>0</v>
      </c>
      <c r="N240" s="96">
        <f t="shared" si="134"/>
        <v>166073</v>
      </c>
      <c r="O240" s="96">
        <v>0</v>
      </c>
      <c r="P240" s="96">
        <f t="shared" si="135"/>
        <v>166073</v>
      </c>
      <c r="Q240" s="96">
        <v>0</v>
      </c>
      <c r="R240" s="96">
        <f t="shared" si="136"/>
        <v>166073</v>
      </c>
      <c r="S240" s="96">
        <v>0</v>
      </c>
      <c r="T240" s="96">
        <f t="shared" si="137"/>
        <v>166073</v>
      </c>
      <c r="U240" s="96">
        <v>0</v>
      </c>
      <c r="V240" s="96">
        <f t="shared" si="138"/>
        <v>166073</v>
      </c>
      <c r="W240" s="96">
        <v>0</v>
      </c>
      <c r="X240" s="96">
        <f t="shared" si="139"/>
        <v>166073</v>
      </c>
    </row>
    <row r="241" spans="1:24" s="27" customFormat="1" ht="21" customHeight="1">
      <c r="A241" s="81"/>
      <c r="B241" s="98"/>
      <c r="C241" s="102">
        <v>4700</v>
      </c>
      <c r="D241" s="45" t="s">
        <v>412</v>
      </c>
      <c r="E241" s="96"/>
      <c r="F241" s="96"/>
      <c r="G241" s="96"/>
      <c r="H241" s="96">
        <v>0</v>
      </c>
      <c r="I241" s="96">
        <v>3500</v>
      </c>
      <c r="J241" s="96">
        <f t="shared" si="140"/>
        <v>3500</v>
      </c>
      <c r="K241" s="96">
        <v>0</v>
      </c>
      <c r="L241" s="96">
        <f t="shared" si="141"/>
        <v>3500</v>
      </c>
      <c r="M241" s="96">
        <v>0</v>
      </c>
      <c r="N241" s="96">
        <f t="shared" si="134"/>
        <v>3500</v>
      </c>
      <c r="O241" s="96">
        <v>0</v>
      </c>
      <c r="P241" s="96">
        <f t="shared" si="135"/>
        <v>3500</v>
      </c>
      <c r="Q241" s="96">
        <v>0</v>
      </c>
      <c r="R241" s="96">
        <f t="shared" si="136"/>
        <v>3500</v>
      </c>
      <c r="S241" s="96">
        <v>0</v>
      </c>
      <c r="T241" s="96">
        <f t="shared" si="137"/>
        <v>3500</v>
      </c>
      <c r="U241" s="96">
        <v>0</v>
      </c>
      <c r="V241" s="96">
        <f t="shared" si="138"/>
        <v>3500</v>
      </c>
      <c r="W241" s="96">
        <v>-500</v>
      </c>
      <c r="X241" s="96">
        <f t="shared" si="139"/>
        <v>3000</v>
      </c>
    </row>
    <row r="242" spans="1:24" s="27" customFormat="1" ht="21" customHeight="1">
      <c r="A242" s="81"/>
      <c r="B242" s="98"/>
      <c r="C242" s="102">
        <v>4740</v>
      </c>
      <c r="D242" s="14" t="s">
        <v>48</v>
      </c>
      <c r="E242" s="96">
        <v>3500</v>
      </c>
      <c r="F242" s="96"/>
      <c r="G242" s="96"/>
      <c r="H242" s="96">
        <f aca="true" t="shared" si="143" ref="H242:H252">E242+F242-G242</f>
        <v>3500</v>
      </c>
      <c r="I242" s="96"/>
      <c r="J242" s="96">
        <f t="shared" si="140"/>
        <v>3500</v>
      </c>
      <c r="K242" s="96">
        <v>0</v>
      </c>
      <c r="L242" s="96">
        <f t="shared" si="141"/>
        <v>3500</v>
      </c>
      <c r="M242" s="96">
        <v>0</v>
      </c>
      <c r="N242" s="96">
        <f t="shared" si="134"/>
        <v>3500</v>
      </c>
      <c r="O242" s="96">
        <v>0</v>
      </c>
      <c r="P242" s="96">
        <f t="shared" si="135"/>
        <v>3500</v>
      </c>
      <c r="Q242" s="96">
        <v>0</v>
      </c>
      <c r="R242" s="96">
        <f t="shared" si="136"/>
        <v>3500</v>
      </c>
      <c r="S242" s="96">
        <v>0</v>
      </c>
      <c r="T242" s="96">
        <f t="shared" si="137"/>
        <v>3500</v>
      </c>
      <c r="U242" s="96">
        <v>0</v>
      </c>
      <c r="V242" s="96">
        <f t="shared" si="138"/>
        <v>3500</v>
      </c>
      <c r="W242" s="96">
        <v>0</v>
      </c>
      <c r="X242" s="96">
        <f t="shared" si="139"/>
        <v>3500</v>
      </c>
    </row>
    <row r="243" spans="1:24" s="27" customFormat="1" ht="21" customHeight="1">
      <c r="A243" s="81"/>
      <c r="B243" s="98"/>
      <c r="C243" s="102">
        <v>4750</v>
      </c>
      <c r="D243" s="14" t="s">
        <v>413</v>
      </c>
      <c r="E243" s="96">
        <v>8050</v>
      </c>
      <c r="F243" s="96"/>
      <c r="G243" s="96"/>
      <c r="H243" s="96">
        <f t="shared" si="143"/>
        <v>8050</v>
      </c>
      <c r="I243" s="96"/>
      <c r="J243" s="96">
        <f t="shared" si="140"/>
        <v>8050</v>
      </c>
      <c r="K243" s="96">
        <v>0</v>
      </c>
      <c r="L243" s="96">
        <f t="shared" si="141"/>
        <v>8050</v>
      </c>
      <c r="M243" s="96">
        <v>0</v>
      </c>
      <c r="N243" s="96">
        <f t="shared" si="134"/>
        <v>8050</v>
      </c>
      <c r="O243" s="96">
        <v>0</v>
      </c>
      <c r="P243" s="96">
        <f t="shared" si="135"/>
        <v>8050</v>
      </c>
      <c r="Q243" s="96">
        <v>0</v>
      </c>
      <c r="R243" s="96">
        <f t="shared" si="136"/>
        <v>8050</v>
      </c>
      <c r="S243" s="96">
        <v>0</v>
      </c>
      <c r="T243" s="96">
        <f t="shared" si="137"/>
        <v>8050</v>
      </c>
      <c r="U243" s="96">
        <v>0</v>
      </c>
      <c r="V243" s="96">
        <f t="shared" si="138"/>
        <v>8050</v>
      </c>
      <c r="W243" s="96">
        <v>-2000</v>
      </c>
      <c r="X243" s="96">
        <f t="shared" si="139"/>
        <v>6050</v>
      </c>
    </row>
    <row r="244" spans="1:24" s="27" customFormat="1" ht="21" customHeight="1">
      <c r="A244" s="81"/>
      <c r="B244" s="98"/>
      <c r="C244" s="102">
        <v>6050</v>
      </c>
      <c r="D244" s="14" t="s">
        <v>195</v>
      </c>
      <c r="E244" s="96">
        <v>100000</v>
      </c>
      <c r="F244" s="96"/>
      <c r="G244" s="96"/>
      <c r="H244" s="96">
        <f t="shared" si="143"/>
        <v>100000</v>
      </c>
      <c r="I244" s="96"/>
      <c r="J244" s="96">
        <f t="shared" si="140"/>
        <v>100000</v>
      </c>
      <c r="K244" s="96">
        <v>0</v>
      </c>
      <c r="L244" s="96">
        <f t="shared" si="141"/>
        <v>100000</v>
      </c>
      <c r="M244" s="96">
        <v>0</v>
      </c>
      <c r="N244" s="96">
        <f t="shared" si="134"/>
        <v>100000</v>
      </c>
      <c r="O244" s="96">
        <v>0</v>
      </c>
      <c r="P244" s="269">
        <f t="shared" si="135"/>
        <v>100000</v>
      </c>
      <c r="Q244" s="269">
        <v>0</v>
      </c>
      <c r="R244" s="269">
        <f t="shared" si="136"/>
        <v>100000</v>
      </c>
      <c r="S244" s="269">
        <v>0</v>
      </c>
      <c r="T244" s="269">
        <f t="shared" si="137"/>
        <v>100000</v>
      </c>
      <c r="U244" s="269">
        <v>0</v>
      </c>
      <c r="V244" s="269">
        <f t="shared" si="138"/>
        <v>100000</v>
      </c>
      <c r="W244" s="269">
        <v>0</v>
      </c>
      <c r="X244" s="269">
        <f t="shared" si="139"/>
        <v>100000</v>
      </c>
    </row>
    <row r="245" spans="1:24" s="27" customFormat="1" ht="21" customHeight="1">
      <c r="A245" s="81"/>
      <c r="B245" s="98"/>
      <c r="C245" s="102">
        <v>6060</v>
      </c>
      <c r="D245" s="45" t="s">
        <v>218</v>
      </c>
      <c r="E245" s="96">
        <v>9500</v>
      </c>
      <c r="F245" s="96"/>
      <c r="G245" s="96"/>
      <c r="H245" s="96">
        <f t="shared" si="143"/>
        <v>9500</v>
      </c>
      <c r="I245" s="96"/>
      <c r="J245" s="96">
        <f t="shared" si="140"/>
        <v>9500</v>
      </c>
      <c r="K245" s="96">
        <v>0</v>
      </c>
      <c r="L245" s="96">
        <f t="shared" si="141"/>
        <v>9500</v>
      </c>
      <c r="M245" s="96">
        <v>0</v>
      </c>
      <c r="N245" s="96">
        <f t="shared" si="134"/>
        <v>9500</v>
      </c>
      <c r="O245" s="96">
        <v>0</v>
      </c>
      <c r="P245" s="96">
        <f t="shared" si="135"/>
        <v>9500</v>
      </c>
      <c r="Q245" s="96">
        <v>0</v>
      </c>
      <c r="R245" s="96">
        <f t="shared" si="136"/>
        <v>9500</v>
      </c>
      <c r="S245" s="96">
        <v>0</v>
      </c>
      <c r="T245" s="96">
        <f t="shared" si="137"/>
        <v>9500</v>
      </c>
      <c r="U245" s="96">
        <v>0</v>
      </c>
      <c r="V245" s="96">
        <f t="shared" si="138"/>
        <v>9500</v>
      </c>
      <c r="W245" s="96">
        <v>-9500</v>
      </c>
      <c r="X245" s="96">
        <f t="shared" si="139"/>
        <v>0</v>
      </c>
    </row>
    <row r="246" spans="1:24" s="27" customFormat="1" ht="21.75" customHeight="1">
      <c r="A246" s="81"/>
      <c r="B246" s="86" t="s">
        <v>240</v>
      </c>
      <c r="C246" s="61"/>
      <c r="D246" s="14" t="s">
        <v>241</v>
      </c>
      <c r="E246" s="85">
        <f>SUM(E247:E252)</f>
        <v>327983</v>
      </c>
      <c r="F246" s="85">
        <f>SUM(F247:F252)</f>
        <v>0</v>
      </c>
      <c r="G246" s="85">
        <f>SUM(G247:G252)</f>
        <v>0</v>
      </c>
      <c r="H246" s="96">
        <f t="shared" si="143"/>
        <v>327983</v>
      </c>
      <c r="I246" s="85">
        <f aca="true" t="shared" si="144" ref="I246:N246">SUM(I247:I252)</f>
        <v>0</v>
      </c>
      <c r="J246" s="96">
        <f t="shared" si="144"/>
        <v>327983</v>
      </c>
      <c r="K246" s="96">
        <f t="shared" si="144"/>
        <v>0</v>
      </c>
      <c r="L246" s="96">
        <f t="shared" si="144"/>
        <v>327983</v>
      </c>
      <c r="M246" s="96">
        <f t="shared" si="144"/>
        <v>0</v>
      </c>
      <c r="N246" s="96">
        <f t="shared" si="144"/>
        <v>327983</v>
      </c>
      <c r="O246" s="96">
        <f aca="true" t="shared" si="145" ref="O246:T246">SUM(O247:O252)</f>
        <v>0</v>
      </c>
      <c r="P246" s="96">
        <f t="shared" si="145"/>
        <v>327983</v>
      </c>
      <c r="Q246" s="96">
        <f t="shared" si="145"/>
        <v>-1235</v>
      </c>
      <c r="R246" s="96">
        <f t="shared" si="145"/>
        <v>326748</v>
      </c>
      <c r="S246" s="96">
        <f t="shared" si="145"/>
        <v>0</v>
      </c>
      <c r="T246" s="96">
        <f t="shared" si="145"/>
        <v>326748</v>
      </c>
      <c r="U246" s="96">
        <f>SUM(U247:U252)</f>
        <v>0</v>
      </c>
      <c r="V246" s="96">
        <f>SUM(V247:V252)</f>
        <v>326748</v>
      </c>
      <c r="W246" s="96">
        <f>SUM(W247:W252)</f>
        <v>-400</v>
      </c>
      <c r="X246" s="96">
        <f>SUM(X247:X252)</f>
        <v>326348</v>
      </c>
    </row>
    <row r="247" spans="1:26" s="27" customFormat="1" ht="21.75" customHeight="1">
      <c r="A247" s="81"/>
      <c r="B247" s="86"/>
      <c r="C247" s="61">
        <v>4110</v>
      </c>
      <c r="D247" s="45" t="s">
        <v>208</v>
      </c>
      <c r="E247" s="85">
        <v>245</v>
      </c>
      <c r="F247" s="85"/>
      <c r="G247" s="85"/>
      <c r="H247" s="96">
        <f t="shared" si="143"/>
        <v>245</v>
      </c>
      <c r="I247" s="85"/>
      <c r="J247" s="96">
        <f t="shared" si="140"/>
        <v>245</v>
      </c>
      <c r="K247" s="85">
        <v>0</v>
      </c>
      <c r="L247" s="96">
        <f t="shared" si="141"/>
        <v>245</v>
      </c>
      <c r="M247" s="85">
        <v>0</v>
      </c>
      <c r="N247" s="96">
        <f aca="true" t="shared" si="146" ref="N247:N252">SUM(L247:M247)</f>
        <v>245</v>
      </c>
      <c r="O247" s="85">
        <f>-245+1738+362</f>
        <v>1855</v>
      </c>
      <c r="P247" s="96">
        <f aca="true" t="shared" si="147" ref="P247:P252">SUM(N247:O247)</f>
        <v>2100</v>
      </c>
      <c r="Q247" s="85">
        <v>0</v>
      </c>
      <c r="R247" s="96">
        <f aca="true" t="shared" si="148" ref="R247:R252">SUM(P247:Q247)</f>
        <v>2100</v>
      </c>
      <c r="S247" s="85">
        <v>0</v>
      </c>
      <c r="T247" s="96">
        <f aca="true" t="shared" si="149" ref="T247:T252">SUM(R247:S247)</f>
        <v>2100</v>
      </c>
      <c r="U247" s="85">
        <v>0</v>
      </c>
      <c r="V247" s="96">
        <f aca="true" t="shared" si="150" ref="V247:V252">SUM(T247:U247)</f>
        <v>2100</v>
      </c>
      <c r="W247" s="85">
        <v>0</v>
      </c>
      <c r="X247" s="96">
        <f aca="true" t="shared" si="151" ref="X247:X252">SUM(V247:W247)</f>
        <v>2100</v>
      </c>
      <c r="Y247" s="150"/>
      <c r="Z247" s="150"/>
    </row>
    <row r="248" spans="1:26" s="27" customFormat="1" ht="21.75" customHeight="1">
      <c r="A248" s="81"/>
      <c r="B248" s="86"/>
      <c r="C248" s="61">
        <v>4120</v>
      </c>
      <c r="D248" s="45" t="s">
        <v>209</v>
      </c>
      <c r="E248" s="85">
        <v>1738</v>
      </c>
      <c r="F248" s="85"/>
      <c r="G248" s="85"/>
      <c r="H248" s="96">
        <f t="shared" si="143"/>
        <v>1738</v>
      </c>
      <c r="I248" s="85"/>
      <c r="J248" s="96">
        <f t="shared" si="140"/>
        <v>1738</v>
      </c>
      <c r="K248" s="85">
        <v>0</v>
      </c>
      <c r="L248" s="96">
        <f t="shared" si="141"/>
        <v>1738</v>
      </c>
      <c r="M248" s="85">
        <v>0</v>
      </c>
      <c r="N248" s="96">
        <f t="shared" si="146"/>
        <v>1738</v>
      </c>
      <c r="O248" s="85">
        <f>-1738+245+55</f>
        <v>-1438</v>
      </c>
      <c r="P248" s="96">
        <f t="shared" si="147"/>
        <v>300</v>
      </c>
      <c r="Q248" s="85">
        <v>0</v>
      </c>
      <c r="R248" s="96">
        <f t="shared" si="148"/>
        <v>300</v>
      </c>
      <c r="S248" s="85">
        <v>0</v>
      </c>
      <c r="T248" s="96">
        <f t="shared" si="149"/>
        <v>300</v>
      </c>
      <c r="U248" s="85">
        <v>0</v>
      </c>
      <c r="V248" s="96">
        <f t="shared" si="150"/>
        <v>300</v>
      </c>
      <c r="W248" s="85">
        <v>0</v>
      </c>
      <c r="X248" s="96">
        <f t="shared" si="151"/>
        <v>300</v>
      </c>
      <c r="Y248" s="150"/>
      <c r="Z248" s="150"/>
    </row>
    <row r="249" spans="1:26" s="27" customFormat="1" ht="21.75" customHeight="1">
      <c r="A249" s="81"/>
      <c r="B249" s="86"/>
      <c r="C249" s="61">
        <v>4170</v>
      </c>
      <c r="D249" s="45" t="s">
        <v>339</v>
      </c>
      <c r="E249" s="85">
        <v>20000</v>
      </c>
      <c r="F249" s="85"/>
      <c r="G249" s="85"/>
      <c r="H249" s="96">
        <f t="shared" si="143"/>
        <v>20000</v>
      </c>
      <c r="I249" s="85"/>
      <c r="J249" s="96">
        <f t="shared" si="140"/>
        <v>20000</v>
      </c>
      <c r="K249" s="85">
        <v>0</v>
      </c>
      <c r="L249" s="96">
        <f t="shared" si="141"/>
        <v>20000</v>
      </c>
      <c r="M249" s="85">
        <v>0</v>
      </c>
      <c r="N249" s="96">
        <f t="shared" si="146"/>
        <v>20000</v>
      </c>
      <c r="O249" s="85">
        <v>-417</v>
      </c>
      <c r="P249" s="96">
        <f t="shared" si="147"/>
        <v>19583</v>
      </c>
      <c r="Q249" s="85">
        <v>0</v>
      </c>
      <c r="R249" s="96">
        <f t="shared" si="148"/>
        <v>19583</v>
      </c>
      <c r="S249" s="85">
        <v>0</v>
      </c>
      <c r="T249" s="96">
        <f t="shared" si="149"/>
        <v>19583</v>
      </c>
      <c r="U249" s="85">
        <v>0</v>
      </c>
      <c r="V249" s="96">
        <f t="shared" si="150"/>
        <v>19583</v>
      </c>
      <c r="W249" s="85">
        <v>0</v>
      </c>
      <c r="X249" s="96">
        <f t="shared" si="151"/>
        <v>19583</v>
      </c>
      <c r="Y249" s="150"/>
      <c r="Z249" s="150"/>
    </row>
    <row r="250" spans="1:24" s="27" customFormat="1" ht="21.75" customHeight="1">
      <c r="A250" s="81"/>
      <c r="B250" s="86"/>
      <c r="C250" s="61">
        <v>4210</v>
      </c>
      <c r="D250" s="14" t="s">
        <v>214</v>
      </c>
      <c r="E250" s="85">
        <v>64000</v>
      </c>
      <c r="F250" s="85"/>
      <c r="G250" s="85"/>
      <c r="H250" s="96">
        <f t="shared" si="143"/>
        <v>64000</v>
      </c>
      <c r="I250" s="85"/>
      <c r="J250" s="96">
        <f t="shared" si="140"/>
        <v>64000</v>
      </c>
      <c r="K250" s="85">
        <v>0</v>
      </c>
      <c r="L250" s="96">
        <f t="shared" si="141"/>
        <v>64000</v>
      </c>
      <c r="M250" s="85">
        <v>0</v>
      </c>
      <c r="N250" s="96">
        <f t="shared" si="146"/>
        <v>64000</v>
      </c>
      <c r="O250" s="85">
        <v>0</v>
      </c>
      <c r="P250" s="96">
        <f t="shared" si="147"/>
        <v>64000</v>
      </c>
      <c r="Q250" s="85">
        <v>-1235</v>
      </c>
      <c r="R250" s="96">
        <f t="shared" si="148"/>
        <v>62765</v>
      </c>
      <c r="S250" s="85">
        <v>0</v>
      </c>
      <c r="T250" s="96">
        <f t="shared" si="149"/>
        <v>62765</v>
      </c>
      <c r="U250" s="85">
        <v>0</v>
      </c>
      <c r="V250" s="96">
        <f t="shared" si="150"/>
        <v>62765</v>
      </c>
      <c r="W250" s="85">
        <v>-400</v>
      </c>
      <c r="X250" s="96">
        <f t="shared" si="151"/>
        <v>62365</v>
      </c>
    </row>
    <row r="251" spans="1:24" s="27" customFormat="1" ht="21" customHeight="1">
      <c r="A251" s="81"/>
      <c r="B251" s="86"/>
      <c r="C251" s="61">
        <v>4300</v>
      </c>
      <c r="D251" s="14" t="s">
        <v>201</v>
      </c>
      <c r="E251" s="85">
        <v>236000</v>
      </c>
      <c r="F251" s="85"/>
      <c r="G251" s="85"/>
      <c r="H251" s="96">
        <f t="shared" si="143"/>
        <v>236000</v>
      </c>
      <c r="I251" s="85"/>
      <c r="J251" s="96">
        <f t="shared" si="140"/>
        <v>236000</v>
      </c>
      <c r="K251" s="85">
        <v>0</v>
      </c>
      <c r="L251" s="96">
        <f t="shared" si="141"/>
        <v>236000</v>
      </c>
      <c r="M251" s="85">
        <v>0</v>
      </c>
      <c r="N251" s="96">
        <f t="shared" si="146"/>
        <v>236000</v>
      </c>
      <c r="O251" s="85">
        <v>0</v>
      </c>
      <c r="P251" s="96">
        <f t="shared" si="147"/>
        <v>236000</v>
      </c>
      <c r="Q251" s="85">
        <v>0</v>
      </c>
      <c r="R251" s="96">
        <f t="shared" si="148"/>
        <v>236000</v>
      </c>
      <c r="S251" s="85">
        <v>0</v>
      </c>
      <c r="T251" s="96">
        <f t="shared" si="149"/>
        <v>236000</v>
      </c>
      <c r="U251" s="85">
        <v>0</v>
      </c>
      <c r="V251" s="96">
        <f t="shared" si="150"/>
        <v>236000</v>
      </c>
      <c r="W251" s="85">
        <v>0</v>
      </c>
      <c r="X251" s="96">
        <f t="shared" si="151"/>
        <v>236000</v>
      </c>
    </row>
    <row r="252" spans="1:24" s="27" customFormat="1" ht="21" customHeight="1">
      <c r="A252" s="81"/>
      <c r="B252" s="86"/>
      <c r="C252" s="61">
        <v>4430</v>
      </c>
      <c r="D252" s="45" t="s">
        <v>216</v>
      </c>
      <c r="E252" s="85">
        <v>6000</v>
      </c>
      <c r="F252" s="85"/>
      <c r="G252" s="85"/>
      <c r="H252" s="96">
        <f t="shared" si="143"/>
        <v>6000</v>
      </c>
      <c r="I252" s="85"/>
      <c r="J252" s="96">
        <f t="shared" si="140"/>
        <v>6000</v>
      </c>
      <c r="K252" s="85">
        <v>0</v>
      </c>
      <c r="L252" s="96">
        <f t="shared" si="141"/>
        <v>6000</v>
      </c>
      <c r="M252" s="85">
        <v>0</v>
      </c>
      <c r="N252" s="96">
        <f t="shared" si="146"/>
        <v>6000</v>
      </c>
      <c r="O252" s="85">
        <v>0</v>
      </c>
      <c r="P252" s="96">
        <f t="shared" si="147"/>
        <v>6000</v>
      </c>
      <c r="Q252" s="85">
        <v>0</v>
      </c>
      <c r="R252" s="96">
        <f t="shared" si="148"/>
        <v>6000</v>
      </c>
      <c r="S252" s="85">
        <v>0</v>
      </c>
      <c r="T252" s="96">
        <f t="shared" si="149"/>
        <v>6000</v>
      </c>
      <c r="U252" s="85">
        <v>0</v>
      </c>
      <c r="V252" s="96">
        <f t="shared" si="150"/>
        <v>6000</v>
      </c>
      <c r="W252" s="85">
        <v>0</v>
      </c>
      <c r="X252" s="96">
        <f t="shared" si="151"/>
        <v>6000</v>
      </c>
    </row>
    <row r="253" spans="1:24" s="27" customFormat="1" ht="24" customHeight="1">
      <c r="A253" s="81"/>
      <c r="B253" s="103">
        <v>80146</v>
      </c>
      <c r="C253" s="84"/>
      <c r="D253" s="45" t="s">
        <v>282</v>
      </c>
      <c r="E253" s="96">
        <f>SUM(E254:E255)</f>
        <v>87684</v>
      </c>
      <c r="F253" s="96">
        <f>SUM(F254:F255)</f>
        <v>0</v>
      </c>
      <c r="G253" s="96">
        <f>SUM(G254:G255)</f>
        <v>0</v>
      </c>
      <c r="H253" s="96">
        <f aca="true" t="shared" si="152" ref="H253:N253">SUM(H254:H256)</f>
        <v>87684</v>
      </c>
      <c r="I253" s="96">
        <f t="shared" si="152"/>
        <v>0</v>
      </c>
      <c r="J253" s="96">
        <f t="shared" si="152"/>
        <v>87684</v>
      </c>
      <c r="K253" s="96">
        <f t="shared" si="152"/>
        <v>0</v>
      </c>
      <c r="L253" s="96">
        <f t="shared" si="152"/>
        <v>87684</v>
      </c>
      <c r="M253" s="96">
        <f t="shared" si="152"/>
        <v>0</v>
      </c>
      <c r="N253" s="96">
        <f t="shared" si="152"/>
        <v>87684</v>
      </c>
      <c r="O253" s="96">
        <f aca="true" t="shared" si="153" ref="O253:T253">SUM(O254:O256)</f>
        <v>0</v>
      </c>
      <c r="P253" s="96">
        <f t="shared" si="153"/>
        <v>87684</v>
      </c>
      <c r="Q253" s="96">
        <f t="shared" si="153"/>
        <v>0</v>
      </c>
      <c r="R253" s="96">
        <f t="shared" si="153"/>
        <v>87684</v>
      </c>
      <c r="S253" s="96">
        <f t="shared" si="153"/>
        <v>0</v>
      </c>
      <c r="T253" s="96">
        <f t="shared" si="153"/>
        <v>87684</v>
      </c>
      <c r="U253" s="96">
        <f>SUM(U254:U256)</f>
        <v>0</v>
      </c>
      <c r="V253" s="96">
        <f>SUM(V254:V256)</f>
        <v>87684</v>
      </c>
      <c r="W253" s="96">
        <f>SUM(W254:W256)</f>
        <v>5542</v>
      </c>
      <c r="X253" s="96">
        <f>SUM(X254:X256)</f>
        <v>93226</v>
      </c>
    </row>
    <row r="254" spans="1:24" s="27" customFormat="1" ht="21" customHeight="1">
      <c r="A254" s="81"/>
      <c r="B254" s="103"/>
      <c r="C254" s="84">
        <v>2510</v>
      </c>
      <c r="D254" s="45" t="s">
        <v>249</v>
      </c>
      <c r="E254" s="96">
        <v>9289</v>
      </c>
      <c r="F254" s="96"/>
      <c r="G254" s="96"/>
      <c r="H254" s="96">
        <f>E254+F254-G254</f>
        <v>9289</v>
      </c>
      <c r="I254" s="96"/>
      <c r="J254" s="96">
        <f t="shared" si="140"/>
        <v>9289</v>
      </c>
      <c r="K254" s="96">
        <v>0</v>
      </c>
      <c r="L254" s="96">
        <f t="shared" si="141"/>
        <v>9289</v>
      </c>
      <c r="M254" s="96">
        <v>0</v>
      </c>
      <c r="N254" s="96">
        <f>SUM(L254:M254)</f>
        <v>9289</v>
      </c>
      <c r="O254" s="96">
        <v>0</v>
      </c>
      <c r="P254" s="96">
        <f>SUM(N254:O254)</f>
        <v>9289</v>
      </c>
      <c r="Q254" s="96">
        <v>0</v>
      </c>
      <c r="R254" s="96">
        <f>SUM(P254:Q254)</f>
        <v>9289</v>
      </c>
      <c r="S254" s="96">
        <v>0</v>
      </c>
      <c r="T254" s="96">
        <f>SUM(R254:S254)</f>
        <v>9289</v>
      </c>
      <c r="U254" s="96">
        <v>0</v>
      </c>
      <c r="V254" s="96">
        <f>SUM(T254:U254)</f>
        <v>9289</v>
      </c>
      <c r="W254" s="96">
        <v>0</v>
      </c>
      <c r="X254" s="96">
        <f>SUM(V254:W254)</f>
        <v>9289</v>
      </c>
    </row>
    <row r="255" spans="1:24" s="27" customFormat="1" ht="21" customHeight="1">
      <c r="A255" s="81"/>
      <c r="B255" s="103"/>
      <c r="C255" s="84">
        <v>4300</v>
      </c>
      <c r="D255" s="45" t="s">
        <v>201</v>
      </c>
      <c r="E255" s="96">
        <v>78395</v>
      </c>
      <c r="F255" s="96"/>
      <c r="G255" s="96"/>
      <c r="H255" s="96">
        <f>E255+F255-G255</f>
        <v>78395</v>
      </c>
      <c r="I255" s="96">
        <v>-19766</v>
      </c>
      <c r="J255" s="96">
        <f t="shared" si="140"/>
        <v>58629</v>
      </c>
      <c r="K255" s="96">
        <v>0</v>
      </c>
      <c r="L255" s="96">
        <f t="shared" si="141"/>
        <v>58629</v>
      </c>
      <c r="M255" s="96">
        <v>0</v>
      </c>
      <c r="N255" s="96">
        <f>SUM(L255:M255)</f>
        <v>58629</v>
      </c>
      <c r="O255" s="96">
        <v>0</v>
      </c>
      <c r="P255" s="96">
        <f>SUM(N255:O255)</f>
        <v>58629</v>
      </c>
      <c r="Q255" s="96">
        <v>-1200</v>
      </c>
      <c r="R255" s="96">
        <f>SUM(P255:Q255)</f>
        <v>57429</v>
      </c>
      <c r="S255" s="96">
        <v>0</v>
      </c>
      <c r="T255" s="96">
        <f>SUM(R255:S255)</f>
        <v>57429</v>
      </c>
      <c r="U255" s="96">
        <v>0</v>
      </c>
      <c r="V255" s="96">
        <f>SUM(T255:U255)</f>
        <v>57429</v>
      </c>
      <c r="W255" s="96">
        <f>4000-5836</f>
        <v>-1836</v>
      </c>
      <c r="X255" s="96">
        <f>SUM(V255:W255)</f>
        <v>55593</v>
      </c>
    </row>
    <row r="256" spans="1:24" s="27" customFormat="1" ht="21" customHeight="1">
      <c r="A256" s="81"/>
      <c r="B256" s="103"/>
      <c r="C256" s="84">
        <v>4410</v>
      </c>
      <c r="D256" s="45" t="s">
        <v>212</v>
      </c>
      <c r="E256" s="96"/>
      <c r="F256" s="96"/>
      <c r="G256" s="96"/>
      <c r="H256" s="96">
        <v>0</v>
      </c>
      <c r="I256" s="96">
        <v>19766</v>
      </c>
      <c r="J256" s="96">
        <f t="shared" si="140"/>
        <v>19766</v>
      </c>
      <c r="K256" s="96">
        <v>0</v>
      </c>
      <c r="L256" s="96">
        <f t="shared" si="141"/>
        <v>19766</v>
      </c>
      <c r="M256" s="96">
        <v>0</v>
      </c>
      <c r="N256" s="96">
        <f>SUM(L256:M256)</f>
        <v>19766</v>
      </c>
      <c r="O256" s="96">
        <v>0</v>
      </c>
      <c r="P256" s="96">
        <f>SUM(N256:O256)</f>
        <v>19766</v>
      </c>
      <c r="Q256" s="96">
        <v>1200</v>
      </c>
      <c r="R256" s="96">
        <f>SUM(P256:Q256)</f>
        <v>20966</v>
      </c>
      <c r="S256" s="96">
        <v>0</v>
      </c>
      <c r="T256" s="96">
        <f>SUM(R256:S256)</f>
        <v>20966</v>
      </c>
      <c r="U256" s="96">
        <v>0</v>
      </c>
      <c r="V256" s="96">
        <f>SUM(T256:U256)</f>
        <v>20966</v>
      </c>
      <c r="W256" s="96">
        <v>7378</v>
      </c>
      <c r="X256" s="96">
        <f>SUM(V256:W256)</f>
        <v>28344</v>
      </c>
    </row>
    <row r="257" spans="1:24" s="27" customFormat="1" ht="21.75" customHeight="1">
      <c r="A257" s="81"/>
      <c r="B257" s="98">
        <v>80195</v>
      </c>
      <c r="C257" s="81"/>
      <c r="D257" s="45" t="s">
        <v>118</v>
      </c>
      <c r="E257" s="96">
        <f>SUM(E261:E263)</f>
        <v>179972</v>
      </c>
      <c r="F257" s="96">
        <f>SUM(F261:F263)</f>
        <v>0</v>
      </c>
      <c r="G257" s="96">
        <f>SUM(G261:G263)</f>
        <v>0</v>
      </c>
      <c r="H257" s="96">
        <f aca="true" t="shared" si="154" ref="H257:H266">E257+F257-G257</f>
        <v>179972</v>
      </c>
      <c r="I257" s="96">
        <f aca="true" t="shared" si="155" ref="I257:N257">SUM(I261:I263)</f>
        <v>0</v>
      </c>
      <c r="J257" s="96">
        <f t="shared" si="155"/>
        <v>179972</v>
      </c>
      <c r="K257" s="96">
        <f t="shared" si="155"/>
        <v>0</v>
      </c>
      <c r="L257" s="96">
        <f t="shared" si="155"/>
        <v>179972</v>
      </c>
      <c r="M257" s="96">
        <f t="shared" si="155"/>
        <v>0</v>
      </c>
      <c r="N257" s="96">
        <f t="shared" si="155"/>
        <v>179972</v>
      </c>
      <c r="O257" s="96">
        <f>SUM(O261:O263)</f>
        <v>0</v>
      </c>
      <c r="P257" s="96">
        <f aca="true" t="shared" si="156" ref="P257:U257">SUM(P259:P263)</f>
        <v>179972</v>
      </c>
      <c r="Q257" s="96">
        <f t="shared" si="156"/>
        <v>1144</v>
      </c>
      <c r="R257" s="96">
        <f t="shared" si="156"/>
        <v>181116</v>
      </c>
      <c r="S257" s="96">
        <f t="shared" si="156"/>
        <v>40107</v>
      </c>
      <c r="T257" s="96">
        <f t="shared" si="156"/>
        <v>221223</v>
      </c>
      <c r="U257" s="96">
        <f t="shared" si="156"/>
        <v>0</v>
      </c>
      <c r="V257" s="96">
        <f>SUM(V258:V263)</f>
        <v>221223</v>
      </c>
      <c r="W257" s="96">
        <f>SUM(W258:W263)</f>
        <v>1300</v>
      </c>
      <c r="X257" s="96">
        <f>SUM(X258:X263)</f>
        <v>222523</v>
      </c>
    </row>
    <row r="258" spans="1:26" s="27" customFormat="1" ht="21.75" customHeight="1">
      <c r="A258" s="81"/>
      <c r="B258" s="98"/>
      <c r="C258" s="81">
        <v>4170</v>
      </c>
      <c r="D258" s="45" t="s">
        <v>339</v>
      </c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>
        <v>0</v>
      </c>
      <c r="W258" s="96">
        <v>400</v>
      </c>
      <c r="X258" s="96">
        <f aca="true" t="shared" si="157" ref="X258:X263">SUM(V258:W258)</f>
        <v>400</v>
      </c>
      <c r="Y258" s="150"/>
      <c r="Z258" s="150"/>
    </row>
    <row r="259" spans="1:24" s="27" customFormat="1" ht="21.75" customHeight="1">
      <c r="A259" s="81"/>
      <c r="B259" s="98"/>
      <c r="C259" s="81">
        <v>4210</v>
      </c>
      <c r="D259" s="14" t="s">
        <v>214</v>
      </c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>
        <v>0</v>
      </c>
      <c r="Q259" s="96">
        <v>1235</v>
      </c>
      <c r="R259" s="96">
        <f>SUM(P259:Q259)</f>
        <v>1235</v>
      </c>
      <c r="S259" s="96">
        <v>0</v>
      </c>
      <c r="T259" s="96">
        <f>SUM(R259:S259)</f>
        <v>1235</v>
      </c>
      <c r="U259" s="96">
        <v>0</v>
      </c>
      <c r="V259" s="96">
        <f>SUM(T259:U259)</f>
        <v>1235</v>
      </c>
      <c r="W259" s="96">
        <v>0</v>
      </c>
      <c r="X259" s="96">
        <f t="shared" si="157"/>
        <v>1235</v>
      </c>
    </row>
    <row r="260" spans="1:24" s="27" customFormat="1" ht="21.75" customHeight="1">
      <c r="A260" s="81"/>
      <c r="B260" s="98"/>
      <c r="C260" s="81">
        <v>4300</v>
      </c>
      <c r="D260" s="14" t="s">
        <v>201</v>
      </c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>
        <v>0</v>
      </c>
      <c r="S260" s="96">
        <v>40107</v>
      </c>
      <c r="T260" s="96">
        <f>SUM(R260:S260)</f>
        <v>40107</v>
      </c>
      <c r="U260" s="96">
        <v>0</v>
      </c>
      <c r="V260" s="96">
        <f>SUM(T260:U260)</f>
        <v>40107</v>
      </c>
      <c r="W260" s="96">
        <v>0</v>
      </c>
      <c r="X260" s="96">
        <f t="shared" si="157"/>
        <v>40107</v>
      </c>
    </row>
    <row r="261" spans="1:24" s="27" customFormat="1" ht="21" customHeight="1">
      <c r="A261" s="81"/>
      <c r="B261" s="98"/>
      <c r="C261" s="81">
        <v>4440</v>
      </c>
      <c r="D261" s="45" t="s">
        <v>210</v>
      </c>
      <c r="E261" s="96">
        <v>144752</v>
      </c>
      <c r="F261" s="96"/>
      <c r="G261" s="96"/>
      <c r="H261" s="96">
        <f t="shared" si="154"/>
        <v>144752</v>
      </c>
      <c r="I261" s="96"/>
      <c r="J261" s="96">
        <f t="shared" si="140"/>
        <v>144752</v>
      </c>
      <c r="K261" s="96">
        <v>0</v>
      </c>
      <c r="L261" s="96">
        <f t="shared" si="141"/>
        <v>144752</v>
      </c>
      <c r="M261" s="96">
        <v>0</v>
      </c>
      <c r="N261" s="96">
        <f>SUM(L261:M261)</f>
        <v>144752</v>
      </c>
      <c r="O261" s="96">
        <v>0</v>
      </c>
      <c r="P261" s="96">
        <f>SUM(N261:O261)</f>
        <v>144752</v>
      </c>
      <c r="Q261" s="96">
        <v>-91</v>
      </c>
      <c r="R261" s="96">
        <f>SUM(P261:Q261)</f>
        <v>144661</v>
      </c>
      <c r="S261" s="96">
        <v>0</v>
      </c>
      <c r="T261" s="96">
        <f>SUM(R261:S261)</f>
        <v>144661</v>
      </c>
      <c r="U261" s="96">
        <v>0</v>
      </c>
      <c r="V261" s="96">
        <f>SUM(T261:U261)</f>
        <v>144661</v>
      </c>
      <c r="W261" s="96">
        <v>0</v>
      </c>
      <c r="X261" s="96">
        <f t="shared" si="157"/>
        <v>144661</v>
      </c>
    </row>
    <row r="262" spans="1:24" s="27" customFormat="1" ht="24.75" customHeight="1">
      <c r="A262" s="81"/>
      <c r="B262" s="98"/>
      <c r="C262" s="81">
        <v>4700</v>
      </c>
      <c r="D262" s="45" t="s">
        <v>412</v>
      </c>
      <c r="E262" s="96">
        <v>22660</v>
      </c>
      <c r="F262" s="96"/>
      <c r="G262" s="96"/>
      <c r="H262" s="96">
        <f t="shared" si="154"/>
        <v>22660</v>
      </c>
      <c r="I262" s="96"/>
      <c r="J262" s="96">
        <f t="shared" si="140"/>
        <v>22660</v>
      </c>
      <c r="K262" s="96">
        <v>0</v>
      </c>
      <c r="L262" s="96">
        <f t="shared" si="141"/>
        <v>22660</v>
      </c>
      <c r="M262" s="96">
        <v>0</v>
      </c>
      <c r="N262" s="96">
        <f>SUM(L262:M262)</f>
        <v>22660</v>
      </c>
      <c r="O262" s="96">
        <v>0</v>
      </c>
      <c r="P262" s="96">
        <f>SUM(N262:O262)</f>
        <v>22660</v>
      </c>
      <c r="Q262" s="96">
        <v>0</v>
      </c>
      <c r="R262" s="96">
        <f>SUM(P262:Q262)</f>
        <v>22660</v>
      </c>
      <c r="S262" s="96">
        <v>0</v>
      </c>
      <c r="T262" s="96">
        <f>SUM(R262:S262)</f>
        <v>22660</v>
      </c>
      <c r="U262" s="96">
        <v>0</v>
      </c>
      <c r="V262" s="96">
        <f>SUM(T262:U262)</f>
        <v>22660</v>
      </c>
      <c r="W262" s="96">
        <v>3432</v>
      </c>
      <c r="X262" s="96">
        <f t="shared" si="157"/>
        <v>26092</v>
      </c>
    </row>
    <row r="263" spans="1:24" s="27" customFormat="1" ht="24">
      <c r="A263" s="81"/>
      <c r="B263" s="98"/>
      <c r="C263" s="81">
        <v>4750</v>
      </c>
      <c r="D263" s="45" t="s">
        <v>413</v>
      </c>
      <c r="E263" s="96">
        <v>12560</v>
      </c>
      <c r="F263" s="96"/>
      <c r="G263" s="96"/>
      <c r="H263" s="96">
        <f t="shared" si="154"/>
        <v>12560</v>
      </c>
      <c r="I263" s="96"/>
      <c r="J263" s="96">
        <f t="shared" si="140"/>
        <v>12560</v>
      </c>
      <c r="K263" s="96">
        <v>0</v>
      </c>
      <c r="L263" s="96">
        <f t="shared" si="141"/>
        <v>12560</v>
      </c>
      <c r="M263" s="96">
        <v>0</v>
      </c>
      <c r="N263" s="96">
        <f>SUM(L263:M263)</f>
        <v>12560</v>
      </c>
      <c r="O263" s="96">
        <v>0</v>
      </c>
      <c r="P263" s="96">
        <f>SUM(N263:O263)</f>
        <v>12560</v>
      </c>
      <c r="Q263" s="96">
        <v>0</v>
      </c>
      <c r="R263" s="96">
        <f>SUM(P263:Q263)</f>
        <v>12560</v>
      </c>
      <c r="S263" s="96">
        <v>0</v>
      </c>
      <c r="T263" s="96">
        <f>SUM(R263:S263)</f>
        <v>12560</v>
      </c>
      <c r="U263" s="96">
        <v>0</v>
      </c>
      <c r="V263" s="96">
        <f>SUM(T263:U263)</f>
        <v>12560</v>
      </c>
      <c r="W263" s="96">
        <v>-2532</v>
      </c>
      <c r="X263" s="96">
        <f t="shared" si="157"/>
        <v>10028</v>
      </c>
    </row>
    <row r="264" spans="1:24" s="7" customFormat="1" ht="20.25" customHeight="1">
      <c r="A264" s="40" t="s">
        <v>242</v>
      </c>
      <c r="B264" s="41"/>
      <c r="C264" s="42"/>
      <c r="D264" s="43" t="s">
        <v>174</v>
      </c>
      <c r="E264" s="44">
        <f>SUM(E267,E279,E265)</f>
        <v>123720</v>
      </c>
      <c r="F264" s="44">
        <f>SUM(F267,F279,F265)</f>
        <v>0</v>
      </c>
      <c r="G264" s="44">
        <f>SUM(G267,G279,G265)</f>
        <v>0</v>
      </c>
      <c r="H264" s="44">
        <f t="shared" si="154"/>
        <v>123720</v>
      </c>
      <c r="I264" s="44">
        <f>SUM(I267,I279,I265)</f>
        <v>0</v>
      </c>
      <c r="J264" s="44">
        <f aca="true" t="shared" si="158" ref="J264:P264">SUM(J265,J267,J279,)</f>
        <v>123720</v>
      </c>
      <c r="K264" s="44">
        <f t="shared" si="158"/>
        <v>0</v>
      </c>
      <c r="L264" s="44">
        <f t="shared" si="158"/>
        <v>123720</v>
      </c>
      <c r="M264" s="44">
        <f t="shared" si="158"/>
        <v>0</v>
      </c>
      <c r="N264" s="44">
        <f t="shared" si="158"/>
        <v>123720</v>
      </c>
      <c r="O264" s="44">
        <f t="shared" si="158"/>
        <v>0</v>
      </c>
      <c r="P264" s="44">
        <f t="shared" si="158"/>
        <v>123720</v>
      </c>
      <c r="Q264" s="44">
        <f aca="true" t="shared" si="159" ref="Q264:V264">SUM(Q265,Q267,Q279,)</f>
        <v>0</v>
      </c>
      <c r="R264" s="44">
        <f t="shared" si="159"/>
        <v>123720</v>
      </c>
      <c r="S264" s="44">
        <f t="shared" si="159"/>
        <v>0</v>
      </c>
      <c r="T264" s="44">
        <f t="shared" si="159"/>
        <v>123720</v>
      </c>
      <c r="U264" s="44">
        <f t="shared" si="159"/>
        <v>0</v>
      </c>
      <c r="V264" s="44">
        <f t="shared" si="159"/>
        <v>123720</v>
      </c>
      <c r="W264" s="44">
        <f>SUM(W265,W267,W279,)</f>
        <v>400</v>
      </c>
      <c r="X264" s="44">
        <f>SUM(X265,X267,X279,)</f>
        <v>124120</v>
      </c>
    </row>
    <row r="265" spans="1:24" s="7" customFormat="1" ht="19.5" customHeight="1">
      <c r="A265" s="40"/>
      <c r="B265" s="103">
        <v>85153</v>
      </c>
      <c r="C265" s="102"/>
      <c r="D265" s="45" t="s">
        <v>405</v>
      </c>
      <c r="E265" s="96">
        <f>SUM(E266:E266)</f>
        <v>20000</v>
      </c>
      <c r="F265" s="96">
        <f>SUM(F266:F266)</f>
        <v>0</v>
      </c>
      <c r="G265" s="96">
        <f>SUM(G266:G266)</f>
        <v>0</v>
      </c>
      <c r="H265" s="96">
        <f t="shared" si="154"/>
        <v>20000</v>
      </c>
      <c r="I265" s="96">
        <f>SUM(I266:I266)</f>
        <v>0</v>
      </c>
      <c r="J265" s="96">
        <f aca="true" t="shared" si="160" ref="J265:X265">SUM(J266)</f>
        <v>20000</v>
      </c>
      <c r="K265" s="96">
        <f t="shared" si="160"/>
        <v>0</v>
      </c>
      <c r="L265" s="96">
        <f t="shared" si="160"/>
        <v>20000</v>
      </c>
      <c r="M265" s="96">
        <f t="shared" si="160"/>
        <v>0</v>
      </c>
      <c r="N265" s="96">
        <f t="shared" si="160"/>
        <v>20000</v>
      </c>
      <c r="O265" s="96">
        <f t="shared" si="160"/>
        <v>0</v>
      </c>
      <c r="P265" s="96">
        <f t="shared" si="160"/>
        <v>20000</v>
      </c>
      <c r="Q265" s="96">
        <f t="shared" si="160"/>
        <v>0</v>
      </c>
      <c r="R265" s="96">
        <f t="shared" si="160"/>
        <v>20000</v>
      </c>
      <c r="S265" s="96">
        <f t="shared" si="160"/>
        <v>0</v>
      </c>
      <c r="T265" s="96">
        <f t="shared" si="160"/>
        <v>20000</v>
      </c>
      <c r="U265" s="96">
        <f t="shared" si="160"/>
        <v>0</v>
      </c>
      <c r="V265" s="96">
        <f t="shared" si="160"/>
        <v>20000</v>
      </c>
      <c r="W265" s="96">
        <f t="shared" si="160"/>
        <v>0</v>
      </c>
      <c r="X265" s="96">
        <f t="shared" si="160"/>
        <v>20000</v>
      </c>
    </row>
    <row r="266" spans="1:24" s="7" customFormat="1" ht="24.75" customHeight="1">
      <c r="A266" s="40"/>
      <c r="B266" s="103"/>
      <c r="C266" s="102">
        <v>6060</v>
      </c>
      <c r="D266" s="45" t="s">
        <v>218</v>
      </c>
      <c r="E266" s="96">
        <v>20000</v>
      </c>
      <c r="F266" s="96"/>
      <c r="G266" s="96"/>
      <c r="H266" s="96">
        <f t="shared" si="154"/>
        <v>20000</v>
      </c>
      <c r="I266" s="96"/>
      <c r="J266" s="96">
        <f t="shared" si="140"/>
        <v>20000</v>
      </c>
      <c r="K266" s="96">
        <v>0</v>
      </c>
      <c r="L266" s="96">
        <f t="shared" si="141"/>
        <v>20000</v>
      </c>
      <c r="M266" s="96">
        <v>0</v>
      </c>
      <c r="N266" s="96">
        <f>SUM(L266:M266)</f>
        <v>20000</v>
      </c>
      <c r="O266" s="96">
        <v>0</v>
      </c>
      <c r="P266" s="96">
        <f>SUM(N266:O266)</f>
        <v>20000</v>
      </c>
      <c r="Q266" s="96">
        <v>0</v>
      </c>
      <c r="R266" s="96">
        <f>SUM(P266:Q266)</f>
        <v>20000</v>
      </c>
      <c r="S266" s="96">
        <v>0</v>
      </c>
      <c r="T266" s="96">
        <f>SUM(R266:S266)</f>
        <v>20000</v>
      </c>
      <c r="U266" s="96">
        <v>0</v>
      </c>
      <c r="V266" s="96">
        <f>SUM(T266:U266)</f>
        <v>20000</v>
      </c>
      <c r="W266" s="96">
        <v>0</v>
      </c>
      <c r="X266" s="96">
        <f>SUM(V266:W266)</f>
        <v>20000</v>
      </c>
    </row>
    <row r="267" spans="1:24" s="27" customFormat="1" ht="19.5" customHeight="1">
      <c r="A267" s="81"/>
      <c r="B267" s="98" t="s">
        <v>243</v>
      </c>
      <c r="C267" s="102"/>
      <c r="D267" s="45" t="s">
        <v>175</v>
      </c>
      <c r="E267" s="96">
        <f>SUM(E269:E276)</f>
        <v>98720</v>
      </c>
      <c r="F267" s="96">
        <f>SUM(F269:F276)</f>
        <v>0</v>
      </c>
      <c r="G267" s="96">
        <f>SUM(G269:G276)</f>
        <v>0</v>
      </c>
      <c r="H267" s="96">
        <f>SUM(H269:H276)</f>
        <v>98720</v>
      </c>
      <c r="I267" s="96">
        <f>SUM(I269:I276)</f>
        <v>0</v>
      </c>
      <c r="J267" s="96">
        <f aca="true" t="shared" si="161" ref="J267:P267">SUM(J269:J278)</f>
        <v>98720</v>
      </c>
      <c r="K267" s="96">
        <f t="shared" si="161"/>
        <v>0</v>
      </c>
      <c r="L267" s="96">
        <f t="shared" si="161"/>
        <v>98720</v>
      </c>
      <c r="M267" s="96">
        <f t="shared" si="161"/>
        <v>0</v>
      </c>
      <c r="N267" s="96">
        <f t="shared" si="161"/>
        <v>98720</v>
      </c>
      <c r="O267" s="96">
        <f t="shared" si="161"/>
        <v>0</v>
      </c>
      <c r="P267" s="96">
        <f t="shared" si="161"/>
        <v>98720</v>
      </c>
      <c r="Q267" s="96">
        <f aca="true" t="shared" si="162" ref="Q267:V267">SUM(Q269:Q278)</f>
        <v>0</v>
      </c>
      <c r="R267" s="96">
        <f t="shared" si="162"/>
        <v>98720</v>
      </c>
      <c r="S267" s="96">
        <f t="shared" si="162"/>
        <v>0</v>
      </c>
      <c r="T267" s="96">
        <f t="shared" si="162"/>
        <v>98720</v>
      </c>
      <c r="U267" s="96">
        <f t="shared" si="162"/>
        <v>0</v>
      </c>
      <c r="V267" s="96">
        <f t="shared" si="162"/>
        <v>98720</v>
      </c>
      <c r="W267" s="96">
        <f>SUM(W269:W278)</f>
        <v>400</v>
      </c>
      <c r="X267" s="96">
        <f>SUM(X269:X278)</f>
        <v>99120</v>
      </c>
    </row>
    <row r="268" spans="1:24" s="27" customFormat="1" ht="11.25" hidden="1">
      <c r="A268" s="81"/>
      <c r="B268" s="103"/>
      <c r="C268" s="102">
        <v>3030</v>
      </c>
      <c r="D268" s="45" t="s">
        <v>211</v>
      </c>
      <c r="E268" s="96"/>
      <c r="F268" s="96"/>
      <c r="G268" s="96"/>
      <c r="H268" s="96">
        <f>E268+F268-G268</f>
        <v>0</v>
      </c>
      <c r="I268" s="96"/>
      <c r="J268" s="96">
        <f t="shared" si="140"/>
        <v>0</v>
      </c>
      <c r="K268" s="96"/>
      <c r="L268" s="96">
        <f t="shared" si="141"/>
        <v>0</v>
      </c>
      <c r="M268" s="96"/>
      <c r="N268" s="96">
        <f aca="true" t="shared" si="163" ref="N268:N278">SUM(L268:M268)</f>
        <v>0</v>
      </c>
      <c r="O268" s="96"/>
      <c r="P268" s="96">
        <f aca="true" t="shared" si="164" ref="P268:P278">SUM(N268:O268)</f>
        <v>0</v>
      </c>
      <c r="Q268" s="96"/>
      <c r="R268" s="96">
        <f aca="true" t="shared" si="165" ref="R268:R278">SUM(P268:Q268)</f>
        <v>0</v>
      </c>
      <c r="S268" s="96"/>
      <c r="T268" s="96">
        <f aca="true" t="shared" si="166" ref="T268:T278">SUM(R268:S268)</f>
        <v>0</v>
      </c>
      <c r="U268" s="96"/>
      <c r="V268" s="96">
        <f aca="true" t="shared" si="167" ref="V268:V278">SUM(T268:U268)</f>
        <v>0</v>
      </c>
      <c r="W268" s="96"/>
      <c r="X268" s="96">
        <f aca="true" t="shared" si="168" ref="X268:X278">SUM(V268:W268)</f>
        <v>0</v>
      </c>
    </row>
    <row r="269" spans="1:24" s="27" customFormat="1" ht="36">
      <c r="A269" s="81"/>
      <c r="B269" s="103"/>
      <c r="C269" s="102">
        <v>2630</v>
      </c>
      <c r="D269" s="45" t="s">
        <v>403</v>
      </c>
      <c r="E269" s="96">
        <f>10000+16000+40000</f>
        <v>66000</v>
      </c>
      <c r="F269" s="96"/>
      <c r="G269" s="96"/>
      <c r="H269" s="96">
        <f>E269+F269-G269</f>
        <v>66000</v>
      </c>
      <c r="I269" s="96">
        <v>-47100</v>
      </c>
      <c r="J269" s="96">
        <f t="shared" si="140"/>
        <v>18900</v>
      </c>
      <c r="K269" s="96">
        <v>-18900</v>
      </c>
      <c r="L269" s="96">
        <f t="shared" si="141"/>
        <v>0</v>
      </c>
      <c r="M269" s="96">
        <v>0</v>
      </c>
      <c r="N269" s="96">
        <f t="shared" si="163"/>
        <v>0</v>
      </c>
      <c r="O269" s="96">
        <v>0</v>
      </c>
      <c r="P269" s="96">
        <f t="shared" si="164"/>
        <v>0</v>
      </c>
      <c r="Q269" s="96">
        <v>0</v>
      </c>
      <c r="R269" s="96">
        <f t="shared" si="165"/>
        <v>0</v>
      </c>
      <c r="S269" s="96">
        <v>0</v>
      </c>
      <c r="T269" s="96">
        <f t="shared" si="166"/>
        <v>0</v>
      </c>
      <c r="U269" s="96">
        <v>0</v>
      </c>
      <c r="V269" s="96">
        <f t="shared" si="167"/>
        <v>0</v>
      </c>
      <c r="W269" s="96">
        <v>0</v>
      </c>
      <c r="X269" s="96">
        <f t="shared" si="168"/>
        <v>0</v>
      </c>
    </row>
    <row r="270" spans="1:24" s="27" customFormat="1" ht="50.25" customHeight="1">
      <c r="A270" s="81"/>
      <c r="B270" s="103"/>
      <c r="C270" s="102">
        <v>2710</v>
      </c>
      <c r="D270" s="45" t="s">
        <v>600</v>
      </c>
      <c r="E270" s="96"/>
      <c r="F270" s="96"/>
      <c r="G270" s="96"/>
      <c r="H270" s="96"/>
      <c r="I270" s="96"/>
      <c r="J270" s="96">
        <v>0</v>
      </c>
      <c r="K270" s="96">
        <v>11551</v>
      </c>
      <c r="L270" s="96">
        <f t="shared" si="141"/>
        <v>11551</v>
      </c>
      <c r="M270" s="96">
        <v>0</v>
      </c>
      <c r="N270" s="96">
        <f t="shared" si="163"/>
        <v>11551</v>
      </c>
      <c r="O270" s="96">
        <v>0</v>
      </c>
      <c r="P270" s="96">
        <f t="shared" si="164"/>
        <v>11551</v>
      </c>
      <c r="Q270" s="96">
        <v>0</v>
      </c>
      <c r="R270" s="96">
        <f t="shared" si="165"/>
        <v>11551</v>
      </c>
      <c r="S270" s="96">
        <v>0</v>
      </c>
      <c r="T270" s="96">
        <f t="shared" si="166"/>
        <v>11551</v>
      </c>
      <c r="U270" s="96">
        <v>0</v>
      </c>
      <c r="V270" s="96">
        <f t="shared" si="167"/>
        <v>11551</v>
      </c>
      <c r="W270" s="96">
        <v>0</v>
      </c>
      <c r="X270" s="96">
        <f t="shared" si="168"/>
        <v>11551</v>
      </c>
    </row>
    <row r="271" spans="1:24" s="27" customFormat="1" ht="36">
      <c r="A271" s="81"/>
      <c r="B271" s="103"/>
      <c r="C271" s="102">
        <v>2820</v>
      </c>
      <c r="D271" s="45" t="s">
        <v>554</v>
      </c>
      <c r="E271" s="96"/>
      <c r="F271" s="96"/>
      <c r="G271" s="96"/>
      <c r="H271" s="96">
        <v>0</v>
      </c>
      <c r="I271" s="96">
        <v>7953</v>
      </c>
      <c r="J271" s="96">
        <f t="shared" si="140"/>
        <v>7953</v>
      </c>
      <c r="K271" s="96">
        <v>0</v>
      </c>
      <c r="L271" s="96">
        <f t="shared" si="141"/>
        <v>7953</v>
      </c>
      <c r="M271" s="96">
        <v>0</v>
      </c>
      <c r="N271" s="96">
        <f t="shared" si="163"/>
        <v>7953</v>
      </c>
      <c r="O271" s="96">
        <v>0</v>
      </c>
      <c r="P271" s="96">
        <f t="shared" si="164"/>
        <v>7953</v>
      </c>
      <c r="Q271" s="96">
        <v>0</v>
      </c>
      <c r="R271" s="96">
        <f t="shared" si="165"/>
        <v>7953</v>
      </c>
      <c r="S271" s="96">
        <v>0</v>
      </c>
      <c r="T271" s="96">
        <f t="shared" si="166"/>
        <v>7953</v>
      </c>
      <c r="U271" s="96">
        <v>0</v>
      </c>
      <c r="V271" s="96">
        <f t="shared" si="167"/>
        <v>7953</v>
      </c>
      <c r="W271" s="96">
        <v>0</v>
      </c>
      <c r="X271" s="96">
        <f t="shared" si="168"/>
        <v>7953</v>
      </c>
    </row>
    <row r="272" spans="1:24" s="27" customFormat="1" ht="48">
      <c r="A272" s="81"/>
      <c r="B272" s="103"/>
      <c r="C272" s="102">
        <v>2830</v>
      </c>
      <c r="D272" s="45" t="s">
        <v>553</v>
      </c>
      <c r="E272" s="96"/>
      <c r="F272" s="96"/>
      <c r="G272" s="96"/>
      <c r="H272" s="96">
        <v>0</v>
      </c>
      <c r="I272" s="96">
        <f>31147+8000</f>
        <v>39147</v>
      </c>
      <c r="J272" s="96">
        <f t="shared" si="140"/>
        <v>39147</v>
      </c>
      <c r="K272" s="96">
        <v>0</v>
      </c>
      <c r="L272" s="96">
        <f t="shared" si="141"/>
        <v>39147</v>
      </c>
      <c r="M272" s="96">
        <v>0</v>
      </c>
      <c r="N272" s="96">
        <f t="shared" si="163"/>
        <v>39147</v>
      </c>
      <c r="O272" s="96">
        <v>0</v>
      </c>
      <c r="P272" s="96">
        <f t="shared" si="164"/>
        <v>39147</v>
      </c>
      <c r="Q272" s="96">
        <v>0</v>
      </c>
      <c r="R272" s="96">
        <f t="shared" si="165"/>
        <v>39147</v>
      </c>
      <c r="S272" s="96">
        <v>0</v>
      </c>
      <c r="T272" s="96">
        <f t="shared" si="166"/>
        <v>39147</v>
      </c>
      <c r="U272" s="96">
        <v>0</v>
      </c>
      <c r="V272" s="96">
        <f t="shared" si="167"/>
        <v>39147</v>
      </c>
      <c r="W272" s="96">
        <v>0</v>
      </c>
      <c r="X272" s="96">
        <f t="shared" si="168"/>
        <v>39147</v>
      </c>
    </row>
    <row r="273" spans="1:26" s="27" customFormat="1" ht="23.25" customHeight="1">
      <c r="A273" s="81"/>
      <c r="B273" s="103"/>
      <c r="C273" s="102">
        <v>4110</v>
      </c>
      <c r="D273" s="14" t="s">
        <v>208</v>
      </c>
      <c r="E273" s="96"/>
      <c r="F273" s="96"/>
      <c r="G273" s="96"/>
      <c r="H273" s="96"/>
      <c r="I273" s="96"/>
      <c r="J273" s="96">
        <v>0</v>
      </c>
      <c r="K273" s="96">
        <v>338</v>
      </c>
      <c r="L273" s="96">
        <f t="shared" si="141"/>
        <v>338</v>
      </c>
      <c r="M273" s="96">
        <v>0</v>
      </c>
      <c r="N273" s="96">
        <f t="shared" si="163"/>
        <v>338</v>
      </c>
      <c r="O273" s="96">
        <v>0</v>
      </c>
      <c r="P273" s="96">
        <f t="shared" si="164"/>
        <v>338</v>
      </c>
      <c r="Q273" s="96">
        <v>0</v>
      </c>
      <c r="R273" s="96">
        <f t="shared" si="165"/>
        <v>338</v>
      </c>
      <c r="S273" s="96">
        <v>0</v>
      </c>
      <c r="T273" s="96">
        <f t="shared" si="166"/>
        <v>338</v>
      </c>
      <c r="U273" s="96">
        <v>0</v>
      </c>
      <c r="V273" s="96">
        <f t="shared" si="167"/>
        <v>338</v>
      </c>
      <c r="W273" s="96">
        <v>0</v>
      </c>
      <c r="X273" s="96">
        <f t="shared" si="168"/>
        <v>338</v>
      </c>
      <c r="Y273" s="150"/>
      <c r="Z273" s="150"/>
    </row>
    <row r="274" spans="1:26" s="27" customFormat="1" ht="21" customHeight="1">
      <c r="A274" s="81"/>
      <c r="B274" s="103"/>
      <c r="C274" s="102">
        <v>4170</v>
      </c>
      <c r="D274" s="45" t="s">
        <v>339</v>
      </c>
      <c r="E274" s="96">
        <v>16000</v>
      </c>
      <c r="F274" s="96"/>
      <c r="G274" s="96"/>
      <c r="H274" s="96">
        <f aca="true" t="shared" si="169" ref="H274:H307">E274+F274-G274</f>
        <v>16000</v>
      </c>
      <c r="I274" s="96"/>
      <c r="J274" s="96">
        <f t="shared" si="140"/>
        <v>16000</v>
      </c>
      <c r="K274" s="96">
        <v>5616</v>
      </c>
      <c r="L274" s="96">
        <f t="shared" si="141"/>
        <v>21616</v>
      </c>
      <c r="M274" s="96">
        <v>0</v>
      </c>
      <c r="N274" s="96">
        <f t="shared" si="163"/>
        <v>21616</v>
      </c>
      <c r="O274" s="96">
        <v>0</v>
      </c>
      <c r="P274" s="96">
        <f t="shared" si="164"/>
        <v>21616</v>
      </c>
      <c r="Q274" s="96">
        <v>0</v>
      </c>
      <c r="R274" s="96">
        <f t="shared" si="165"/>
        <v>21616</v>
      </c>
      <c r="S274" s="96">
        <v>0</v>
      </c>
      <c r="T274" s="96">
        <f t="shared" si="166"/>
        <v>21616</v>
      </c>
      <c r="U274" s="96">
        <v>0</v>
      </c>
      <c r="V274" s="96">
        <f t="shared" si="167"/>
        <v>21616</v>
      </c>
      <c r="W274" s="96">
        <v>0</v>
      </c>
      <c r="X274" s="96">
        <f t="shared" si="168"/>
        <v>21616</v>
      </c>
      <c r="Y274" s="150"/>
      <c r="Z274" s="150"/>
    </row>
    <row r="275" spans="1:24" s="27" customFormat="1" ht="21" customHeight="1">
      <c r="A275" s="81"/>
      <c r="B275" s="103"/>
      <c r="C275" s="102">
        <v>4210</v>
      </c>
      <c r="D275" s="14" t="s">
        <v>214</v>
      </c>
      <c r="E275" s="96"/>
      <c r="F275" s="96"/>
      <c r="G275" s="96"/>
      <c r="H275" s="96"/>
      <c r="I275" s="96"/>
      <c r="J275" s="96">
        <v>0</v>
      </c>
      <c r="K275" s="96">
        <f>1050+943+1300</f>
        <v>3293</v>
      </c>
      <c r="L275" s="96">
        <f t="shared" si="141"/>
        <v>3293</v>
      </c>
      <c r="M275" s="96">
        <v>0</v>
      </c>
      <c r="N275" s="96">
        <f t="shared" si="163"/>
        <v>3293</v>
      </c>
      <c r="O275" s="96">
        <v>0</v>
      </c>
      <c r="P275" s="96">
        <f t="shared" si="164"/>
        <v>3293</v>
      </c>
      <c r="Q275" s="96">
        <v>0</v>
      </c>
      <c r="R275" s="96">
        <f t="shared" si="165"/>
        <v>3293</v>
      </c>
      <c r="S275" s="96">
        <v>0</v>
      </c>
      <c r="T275" s="96">
        <f t="shared" si="166"/>
        <v>3293</v>
      </c>
      <c r="U275" s="96">
        <v>0</v>
      </c>
      <c r="V275" s="96">
        <f t="shared" si="167"/>
        <v>3293</v>
      </c>
      <c r="W275" s="96">
        <v>0</v>
      </c>
      <c r="X275" s="96">
        <f t="shared" si="168"/>
        <v>3293</v>
      </c>
    </row>
    <row r="276" spans="1:24" s="27" customFormat="1" ht="21" customHeight="1">
      <c r="A276" s="81"/>
      <c r="B276" s="103"/>
      <c r="C276" s="102">
        <v>4300</v>
      </c>
      <c r="D276" s="45" t="s">
        <v>201</v>
      </c>
      <c r="E276" s="96">
        <f>11000+860+860+4000</f>
        <v>16720</v>
      </c>
      <c r="F276" s="96"/>
      <c r="G276" s="96"/>
      <c r="H276" s="96">
        <f t="shared" si="169"/>
        <v>16720</v>
      </c>
      <c r="I276" s="96"/>
      <c r="J276" s="96">
        <f t="shared" si="140"/>
        <v>16720</v>
      </c>
      <c r="K276" s="96">
        <f>-11000+6360+170</f>
        <v>-4470</v>
      </c>
      <c r="L276" s="96">
        <f t="shared" si="141"/>
        <v>12250</v>
      </c>
      <c r="M276" s="96">
        <v>0</v>
      </c>
      <c r="N276" s="96">
        <f t="shared" si="163"/>
        <v>12250</v>
      </c>
      <c r="O276" s="96">
        <v>0</v>
      </c>
      <c r="P276" s="96">
        <f t="shared" si="164"/>
        <v>12250</v>
      </c>
      <c r="Q276" s="96">
        <v>0</v>
      </c>
      <c r="R276" s="96">
        <f t="shared" si="165"/>
        <v>12250</v>
      </c>
      <c r="S276" s="96">
        <v>0</v>
      </c>
      <c r="T276" s="96">
        <f t="shared" si="166"/>
        <v>12250</v>
      </c>
      <c r="U276" s="96">
        <v>0</v>
      </c>
      <c r="V276" s="96">
        <f t="shared" si="167"/>
        <v>12250</v>
      </c>
      <c r="W276" s="96">
        <v>0</v>
      </c>
      <c r="X276" s="96">
        <f t="shared" si="168"/>
        <v>12250</v>
      </c>
    </row>
    <row r="277" spans="1:24" s="27" customFormat="1" ht="21" customHeight="1">
      <c r="A277" s="81"/>
      <c r="B277" s="103"/>
      <c r="C277" s="102">
        <v>4350</v>
      </c>
      <c r="D277" s="14" t="s">
        <v>394</v>
      </c>
      <c r="E277" s="96"/>
      <c r="F277" s="96"/>
      <c r="G277" s="96"/>
      <c r="H277" s="96"/>
      <c r="I277" s="96"/>
      <c r="J277" s="96">
        <v>0</v>
      </c>
      <c r="K277" s="96">
        <v>672</v>
      </c>
      <c r="L277" s="96">
        <f t="shared" si="141"/>
        <v>672</v>
      </c>
      <c r="M277" s="96">
        <v>0</v>
      </c>
      <c r="N277" s="96">
        <f t="shared" si="163"/>
        <v>672</v>
      </c>
      <c r="O277" s="96">
        <v>0</v>
      </c>
      <c r="P277" s="96">
        <f t="shared" si="164"/>
        <v>672</v>
      </c>
      <c r="Q277" s="96">
        <v>0</v>
      </c>
      <c r="R277" s="96">
        <f t="shared" si="165"/>
        <v>672</v>
      </c>
      <c r="S277" s="96">
        <v>0</v>
      </c>
      <c r="T277" s="96">
        <f t="shared" si="166"/>
        <v>672</v>
      </c>
      <c r="U277" s="96">
        <v>0</v>
      </c>
      <c r="V277" s="96">
        <f t="shared" si="167"/>
        <v>672</v>
      </c>
      <c r="W277" s="96">
        <v>400</v>
      </c>
      <c r="X277" s="96">
        <f t="shared" si="168"/>
        <v>1072</v>
      </c>
    </row>
    <row r="278" spans="1:24" s="27" customFormat="1" ht="21" customHeight="1">
      <c r="A278" s="81"/>
      <c r="B278" s="103"/>
      <c r="C278" s="102">
        <v>4410</v>
      </c>
      <c r="D278" s="14" t="s">
        <v>212</v>
      </c>
      <c r="E278" s="96"/>
      <c r="F278" s="96"/>
      <c r="G278" s="96"/>
      <c r="H278" s="96"/>
      <c r="I278" s="96"/>
      <c r="J278" s="96">
        <v>0</v>
      </c>
      <c r="K278" s="96">
        <v>1900</v>
      </c>
      <c r="L278" s="96">
        <f t="shared" si="141"/>
        <v>1900</v>
      </c>
      <c r="M278" s="96">
        <v>0</v>
      </c>
      <c r="N278" s="96">
        <f t="shared" si="163"/>
        <v>1900</v>
      </c>
      <c r="O278" s="96">
        <v>0</v>
      </c>
      <c r="P278" s="96">
        <f t="shared" si="164"/>
        <v>1900</v>
      </c>
      <c r="Q278" s="96">
        <v>0</v>
      </c>
      <c r="R278" s="96">
        <f t="shared" si="165"/>
        <v>1900</v>
      </c>
      <c r="S278" s="96">
        <v>0</v>
      </c>
      <c r="T278" s="96">
        <f t="shared" si="166"/>
        <v>1900</v>
      </c>
      <c r="U278" s="96">
        <v>0</v>
      </c>
      <c r="V278" s="96">
        <f t="shared" si="167"/>
        <v>1900</v>
      </c>
      <c r="W278" s="96">
        <v>0</v>
      </c>
      <c r="X278" s="96">
        <f t="shared" si="168"/>
        <v>1900</v>
      </c>
    </row>
    <row r="279" spans="1:24" s="27" customFormat="1" ht="21" customHeight="1">
      <c r="A279" s="81"/>
      <c r="B279" s="103">
        <v>85195</v>
      </c>
      <c r="C279" s="102"/>
      <c r="D279" s="45" t="s">
        <v>118</v>
      </c>
      <c r="E279" s="96">
        <f>SUM(E280)</f>
        <v>5000</v>
      </c>
      <c r="F279" s="96">
        <f>SUM(F280)</f>
        <v>0</v>
      </c>
      <c r="G279" s="96">
        <f>SUM(G280)</f>
        <v>0</v>
      </c>
      <c r="H279" s="96">
        <f t="shared" si="169"/>
        <v>5000</v>
      </c>
      <c r="I279" s="96">
        <f aca="true" t="shared" si="170" ref="I279:X279">SUM(I280)</f>
        <v>0</v>
      </c>
      <c r="J279" s="96">
        <f t="shared" si="170"/>
        <v>5000</v>
      </c>
      <c r="K279" s="96">
        <f t="shared" si="170"/>
        <v>0</v>
      </c>
      <c r="L279" s="96">
        <f t="shared" si="170"/>
        <v>5000</v>
      </c>
      <c r="M279" s="96">
        <f t="shared" si="170"/>
        <v>0</v>
      </c>
      <c r="N279" s="96">
        <f t="shared" si="170"/>
        <v>5000</v>
      </c>
      <c r="O279" s="96">
        <f t="shared" si="170"/>
        <v>0</v>
      </c>
      <c r="P279" s="96">
        <f t="shared" si="170"/>
        <v>5000</v>
      </c>
      <c r="Q279" s="96">
        <f t="shared" si="170"/>
        <v>0</v>
      </c>
      <c r="R279" s="96">
        <f t="shared" si="170"/>
        <v>5000</v>
      </c>
      <c r="S279" s="96">
        <f t="shared" si="170"/>
        <v>0</v>
      </c>
      <c r="T279" s="96">
        <f t="shared" si="170"/>
        <v>5000</v>
      </c>
      <c r="U279" s="96">
        <f t="shared" si="170"/>
        <v>0</v>
      </c>
      <c r="V279" s="96">
        <f t="shared" si="170"/>
        <v>5000</v>
      </c>
      <c r="W279" s="96">
        <f t="shared" si="170"/>
        <v>0</v>
      </c>
      <c r="X279" s="96">
        <f t="shared" si="170"/>
        <v>5000</v>
      </c>
    </row>
    <row r="280" spans="1:24" s="27" customFormat="1" ht="21" customHeight="1">
      <c r="A280" s="81"/>
      <c r="B280" s="103"/>
      <c r="C280" s="102">
        <v>4430</v>
      </c>
      <c r="D280" s="45" t="s">
        <v>216</v>
      </c>
      <c r="E280" s="96">
        <v>5000</v>
      </c>
      <c r="F280" s="96"/>
      <c r="G280" s="96"/>
      <c r="H280" s="96">
        <f t="shared" si="169"/>
        <v>5000</v>
      </c>
      <c r="I280" s="96"/>
      <c r="J280" s="96">
        <f t="shared" si="140"/>
        <v>5000</v>
      </c>
      <c r="K280" s="96">
        <v>0</v>
      </c>
      <c r="L280" s="96">
        <f t="shared" si="141"/>
        <v>5000</v>
      </c>
      <c r="M280" s="96">
        <v>0</v>
      </c>
      <c r="N280" s="96">
        <f>SUM(L280:M280)</f>
        <v>5000</v>
      </c>
      <c r="O280" s="96">
        <v>0</v>
      </c>
      <c r="P280" s="96">
        <f>SUM(N280:O280)</f>
        <v>5000</v>
      </c>
      <c r="Q280" s="96">
        <v>0</v>
      </c>
      <c r="R280" s="96">
        <f>SUM(P280:Q280)</f>
        <v>5000</v>
      </c>
      <c r="S280" s="96">
        <v>0</v>
      </c>
      <c r="T280" s="96">
        <f>SUM(R280:S280)</f>
        <v>5000</v>
      </c>
      <c r="U280" s="96">
        <v>0</v>
      </c>
      <c r="V280" s="96">
        <f>SUM(T280:U280)</f>
        <v>5000</v>
      </c>
      <c r="W280" s="96">
        <v>0</v>
      </c>
      <c r="X280" s="96">
        <f>SUM(V280:W280)</f>
        <v>5000</v>
      </c>
    </row>
    <row r="281" spans="1:24" s="7" customFormat="1" ht="24.75" customHeight="1">
      <c r="A281" s="74">
        <v>852</v>
      </c>
      <c r="B281" s="41"/>
      <c r="C281" s="42"/>
      <c r="D281" s="43" t="s">
        <v>332</v>
      </c>
      <c r="E281" s="44">
        <f>SUM(E282,E303,E305,E308,E310,E335,E337,)</f>
        <v>12388325</v>
      </c>
      <c r="F281" s="44">
        <f>SUM(F282,F303,F305,F308,F310,F335,F337,)</f>
        <v>0</v>
      </c>
      <c r="G281" s="44">
        <f>SUM(G282,G303,G305,G308,G310,G335,G337,)</f>
        <v>0</v>
      </c>
      <c r="H281" s="44">
        <f t="shared" si="169"/>
        <v>12388325</v>
      </c>
      <c r="I281" s="44">
        <f aca="true" t="shared" si="171" ref="I281:N281">SUM(I282,I303,I305,I308,I310,I335,I337,)</f>
        <v>-22000</v>
      </c>
      <c r="J281" s="44">
        <f t="shared" si="171"/>
        <v>12366325</v>
      </c>
      <c r="K281" s="44">
        <f t="shared" si="171"/>
        <v>0</v>
      </c>
      <c r="L281" s="44">
        <f t="shared" si="171"/>
        <v>12366325</v>
      </c>
      <c r="M281" s="44">
        <f t="shared" si="171"/>
        <v>234778</v>
      </c>
      <c r="N281" s="44">
        <f t="shared" si="171"/>
        <v>12601103</v>
      </c>
      <c r="O281" s="44">
        <f aca="true" t="shared" si="172" ref="O281:T281">SUM(O282,O303,O305,O308,O310,O335,O337,)</f>
        <v>10000</v>
      </c>
      <c r="P281" s="44">
        <f t="shared" si="172"/>
        <v>12611103</v>
      </c>
      <c r="Q281" s="44">
        <f t="shared" si="172"/>
        <v>-159352</v>
      </c>
      <c r="R281" s="44">
        <f t="shared" si="172"/>
        <v>12451751</v>
      </c>
      <c r="S281" s="44">
        <f t="shared" si="172"/>
        <v>0</v>
      </c>
      <c r="T281" s="44">
        <f t="shared" si="172"/>
        <v>12451751</v>
      </c>
      <c r="U281" s="44">
        <f>SUM(U282,U303,U305,U308,U310,U335,U337,)</f>
        <v>-42479</v>
      </c>
      <c r="V281" s="44">
        <f>SUM(V282,V303,V305,V308,V310,V335,V337,)</f>
        <v>12409272</v>
      </c>
      <c r="W281" s="44">
        <f>SUM(W282,W303,W305,W308,W310,W335,W337,)</f>
        <v>45393</v>
      </c>
      <c r="X281" s="44">
        <f>SUM(X282,X303,X305,X308,X310,X335,X337,)</f>
        <v>12454665</v>
      </c>
    </row>
    <row r="282" spans="1:24" s="27" customFormat="1" ht="36">
      <c r="A282" s="113"/>
      <c r="B282" s="61">
        <v>85212</v>
      </c>
      <c r="C282" s="94"/>
      <c r="D282" s="92" t="s">
        <v>402</v>
      </c>
      <c r="E282" s="85">
        <f>SUM(E283:E302)</f>
        <v>7804800</v>
      </c>
      <c r="F282" s="85">
        <f>SUM(F283:F302)</f>
        <v>0</v>
      </c>
      <c r="G282" s="85">
        <f>SUM(G283:G302)</f>
        <v>0</v>
      </c>
      <c r="H282" s="96">
        <f t="shared" si="169"/>
        <v>7804800</v>
      </c>
      <c r="I282" s="85">
        <f aca="true" t="shared" si="173" ref="I282:N282">SUM(I283:I302)</f>
        <v>7900</v>
      </c>
      <c r="J282" s="96">
        <f t="shared" si="173"/>
        <v>7812700</v>
      </c>
      <c r="K282" s="96">
        <f t="shared" si="173"/>
        <v>0</v>
      </c>
      <c r="L282" s="96">
        <f t="shared" si="173"/>
        <v>7812700</v>
      </c>
      <c r="M282" s="96">
        <f t="shared" si="173"/>
        <v>0</v>
      </c>
      <c r="N282" s="96">
        <f t="shared" si="173"/>
        <v>7812700</v>
      </c>
      <c r="O282" s="96">
        <f aca="true" t="shared" si="174" ref="O282:T282">SUM(O283:O302)</f>
        <v>0</v>
      </c>
      <c r="P282" s="96">
        <f t="shared" si="174"/>
        <v>7812700</v>
      </c>
      <c r="Q282" s="96">
        <f t="shared" si="174"/>
        <v>0</v>
      </c>
      <c r="R282" s="96">
        <f t="shared" si="174"/>
        <v>7812700</v>
      </c>
      <c r="S282" s="96">
        <f t="shared" si="174"/>
        <v>0</v>
      </c>
      <c r="T282" s="96">
        <f t="shared" si="174"/>
        <v>7812700</v>
      </c>
      <c r="U282" s="96">
        <f>SUM(U283:U302)</f>
        <v>-200000</v>
      </c>
      <c r="V282" s="96">
        <f>SUM(V283:V302)</f>
        <v>7612700</v>
      </c>
      <c r="W282" s="96">
        <f>SUM(W283:W302)</f>
        <v>-50000</v>
      </c>
      <c r="X282" s="96">
        <f>SUM(X283:X302)</f>
        <v>7562700</v>
      </c>
    </row>
    <row r="283" spans="1:24" s="27" customFormat="1" ht="21" customHeight="1">
      <c r="A283" s="113"/>
      <c r="B283" s="61"/>
      <c r="C283" s="94">
        <v>3020</v>
      </c>
      <c r="D283" s="45" t="s">
        <v>335</v>
      </c>
      <c r="E283" s="85">
        <v>1000</v>
      </c>
      <c r="F283" s="85"/>
      <c r="G283" s="85"/>
      <c r="H283" s="96">
        <f t="shared" si="169"/>
        <v>1000</v>
      </c>
      <c r="I283" s="85"/>
      <c r="J283" s="96">
        <f t="shared" si="140"/>
        <v>1000</v>
      </c>
      <c r="K283" s="85">
        <v>0</v>
      </c>
      <c r="L283" s="96">
        <f t="shared" si="141"/>
        <v>1000</v>
      </c>
      <c r="M283" s="85">
        <v>0</v>
      </c>
      <c r="N283" s="96">
        <f aca="true" t="shared" si="175" ref="N283:N302">SUM(L283:M283)</f>
        <v>1000</v>
      </c>
      <c r="O283" s="85">
        <v>0</v>
      </c>
      <c r="P283" s="96">
        <f aca="true" t="shared" si="176" ref="P283:P302">SUM(N283:O283)</f>
        <v>1000</v>
      </c>
      <c r="Q283" s="85">
        <v>0</v>
      </c>
      <c r="R283" s="96">
        <f aca="true" t="shared" si="177" ref="R283:R302">SUM(P283:Q283)</f>
        <v>1000</v>
      </c>
      <c r="S283" s="85">
        <v>0</v>
      </c>
      <c r="T283" s="96">
        <f aca="true" t="shared" si="178" ref="T283:T302">SUM(R283:S283)</f>
        <v>1000</v>
      </c>
      <c r="U283" s="85">
        <v>0</v>
      </c>
      <c r="V283" s="96">
        <f aca="true" t="shared" si="179" ref="V283:V302">SUM(T283:U283)</f>
        <v>1000</v>
      </c>
      <c r="W283" s="85">
        <v>0</v>
      </c>
      <c r="X283" s="96">
        <f aca="true" t="shared" si="180" ref="X283:X302">SUM(V283:W283)</f>
        <v>1000</v>
      </c>
    </row>
    <row r="284" spans="1:24" s="27" customFormat="1" ht="21" customHeight="1">
      <c r="A284" s="113"/>
      <c r="B284" s="61"/>
      <c r="C284" s="94">
        <v>3110</v>
      </c>
      <c r="D284" s="92" t="s">
        <v>236</v>
      </c>
      <c r="E284" s="85">
        <v>7510656</v>
      </c>
      <c r="F284" s="85"/>
      <c r="G284" s="85"/>
      <c r="H284" s="96">
        <f t="shared" si="169"/>
        <v>7510656</v>
      </c>
      <c r="I284" s="85"/>
      <c r="J284" s="96">
        <f t="shared" si="140"/>
        <v>7510656</v>
      </c>
      <c r="K284" s="85">
        <v>0</v>
      </c>
      <c r="L284" s="96">
        <f t="shared" si="141"/>
        <v>7510656</v>
      </c>
      <c r="M284" s="85">
        <v>0</v>
      </c>
      <c r="N284" s="96">
        <f t="shared" si="175"/>
        <v>7510656</v>
      </c>
      <c r="O284" s="85">
        <v>7663</v>
      </c>
      <c r="P284" s="96">
        <f t="shared" si="176"/>
        <v>7518319</v>
      </c>
      <c r="Q284" s="85"/>
      <c r="R284" s="96">
        <f t="shared" si="177"/>
        <v>7518319</v>
      </c>
      <c r="S284" s="85">
        <v>0</v>
      </c>
      <c r="T284" s="96">
        <f t="shared" si="178"/>
        <v>7518319</v>
      </c>
      <c r="U284" s="85">
        <v>-194000</v>
      </c>
      <c r="V284" s="96">
        <f t="shared" si="179"/>
        <v>7324319</v>
      </c>
      <c r="W284" s="85">
        <v>-48500</v>
      </c>
      <c r="X284" s="96">
        <f t="shared" si="180"/>
        <v>7275819</v>
      </c>
    </row>
    <row r="285" spans="1:26" s="27" customFormat="1" ht="21" customHeight="1">
      <c r="A285" s="113"/>
      <c r="B285" s="61"/>
      <c r="C285" s="61">
        <v>4010</v>
      </c>
      <c r="D285" s="14" t="s">
        <v>206</v>
      </c>
      <c r="E285" s="85">
        <v>123700</v>
      </c>
      <c r="F285" s="85"/>
      <c r="G285" s="85"/>
      <c r="H285" s="96">
        <f t="shared" si="169"/>
        <v>123700</v>
      </c>
      <c r="I285" s="85"/>
      <c r="J285" s="96">
        <f t="shared" si="140"/>
        <v>123700</v>
      </c>
      <c r="K285" s="85">
        <v>0</v>
      </c>
      <c r="L285" s="96">
        <f t="shared" si="141"/>
        <v>123700</v>
      </c>
      <c r="M285" s="85">
        <v>0</v>
      </c>
      <c r="N285" s="96">
        <f t="shared" si="175"/>
        <v>123700</v>
      </c>
      <c r="O285" s="85">
        <v>0</v>
      </c>
      <c r="P285" s="96">
        <f t="shared" si="176"/>
        <v>123700</v>
      </c>
      <c r="Q285" s="85">
        <v>0</v>
      </c>
      <c r="R285" s="96">
        <f t="shared" si="177"/>
        <v>123700</v>
      </c>
      <c r="S285" s="85">
        <v>0</v>
      </c>
      <c r="T285" s="96">
        <f t="shared" si="178"/>
        <v>123700</v>
      </c>
      <c r="U285" s="85">
        <v>0</v>
      </c>
      <c r="V285" s="96">
        <f t="shared" si="179"/>
        <v>123700</v>
      </c>
      <c r="W285" s="85">
        <v>0</v>
      </c>
      <c r="X285" s="96">
        <f t="shared" si="180"/>
        <v>123700</v>
      </c>
      <c r="Y285" s="150"/>
      <c r="Z285" s="150"/>
    </row>
    <row r="286" spans="1:26" s="27" customFormat="1" ht="21" customHeight="1">
      <c r="A286" s="113"/>
      <c r="B286" s="61"/>
      <c r="C286" s="61">
        <v>4040</v>
      </c>
      <c r="D286" s="14" t="s">
        <v>207</v>
      </c>
      <c r="E286" s="85">
        <v>11000</v>
      </c>
      <c r="F286" s="85"/>
      <c r="G286" s="85"/>
      <c r="H286" s="96">
        <f t="shared" si="169"/>
        <v>11000</v>
      </c>
      <c r="I286" s="85"/>
      <c r="J286" s="96">
        <f t="shared" si="140"/>
        <v>11000</v>
      </c>
      <c r="K286" s="85">
        <v>0</v>
      </c>
      <c r="L286" s="96">
        <f t="shared" si="141"/>
        <v>11000</v>
      </c>
      <c r="M286" s="85">
        <v>0</v>
      </c>
      <c r="N286" s="96">
        <f t="shared" si="175"/>
        <v>11000</v>
      </c>
      <c r="O286" s="85">
        <v>0</v>
      </c>
      <c r="P286" s="96">
        <f t="shared" si="176"/>
        <v>11000</v>
      </c>
      <c r="Q286" s="85">
        <v>0</v>
      </c>
      <c r="R286" s="96">
        <f t="shared" si="177"/>
        <v>11000</v>
      </c>
      <c r="S286" s="85">
        <v>0</v>
      </c>
      <c r="T286" s="96">
        <f t="shared" si="178"/>
        <v>11000</v>
      </c>
      <c r="U286" s="85">
        <v>0</v>
      </c>
      <c r="V286" s="96">
        <f t="shared" si="179"/>
        <v>11000</v>
      </c>
      <c r="W286" s="85">
        <v>0</v>
      </c>
      <c r="X286" s="96">
        <f t="shared" si="180"/>
        <v>11000</v>
      </c>
      <c r="Y286" s="150"/>
      <c r="Z286" s="150"/>
    </row>
    <row r="287" spans="1:26" s="27" customFormat="1" ht="21" customHeight="1">
      <c r="A287" s="113"/>
      <c r="B287" s="61"/>
      <c r="C287" s="61">
        <v>4110</v>
      </c>
      <c r="D287" s="14" t="s">
        <v>208</v>
      </c>
      <c r="E287" s="85">
        <f>23500+60000</f>
        <v>83500</v>
      </c>
      <c r="F287" s="85"/>
      <c r="G287" s="85"/>
      <c r="H287" s="96">
        <f t="shared" si="169"/>
        <v>83500</v>
      </c>
      <c r="I287" s="85"/>
      <c r="J287" s="96">
        <f t="shared" si="140"/>
        <v>83500</v>
      </c>
      <c r="K287" s="85">
        <v>0</v>
      </c>
      <c r="L287" s="96">
        <f t="shared" si="141"/>
        <v>83500</v>
      </c>
      <c r="M287" s="85">
        <v>0</v>
      </c>
      <c r="N287" s="96">
        <f t="shared" si="175"/>
        <v>83500</v>
      </c>
      <c r="O287" s="85">
        <v>0</v>
      </c>
      <c r="P287" s="96">
        <f t="shared" si="176"/>
        <v>83500</v>
      </c>
      <c r="Q287" s="85">
        <v>0</v>
      </c>
      <c r="R287" s="96">
        <f t="shared" si="177"/>
        <v>83500</v>
      </c>
      <c r="S287" s="85">
        <v>0</v>
      </c>
      <c r="T287" s="96">
        <f t="shared" si="178"/>
        <v>83500</v>
      </c>
      <c r="U287" s="85">
        <v>0</v>
      </c>
      <c r="V287" s="96">
        <f t="shared" si="179"/>
        <v>83500</v>
      </c>
      <c r="W287" s="85">
        <v>0</v>
      </c>
      <c r="X287" s="96">
        <f t="shared" si="180"/>
        <v>83500</v>
      </c>
      <c r="Y287" s="150"/>
      <c r="Z287" s="150"/>
    </row>
    <row r="288" spans="1:26" s="27" customFormat="1" ht="21" customHeight="1">
      <c r="A288" s="113"/>
      <c r="B288" s="61"/>
      <c r="C288" s="61">
        <v>4120</v>
      </c>
      <c r="D288" s="14" t="s">
        <v>209</v>
      </c>
      <c r="E288" s="85">
        <v>3400</v>
      </c>
      <c r="F288" s="85"/>
      <c r="G288" s="85"/>
      <c r="H288" s="96">
        <f t="shared" si="169"/>
        <v>3400</v>
      </c>
      <c r="I288" s="85"/>
      <c r="J288" s="96">
        <f t="shared" si="140"/>
        <v>3400</v>
      </c>
      <c r="K288" s="85">
        <v>0</v>
      </c>
      <c r="L288" s="96">
        <f t="shared" si="141"/>
        <v>3400</v>
      </c>
      <c r="M288" s="85">
        <v>0</v>
      </c>
      <c r="N288" s="96">
        <f t="shared" si="175"/>
        <v>3400</v>
      </c>
      <c r="O288" s="85">
        <v>0</v>
      </c>
      <c r="P288" s="96">
        <f t="shared" si="176"/>
        <v>3400</v>
      </c>
      <c r="Q288" s="85">
        <v>0</v>
      </c>
      <c r="R288" s="96">
        <f t="shared" si="177"/>
        <v>3400</v>
      </c>
      <c r="S288" s="85">
        <v>0</v>
      </c>
      <c r="T288" s="96">
        <f t="shared" si="178"/>
        <v>3400</v>
      </c>
      <c r="U288" s="85">
        <v>0</v>
      </c>
      <c r="V288" s="96">
        <f t="shared" si="179"/>
        <v>3400</v>
      </c>
      <c r="W288" s="85">
        <v>0</v>
      </c>
      <c r="X288" s="96">
        <f t="shared" si="180"/>
        <v>3400</v>
      </c>
      <c r="Y288" s="150"/>
      <c r="Z288" s="150"/>
    </row>
    <row r="289" spans="1:26" s="27" customFormat="1" ht="21" customHeight="1">
      <c r="A289" s="113"/>
      <c r="B289" s="93"/>
      <c r="C289" s="61">
        <v>4170</v>
      </c>
      <c r="D289" s="45" t="s">
        <v>339</v>
      </c>
      <c r="E289" s="85">
        <v>4000</v>
      </c>
      <c r="F289" s="85"/>
      <c r="G289" s="85"/>
      <c r="H289" s="96">
        <f t="shared" si="169"/>
        <v>4000</v>
      </c>
      <c r="I289" s="85"/>
      <c r="J289" s="96">
        <f t="shared" si="140"/>
        <v>4000</v>
      </c>
      <c r="K289" s="85">
        <v>0</v>
      </c>
      <c r="L289" s="96">
        <f t="shared" si="141"/>
        <v>4000</v>
      </c>
      <c r="M289" s="85">
        <v>0</v>
      </c>
      <c r="N289" s="96">
        <f t="shared" si="175"/>
        <v>4000</v>
      </c>
      <c r="O289" s="85">
        <v>0</v>
      </c>
      <c r="P289" s="96">
        <f t="shared" si="176"/>
        <v>4000</v>
      </c>
      <c r="Q289" s="85">
        <v>0</v>
      </c>
      <c r="R289" s="96">
        <f t="shared" si="177"/>
        <v>4000</v>
      </c>
      <c r="S289" s="85">
        <v>0</v>
      </c>
      <c r="T289" s="96">
        <f t="shared" si="178"/>
        <v>4000</v>
      </c>
      <c r="U289" s="85">
        <v>0</v>
      </c>
      <c r="V289" s="96">
        <f t="shared" si="179"/>
        <v>4000</v>
      </c>
      <c r="W289" s="85">
        <v>0</v>
      </c>
      <c r="X289" s="96">
        <f t="shared" si="180"/>
        <v>4000</v>
      </c>
      <c r="Y289" s="150"/>
      <c r="Z289" s="150"/>
    </row>
    <row r="290" spans="1:24" s="27" customFormat="1" ht="21" customHeight="1">
      <c r="A290" s="113"/>
      <c r="B290" s="93"/>
      <c r="C290" s="61">
        <v>4210</v>
      </c>
      <c r="D290" s="14" t="s">
        <v>214</v>
      </c>
      <c r="E290" s="85">
        <f>8000+3410</f>
        <v>11410</v>
      </c>
      <c r="F290" s="85"/>
      <c r="G290" s="85"/>
      <c r="H290" s="96">
        <f t="shared" si="169"/>
        <v>11410</v>
      </c>
      <c r="I290" s="85">
        <v>7900</v>
      </c>
      <c r="J290" s="96">
        <f t="shared" si="140"/>
        <v>19310</v>
      </c>
      <c r="K290" s="85">
        <v>0</v>
      </c>
      <c r="L290" s="96">
        <f t="shared" si="141"/>
        <v>19310</v>
      </c>
      <c r="M290" s="85">
        <v>0</v>
      </c>
      <c r="N290" s="96">
        <f t="shared" si="175"/>
        <v>19310</v>
      </c>
      <c r="O290" s="85">
        <v>-7663</v>
      </c>
      <c r="P290" s="96">
        <f t="shared" si="176"/>
        <v>11647</v>
      </c>
      <c r="Q290" s="85"/>
      <c r="R290" s="96">
        <f t="shared" si="177"/>
        <v>11647</v>
      </c>
      <c r="S290" s="85">
        <v>0</v>
      </c>
      <c r="T290" s="96">
        <f t="shared" si="178"/>
        <v>11647</v>
      </c>
      <c r="U290" s="85">
        <v>0</v>
      </c>
      <c r="V290" s="96">
        <f t="shared" si="179"/>
        <v>11647</v>
      </c>
      <c r="W290" s="85">
        <v>-1200</v>
      </c>
      <c r="X290" s="96">
        <f t="shared" si="180"/>
        <v>10447</v>
      </c>
    </row>
    <row r="291" spans="1:24" s="27" customFormat="1" ht="21" customHeight="1">
      <c r="A291" s="113"/>
      <c r="B291" s="93"/>
      <c r="C291" s="61">
        <v>4270</v>
      </c>
      <c r="D291" s="14" t="s">
        <v>200</v>
      </c>
      <c r="E291" s="85">
        <v>1000</v>
      </c>
      <c r="F291" s="85"/>
      <c r="G291" s="85"/>
      <c r="H291" s="96">
        <f t="shared" si="169"/>
        <v>1000</v>
      </c>
      <c r="I291" s="85"/>
      <c r="J291" s="96">
        <f t="shared" si="140"/>
        <v>1000</v>
      </c>
      <c r="K291" s="85">
        <v>0</v>
      </c>
      <c r="L291" s="96">
        <f t="shared" si="141"/>
        <v>1000</v>
      </c>
      <c r="M291" s="85">
        <v>0</v>
      </c>
      <c r="N291" s="96">
        <f t="shared" si="175"/>
        <v>1000</v>
      </c>
      <c r="O291" s="85">
        <v>0</v>
      </c>
      <c r="P291" s="96">
        <f t="shared" si="176"/>
        <v>1000</v>
      </c>
      <c r="Q291" s="85">
        <v>0</v>
      </c>
      <c r="R291" s="96">
        <f t="shared" si="177"/>
        <v>1000</v>
      </c>
      <c r="S291" s="85">
        <v>0</v>
      </c>
      <c r="T291" s="96">
        <f t="shared" si="178"/>
        <v>1000</v>
      </c>
      <c r="U291" s="85">
        <v>0</v>
      </c>
      <c r="V291" s="96">
        <f t="shared" si="179"/>
        <v>1000</v>
      </c>
      <c r="W291" s="85">
        <v>0</v>
      </c>
      <c r="X291" s="96">
        <f t="shared" si="180"/>
        <v>1000</v>
      </c>
    </row>
    <row r="292" spans="1:24" s="27" customFormat="1" ht="21" customHeight="1">
      <c r="A292" s="113"/>
      <c r="B292" s="93"/>
      <c r="C292" s="61">
        <v>4280</v>
      </c>
      <c r="D292" s="14" t="s">
        <v>392</v>
      </c>
      <c r="E292" s="85">
        <v>500</v>
      </c>
      <c r="F292" s="85"/>
      <c r="G292" s="85"/>
      <c r="H292" s="96">
        <f t="shared" si="169"/>
        <v>500</v>
      </c>
      <c r="I292" s="85"/>
      <c r="J292" s="96">
        <f t="shared" si="140"/>
        <v>500</v>
      </c>
      <c r="K292" s="85">
        <v>0</v>
      </c>
      <c r="L292" s="96">
        <f t="shared" si="141"/>
        <v>500</v>
      </c>
      <c r="M292" s="85">
        <v>0</v>
      </c>
      <c r="N292" s="96">
        <f t="shared" si="175"/>
        <v>500</v>
      </c>
      <c r="O292" s="85">
        <v>0</v>
      </c>
      <c r="P292" s="96">
        <f t="shared" si="176"/>
        <v>500</v>
      </c>
      <c r="Q292" s="85">
        <v>0</v>
      </c>
      <c r="R292" s="96">
        <f t="shared" si="177"/>
        <v>500</v>
      </c>
      <c r="S292" s="85">
        <v>0</v>
      </c>
      <c r="T292" s="96">
        <f t="shared" si="178"/>
        <v>500</v>
      </c>
      <c r="U292" s="85">
        <v>0</v>
      </c>
      <c r="V292" s="96">
        <f t="shared" si="179"/>
        <v>500</v>
      </c>
      <c r="W292" s="85">
        <v>0</v>
      </c>
      <c r="X292" s="96">
        <f t="shared" si="180"/>
        <v>500</v>
      </c>
    </row>
    <row r="293" spans="1:24" s="27" customFormat="1" ht="21" customHeight="1">
      <c r="A293" s="113"/>
      <c r="B293" s="93"/>
      <c r="C293" s="61">
        <v>4300</v>
      </c>
      <c r="D293" s="14" t="s">
        <v>201</v>
      </c>
      <c r="E293" s="85">
        <f>24150+3410</f>
        <v>27560</v>
      </c>
      <c r="F293" s="85"/>
      <c r="G293" s="85"/>
      <c r="H293" s="96">
        <f t="shared" si="169"/>
        <v>27560</v>
      </c>
      <c r="I293" s="85"/>
      <c r="J293" s="96">
        <f aca="true" t="shared" si="181" ref="J293:J366">SUM(H293:I293)</f>
        <v>27560</v>
      </c>
      <c r="K293" s="85">
        <v>0</v>
      </c>
      <c r="L293" s="96">
        <f aca="true" t="shared" si="182" ref="L293:L366">SUM(J293:K293)</f>
        <v>27560</v>
      </c>
      <c r="M293" s="85">
        <v>0</v>
      </c>
      <c r="N293" s="96">
        <f t="shared" si="175"/>
        <v>27560</v>
      </c>
      <c r="O293" s="85">
        <v>0</v>
      </c>
      <c r="P293" s="96">
        <f t="shared" si="176"/>
        <v>27560</v>
      </c>
      <c r="Q293" s="85">
        <v>0</v>
      </c>
      <c r="R293" s="96">
        <f t="shared" si="177"/>
        <v>27560</v>
      </c>
      <c r="S293" s="85">
        <v>0</v>
      </c>
      <c r="T293" s="96">
        <f t="shared" si="178"/>
        <v>27560</v>
      </c>
      <c r="U293" s="85">
        <v>-6000</v>
      </c>
      <c r="V293" s="96">
        <f t="shared" si="179"/>
        <v>21560</v>
      </c>
      <c r="W293" s="85">
        <v>-1500</v>
      </c>
      <c r="X293" s="96">
        <f t="shared" si="180"/>
        <v>20060</v>
      </c>
    </row>
    <row r="294" spans="1:24" s="27" customFormat="1" ht="21" customHeight="1">
      <c r="A294" s="113"/>
      <c r="B294" s="93"/>
      <c r="C294" s="61">
        <v>4350</v>
      </c>
      <c r="D294" s="14" t="s">
        <v>394</v>
      </c>
      <c r="E294" s="85">
        <v>3500</v>
      </c>
      <c r="F294" s="85"/>
      <c r="G294" s="85"/>
      <c r="H294" s="96">
        <f t="shared" si="169"/>
        <v>3500</v>
      </c>
      <c r="I294" s="85"/>
      <c r="J294" s="96">
        <f t="shared" si="181"/>
        <v>3500</v>
      </c>
      <c r="K294" s="85">
        <v>0</v>
      </c>
      <c r="L294" s="96">
        <f t="shared" si="182"/>
        <v>3500</v>
      </c>
      <c r="M294" s="85">
        <v>0</v>
      </c>
      <c r="N294" s="96">
        <f t="shared" si="175"/>
        <v>3500</v>
      </c>
      <c r="O294" s="85">
        <v>0</v>
      </c>
      <c r="P294" s="96">
        <f t="shared" si="176"/>
        <v>3500</v>
      </c>
      <c r="Q294" s="85">
        <v>0</v>
      </c>
      <c r="R294" s="96">
        <f t="shared" si="177"/>
        <v>3500</v>
      </c>
      <c r="S294" s="85">
        <v>0</v>
      </c>
      <c r="T294" s="96">
        <f t="shared" si="178"/>
        <v>3500</v>
      </c>
      <c r="U294" s="85">
        <v>0</v>
      </c>
      <c r="V294" s="96">
        <f t="shared" si="179"/>
        <v>3500</v>
      </c>
      <c r="W294" s="85">
        <v>0</v>
      </c>
      <c r="X294" s="96">
        <f t="shared" si="180"/>
        <v>3500</v>
      </c>
    </row>
    <row r="295" spans="1:24" s="27" customFormat="1" ht="24">
      <c r="A295" s="113"/>
      <c r="B295" s="93"/>
      <c r="C295" s="61">
        <v>4360</v>
      </c>
      <c r="D295" s="14" t="s">
        <v>414</v>
      </c>
      <c r="E295" s="85">
        <v>1000</v>
      </c>
      <c r="F295" s="85"/>
      <c r="G295" s="85"/>
      <c r="H295" s="96">
        <f t="shared" si="169"/>
        <v>1000</v>
      </c>
      <c r="I295" s="85"/>
      <c r="J295" s="96">
        <f t="shared" si="181"/>
        <v>1000</v>
      </c>
      <c r="K295" s="85">
        <v>0</v>
      </c>
      <c r="L295" s="96">
        <f t="shared" si="182"/>
        <v>1000</v>
      </c>
      <c r="M295" s="85">
        <v>0</v>
      </c>
      <c r="N295" s="96">
        <f t="shared" si="175"/>
        <v>1000</v>
      </c>
      <c r="O295" s="85">
        <v>0</v>
      </c>
      <c r="P295" s="96">
        <f t="shared" si="176"/>
        <v>1000</v>
      </c>
      <c r="Q295" s="85">
        <v>0</v>
      </c>
      <c r="R295" s="96">
        <f t="shared" si="177"/>
        <v>1000</v>
      </c>
      <c r="S295" s="85">
        <v>0</v>
      </c>
      <c r="T295" s="96">
        <f t="shared" si="178"/>
        <v>1000</v>
      </c>
      <c r="U295" s="85">
        <v>0</v>
      </c>
      <c r="V295" s="96">
        <f t="shared" si="179"/>
        <v>1000</v>
      </c>
      <c r="W295" s="85">
        <v>0</v>
      </c>
      <c r="X295" s="96">
        <f t="shared" si="180"/>
        <v>1000</v>
      </c>
    </row>
    <row r="296" spans="1:24" s="27" customFormat="1" ht="24">
      <c r="A296" s="113"/>
      <c r="B296" s="93"/>
      <c r="C296" s="61">
        <v>4370</v>
      </c>
      <c r="D296" s="14" t="s">
        <v>409</v>
      </c>
      <c r="E296" s="85">
        <v>4000</v>
      </c>
      <c r="F296" s="85"/>
      <c r="G296" s="85"/>
      <c r="H296" s="96">
        <f t="shared" si="169"/>
        <v>4000</v>
      </c>
      <c r="I296" s="85"/>
      <c r="J296" s="96">
        <f t="shared" si="181"/>
        <v>4000</v>
      </c>
      <c r="K296" s="85">
        <v>0</v>
      </c>
      <c r="L296" s="96">
        <f t="shared" si="182"/>
        <v>4000</v>
      </c>
      <c r="M296" s="85">
        <v>0</v>
      </c>
      <c r="N296" s="96">
        <f t="shared" si="175"/>
        <v>4000</v>
      </c>
      <c r="O296" s="85">
        <v>0</v>
      </c>
      <c r="P296" s="96">
        <f t="shared" si="176"/>
        <v>4000</v>
      </c>
      <c r="Q296" s="85">
        <v>0</v>
      </c>
      <c r="R296" s="96">
        <f t="shared" si="177"/>
        <v>4000</v>
      </c>
      <c r="S296" s="85">
        <v>0</v>
      </c>
      <c r="T296" s="96">
        <f t="shared" si="178"/>
        <v>4000</v>
      </c>
      <c r="U296" s="85">
        <v>0</v>
      </c>
      <c r="V296" s="96">
        <f t="shared" si="179"/>
        <v>4000</v>
      </c>
      <c r="W296" s="85">
        <v>0</v>
      </c>
      <c r="X296" s="96">
        <f t="shared" si="180"/>
        <v>4000</v>
      </c>
    </row>
    <row r="297" spans="1:24" s="27" customFormat="1" ht="21" customHeight="1">
      <c r="A297" s="113"/>
      <c r="B297" s="93"/>
      <c r="C297" s="61">
        <v>4410</v>
      </c>
      <c r="D297" s="14" t="s">
        <v>212</v>
      </c>
      <c r="E297" s="85">
        <v>2500</v>
      </c>
      <c r="F297" s="85"/>
      <c r="G297" s="85"/>
      <c r="H297" s="96">
        <f t="shared" si="169"/>
        <v>2500</v>
      </c>
      <c r="I297" s="85"/>
      <c r="J297" s="96">
        <f t="shared" si="181"/>
        <v>2500</v>
      </c>
      <c r="K297" s="85">
        <v>0</v>
      </c>
      <c r="L297" s="96">
        <f t="shared" si="182"/>
        <v>2500</v>
      </c>
      <c r="M297" s="85">
        <v>0</v>
      </c>
      <c r="N297" s="96">
        <f t="shared" si="175"/>
        <v>2500</v>
      </c>
      <c r="O297" s="85">
        <v>0</v>
      </c>
      <c r="P297" s="96">
        <f t="shared" si="176"/>
        <v>2500</v>
      </c>
      <c r="Q297" s="85">
        <v>0</v>
      </c>
      <c r="R297" s="96">
        <f t="shared" si="177"/>
        <v>2500</v>
      </c>
      <c r="S297" s="85">
        <v>0</v>
      </c>
      <c r="T297" s="96">
        <f t="shared" si="178"/>
        <v>2500</v>
      </c>
      <c r="U297" s="85">
        <v>0</v>
      </c>
      <c r="V297" s="96">
        <f t="shared" si="179"/>
        <v>2500</v>
      </c>
      <c r="W297" s="85">
        <v>0</v>
      </c>
      <c r="X297" s="96">
        <f t="shared" si="180"/>
        <v>2500</v>
      </c>
    </row>
    <row r="298" spans="1:24" s="27" customFormat="1" ht="21" customHeight="1">
      <c r="A298" s="113"/>
      <c r="B298" s="93"/>
      <c r="C298" s="61">
        <v>4430</v>
      </c>
      <c r="D298" s="45" t="s">
        <v>216</v>
      </c>
      <c r="E298" s="85">
        <v>2000</v>
      </c>
      <c r="F298" s="85"/>
      <c r="G298" s="85"/>
      <c r="H298" s="96">
        <f t="shared" si="169"/>
        <v>2000</v>
      </c>
      <c r="I298" s="85"/>
      <c r="J298" s="96">
        <f t="shared" si="181"/>
        <v>2000</v>
      </c>
      <c r="K298" s="85">
        <v>0</v>
      </c>
      <c r="L298" s="96">
        <f t="shared" si="182"/>
        <v>2000</v>
      </c>
      <c r="M298" s="85">
        <v>0</v>
      </c>
      <c r="N298" s="96">
        <f t="shared" si="175"/>
        <v>2000</v>
      </c>
      <c r="O298" s="85">
        <v>0</v>
      </c>
      <c r="P298" s="96">
        <f t="shared" si="176"/>
        <v>2000</v>
      </c>
      <c r="Q298" s="85">
        <v>0</v>
      </c>
      <c r="R298" s="96">
        <f t="shared" si="177"/>
        <v>2000</v>
      </c>
      <c r="S298" s="85">
        <v>0</v>
      </c>
      <c r="T298" s="96">
        <f t="shared" si="178"/>
        <v>2000</v>
      </c>
      <c r="U298" s="85">
        <v>0</v>
      </c>
      <c r="V298" s="96">
        <f t="shared" si="179"/>
        <v>2000</v>
      </c>
      <c r="W298" s="85">
        <v>1200</v>
      </c>
      <c r="X298" s="96">
        <f t="shared" si="180"/>
        <v>3200</v>
      </c>
    </row>
    <row r="299" spans="1:24" s="27" customFormat="1" ht="21" customHeight="1">
      <c r="A299" s="113"/>
      <c r="B299" s="93"/>
      <c r="C299" s="61">
        <v>4440</v>
      </c>
      <c r="D299" s="14" t="s">
        <v>210</v>
      </c>
      <c r="E299" s="85">
        <v>4000</v>
      </c>
      <c r="F299" s="85"/>
      <c r="G299" s="85"/>
      <c r="H299" s="96">
        <f t="shared" si="169"/>
        <v>4000</v>
      </c>
      <c r="I299" s="85"/>
      <c r="J299" s="96">
        <f t="shared" si="181"/>
        <v>4000</v>
      </c>
      <c r="K299" s="85">
        <v>0</v>
      </c>
      <c r="L299" s="96">
        <f t="shared" si="182"/>
        <v>4000</v>
      </c>
      <c r="M299" s="85">
        <v>0</v>
      </c>
      <c r="N299" s="96">
        <f t="shared" si="175"/>
        <v>4000</v>
      </c>
      <c r="O299" s="85">
        <v>0</v>
      </c>
      <c r="P299" s="96">
        <f t="shared" si="176"/>
        <v>4000</v>
      </c>
      <c r="Q299" s="85">
        <v>0</v>
      </c>
      <c r="R299" s="96">
        <f t="shared" si="177"/>
        <v>4000</v>
      </c>
      <c r="S299" s="85">
        <v>0</v>
      </c>
      <c r="T299" s="96">
        <f t="shared" si="178"/>
        <v>4000</v>
      </c>
      <c r="U299" s="85">
        <v>0</v>
      </c>
      <c r="V299" s="96">
        <f t="shared" si="179"/>
        <v>4000</v>
      </c>
      <c r="W299" s="85">
        <v>0</v>
      </c>
      <c r="X299" s="96">
        <f t="shared" si="180"/>
        <v>4000</v>
      </c>
    </row>
    <row r="300" spans="1:24" s="27" customFormat="1" ht="21" customHeight="1">
      <c r="A300" s="113"/>
      <c r="B300" s="93"/>
      <c r="C300" s="61">
        <v>4700</v>
      </c>
      <c r="D300" s="14" t="s">
        <v>412</v>
      </c>
      <c r="E300" s="85">
        <v>3000</v>
      </c>
      <c r="F300" s="85"/>
      <c r="G300" s="85"/>
      <c r="H300" s="96">
        <f t="shared" si="169"/>
        <v>3000</v>
      </c>
      <c r="I300" s="85"/>
      <c r="J300" s="96">
        <f t="shared" si="181"/>
        <v>3000</v>
      </c>
      <c r="K300" s="85">
        <v>0</v>
      </c>
      <c r="L300" s="96">
        <f t="shared" si="182"/>
        <v>3000</v>
      </c>
      <c r="M300" s="85">
        <v>0</v>
      </c>
      <c r="N300" s="96">
        <f t="shared" si="175"/>
        <v>3000</v>
      </c>
      <c r="O300" s="85">
        <v>0</v>
      </c>
      <c r="P300" s="96">
        <f t="shared" si="176"/>
        <v>3000</v>
      </c>
      <c r="Q300" s="85">
        <v>0</v>
      </c>
      <c r="R300" s="96">
        <f t="shared" si="177"/>
        <v>3000</v>
      </c>
      <c r="S300" s="85">
        <v>0</v>
      </c>
      <c r="T300" s="96">
        <f t="shared" si="178"/>
        <v>3000</v>
      </c>
      <c r="U300" s="85">
        <v>0</v>
      </c>
      <c r="V300" s="96">
        <f t="shared" si="179"/>
        <v>3000</v>
      </c>
      <c r="W300" s="85">
        <v>0</v>
      </c>
      <c r="X300" s="96">
        <f t="shared" si="180"/>
        <v>3000</v>
      </c>
    </row>
    <row r="301" spans="1:24" s="27" customFormat="1" ht="24">
      <c r="A301" s="113"/>
      <c r="B301" s="93"/>
      <c r="C301" s="61">
        <v>4740</v>
      </c>
      <c r="D301" s="14" t="s">
        <v>48</v>
      </c>
      <c r="E301" s="85">
        <v>4000</v>
      </c>
      <c r="F301" s="85"/>
      <c r="G301" s="85"/>
      <c r="H301" s="96">
        <f t="shared" si="169"/>
        <v>4000</v>
      </c>
      <c r="I301" s="85"/>
      <c r="J301" s="96">
        <f t="shared" si="181"/>
        <v>4000</v>
      </c>
      <c r="K301" s="85">
        <v>0</v>
      </c>
      <c r="L301" s="96">
        <f t="shared" si="182"/>
        <v>4000</v>
      </c>
      <c r="M301" s="85">
        <v>0</v>
      </c>
      <c r="N301" s="96">
        <f t="shared" si="175"/>
        <v>4000</v>
      </c>
      <c r="O301" s="85">
        <v>0</v>
      </c>
      <c r="P301" s="96">
        <f t="shared" si="176"/>
        <v>4000</v>
      </c>
      <c r="Q301" s="85">
        <v>0</v>
      </c>
      <c r="R301" s="96">
        <f t="shared" si="177"/>
        <v>4000</v>
      </c>
      <c r="S301" s="85">
        <v>0</v>
      </c>
      <c r="T301" s="96">
        <f t="shared" si="178"/>
        <v>4000</v>
      </c>
      <c r="U301" s="85">
        <v>0</v>
      </c>
      <c r="V301" s="96">
        <f t="shared" si="179"/>
        <v>4000</v>
      </c>
      <c r="W301" s="85">
        <v>0</v>
      </c>
      <c r="X301" s="96">
        <f t="shared" si="180"/>
        <v>4000</v>
      </c>
    </row>
    <row r="302" spans="1:24" s="27" customFormat="1" ht="24">
      <c r="A302" s="113"/>
      <c r="B302" s="93"/>
      <c r="C302" s="61">
        <v>4750</v>
      </c>
      <c r="D302" s="14" t="s">
        <v>413</v>
      </c>
      <c r="E302" s="85">
        <v>3074</v>
      </c>
      <c r="F302" s="85"/>
      <c r="G302" s="85"/>
      <c r="H302" s="96">
        <f t="shared" si="169"/>
        <v>3074</v>
      </c>
      <c r="I302" s="85"/>
      <c r="J302" s="96">
        <f t="shared" si="181"/>
        <v>3074</v>
      </c>
      <c r="K302" s="85">
        <v>0</v>
      </c>
      <c r="L302" s="96">
        <f t="shared" si="182"/>
        <v>3074</v>
      </c>
      <c r="M302" s="85">
        <v>0</v>
      </c>
      <c r="N302" s="96">
        <f t="shared" si="175"/>
        <v>3074</v>
      </c>
      <c r="O302" s="85">
        <v>0</v>
      </c>
      <c r="P302" s="96">
        <f t="shared" si="176"/>
        <v>3074</v>
      </c>
      <c r="Q302" s="85">
        <v>0</v>
      </c>
      <c r="R302" s="96">
        <f t="shared" si="177"/>
        <v>3074</v>
      </c>
      <c r="S302" s="85">
        <v>0</v>
      </c>
      <c r="T302" s="96">
        <f t="shared" si="178"/>
        <v>3074</v>
      </c>
      <c r="U302" s="85">
        <v>0</v>
      </c>
      <c r="V302" s="96">
        <f t="shared" si="179"/>
        <v>3074</v>
      </c>
      <c r="W302" s="85">
        <v>0</v>
      </c>
      <c r="X302" s="96">
        <f t="shared" si="180"/>
        <v>3074</v>
      </c>
    </row>
    <row r="303" spans="1:24" s="27" customFormat="1" ht="48">
      <c r="A303" s="81"/>
      <c r="B303" s="103">
        <v>85213</v>
      </c>
      <c r="C303" s="102"/>
      <c r="D303" s="45" t="s">
        <v>361</v>
      </c>
      <c r="E303" s="96">
        <f>SUM(E304)</f>
        <v>99900</v>
      </c>
      <c r="F303" s="96">
        <f>SUM(F304)</f>
        <v>0</v>
      </c>
      <c r="G303" s="96">
        <f>SUM(G304)</f>
        <v>0</v>
      </c>
      <c r="H303" s="96">
        <f t="shared" si="169"/>
        <v>99900</v>
      </c>
      <c r="I303" s="96">
        <f aca="true" t="shared" si="183" ref="I303:X303">SUM(I304)</f>
        <v>-21500</v>
      </c>
      <c r="J303" s="96">
        <f t="shared" si="183"/>
        <v>78400</v>
      </c>
      <c r="K303" s="96">
        <f t="shared" si="183"/>
        <v>0</v>
      </c>
      <c r="L303" s="96">
        <f t="shared" si="183"/>
        <v>78400</v>
      </c>
      <c r="M303" s="96">
        <f t="shared" si="183"/>
        <v>0</v>
      </c>
      <c r="N303" s="96">
        <f t="shared" si="183"/>
        <v>78400</v>
      </c>
      <c r="O303" s="96">
        <f t="shared" si="183"/>
        <v>0</v>
      </c>
      <c r="P303" s="96">
        <f t="shared" si="183"/>
        <v>78400</v>
      </c>
      <c r="Q303" s="96">
        <f t="shared" si="183"/>
        <v>0</v>
      </c>
      <c r="R303" s="96">
        <f t="shared" si="183"/>
        <v>78400</v>
      </c>
      <c r="S303" s="96">
        <f t="shared" si="183"/>
        <v>0</v>
      </c>
      <c r="T303" s="96">
        <f t="shared" si="183"/>
        <v>78400</v>
      </c>
      <c r="U303" s="96">
        <f t="shared" si="183"/>
        <v>0</v>
      </c>
      <c r="V303" s="96">
        <f t="shared" si="183"/>
        <v>78400</v>
      </c>
      <c r="W303" s="96">
        <f t="shared" si="183"/>
        <v>0</v>
      </c>
      <c r="X303" s="96">
        <f t="shared" si="183"/>
        <v>78400</v>
      </c>
    </row>
    <row r="304" spans="1:24" s="27" customFormat="1" ht="21" customHeight="1">
      <c r="A304" s="81"/>
      <c r="B304" s="103"/>
      <c r="C304" s="102">
        <v>4130</v>
      </c>
      <c r="D304" s="45" t="s">
        <v>244</v>
      </c>
      <c r="E304" s="96">
        <v>99900</v>
      </c>
      <c r="F304" s="96"/>
      <c r="G304" s="96"/>
      <c r="H304" s="96">
        <f t="shared" si="169"/>
        <v>99900</v>
      </c>
      <c r="I304" s="96">
        <v>-21500</v>
      </c>
      <c r="J304" s="96">
        <f t="shared" si="181"/>
        <v>78400</v>
      </c>
      <c r="K304" s="96">
        <v>0</v>
      </c>
      <c r="L304" s="96">
        <f t="shared" si="182"/>
        <v>78400</v>
      </c>
      <c r="M304" s="96">
        <v>0</v>
      </c>
      <c r="N304" s="96">
        <f>SUM(L304:M304)</f>
        <v>78400</v>
      </c>
      <c r="O304" s="96">
        <v>0</v>
      </c>
      <c r="P304" s="96">
        <f>SUM(N304:O304)</f>
        <v>78400</v>
      </c>
      <c r="Q304" s="96">
        <v>0</v>
      </c>
      <c r="R304" s="96">
        <f>SUM(P304:Q304)</f>
        <v>78400</v>
      </c>
      <c r="S304" s="96">
        <v>0</v>
      </c>
      <c r="T304" s="96">
        <f>SUM(R304:S304)</f>
        <v>78400</v>
      </c>
      <c r="U304" s="96">
        <v>0</v>
      </c>
      <c r="V304" s="96">
        <f>SUM(T304:U304)</f>
        <v>78400</v>
      </c>
      <c r="W304" s="96">
        <v>0</v>
      </c>
      <c r="X304" s="96">
        <f>SUM(V304:W304)</f>
        <v>78400</v>
      </c>
    </row>
    <row r="305" spans="1:24" s="27" customFormat="1" ht="24">
      <c r="A305" s="81"/>
      <c r="B305" s="98">
        <v>85214</v>
      </c>
      <c r="C305" s="102"/>
      <c r="D305" s="45" t="s">
        <v>368</v>
      </c>
      <c r="E305" s="96">
        <f>SUM(E306:E307)</f>
        <v>1514100</v>
      </c>
      <c r="F305" s="96">
        <f>SUM(F306:F307)</f>
        <v>0</v>
      </c>
      <c r="G305" s="96">
        <f>SUM(G306:G307)</f>
        <v>0</v>
      </c>
      <c r="H305" s="96">
        <f t="shared" si="169"/>
        <v>1514100</v>
      </c>
      <c r="I305" s="96">
        <f aca="true" t="shared" si="184" ref="I305:N305">SUM(I306:I307)</f>
        <v>-8400</v>
      </c>
      <c r="J305" s="96">
        <f t="shared" si="184"/>
        <v>1505700</v>
      </c>
      <c r="K305" s="96">
        <f t="shared" si="184"/>
        <v>0</v>
      </c>
      <c r="L305" s="96">
        <f t="shared" si="184"/>
        <v>1505700</v>
      </c>
      <c r="M305" s="96">
        <f t="shared" si="184"/>
        <v>0</v>
      </c>
      <c r="N305" s="96">
        <f t="shared" si="184"/>
        <v>1505700</v>
      </c>
      <c r="O305" s="96">
        <f aca="true" t="shared" si="185" ref="O305:T305">SUM(O306:O307)</f>
        <v>0</v>
      </c>
      <c r="P305" s="96">
        <f t="shared" si="185"/>
        <v>1505700</v>
      </c>
      <c r="Q305" s="96">
        <f t="shared" si="185"/>
        <v>40648</v>
      </c>
      <c r="R305" s="96">
        <f t="shared" si="185"/>
        <v>1546348</v>
      </c>
      <c r="S305" s="96">
        <f t="shared" si="185"/>
        <v>0</v>
      </c>
      <c r="T305" s="96">
        <f t="shared" si="185"/>
        <v>1546348</v>
      </c>
      <c r="U305" s="96">
        <f>SUM(U306:U307)</f>
        <v>-3000</v>
      </c>
      <c r="V305" s="96">
        <f>SUM(V306:V307)</f>
        <v>1543348</v>
      </c>
      <c r="W305" s="96">
        <f>SUM(W306:W307)</f>
        <v>10901</v>
      </c>
      <c r="X305" s="96">
        <f>SUM(X306:X307)</f>
        <v>1554249</v>
      </c>
    </row>
    <row r="306" spans="1:24" s="27" customFormat="1" ht="21" customHeight="1">
      <c r="A306" s="81"/>
      <c r="B306" s="98"/>
      <c r="C306" s="102">
        <v>3110</v>
      </c>
      <c r="D306" s="45" t="s">
        <v>236</v>
      </c>
      <c r="E306" s="96">
        <f>3000+500000+439200-3000+571900</f>
        <v>1511100</v>
      </c>
      <c r="F306" s="96"/>
      <c r="G306" s="96"/>
      <c r="H306" s="96">
        <f t="shared" si="169"/>
        <v>1511100</v>
      </c>
      <c r="I306" s="96">
        <v>-8400</v>
      </c>
      <c r="J306" s="96">
        <f t="shared" si="181"/>
        <v>1502700</v>
      </c>
      <c r="K306" s="96">
        <v>0</v>
      </c>
      <c r="L306" s="96">
        <f t="shared" si="182"/>
        <v>1502700</v>
      </c>
      <c r="M306" s="96">
        <v>0</v>
      </c>
      <c r="N306" s="96">
        <f>SUM(L306:M306)</f>
        <v>1502700</v>
      </c>
      <c r="O306" s="96">
        <v>0</v>
      </c>
      <c r="P306" s="96">
        <f>SUM(N306:O306)</f>
        <v>1502700</v>
      </c>
      <c r="Q306" s="96">
        <v>40648</v>
      </c>
      <c r="R306" s="96">
        <f>SUM(P306:Q306)</f>
        <v>1543348</v>
      </c>
      <c r="S306" s="96">
        <v>0</v>
      </c>
      <c r="T306" s="96">
        <f>SUM(R306:S306)</f>
        <v>1543348</v>
      </c>
      <c r="U306" s="96">
        <v>-3000</v>
      </c>
      <c r="V306" s="96">
        <f>SUM(T306:U306)</f>
        <v>1540348</v>
      </c>
      <c r="W306" s="96">
        <v>10901</v>
      </c>
      <c r="X306" s="96">
        <f>SUM(V306:W306)</f>
        <v>1551249</v>
      </c>
    </row>
    <row r="307" spans="1:26" s="27" customFormat="1" ht="21" customHeight="1">
      <c r="A307" s="81"/>
      <c r="B307" s="98"/>
      <c r="C307" s="102">
        <v>4110</v>
      </c>
      <c r="D307" s="45" t="s">
        <v>208</v>
      </c>
      <c r="E307" s="96">
        <v>3000</v>
      </c>
      <c r="F307" s="96"/>
      <c r="G307" s="96"/>
      <c r="H307" s="96">
        <f t="shared" si="169"/>
        <v>3000</v>
      </c>
      <c r="I307" s="96"/>
      <c r="J307" s="96">
        <f t="shared" si="181"/>
        <v>3000</v>
      </c>
      <c r="K307" s="96">
        <v>0</v>
      </c>
      <c r="L307" s="96">
        <f t="shared" si="182"/>
        <v>3000</v>
      </c>
      <c r="M307" s="96">
        <v>0</v>
      </c>
      <c r="N307" s="96">
        <f>SUM(L307:M307)</f>
        <v>3000</v>
      </c>
      <c r="O307" s="96">
        <v>0</v>
      </c>
      <c r="P307" s="96">
        <f>SUM(N307:O307)</f>
        <v>3000</v>
      </c>
      <c r="Q307" s="96">
        <v>0</v>
      </c>
      <c r="R307" s="96">
        <f>SUM(P307:Q307)</f>
        <v>3000</v>
      </c>
      <c r="S307" s="96">
        <v>0</v>
      </c>
      <c r="T307" s="96">
        <f>SUM(R307:S307)</f>
        <v>3000</v>
      </c>
      <c r="U307" s="96">
        <v>0</v>
      </c>
      <c r="V307" s="96">
        <f>SUM(T307:U307)</f>
        <v>3000</v>
      </c>
      <c r="W307" s="96">
        <v>0</v>
      </c>
      <c r="X307" s="96">
        <f>SUM(V307:W307)</f>
        <v>3000</v>
      </c>
      <c r="Y307" s="150"/>
      <c r="Z307" s="150"/>
    </row>
    <row r="308" spans="1:24" s="27" customFormat="1" ht="21.75" customHeight="1">
      <c r="A308" s="81"/>
      <c r="B308" s="98">
        <v>85215</v>
      </c>
      <c r="C308" s="102"/>
      <c r="D308" s="45" t="s">
        <v>179</v>
      </c>
      <c r="E308" s="96">
        <f>SUM(E309)</f>
        <v>1450000</v>
      </c>
      <c r="F308" s="96">
        <f>SUM(F309)</f>
        <v>0</v>
      </c>
      <c r="G308" s="96">
        <f>SUM(G309)</f>
        <v>0</v>
      </c>
      <c r="H308" s="96">
        <f aca="true" t="shared" si="186" ref="H308:H340">E308+F308-G308</f>
        <v>1450000</v>
      </c>
      <c r="I308" s="96">
        <f aca="true" t="shared" si="187" ref="I308:X308">SUM(I309)</f>
        <v>0</v>
      </c>
      <c r="J308" s="96">
        <f t="shared" si="187"/>
        <v>1450000</v>
      </c>
      <c r="K308" s="96">
        <f t="shared" si="187"/>
        <v>0</v>
      </c>
      <c r="L308" s="96">
        <f t="shared" si="187"/>
        <v>1450000</v>
      </c>
      <c r="M308" s="96">
        <f t="shared" si="187"/>
        <v>0</v>
      </c>
      <c r="N308" s="96">
        <f t="shared" si="187"/>
        <v>1450000</v>
      </c>
      <c r="O308" s="96">
        <f t="shared" si="187"/>
        <v>0</v>
      </c>
      <c r="P308" s="96">
        <f t="shared" si="187"/>
        <v>1450000</v>
      </c>
      <c r="Q308" s="96">
        <f t="shared" si="187"/>
        <v>-200000</v>
      </c>
      <c r="R308" s="96">
        <f t="shared" si="187"/>
        <v>1250000</v>
      </c>
      <c r="S308" s="96">
        <f t="shared" si="187"/>
        <v>0</v>
      </c>
      <c r="T308" s="96">
        <f t="shared" si="187"/>
        <v>1250000</v>
      </c>
      <c r="U308" s="96">
        <f t="shared" si="187"/>
        <v>0</v>
      </c>
      <c r="V308" s="96">
        <f t="shared" si="187"/>
        <v>1250000</v>
      </c>
      <c r="W308" s="96">
        <f t="shared" si="187"/>
        <v>0</v>
      </c>
      <c r="X308" s="96">
        <f t="shared" si="187"/>
        <v>1250000</v>
      </c>
    </row>
    <row r="309" spans="1:24" s="27" customFormat="1" ht="21" customHeight="1">
      <c r="A309" s="81"/>
      <c r="B309" s="98"/>
      <c r="C309" s="102">
        <v>3110</v>
      </c>
      <c r="D309" s="45" t="s">
        <v>236</v>
      </c>
      <c r="E309" s="96">
        <v>1450000</v>
      </c>
      <c r="F309" s="96"/>
      <c r="G309" s="96"/>
      <c r="H309" s="96">
        <f t="shared" si="186"/>
        <v>1450000</v>
      </c>
      <c r="I309" s="96"/>
      <c r="J309" s="96">
        <f t="shared" si="181"/>
        <v>1450000</v>
      </c>
      <c r="K309" s="96">
        <v>0</v>
      </c>
      <c r="L309" s="96">
        <f t="shared" si="182"/>
        <v>1450000</v>
      </c>
      <c r="M309" s="96">
        <v>0</v>
      </c>
      <c r="N309" s="96">
        <f>SUM(L309:M309)</f>
        <v>1450000</v>
      </c>
      <c r="O309" s="96">
        <v>0</v>
      </c>
      <c r="P309" s="96">
        <f>SUM(N309:O309)</f>
        <v>1450000</v>
      </c>
      <c r="Q309" s="286">
        <v>-200000</v>
      </c>
      <c r="R309" s="96">
        <f>SUM(P309:Q309)</f>
        <v>1250000</v>
      </c>
      <c r="S309" s="269">
        <v>0</v>
      </c>
      <c r="T309" s="96">
        <f>SUM(R309:S309)</f>
        <v>1250000</v>
      </c>
      <c r="U309" s="269">
        <v>0</v>
      </c>
      <c r="V309" s="96">
        <f>SUM(T309:U309)</f>
        <v>1250000</v>
      </c>
      <c r="W309" s="269">
        <v>0</v>
      </c>
      <c r="X309" s="96">
        <f>SUM(V309:W309)</f>
        <v>1250000</v>
      </c>
    </row>
    <row r="310" spans="1:24" s="27" customFormat="1" ht="21.75" customHeight="1">
      <c r="A310" s="81"/>
      <c r="B310" s="98">
        <v>85219</v>
      </c>
      <c r="C310" s="102"/>
      <c r="D310" s="45" t="s">
        <v>180</v>
      </c>
      <c r="E310" s="96">
        <f>SUM(E311:E334)</f>
        <v>1045805</v>
      </c>
      <c r="F310" s="96">
        <f>SUM(F311:F334)</f>
        <v>0</v>
      </c>
      <c r="G310" s="96">
        <f>SUM(G311:G334)</f>
        <v>0</v>
      </c>
      <c r="H310" s="96">
        <f t="shared" si="186"/>
        <v>1045805</v>
      </c>
      <c r="I310" s="96">
        <f aca="true" t="shared" si="188" ref="I310:N310">SUM(I311:I334)</f>
        <v>0</v>
      </c>
      <c r="J310" s="96">
        <f t="shared" si="188"/>
        <v>1045805</v>
      </c>
      <c r="K310" s="96">
        <f t="shared" si="188"/>
        <v>0</v>
      </c>
      <c r="L310" s="96">
        <f t="shared" si="188"/>
        <v>1045805</v>
      </c>
      <c r="M310" s="96">
        <f t="shared" si="188"/>
        <v>0</v>
      </c>
      <c r="N310" s="96">
        <f t="shared" si="188"/>
        <v>1045805</v>
      </c>
      <c r="O310" s="96">
        <f aca="true" t="shared" si="189" ref="O310:T310">SUM(O311:O334)</f>
        <v>0</v>
      </c>
      <c r="P310" s="96">
        <f t="shared" si="189"/>
        <v>1045805</v>
      </c>
      <c r="Q310" s="96">
        <f t="shared" si="189"/>
        <v>0</v>
      </c>
      <c r="R310" s="96">
        <f t="shared" si="189"/>
        <v>1045805</v>
      </c>
      <c r="S310" s="96">
        <f t="shared" si="189"/>
        <v>0</v>
      </c>
      <c r="T310" s="96">
        <f t="shared" si="189"/>
        <v>1045805</v>
      </c>
      <c r="U310" s="96">
        <f>SUM(U311:U334)</f>
        <v>0</v>
      </c>
      <c r="V310" s="96">
        <f>SUM(V311:V334)</f>
        <v>1045805</v>
      </c>
      <c r="W310" s="96">
        <f>SUM(W311:W334)</f>
        <v>47000</v>
      </c>
      <c r="X310" s="96">
        <f>SUM(X311:X334)</f>
        <v>1092805</v>
      </c>
    </row>
    <row r="311" spans="1:24" s="27" customFormat="1" ht="21" customHeight="1">
      <c r="A311" s="81"/>
      <c r="B311" s="98"/>
      <c r="C311" s="102">
        <v>3020</v>
      </c>
      <c r="D311" s="45" t="s">
        <v>377</v>
      </c>
      <c r="E311" s="96">
        <f>2100+550</f>
        <v>2650</v>
      </c>
      <c r="F311" s="96"/>
      <c r="G311" s="96"/>
      <c r="H311" s="96">
        <f t="shared" si="186"/>
        <v>2650</v>
      </c>
      <c r="I311" s="96"/>
      <c r="J311" s="96">
        <f t="shared" si="181"/>
        <v>2650</v>
      </c>
      <c r="K311" s="96">
        <v>0</v>
      </c>
      <c r="L311" s="96">
        <f t="shared" si="182"/>
        <v>2650</v>
      </c>
      <c r="M311" s="96">
        <v>0</v>
      </c>
      <c r="N311" s="96">
        <f aca="true" t="shared" si="190" ref="N311:N334">SUM(L311:M311)</f>
        <v>2650</v>
      </c>
      <c r="O311" s="96">
        <v>0</v>
      </c>
      <c r="P311" s="96">
        <f aca="true" t="shared" si="191" ref="P311:P334">SUM(N311:O311)</f>
        <v>2650</v>
      </c>
      <c r="Q311" s="96">
        <v>0</v>
      </c>
      <c r="R311" s="96">
        <f aca="true" t="shared" si="192" ref="R311:R334">SUM(P311:Q311)</f>
        <v>2650</v>
      </c>
      <c r="S311" s="96">
        <v>0</v>
      </c>
      <c r="T311" s="96">
        <f aca="true" t="shared" si="193" ref="T311:T334">SUM(R311:S311)</f>
        <v>2650</v>
      </c>
      <c r="U311" s="96">
        <v>0</v>
      </c>
      <c r="V311" s="96">
        <f aca="true" t="shared" si="194" ref="V311:V334">SUM(T311:U311)</f>
        <v>2650</v>
      </c>
      <c r="W311" s="96">
        <v>0</v>
      </c>
      <c r="X311" s="96">
        <f aca="true" t="shared" si="195" ref="X311:X334">SUM(V311:W311)</f>
        <v>2650</v>
      </c>
    </row>
    <row r="312" spans="1:26" s="27" customFormat="1" ht="21" customHeight="1">
      <c r="A312" s="81"/>
      <c r="B312" s="98"/>
      <c r="C312" s="102">
        <v>4010</v>
      </c>
      <c r="D312" s="45" t="s">
        <v>206</v>
      </c>
      <c r="E312" s="96">
        <f>19769+463372+44252</f>
        <v>527393</v>
      </c>
      <c r="F312" s="96"/>
      <c r="G312" s="96"/>
      <c r="H312" s="96">
        <f t="shared" si="186"/>
        <v>527393</v>
      </c>
      <c r="I312" s="96"/>
      <c r="J312" s="96">
        <f t="shared" si="181"/>
        <v>527393</v>
      </c>
      <c r="K312" s="96">
        <v>1661</v>
      </c>
      <c r="L312" s="96">
        <f t="shared" si="182"/>
        <v>529054</v>
      </c>
      <c r="M312" s="96">
        <v>0</v>
      </c>
      <c r="N312" s="96">
        <f t="shared" si="190"/>
        <v>529054</v>
      </c>
      <c r="O312" s="96">
        <v>0</v>
      </c>
      <c r="P312" s="96">
        <f t="shared" si="191"/>
        <v>529054</v>
      </c>
      <c r="Q312" s="96">
        <v>0</v>
      </c>
      <c r="R312" s="96">
        <f t="shared" si="192"/>
        <v>529054</v>
      </c>
      <c r="S312" s="96">
        <v>0</v>
      </c>
      <c r="T312" s="96">
        <f t="shared" si="193"/>
        <v>529054</v>
      </c>
      <c r="U312" s="96">
        <v>0</v>
      </c>
      <c r="V312" s="96">
        <f t="shared" si="194"/>
        <v>529054</v>
      </c>
      <c r="W312" s="96">
        <v>521</v>
      </c>
      <c r="X312" s="96">
        <f t="shared" si="195"/>
        <v>529575</v>
      </c>
      <c r="Y312" s="150"/>
      <c r="Z312" s="150"/>
    </row>
    <row r="313" spans="1:26" s="27" customFormat="1" ht="21" customHeight="1">
      <c r="A313" s="81"/>
      <c r="B313" s="98"/>
      <c r="C313" s="102">
        <v>4040</v>
      </c>
      <c r="D313" s="45" t="s">
        <v>207</v>
      </c>
      <c r="E313" s="96">
        <f>1500+32700+2985</f>
        <v>37185</v>
      </c>
      <c r="F313" s="96"/>
      <c r="G313" s="96"/>
      <c r="H313" s="96">
        <f t="shared" si="186"/>
        <v>37185</v>
      </c>
      <c r="I313" s="96"/>
      <c r="J313" s="96">
        <f t="shared" si="181"/>
        <v>37185</v>
      </c>
      <c r="K313" s="96">
        <v>0</v>
      </c>
      <c r="L313" s="96">
        <f t="shared" si="182"/>
        <v>37185</v>
      </c>
      <c r="M313" s="96">
        <v>0</v>
      </c>
      <c r="N313" s="96">
        <f t="shared" si="190"/>
        <v>37185</v>
      </c>
      <c r="O313" s="96">
        <v>0</v>
      </c>
      <c r="P313" s="96">
        <f t="shared" si="191"/>
        <v>37185</v>
      </c>
      <c r="Q313" s="96">
        <v>0</v>
      </c>
      <c r="R313" s="96">
        <f t="shared" si="192"/>
        <v>37185</v>
      </c>
      <c r="S313" s="96">
        <v>0</v>
      </c>
      <c r="T313" s="96">
        <f t="shared" si="193"/>
        <v>37185</v>
      </c>
      <c r="U313" s="96">
        <v>0</v>
      </c>
      <c r="V313" s="96">
        <f t="shared" si="194"/>
        <v>37185</v>
      </c>
      <c r="W313" s="96">
        <v>0</v>
      </c>
      <c r="X313" s="96">
        <f t="shared" si="195"/>
        <v>37185</v>
      </c>
      <c r="Y313" s="150"/>
      <c r="Z313" s="150"/>
    </row>
    <row r="314" spans="1:26" s="27" customFormat="1" ht="21" customHeight="1">
      <c r="A314" s="81"/>
      <c r="B314" s="98"/>
      <c r="C314" s="102">
        <v>4110</v>
      </c>
      <c r="D314" s="45" t="s">
        <v>208</v>
      </c>
      <c r="E314" s="96">
        <f>3771+86738+8141</f>
        <v>98650</v>
      </c>
      <c r="F314" s="96"/>
      <c r="G314" s="96"/>
      <c r="H314" s="96">
        <f t="shared" si="186"/>
        <v>98650</v>
      </c>
      <c r="I314" s="96"/>
      <c r="J314" s="96">
        <f t="shared" si="181"/>
        <v>98650</v>
      </c>
      <c r="K314" s="96">
        <v>279</v>
      </c>
      <c r="L314" s="96">
        <f t="shared" si="182"/>
        <v>98929</v>
      </c>
      <c r="M314" s="96">
        <v>0</v>
      </c>
      <c r="N314" s="96">
        <f t="shared" si="190"/>
        <v>98929</v>
      </c>
      <c r="O314" s="96">
        <v>0</v>
      </c>
      <c r="P314" s="96">
        <f t="shared" si="191"/>
        <v>98929</v>
      </c>
      <c r="Q314" s="96">
        <v>0</v>
      </c>
      <c r="R314" s="96">
        <f t="shared" si="192"/>
        <v>98929</v>
      </c>
      <c r="S314" s="96">
        <v>0</v>
      </c>
      <c r="T314" s="96">
        <f t="shared" si="193"/>
        <v>98929</v>
      </c>
      <c r="U314" s="96">
        <v>0</v>
      </c>
      <c r="V314" s="96">
        <f t="shared" si="194"/>
        <v>98929</v>
      </c>
      <c r="W314" s="96">
        <v>341</v>
      </c>
      <c r="X314" s="96">
        <f t="shared" si="195"/>
        <v>99270</v>
      </c>
      <c r="Y314" s="150"/>
      <c r="Z314" s="150"/>
    </row>
    <row r="315" spans="1:26" s="27" customFormat="1" ht="21" customHeight="1">
      <c r="A315" s="81"/>
      <c r="B315" s="98"/>
      <c r="C315" s="102">
        <v>4120</v>
      </c>
      <c r="D315" s="45" t="s">
        <v>209</v>
      </c>
      <c r="E315" s="96">
        <f>522+1125+11986</f>
        <v>13633</v>
      </c>
      <c r="F315" s="96"/>
      <c r="G315" s="96"/>
      <c r="H315" s="96">
        <f t="shared" si="186"/>
        <v>13633</v>
      </c>
      <c r="I315" s="96"/>
      <c r="J315" s="96">
        <f t="shared" si="181"/>
        <v>13633</v>
      </c>
      <c r="K315" s="96">
        <v>38</v>
      </c>
      <c r="L315" s="96">
        <f t="shared" si="182"/>
        <v>13671</v>
      </c>
      <c r="M315" s="96">
        <v>0</v>
      </c>
      <c r="N315" s="96">
        <f t="shared" si="190"/>
        <v>13671</v>
      </c>
      <c r="O315" s="96">
        <v>0</v>
      </c>
      <c r="P315" s="96">
        <f t="shared" si="191"/>
        <v>13671</v>
      </c>
      <c r="Q315" s="96">
        <v>0</v>
      </c>
      <c r="R315" s="96">
        <f t="shared" si="192"/>
        <v>13671</v>
      </c>
      <c r="S315" s="96">
        <v>0</v>
      </c>
      <c r="T315" s="96">
        <f t="shared" si="193"/>
        <v>13671</v>
      </c>
      <c r="U315" s="96">
        <v>0</v>
      </c>
      <c r="V315" s="96">
        <f t="shared" si="194"/>
        <v>13671</v>
      </c>
      <c r="W315" s="96">
        <v>0</v>
      </c>
      <c r="X315" s="96">
        <f t="shared" si="195"/>
        <v>13671</v>
      </c>
      <c r="Y315" s="150"/>
      <c r="Z315" s="150"/>
    </row>
    <row r="316" spans="1:26" s="27" customFormat="1" ht="21" customHeight="1">
      <c r="A316" s="81"/>
      <c r="B316" s="98"/>
      <c r="C316" s="102">
        <v>4170</v>
      </c>
      <c r="D316" s="45" t="s">
        <v>339</v>
      </c>
      <c r="E316" s="96">
        <f>13200+9240</f>
        <v>22440</v>
      </c>
      <c r="F316" s="96"/>
      <c r="G316" s="96"/>
      <c r="H316" s="96">
        <f t="shared" si="186"/>
        <v>22440</v>
      </c>
      <c r="I316" s="96"/>
      <c r="J316" s="96">
        <f t="shared" si="181"/>
        <v>22440</v>
      </c>
      <c r="K316" s="96">
        <v>0</v>
      </c>
      <c r="L316" s="96">
        <f t="shared" si="182"/>
        <v>22440</v>
      </c>
      <c r="M316" s="96">
        <v>0</v>
      </c>
      <c r="N316" s="96">
        <f t="shared" si="190"/>
        <v>22440</v>
      </c>
      <c r="O316" s="96">
        <v>0</v>
      </c>
      <c r="P316" s="96">
        <f t="shared" si="191"/>
        <v>22440</v>
      </c>
      <c r="Q316" s="96">
        <v>0</v>
      </c>
      <c r="R316" s="96">
        <f t="shared" si="192"/>
        <v>22440</v>
      </c>
      <c r="S316" s="96">
        <v>0</v>
      </c>
      <c r="T316" s="96">
        <f t="shared" si="193"/>
        <v>22440</v>
      </c>
      <c r="U316" s="96">
        <v>0</v>
      </c>
      <c r="V316" s="96">
        <f t="shared" si="194"/>
        <v>22440</v>
      </c>
      <c r="W316" s="96">
        <v>0</v>
      </c>
      <c r="X316" s="96">
        <f t="shared" si="195"/>
        <v>22440</v>
      </c>
      <c r="Y316" s="150"/>
      <c r="Z316" s="150"/>
    </row>
    <row r="317" spans="1:24" s="27" customFormat="1" ht="21" customHeight="1">
      <c r="A317" s="81"/>
      <c r="B317" s="98"/>
      <c r="C317" s="102">
        <v>4210</v>
      </c>
      <c r="D317" s="45" t="s">
        <v>214</v>
      </c>
      <c r="E317" s="96">
        <f>9300+5600+20500</f>
        <v>35400</v>
      </c>
      <c r="F317" s="96"/>
      <c r="G317" s="96"/>
      <c r="H317" s="96">
        <f t="shared" si="186"/>
        <v>35400</v>
      </c>
      <c r="I317" s="96"/>
      <c r="J317" s="96">
        <f t="shared" si="181"/>
        <v>35400</v>
      </c>
      <c r="K317" s="96">
        <v>0</v>
      </c>
      <c r="L317" s="96">
        <f t="shared" si="182"/>
        <v>35400</v>
      </c>
      <c r="M317" s="96">
        <v>0</v>
      </c>
      <c r="N317" s="96">
        <f t="shared" si="190"/>
        <v>35400</v>
      </c>
      <c r="O317" s="96">
        <v>0</v>
      </c>
      <c r="P317" s="96">
        <f t="shared" si="191"/>
        <v>35400</v>
      </c>
      <c r="Q317" s="96">
        <v>0</v>
      </c>
      <c r="R317" s="96">
        <f t="shared" si="192"/>
        <v>35400</v>
      </c>
      <c r="S317" s="96">
        <v>0</v>
      </c>
      <c r="T317" s="96">
        <f t="shared" si="193"/>
        <v>35400</v>
      </c>
      <c r="U317" s="96">
        <v>0</v>
      </c>
      <c r="V317" s="96">
        <f t="shared" si="194"/>
        <v>35400</v>
      </c>
      <c r="W317" s="96">
        <v>0</v>
      </c>
      <c r="X317" s="96">
        <f t="shared" si="195"/>
        <v>35400</v>
      </c>
    </row>
    <row r="318" spans="1:24" s="27" customFormat="1" ht="21" customHeight="1">
      <c r="A318" s="81"/>
      <c r="B318" s="98"/>
      <c r="C318" s="102">
        <v>4220</v>
      </c>
      <c r="D318" s="45" t="s">
        <v>320</v>
      </c>
      <c r="E318" s="96">
        <v>85000</v>
      </c>
      <c r="F318" s="96"/>
      <c r="G318" s="96"/>
      <c r="H318" s="96">
        <f t="shared" si="186"/>
        <v>85000</v>
      </c>
      <c r="I318" s="96"/>
      <c r="J318" s="96">
        <f t="shared" si="181"/>
        <v>85000</v>
      </c>
      <c r="K318" s="96">
        <v>0</v>
      </c>
      <c r="L318" s="96">
        <f t="shared" si="182"/>
        <v>85000</v>
      </c>
      <c r="M318" s="96">
        <v>0</v>
      </c>
      <c r="N318" s="96">
        <f t="shared" si="190"/>
        <v>85000</v>
      </c>
      <c r="O318" s="96">
        <v>0</v>
      </c>
      <c r="P318" s="96">
        <f t="shared" si="191"/>
        <v>85000</v>
      </c>
      <c r="Q318" s="96">
        <v>0</v>
      </c>
      <c r="R318" s="96">
        <f t="shared" si="192"/>
        <v>85000</v>
      </c>
      <c r="S318" s="96">
        <v>0</v>
      </c>
      <c r="T318" s="96">
        <f t="shared" si="193"/>
        <v>85000</v>
      </c>
      <c r="U318" s="96">
        <v>0</v>
      </c>
      <c r="V318" s="96">
        <f t="shared" si="194"/>
        <v>85000</v>
      </c>
      <c r="W318" s="96">
        <v>47000</v>
      </c>
      <c r="X318" s="96">
        <f t="shared" si="195"/>
        <v>132000</v>
      </c>
    </row>
    <row r="319" spans="1:24" s="27" customFormat="1" ht="21" customHeight="1">
      <c r="A319" s="81"/>
      <c r="B319" s="98"/>
      <c r="C319" s="102">
        <v>4230</v>
      </c>
      <c r="D319" s="45" t="s">
        <v>626</v>
      </c>
      <c r="E319" s="96">
        <v>200</v>
      </c>
      <c r="F319" s="96"/>
      <c r="G319" s="96"/>
      <c r="H319" s="96">
        <f t="shared" si="186"/>
        <v>200</v>
      </c>
      <c r="I319" s="96"/>
      <c r="J319" s="96">
        <f t="shared" si="181"/>
        <v>200</v>
      </c>
      <c r="K319" s="96">
        <v>0</v>
      </c>
      <c r="L319" s="96">
        <f t="shared" si="182"/>
        <v>200</v>
      </c>
      <c r="M319" s="96">
        <v>0</v>
      </c>
      <c r="N319" s="96">
        <f t="shared" si="190"/>
        <v>200</v>
      </c>
      <c r="O319" s="96">
        <v>0</v>
      </c>
      <c r="P319" s="96">
        <f t="shared" si="191"/>
        <v>200</v>
      </c>
      <c r="Q319" s="96">
        <v>0</v>
      </c>
      <c r="R319" s="96">
        <f t="shared" si="192"/>
        <v>200</v>
      </c>
      <c r="S319" s="96">
        <v>0</v>
      </c>
      <c r="T319" s="96">
        <f t="shared" si="193"/>
        <v>200</v>
      </c>
      <c r="U319" s="96">
        <v>0</v>
      </c>
      <c r="V319" s="96">
        <f t="shared" si="194"/>
        <v>200</v>
      </c>
      <c r="W319" s="96">
        <v>0</v>
      </c>
      <c r="X319" s="96">
        <f t="shared" si="195"/>
        <v>200</v>
      </c>
    </row>
    <row r="320" spans="1:24" s="27" customFormat="1" ht="21" customHeight="1">
      <c r="A320" s="81"/>
      <c r="B320" s="98"/>
      <c r="C320" s="102">
        <v>4260</v>
      </c>
      <c r="D320" s="45" t="s">
        <v>217</v>
      </c>
      <c r="E320" s="96">
        <f>4000+5200</f>
        <v>9200</v>
      </c>
      <c r="F320" s="96"/>
      <c r="G320" s="96"/>
      <c r="H320" s="96">
        <f t="shared" si="186"/>
        <v>9200</v>
      </c>
      <c r="I320" s="96"/>
      <c r="J320" s="96">
        <f t="shared" si="181"/>
        <v>9200</v>
      </c>
      <c r="K320" s="96">
        <v>0</v>
      </c>
      <c r="L320" s="96">
        <f t="shared" si="182"/>
        <v>9200</v>
      </c>
      <c r="M320" s="96">
        <v>0</v>
      </c>
      <c r="N320" s="96">
        <f t="shared" si="190"/>
        <v>9200</v>
      </c>
      <c r="O320" s="96">
        <v>0</v>
      </c>
      <c r="P320" s="96">
        <f t="shared" si="191"/>
        <v>9200</v>
      </c>
      <c r="Q320" s="96">
        <v>0</v>
      </c>
      <c r="R320" s="96">
        <f t="shared" si="192"/>
        <v>9200</v>
      </c>
      <c r="S320" s="96">
        <v>0</v>
      </c>
      <c r="T320" s="96">
        <f t="shared" si="193"/>
        <v>9200</v>
      </c>
      <c r="U320" s="96">
        <v>0</v>
      </c>
      <c r="V320" s="96">
        <f t="shared" si="194"/>
        <v>9200</v>
      </c>
      <c r="W320" s="96">
        <v>0</v>
      </c>
      <c r="X320" s="96">
        <f t="shared" si="195"/>
        <v>9200</v>
      </c>
    </row>
    <row r="321" spans="1:24" s="27" customFormat="1" ht="21" customHeight="1">
      <c r="A321" s="81"/>
      <c r="B321" s="98"/>
      <c r="C321" s="102">
        <v>4270</v>
      </c>
      <c r="D321" s="45" t="s">
        <v>200</v>
      </c>
      <c r="E321" s="96">
        <v>3244</v>
      </c>
      <c r="F321" s="96"/>
      <c r="G321" s="96"/>
      <c r="H321" s="96">
        <f t="shared" si="186"/>
        <v>3244</v>
      </c>
      <c r="I321" s="96"/>
      <c r="J321" s="96">
        <f t="shared" si="181"/>
        <v>3244</v>
      </c>
      <c r="K321" s="96">
        <v>0</v>
      </c>
      <c r="L321" s="96">
        <f t="shared" si="182"/>
        <v>3244</v>
      </c>
      <c r="M321" s="96">
        <v>0</v>
      </c>
      <c r="N321" s="96">
        <f t="shared" si="190"/>
        <v>3244</v>
      </c>
      <c r="O321" s="96">
        <v>0</v>
      </c>
      <c r="P321" s="96">
        <f t="shared" si="191"/>
        <v>3244</v>
      </c>
      <c r="Q321" s="96">
        <v>0</v>
      </c>
      <c r="R321" s="96">
        <f t="shared" si="192"/>
        <v>3244</v>
      </c>
      <c r="S321" s="96">
        <v>0</v>
      </c>
      <c r="T321" s="96">
        <f t="shared" si="193"/>
        <v>3244</v>
      </c>
      <c r="U321" s="96">
        <v>0</v>
      </c>
      <c r="V321" s="96">
        <f t="shared" si="194"/>
        <v>3244</v>
      </c>
      <c r="W321" s="96">
        <v>0</v>
      </c>
      <c r="X321" s="96">
        <f t="shared" si="195"/>
        <v>3244</v>
      </c>
    </row>
    <row r="322" spans="1:24" s="27" customFormat="1" ht="21" customHeight="1">
      <c r="A322" s="81"/>
      <c r="B322" s="98"/>
      <c r="C322" s="102">
        <v>4280</v>
      </c>
      <c r="D322" s="45" t="s">
        <v>353</v>
      </c>
      <c r="E322" s="96">
        <f>150+350+300</f>
        <v>800</v>
      </c>
      <c r="F322" s="96"/>
      <c r="G322" s="96"/>
      <c r="H322" s="96">
        <f t="shared" si="186"/>
        <v>800</v>
      </c>
      <c r="I322" s="96"/>
      <c r="J322" s="96">
        <f t="shared" si="181"/>
        <v>800</v>
      </c>
      <c r="K322" s="96">
        <v>0</v>
      </c>
      <c r="L322" s="96">
        <f t="shared" si="182"/>
        <v>800</v>
      </c>
      <c r="M322" s="96">
        <v>0</v>
      </c>
      <c r="N322" s="96">
        <f t="shared" si="190"/>
        <v>800</v>
      </c>
      <c r="O322" s="96">
        <v>0</v>
      </c>
      <c r="P322" s="96">
        <f t="shared" si="191"/>
        <v>800</v>
      </c>
      <c r="Q322" s="96">
        <v>300</v>
      </c>
      <c r="R322" s="96">
        <f t="shared" si="192"/>
        <v>1100</v>
      </c>
      <c r="S322" s="96">
        <v>0</v>
      </c>
      <c r="T322" s="96">
        <f t="shared" si="193"/>
        <v>1100</v>
      </c>
      <c r="U322" s="96">
        <v>0</v>
      </c>
      <c r="V322" s="96">
        <f t="shared" si="194"/>
        <v>1100</v>
      </c>
      <c r="W322" s="96">
        <v>0</v>
      </c>
      <c r="X322" s="96">
        <f t="shared" si="195"/>
        <v>1100</v>
      </c>
    </row>
    <row r="323" spans="1:24" s="27" customFormat="1" ht="21" customHeight="1">
      <c r="A323" s="81"/>
      <c r="B323" s="98"/>
      <c r="C323" s="102">
        <v>4300</v>
      </c>
      <c r="D323" s="45" t="s">
        <v>201</v>
      </c>
      <c r="E323" s="96">
        <f>46605+23261+4400</f>
        <v>74266</v>
      </c>
      <c r="F323" s="96"/>
      <c r="G323" s="96"/>
      <c r="H323" s="96">
        <f t="shared" si="186"/>
        <v>74266</v>
      </c>
      <c r="I323" s="96"/>
      <c r="J323" s="96">
        <f t="shared" si="181"/>
        <v>74266</v>
      </c>
      <c r="K323" s="96">
        <f>-4978-300+3000</f>
        <v>-2278</v>
      </c>
      <c r="L323" s="96">
        <f t="shared" si="182"/>
        <v>71988</v>
      </c>
      <c r="M323" s="96">
        <v>0</v>
      </c>
      <c r="N323" s="96">
        <f t="shared" si="190"/>
        <v>71988</v>
      </c>
      <c r="O323" s="96">
        <v>0</v>
      </c>
      <c r="P323" s="96">
        <f t="shared" si="191"/>
        <v>71988</v>
      </c>
      <c r="Q323" s="96">
        <v>-800</v>
      </c>
      <c r="R323" s="96">
        <f t="shared" si="192"/>
        <v>71188</v>
      </c>
      <c r="S323" s="96">
        <v>0</v>
      </c>
      <c r="T323" s="96">
        <f t="shared" si="193"/>
        <v>71188</v>
      </c>
      <c r="U323" s="96">
        <v>0</v>
      </c>
      <c r="V323" s="96">
        <f t="shared" si="194"/>
        <v>71188</v>
      </c>
      <c r="W323" s="96">
        <v>-862</v>
      </c>
      <c r="X323" s="96">
        <f t="shared" si="195"/>
        <v>70326</v>
      </c>
    </row>
    <row r="324" spans="1:24" s="27" customFormat="1" ht="21" customHeight="1">
      <c r="A324" s="81"/>
      <c r="B324" s="98"/>
      <c r="C324" s="102">
        <v>4350</v>
      </c>
      <c r="D324" s="45" t="s">
        <v>369</v>
      </c>
      <c r="E324" s="96">
        <f>665+627</f>
        <v>1292</v>
      </c>
      <c r="F324" s="96"/>
      <c r="G324" s="96"/>
      <c r="H324" s="96">
        <f t="shared" si="186"/>
        <v>1292</v>
      </c>
      <c r="I324" s="96"/>
      <c r="J324" s="96">
        <f t="shared" si="181"/>
        <v>1292</v>
      </c>
      <c r="K324" s="96">
        <v>-144</v>
      </c>
      <c r="L324" s="96">
        <f t="shared" si="182"/>
        <v>1148</v>
      </c>
      <c r="M324" s="96">
        <v>0</v>
      </c>
      <c r="N324" s="96">
        <f t="shared" si="190"/>
        <v>1148</v>
      </c>
      <c r="O324" s="96">
        <v>0</v>
      </c>
      <c r="P324" s="96">
        <f t="shared" si="191"/>
        <v>1148</v>
      </c>
      <c r="Q324" s="96">
        <v>0</v>
      </c>
      <c r="R324" s="96">
        <f t="shared" si="192"/>
        <v>1148</v>
      </c>
      <c r="S324" s="96">
        <v>0</v>
      </c>
      <c r="T324" s="96">
        <f t="shared" si="193"/>
        <v>1148</v>
      </c>
      <c r="U324" s="96">
        <v>0</v>
      </c>
      <c r="V324" s="96">
        <f t="shared" si="194"/>
        <v>1148</v>
      </c>
      <c r="W324" s="96">
        <v>0</v>
      </c>
      <c r="X324" s="96">
        <f t="shared" si="195"/>
        <v>1148</v>
      </c>
    </row>
    <row r="325" spans="1:24" s="27" customFormat="1" ht="24">
      <c r="A325" s="81"/>
      <c r="B325" s="98"/>
      <c r="C325" s="102">
        <v>4360</v>
      </c>
      <c r="D325" s="45" t="s">
        <v>414</v>
      </c>
      <c r="E325" s="96">
        <v>366</v>
      </c>
      <c r="F325" s="96"/>
      <c r="G325" s="96"/>
      <c r="H325" s="96">
        <f t="shared" si="186"/>
        <v>366</v>
      </c>
      <c r="I325" s="96"/>
      <c r="J325" s="96">
        <f t="shared" si="181"/>
        <v>366</v>
      </c>
      <c r="K325" s="96">
        <v>0</v>
      </c>
      <c r="L325" s="96">
        <f t="shared" si="182"/>
        <v>366</v>
      </c>
      <c r="M325" s="96">
        <v>0</v>
      </c>
      <c r="N325" s="96">
        <f t="shared" si="190"/>
        <v>366</v>
      </c>
      <c r="O325" s="96">
        <v>0</v>
      </c>
      <c r="P325" s="96">
        <f t="shared" si="191"/>
        <v>366</v>
      </c>
      <c r="Q325" s="96">
        <v>275</v>
      </c>
      <c r="R325" s="96">
        <f t="shared" si="192"/>
        <v>641</v>
      </c>
      <c r="S325" s="96">
        <v>0</v>
      </c>
      <c r="T325" s="96">
        <f t="shared" si="193"/>
        <v>641</v>
      </c>
      <c r="U325" s="96">
        <v>0</v>
      </c>
      <c r="V325" s="96">
        <f t="shared" si="194"/>
        <v>641</v>
      </c>
      <c r="W325" s="96">
        <v>0</v>
      </c>
      <c r="X325" s="96">
        <f t="shared" si="195"/>
        <v>641</v>
      </c>
    </row>
    <row r="326" spans="1:24" s="27" customFormat="1" ht="24">
      <c r="A326" s="81"/>
      <c r="B326" s="98"/>
      <c r="C326" s="102">
        <v>4370</v>
      </c>
      <c r="D326" s="45" t="s">
        <v>409</v>
      </c>
      <c r="E326" s="96">
        <f>2400+10200+360</f>
        <v>12960</v>
      </c>
      <c r="F326" s="96"/>
      <c r="G326" s="96"/>
      <c r="H326" s="96">
        <f t="shared" si="186"/>
        <v>12960</v>
      </c>
      <c r="I326" s="96"/>
      <c r="J326" s="96">
        <f t="shared" si="181"/>
        <v>12960</v>
      </c>
      <c r="K326" s="96">
        <v>444</v>
      </c>
      <c r="L326" s="96">
        <f t="shared" si="182"/>
        <v>13404</v>
      </c>
      <c r="M326" s="96">
        <v>0</v>
      </c>
      <c r="N326" s="96">
        <f t="shared" si="190"/>
        <v>13404</v>
      </c>
      <c r="O326" s="96">
        <v>0</v>
      </c>
      <c r="P326" s="96">
        <f t="shared" si="191"/>
        <v>13404</v>
      </c>
      <c r="Q326" s="96">
        <v>0</v>
      </c>
      <c r="R326" s="96">
        <f t="shared" si="192"/>
        <v>13404</v>
      </c>
      <c r="S326" s="96">
        <v>0</v>
      </c>
      <c r="T326" s="96">
        <f t="shared" si="193"/>
        <v>13404</v>
      </c>
      <c r="U326" s="96">
        <v>0</v>
      </c>
      <c r="V326" s="96">
        <f t="shared" si="194"/>
        <v>13404</v>
      </c>
      <c r="W326" s="96">
        <v>0</v>
      </c>
      <c r="X326" s="96">
        <f t="shared" si="195"/>
        <v>13404</v>
      </c>
    </row>
    <row r="327" spans="1:24" s="27" customFormat="1" ht="24">
      <c r="A327" s="81"/>
      <c r="B327" s="98"/>
      <c r="C327" s="102">
        <v>4400</v>
      </c>
      <c r="D327" s="45" t="s">
        <v>644</v>
      </c>
      <c r="E327" s="96">
        <f>1922+54307+11378</f>
        <v>67607</v>
      </c>
      <c r="F327" s="96"/>
      <c r="G327" s="96"/>
      <c r="H327" s="96">
        <f t="shared" si="186"/>
        <v>67607</v>
      </c>
      <c r="I327" s="96"/>
      <c r="J327" s="96">
        <f t="shared" si="181"/>
        <v>67607</v>
      </c>
      <c r="K327" s="96">
        <v>0</v>
      </c>
      <c r="L327" s="96">
        <f t="shared" si="182"/>
        <v>67607</v>
      </c>
      <c r="M327" s="96">
        <v>0</v>
      </c>
      <c r="N327" s="96">
        <f t="shared" si="190"/>
        <v>67607</v>
      </c>
      <c r="O327" s="96">
        <v>0</v>
      </c>
      <c r="P327" s="96">
        <f t="shared" si="191"/>
        <v>67607</v>
      </c>
      <c r="Q327" s="96">
        <v>0</v>
      </c>
      <c r="R327" s="96">
        <f t="shared" si="192"/>
        <v>67607</v>
      </c>
      <c r="S327" s="96">
        <v>0</v>
      </c>
      <c r="T327" s="96">
        <f t="shared" si="193"/>
        <v>67607</v>
      </c>
      <c r="U327" s="96">
        <v>0</v>
      </c>
      <c r="V327" s="96">
        <f t="shared" si="194"/>
        <v>67607</v>
      </c>
      <c r="W327" s="96">
        <v>0</v>
      </c>
      <c r="X327" s="96">
        <f t="shared" si="195"/>
        <v>67607</v>
      </c>
    </row>
    <row r="328" spans="1:24" s="27" customFormat="1" ht="21" customHeight="1">
      <c r="A328" s="81"/>
      <c r="B328" s="98"/>
      <c r="C328" s="102">
        <v>4410</v>
      </c>
      <c r="D328" s="45" t="s">
        <v>212</v>
      </c>
      <c r="E328" s="96">
        <f>500+10260</f>
        <v>10760</v>
      </c>
      <c r="F328" s="96"/>
      <c r="G328" s="96"/>
      <c r="H328" s="96">
        <f t="shared" si="186"/>
        <v>10760</v>
      </c>
      <c r="I328" s="96"/>
      <c r="J328" s="96">
        <f t="shared" si="181"/>
        <v>10760</v>
      </c>
      <c r="K328" s="96">
        <v>0</v>
      </c>
      <c r="L328" s="96">
        <f t="shared" si="182"/>
        <v>10760</v>
      </c>
      <c r="M328" s="96">
        <v>0</v>
      </c>
      <c r="N328" s="96">
        <f t="shared" si="190"/>
        <v>10760</v>
      </c>
      <c r="O328" s="96">
        <v>0</v>
      </c>
      <c r="P328" s="96">
        <f t="shared" si="191"/>
        <v>10760</v>
      </c>
      <c r="Q328" s="96">
        <v>300</v>
      </c>
      <c r="R328" s="96">
        <f t="shared" si="192"/>
        <v>11060</v>
      </c>
      <c r="S328" s="96">
        <v>0</v>
      </c>
      <c r="T328" s="96">
        <f t="shared" si="193"/>
        <v>11060</v>
      </c>
      <c r="U328" s="96">
        <v>0</v>
      </c>
      <c r="V328" s="96">
        <f t="shared" si="194"/>
        <v>11060</v>
      </c>
      <c r="W328" s="96">
        <v>0</v>
      </c>
      <c r="X328" s="96">
        <f t="shared" si="195"/>
        <v>11060</v>
      </c>
    </row>
    <row r="329" spans="1:24" s="27" customFormat="1" ht="21" customHeight="1">
      <c r="A329" s="81"/>
      <c r="B329" s="98"/>
      <c r="C329" s="102">
        <v>4430</v>
      </c>
      <c r="D329" s="45" t="s">
        <v>216</v>
      </c>
      <c r="E329" s="96">
        <v>600</v>
      </c>
      <c r="F329" s="96"/>
      <c r="G329" s="96"/>
      <c r="H329" s="96">
        <f t="shared" si="186"/>
        <v>600</v>
      </c>
      <c r="I329" s="96"/>
      <c r="J329" s="96">
        <f t="shared" si="181"/>
        <v>600</v>
      </c>
      <c r="K329" s="96">
        <v>0</v>
      </c>
      <c r="L329" s="96">
        <f t="shared" si="182"/>
        <v>600</v>
      </c>
      <c r="M329" s="96">
        <v>0</v>
      </c>
      <c r="N329" s="96">
        <f t="shared" si="190"/>
        <v>600</v>
      </c>
      <c r="O329" s="96">
        <v>0</v>
      </c>
      <c r="P329" s="96">
        <f t="shared" si="191"/>
        <v>600</v>
      </c>
      <c r="Q329" s="96">
        <v>0</v>
      </c>
      <c r="R329" s="96">
        <f t="shared" si="192"/>
        <v>600</v>
      </c>
      <c r="S329" s="96">
        <v>0</v>
      </c>
      <c r="T329" s="96">
        <f t="shared" si="193"/>
        <v>600</v>
      </c>
      <c r="U329" s="96">
        <v>0</v>
      </c>
      <c r="V329" s="96">
        <f t="shared" si="194"/>
        <v>600</v>
      </c>
      <c r="W329" s="96">
        <v>0</v>
      </c>
      <c r="X329" s="96">
        <f t="shared" si="195"/>
        <v>600</v>
      </c>
    </row>
    <row r="330" spans="1:24" s="27" customFormat="1" ht="21" customHeight="1">
      <c r="A330" s="81"/>
      <c r="B330" s="98"/>
      <c r="C330" s="102">
        <v>4440</v>
      </c>
      <c r="D330" s="45" t="s">
        <v>210</v>
      </c>
      <c r="E330" s="96">
        <f>776+2327+14690</f>
        <v>17793</v>
      </c>
      <c r="F330" s="96"/>
      <c r="G330" s="96"/>
      <c r="H330" s="96">
        <f t="shared" si="186"/>
        <v>17793</v>
      </c>
      <c r="I330" s="96"/>
      <c r="J330" s="96">
        <f t="shared" si="181"/>
        <v>17793</v>
      </c>
      <c r="K330" s="96">
        <v>0</v>
      </c>
      <c r="L330" s="96">
        <f t="shared" si="182"/>
        <v>17793</v>
      </c>
      <c r="M330" s="96">
        <v>0</v>
      </c>
      <c r="N330" s="96">
        <f t="shared" si="190"/>
        <v>17793</v>
      </c>
      <c r="O330" s="96">
        <v>0</v>
      </c>
      <c r="P330" s="96">
        <f t="shared" si="191"/>
        <v>17793</v>
      </c>
      <c r="Q330" s="96">
        <v>0</v>
      </c>
      <c r="R330" s="96">
        <f t="shared" si="192"/>
        <v>17793</v>
      </c>
      <c r="S330" s="96">
        <v>0</v>
      </c>
      <c r="T330" s="96">
        <f t="shared" si="193"/>
        <v>17793</v>
      </c>
      <c r="U330" s="96">
        <v>0</v>
      </c>
      <c r="V330" s="96">
        <f t="shared" si="194"/>
        <v>17793</v>
      </c>
      <c r="W330" s="96">
        <v>0</v>
      </c>
      <c r="X330" s="96">
        <f t="shared" si="195"/>
        <v>17793</v>
      </c>
    </row>
    <row r="331" spans="1:24" s="27" customFormat="1" ht="24" customHeight="1">
      <c r="A331" s="81"/>
      <c r="B331" s="98"/>
      <c r="C331" s="102">
        <v>4700</v>
      </c>
      <c r="D331" s="45" t="s">
        <v>412</v>
      </c>
      <c r="E331" s="96">
        <v>3500</v>
      </c>
      <c r="F331" s="96"/>
      <c r="G331" s="96"/>
      <c r="H331" s="96">
        <f t="shared" si="186"/>
        <v>3500</v>
      </c>
      <c r="I331" s="96"/>
      <c r="J331" s="96">
        <f t="shared" si="181"/>
        <v>3500</v>
      </c>
      <c r="K331" s="96">
        <v>0</v>
      </c>
      <c r="L331" s="96">
        <f t="shared" si="182"/>
        <v>3500</v>
      </c>
      <c r="M331" s="96">
        <v>0</v>
      </c>
      <c r="N331" s="96">
        <f t="shared" si="190"/>
        <v>3500</v>
      </c>
      <c r="O331" s="96">
        <v>0</v>
      </c>
      <c r="P331" s="96">
        <f t="shared" si="191"/>
        <v>3500</v>
      </c>
      <c r="Q331" s="96">
        <f>500-1575</f>
        <v>-1075</v>
      </c>
      <c r="R331" s="96">
        <f t="shared" si="192"/>
        <v>2425</v>
      </c>
      <c r="S331" s="96">
        <v>0</v>
      </c>
      <c r="T331" s="96">
        <f t="shared" si="193"/>
        <v>2425</v>
      </c>
      <c r="U331" s="96">
        <v>0</v>
      </c>
      <c r="V331" s="96">
        <f t="shared" si="194"/>
        <v>2425</v>
      </c>
      <c r="W331" s="96">
        <v>0</v>
      </c>
      <c r="X331" s="96">
        <f t="shared" si="195"/>
        <v>2425</v>
      </c>
    </row>
    <row r="332" spans="1:24" s="27" customFormat="1" ht="24">
      <c r="A332" s="81"/>
      <c r="B332" s="98"/>
      <c r="C332" s="102">
        <v>4740</v>
      </c>
      <c r="D332" s="45" t="s">
        <v>48</v>
      </c>
      <c r="E332" s="96">
        <f>200+1406</f>
        <v>1606</v>
      </c>
      <c r="F332" s="96"/>
      <c r="G332" s="96"/>
      <c r="H332" s="96">
        <f t="shared" si="186"/>
        <v>1606</v>
      </c>
      <c r="I332" s="96"/>
      <c r="J332" s="96">
        <f t="shared" si="181"/>
        <v>1606</v>
      </c>
      <c r="K332" s="96">
        <v>0</v>
      </c>
      <c r="L332" s="96">
        <f t="shared" si="182"/>
        <v>1606</v>
      </c>
      <c r="M332" s="96">
        <v>0</v>
      </c>
      <c r="N332" s="96">
        <f t="shared" si="190"/>
        <v>1606</v>
      </c>
      <c r="O332" s="96">
        <v>0</v>
      </c>
      <c r="P332" s="96">
        <f t="shared" si="191"/>
        <v>1606</v>
      </c>
      <c r="Q332" s="96">
        <v>0</v>
      </c>
      <c r="R332" s="96">
        <f t="shared" si="192"/>
        <v>1606</v>
      </c>
      <c r="S332" s="96">
        <v>0</v>
      </c>
      <c r="T332" s="96">
        <f t="shared" si="193"/>
        <v>1606</v>
      </c>
      <c r="U332" s="96">
        <v>0</v>
      </c>
      <c r="V332" s="96">
        <f t="shared" si="194"/>
        <v>1606</v>
      </c>
      <c r="W332" s="96">
        <v>0</v>
      </c>
      <c r="X332" s="96">
        <f t="shared" si="195"/>
        <v>1606</v>
      </c>
    </row>
    <row r="333" spans="1:24" s="27" customFormat="1" ht="24">
      <c r="A333" s="81"/>
      <c r="B333" s="98"/>
      <c r="C333" s="102">
        <v>4750</v>
      </c>
      <c r="D333" s="45" t="s">
        <v>413</v>
      </c>
      <c r="E333" s="96">
        <v>710</v>
      </c>
      <c r="F333" s="96"/>
      <c r="G333" s="96"/>
      <c r="H333" s="96">
        <f t="shared" si="186"/>
        <v>710</v>
      </c>
      <c r="I333" s="96"/>
      <c r="J333" s="96">
        <f t="shared" si="181"/>
        <v>710</v>
      </c>
      <c r="K333" s="96">
        <v>0</v>
      </c>
      <c r="L333" s="96">
        <f t="shared" si="182"/>
        <v>710</v>
      </c>
      <c r="M333" s="96">
        <v>0</v>
      </c>
      <c r="N333" s="96">
        <f t="shared" si="190"/>
        <v>710</v>
      </c>
      <c r="O333" s="96">
        <v>0</v>
      </c>
      <c r="P333" s="96">
        <f t="shared" si="191"/>
        <v>710</v>
      </c>
      <c r="Q333" s="96">
        <v>1000</v>
      </c>
      <c r="R333" s="96">
        <f t="shared" si="192"/>
        <v>1710</v>
      </c>
      <c r="S333" s="96">
        <v>0</v>
      </c>
      <c r="T333" s="96">
        <f t="shared" si="193"/>
        <v>1710</v>
      </c>
      <c r="U333" s="96">
        <v>0</v>
      </c>
      <c r="V333" s="96">
        <f t="shared" si="194"/>
        <v>1710</v>
      </c>
      <c r="W333" s="96">
        <v>0</v>
      </c>
      <c r="X333" s="96">
        <f t="shared" si="195"/>
        <v>1710</v>
      </c>
    </row>
    <row r="334" spans="1:24" s="27" customFormat="1" ht="21" customHeight="1">
      <c r="A334" s="81"/>
      <c r="B334" s="98"/>
      <c r="C334" s="102">
        <v>6060</v>
      </c>
      <c r="D334" s="45" t="s">
        <v>218</v>
      </c>
      <c r="E334" s="96">
        <f>9750+8800</f>
        <v>18550</v>
      </c>
      <c r="F334" s="96"/>
      <c r="G334" s="96"/>
      <c r="H334" s="96">
        <f t="shared" si="186"/>
        <v>18550</v>
      </c>
      <c r="I334" s="96"/>
      <c r="J334" s="96">
        <f t="shared" si="181"/>
        <v>18550</v>
      </c>
      <c r="K334" s="96">
        <v>0</v>
      </c>
      <c r="L334" s="96">
        <f t="shared" si="182"/>
        <v>18550</v>
      </c>
      <c r="M334" s="96">
        <v>0</v>
      </c>
      <c r="N334" s="96">
        <f t="shared" si="190"/>
        <v>18550</v>
      </c>
      <c r="O334" s="96">
        <v>0</v>
      </c>
      <c r="P334" s="96">
        <f t="shared" si="191"/>
        <v>18550</v>
      </c>
      <c r="Q334" s="96">
        <v>0</v>
      </c>
      <c r="R334" s="96">
        <f t="shared" si="192"/>
        <v>18550</v>
      </c>
      <c r="S334" s="96">
        <v>0</v>
      </c>
      <c r="T334" s="96">
        <f t="shared" si="193"/>
        <v>18550</v>
      </c>
      <c r="U334" s="96">
        <v>0</v>
      </c>
      <c r="V334" s="96">
        <f t="shared" si="194"/>
        <v>18550</v>
      </c>
      <c r="W334" s="96">
        <v>0</v>
      </c>
      <c r="X334" s="96">
        <f t="shared" si="195"/>
        <v>18550</v>
      </c>
    </row>
    <row r="335" spans="1:24" s="27" customFormat="1" ht="21.75" customHeight="1">
      <c r="A335" s="81"/>
      <c r="B335" s="98">
        <v>85228</v>
      </c>
      <c r="C335" s="102"/>
      <c r="D335" s="45" t="s">
        <v>245</v>
      </c>
      <c r="E335" s="96">
        <f>SUM(E336)</f>
        <v>140000</v>
      </c>
      <c r="F335" s="96">
        <f>SUM(F336)</f>
        <v>0</v>
      </c>
      <c r="G335" s="96">
        <f>SUM(G336)</f>
        <v>0</v>
      </c>
      <c r="H335" s="96">
        <f t="shared" si="186"/>
        <v>140000</v>
      </c>
      <c r="I335" s="96">
        <f aca="true" t="shared" si="196" ref="I335:X335">SUM(I336)</f>
        <v>0</v>
      </c>
      <c r="J335" s="96">
        <f t="shared" si="196"/>
        <v>140000</v>
      </c>
      <c r="K335" s="96">
        <f t="shared" si="196"/>
        <v>0</v>
      </c>
      <c r="L335" s="96">
        <f t="shared" si="196"/>
        <v>140000</v>
      </c>
      <c r="M335" s="96">
        <f t="shared" si="196"/>
        <v>0</v>
      </c>
      <c r="N335" s="96">
        <f t="shared" si="196"/>
        <v>140000</v>
      </c>
      <c r="O335" s="96">
        <f t="shared" si="196"/>
        <v>0</v>
      </c>
      <c r="P335" s="96">
        <f t="shared" si="196"/>
        <v>140000</v>
      </c>
      <c r="Q335" s="96">
        <f t="shared" si="196"/>
        <v>0</v>
      </c>
      <c r="R335" s="96">
        <f t="shared" si="196"/>
        <v>140000</v>
      </c>
      <c r="S335" s="96">
        <f t="shared" si="196"/>
        <v>0</v>
      </c>
      <c r="T335" s="96">
        <f t="shared" si="196"/>
        <v>140000</v>
      </c>
      <c r="U335" s="96">
        <f t="shared" si="196"/>
        <v>0</v>
      </c>
      <c r="V335" s="96">
        <f t="shared" si="196"/>
        <v>140000</v>
      </c>
      <c r="W335" s="96">
        <f t="shared" si="196"/>
        <v>0</v>
      </c>
      <c r="X335" s="96">
        <f t="shared" si="196"/>
        <v>140000</v>
      </c>
    </row>
    <row r="336" spans="1:24" s="27" customFormat="1" ht="21" customHeight="1">
      <c r="A336" s="81"/>
      <c r="B336" s="98"/>
      <c r="C336" s="102">
        <v>4300</v>
      </c>
      <c r="D336" s="45" t="s">
        <v>201</v>
      </c>
      <c r="E336" s="96">
        <v>140000</v>
      </c>
      <c r="F336" s="96"/>
      <c r="G336" s="96"/>
      <c r="H336" s="96">
        <f t="shared" si="186"/>
        <v>140000</v>
      </c>
      <c r="I336" s="96"/>
      <c r="J336" s="96">
        <f t="shared" si="181"/>
        <v>140000</v>
      </c>
      <c r="K336" s="96">
        <v>0</v>
      </c>
      <c r="L336" s="96">
        <f t="shared" si="182"/>
        <v>140000</v>
      </c>
      <c r="M336" s="96">
        <v>0</v>
      </c>
      <c r="N336" s="96">
        <f>SUM(L336:M336)</f>
        <v>140000</v>
      </c>
      <c r="O336" s="96">
        <v>0</v>
      </c>
      <c r="P336" s="96">
        <f>SUM(N336:O336)</f>
        <v>140000</v>
      </c>
      <c r="Q336" s="96">
        <v>0</v>
      </c>
      <c r="R336" s="96">
        <f>SUM(P336:Q336)</f>
        <v>140000</v>
      </c>
      <c r="S336" s="96">
        <v>0</v>
      </c>
      <c r="T336" s="96">
        <f>SUM(R336:S336)</f>
        <v>140000</v>
      </c>
      <c r="U336" s="96">
        <v>0</v>
      </c>
      <c r="V336" s="96">
        <f>SUM(T336:U336)</f>
        <v>140000</v>
      </c>
      <c r="W336" s="96">
        <v>0</v>
      </c>
      <c r="X336" s="96">
        <f>SUM(V336:W336)</f>
        <v>140000</v>
      </c>
    </row>
    <row r="337" spans="1:24" s="27" customFormat="1" ht="21.75" customHeight="1">
      <c r="A337" s="81"/>
      <c r="B337" s="98" t="s">
        <v>293</v>
      </c>
      <c r="C337" s="102"/>
      <c r="D337" s="45" t="s">
        <v>118</v>
      </c>
      <c r="E337" s="96">
        <f>SUM(E338:E340)</f>
        <v>333720</v>
      </c>
      <c r="F337" s="96">
        <f>SUM(F338:F340)</f>
        <v>0</v>
      </c>
      <c r="G337" s="96">
        <f>SUM(G338:G340)</f>
        <v>0</v>
      </c>
      <c r="H337" s="96">
        <f t="shared" si="186"/>
        <v>333720</v>
      </c>
      <c r="I337" s="96">
        <f aca="true" t="shared" si="197" ref="I337:N337">SUM(I338:I340)</f>
        <v>0</v>
      </c>
      <c r="J337" s="96">
        <f t="shared" si="197"/>
        <v>333720</v>
      </c>
      <c r="K337" s="96">
        <f t="shared" si="197"/>
        <v>0</v>
      </c>
      <c r="L337" s="96">
        <f t="shared" si="197"/>
        <v>333720</v>
      </c>
      <c r="M337" s="96">
        <f t="shared" si="197"/>
        <v>234778</v>
      </c>
      <c r="N337" s="96">
        <f t="shared" si="197"/>
        <v>568498</v>
      </c>
      <c r="O337" s="96">
        <f aca="true" t="shared" si="198" ref="O337:T337">SUM(O338:O340)</f>
        <v>10000</v>
      </c>
      <c r="P337" s="96">
        <f t="shared" si="198"/>
        <v>578498</v>
      </c>
      <c r="Q337" s="96">
        <f t="shared" si="198"/>
        <v>0</v>
      </c>
      <c r="R337" s="96">
        <f t="shared" si="198"/>
        <v>578498</v>
      </c>
      <c r="S337" s="96">
        <f t="shared" si="198"/>
        <v>0</v>
      </c>
      <c r="T337" s="96">
        <f t="shared" si="198"/>
        <v>578498</v>
      </c>
      <c r="U337" s="96">
        <f>SUM(U338:U340)</f>
        <v>160521</v>
      </c>
      <c r="V337" s="96">
        <f>SUM(V338:V341)</f>
        <v>739019</v>
      </c>
      <c r="W337" s="96">
        <f>SUM(W338:W341)</f>
        <v>37492</v>
      </c>
      <c r="X337" s="96">
        <f>SUM(X338:X341)</f>
        <v>776511</v>
      </c>
    </row>
    <row r="338" spans="1:24" s="27" customFormat="1" ht="21" customHeight="1">
      <c r="A338" s="81"/>
      <c r="B338" s="98"/>
      <c r="C338" s="102">
        <v>3110</v>
      </c>
      <c r="D338" s="45" t="s">
        <v>236</v>
      </c>
      <c r="E338" s="96">
        <v>328200</v>
      </c>
      <c r="F338" s="96"/>
      <c r="G338" s="96"/>
      <c r="H338" s="96">
        <f t="shared" si="186"/>
        <v>328200</v>
      </c>
      <c r="I338" s="96"/>
      <c r="J338" s="96">
        <f t="shared" si="181"/>
        <v>328200</v>
      </c>
      <c r="K338" s="96">
        <v>0</v>
      </c>
      <c r="L338" s="96">
        <f t="shared" si="182"/>
        <v>328200</v>
      </c>
      <c r="M338" s="96">
        <v>234778</v>
      </c>
      <c r="N338" s="96">
        <f>SUM(L338:M338)</f>
        <v>562978</v>
      </c>
      <c r="O338" s="96">
        <v>10000</v>
      </c>
      <c r="P338" s="96">
        <f>SUM(N338:O338)</f>
        <v>572978</v>
      </c>
      <c r="Q338" s="96"/>
      <c r="R338" s="96">
        <f>SUM(P338:Q338)</f>
        <v>572978</v>
      </c>
      <c r="S338" s="96">
        <v>0</v>
      </c>
      <c r="T338" s="96">
        <f>SUM(R338:S338)</f>
        <v>572978</v>
      </c>
      <c r="U338" s="96">
        <v>160521</v>
      </c>
      <c r="V338" s="96">
        <f>SUM(T338:U338)</f>
        <v>733499</v>
      </c>
      <c r="W338" s="96">
        <v>0</v>
      </c>
      <c r="X338" s="96">
        <f>SUM(V338:W338)</f>
        <v>733499</v>
      </c>
    </row>
    <row r="339" spans="1:24" s="27" customFormat="1" ht="36">
      <c r="A339" s="81"/>
      <c r="B339" s="98"/>
      <c r="C339" s="102">
        <v>2910</v>
      </c>
      <c r="D339" s="45" t="s">
        <v>40</v>
      </c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>
        <v>0</v>
      </c>
      <c r="W339" s="96">
        <v>35849</v>
      </c>
      <c r="X339" s="96">
        <f>SUM(V339:W339)</f>
        <v>35849</v>
      </c>
    </row>
    <row r="340" spans="1:24" s="27" customFormat="1" ht="21" customHeight="1">
      <c r="A340" s="81"/>
      <c r="B340" s="98"/>
      <c r="C340" s="102">
        <v>4430</v>
      </c>
      <c r="D340" s="45" t="s">
        <v>216</v>
      </c>
      <c r="E340" s="96">
        <v>5520</v>
      </c>
      <c r="F340" s="96"/>
      <c r="G340" s="96"/>
      <c r="H340" s="96">
        <f t="shared" si="186"/>
        <v>5520</v>
      </c>
      <c r="I340" s="96"/>
      <c r="J340" s="96">
        <f t="shared" si="181"/>
        <v>5520</v>
      </c>
      <c r="K340" s="96">
        <v>0</v>
      </c>
      <c r="L340" s="96">
        <f t="shared" si="182"/>
        <v>5520</v>
      </c>
      <c r="M340" s="96">
        <v>0</v>
      </c>
      <c r="N340" s="96">
        <f>SUM(L340:M340)</f>
        <v>5520</v>
      </c>
      <c r="O340" s="96">
        <v>0</v>
      </c>
      <c r="P340" s="96">
        <f>SUM(N340:O340)</f>
        <v>5520</v>
      </c>
      <c r="Q340" s="96">
        <v>0</v>
      </c>
      <c r="R340" s="96">
        <f>SUM(P340:Q340)</f>
        <v>5520</v>
      </c>
      <c r="S340" s="96">
        <v>0</v>
      </c>
      <c r="T340" s="96">
        <f>SUM(R340:S340)</f>
        <v>5520</v>
      </c>
      <c r="U340" s="96">
        <v>0</v>
      </c>
      <c r="V340" s="96">
        <f>SUM(T340:U340)</f>
        <v>5520</v>
      </c>
      <c r="W340" s="96">
        <v>0</v>
      </c>
      <c r="X340" s="96">
        <f>SUM(V340:W340)</f>
        <v>5520</v>
      </c>
    </row>
    <row r="341" spans="1:24" s="27" customFormat="1" ht="36">
      <c r="A341" s="81"/>
      <c r="B341" s="98"/>
      <c r="C341" s="102">
        <v>4560</v>
      </c>
      <c r="D341" s="45" t="s">
        <v>39</v>
      </c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>
        <v>0</v>
      </c>
      <c r="W341" s="96">
        <v>1643</v>
      </c>
      <c r="X341" s="96">
        <f>SUM(V341:W341)</f>
        <v>1643</v>
      </c>
    </row>
    <row r="342" spans="1:24" s="48" customFormat="1" ht="26.25" customHeight="1">
      <c r="A342" s="40">
        <v>853</v>
      </c>
      <c r="B342" s="75"/>
      <c r="C342" s="42"/>
      <c r="D342" s="43" t="s">
        <v>707</v>
      </c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>
        <f aca="true" t="shared" si="199" ref="P342:X343">SUM(P343)</f>
        <v>0</v>
      </c>
      <c r="Q342" s="44">
        <f t="shared" si="199"/>
        <v>5352</v>
      </c>
      <c r="R342" s="44">
        <f t="shared" si="199"/>
        <v>5352</v>
      </c>
      <c r="S342" s="44">
        <f t="shared" si="199"/>
        <v>0</v>
      </c>
      <c r="T342" s="44">
        <f t="shared" si="199"/>
        <v>5352</v>
      </c>
      <c r="U342" s="44">
        <f t="shared" si="199"/>
        <v>0</v>
      </c>
      <c r="V342" s="44">
        <f t="shared" si="199"/>
        <v>5352</v>
      </c>
      <c r="W342" s="44">
        <f t="shared" si="199"/>
        <v>0</v>
      </c>
      <c r="X342" s="44">
        <f t="shared" si="199"/>
        <v>5352</v>
      </c>
    </row>
    <row r="343" spans="1:24" s="27" customFormat="1" ht="21" customHeight="1">
      <c r="A343" s="81"/>
      <c r="B343" s="98">
        <v>85311</v>
      </c>
      <c r="C343" s="102"/>
      <c r="D343" s="45" t="s">
        <v>710</v>
      </c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>
        <f t="shared" si="199"/>
        <v>0</v>
      </c>
      <c r="Q343" s="96">
        <f t="shared" si="199"/>
        <v>5352</v>
      </c>
      <c r="R343" s="96">
        <f t="shared" si="199"/>
        <v>5352</v>
      </c>
      <c r="S343" s="96">
        <f t="shared" si="199"/>
        <v>0</v>
      </c>
      <c r="T343" s="96">
        <f t="shared" si="199"/>
        <v>5352</v>
      </c>
      <c r="U343" s="96">
        <f t="shared" si="199"/>
        <v>0</v>
      </c>
      <c r="V343" s="96">
        <f t="shared" si="199"/>
        <v>5352</v>
      </c>
      <c r="W343" s="96">
        <f t="shared" si="199"/>
        <v>0</v>
      </c>
      <c r="X343" s="96">
        <f t="shared" si="199"/>
        <v>5352</v>
      </c>
    </row>
    <row r="344" spans="1:24" s="27" customFormat="1" ht="48">
      <c r="A344" s="81"/>
      <c r="B344" s="98"/>
      <c r="C344" s="102">
        <v>2710</v>
      </c>
      <c r="D344" s="45" t="s">
        <v>600</v>
      </c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>
        <v>0</v>
      </c>
      <c r="Q344" s="96">
        <v>5352</v>
      </c>
      <c r="R344" s="96">
        <f>SUM(P344:Q344)</f>
        <v>5352</v>
      </c>
      <c r="S344" s="96">
        <v>0</v>
      </c>
      <c r="T344" s="96">
        <f>SUM(R344:S344)</f>
        <v>5352</v>
      </c>
      <c r="U344" s="96">
        <v>0</v>
      </c>
      <c r="V344" s="96">
        <f>SUM(T344:U344)</f>
        <v>5352</v>
      </c>
      <c r="W344" s="96">
        <v>0</v>
      </c>
      <c r="X344" s="96">
        <f>SUM(V344:W344)</f>
        <v>5352</v>
      </c>
    </row>
    <row r="345" spans="1:24" s="8" customFormat="1" ht="24.75" customHeight="1">
      <c r="A345" s="40" t="s">
        <v>246</v>
      </c>
      <c r="B345" s="41"/>
      <c r="C345" s="42"/>
      <c r="D345" s="43" t="s">
        <v>181</v>
      </c>
      <c r="E345" s="44">
        <f>SUM(E346,E362,E380,E377,E369)</f>
        <v>1173390</v>
      </c>
      <c r="F345" s="44">
        <f>SUM(F346,F362,F380,F377,F369)</f>
        <v>0</v>
      </c>
      <c r="G345" s="44">
        <f>SUM(G346,G362,G380,G377,G369)</f>
        <v>70000</v>
      </c>
      <c r="H345" s="44">
        <f aca="true" t="shared" si="200" ref="H345:H370">E345+F345-G345</f>
        <v>1103390</v>
      </c>
      <c r="I345" s="44">
        <f>SUM(I346,I362,I380,I377,I369)</f>
        <v>0</v>
      </c>
      <c r="J345" s="44">
        <f aca="true" t="shared" si="201" ref="J345:P345">SUM(J346,J362,J369,J377,J380,)</f>
        <v>1103390</v>
      </c>
      <c r="K345" s="44">
        <f t="shared" si="201"/>
        <v>252197</v>
      </c>
      <c r="L345" s="44">
        <f t="shared" si="201"/>
        <v>1355587</v>
      </c>
      <c r="M345" s="44">
        <f t="shared" si="201"/>
        <v>0</v>
      </c>
      <c r="N345" s="44">
        <f t="shared" si="201"/>
        <v>1355587</v>
      </c>
      <c r="O345" s="44">
        <f t="shared" si="201"/>
        <v>-500</v>
      </c>
      <c r="P345" s="44">
        <f t="shared" si="201"/>
        <v>1355087</v>
      </c>
      <c r="Q345" s="44">
        <f>SUM(Q346,Q362,Q369,Q377,Q380,)</f>
        <v>60224</v>
      </c>
      <c r="R345" s="44">
        <f>SUM(R346,R362,R369,R377,R380,)</f>
        <v>1415311</v>
      </c>
      <c r="S345" s="44">
        <f>SUM(S346,S362,S369,S377,S380,)</f>
        <v>0</v>
      </c>
      <c r="T345" s="44">
        <f>SUM(T346,T362,T369,T377,T380,)</f>
        <v>1415311</v>
      </c>
      <c r="U345" s="44">
        <f>SUM(U346,U362,U369,U377,U380,)</f>
        <v>56396</v>
      </c>
      <c r="V345" s="44">
        <f>SUM(V346,V362,V369,V377,V380,V360)</f>
        <v>1471707</v>
      </c>
      <c r="W345" s="44">
        <f>SUM(W346,W362,W369,W377,W380,W360)</f>
        <v>44338</v>
      </c>
      <c r="X345" s="44">
        <f>SUM(X346,X362,X369,X377,X380,X360)</f>
        <v>1516045</v>
      </c>
    </row>
    <row r="346" spans="1:24" s="27" customFormat="1" ht="21.75" customHeight="1">
      <c r="A346" s="81"/>
      <c r="B346" s="98">
        <v>85401</v>
      </c>
      <c r="C346" s="102"/>
      <c r="D346" s="45" t="s">
        <v>182</v>
      </c>
      <c r="E346" s="96">
        <f>SUM(E347:E359)</f>
        <v>675335</v>
      </c>
      <c r="F346" s="96">
        <f>SUM(F347:F359)</f>
        <v>0</v>
      </c>
      <c r="G346" s="96">
        <f>SUM(G347:G359)</f>
        <v>0</v>
      </c>
      <c r="H346" s="96">
        <f t="shared" si="200"/>
        <v>675335</v>
      </c>
      <c r="I346" s="96">
        <f aca="true" t="shared" si="202" ref="I346:N346">SUM(I347:I359)</f>
        <v>0</v>
      </c>
      <c r="J346" s="96">
        <f t="shared" si="202"/>
        <v>675335</v>
      </c>
      <c r="K346" s="96">
        <f t="shared" si="202"/>
        <v>0</v>
      </c>
      <c r="L346" s="96">
        <f t="shared" si="202"/>
        <v>675335</v>
      </c>
      <c r="M346" s="96">
        <f t="shared" si="202"/>
        <v>0</v>
      </c>
      <c r="N346" s="96">
        <f t="shared" si="202"/>
        <v>675335</v>
      </c>
      <c r="O346" s="96">
        <f aca="true" t="shared" si="203" ref="O346:T346">SUM(O347:O359)</f>
        <v>0</v>
      </c>
      <c r="P346" s="96">
        <f t="shared" si="203"/>
        <v>675335</v>
      </c>
      <c r="Q346" s="96">
        <f t="shared" si="203"/>
        <v>-4812</v>
      </c>
      <c r="R346" s="96">
        <f t="shared" si="203"/>
        <v>670523</v>
      </c>
      <c r="S346" s="96">
        <f t="shared" si="203"/>
        <v>0</v>
      </c>
      <c r="T346" s="96">
        <f t="shared" si="203"/>
        <v>670523</v>
      </c>
      <c r="U346" s="96">
        <f>SUM(U347:U359)</f>
        <v>0</v>
      </c>
      <c r="V346" s="96">
        <f>SUM(V347:V359)</f>
        <v>670523</v>
      </c>
      <c r="W346" s="96">
        <f>SUM(W347:W359)</f>
        <v>4600</v>
      </c>
      <c r="X346" s="96">
        <f>SUM(X347:X359)</f>
        <v>675123</v>
      </c>
    </row>
    <row r="347" spans="1:24" s="27" customFormat="1" ht="21" customHeight="1">
      <c r="A347" s="81"/>
      <c r="B347" s="98"/>
      <c r="C347" s="102">
        <v>3020</v>
      </c>
      <c r="D347" s="45" t="s">
        <v>377</v>
      </c>
      <c r="E347" s="96">
        <v>10983</v>
      </c>
      <c r="F347" s="96"/>
      <c r="G347" s="96"/>
      <c r="H347" s="96">
        <f t="shared" si="200"/>
        <v>10983</v>
      </c>
      <c r="I347" s="96"/>
      <c r="J347" s="96">
        <f t="shared" si="181"/>
        <v>10983</v>
      </c>
      <c r="K347" s="96">
        <v>0</v>
      </c>
      <c r="L347" s="96">
        <f t="shared" si="182"/>
        <v>10983</v>
      </c>
      <c r="M347" s="96">
        <v>0</v>
      </c>
      <c r="N347" s="96">
        <f aca="true" t="shared" si="204" ref="N347:N359">SUM(L347:M347)</f>
        <v>10983</v>
      </c>
      <c r="O347" s="96">
        <v>0</v>
      </c>
      <c r="P347" s="96">
        <f aca="true" t="shared" si="205" ref="P347:P359">SUM(N347:O347)</f>
        <v>10983</v>
      </c>
      <c r="Q347" s="96">
        <v>0</v>
      </c>
      <c r="R347" s="96">
        <f aca="true" t="shared" si="206" ref="R347:R359">SUM(P347:Q347)</f>
        <v>10983</v>
      </c>
      <c r="S347" s="96">
        <v>0</v>
      </c>
      <c r="T347" s="96">
        <f aca="true" t="shared" si="207" ref="T347:T359">SUM(R347:S347)</f>
        <v>10983</v>
      </c>
      <c r="U347" s="96">
        <v>0</v>
      </c>
      <c r="V347" s="96">
        <f aca="true" t="shared" si="208" ref="V347:V359">SUM(T347:U347)</f>
        <v>10983</v>
      </c>
      <c r="W347" s="96">
        <v>0</v>
      </c>
      <c r="X347" s="96">
        <f aca="true" t="shared" si="209" ref="X347:X359">SUM(V347:W347)</f>
        <v>10983</v>
      </c>
    </row>
    <row r="348" spans="1:26" s="27" customFormat="1" ht="21" customHeight="1">
      <c r="A348" s="81"/>
      <c r="B348" s="98"/>
      <c r="C348" s="102">
        <v>4010</v>
      </c>
      <c r="D348" s="45" t="s">
        <v>206</v>
      </c>
      <c r="E348" s="96">
        <v>485405</v>
      </c>
      <c r="F348" s="96"/>
      <c r="G348" s="96"/>
      <c r="H348" s="96">
        <f t="shared" si="200"/>
        <v>485405</v>
      </c>
      <c r="I348" s="96"/>
      <c r="J348" s="96">
        <f t="shared" si="181"/>
        <v>485405</v>
      </c>
      <c r="K348" s="96">
        <v>0</v>
      </c>
      <c r="L348" s="96">
        <f t="shared" si="182"/>
        <v>485405</v>
      </c>
      <c r="M348" s="96">
        <v>0</v>
      </c>
      <c r="N348" s="96">
        <f t="shared" si="204"/>
        <v>485405</v>
      </c>
      <c r="O348" s="96">
        <v>0</v>
      </c>
      <c r="P348" s="96">
        <f t="shared" si="205"/>
        <v>485405</v>
      </c>
      <c r="Q348" s="96">
        <v>0</v>
      </c>
      <c r="R348" s="96">
        <f t="shared" si="206"/>
        <v>485405</v>
      </c>
      <c r="S348" s="96">
        <v>0</v>
      </c>
      <c r="T348" s="96">
        <f t="shared" si="207"/>
        <v>485405</v>
      </c>
      <c r="U348" s="96">
        <v>0</v>
      </c>
      <c r="V348" s="96">
        <f t="shared" si="208"/>
        <v>485405</v>
      </c>
      <c r="W348" s="96">
        <f>-1200+4000</f>
        <v>2800</v>
      </c>
      <c r="X348" s="96">
        <f t="shared" si="209"/>
        <v>488205</v>
      </c>
      <c r="Y348" s="150"/>
      <c r="Z348" s="150"/>
    </row>
    <row r="349" spans="1:26" s="27" customFormat="1" ht="21" customHeight="1">
      <c r="A349" s="81"/>
      <c r="B349" s="98"/>
      <c r="C349" s="102">
        <v>4040</v>
      </c>
      <c r="D349" s="45" t="s">
        <v>207</v>
      </c>
      <c r="E349" s="96">
        <v>34981</v>
      </c>
      <c r="F349" s="96"/>
      <c r="G349" s="96"/>
      <c r="H349" s="96">
        <f t="shared" si="200"/>
        <v>34981</v>
      </c>
      <c r="I349" s="96"/>
      <c r="J349" s="96">
        <f t="shared" si="181"/>
        <v>34981</v>
      </c>
      <c r="K349" s="96">
        <v>0</v>
      </c>
      <c r="L349" s="96">
        <f t="shared" si="182"/>
        <v>34981</v>
      </c>
      <c r="M349" s="96">
        <v>0</v>
      </c>
      <c r="N349" s="96">
        <f t="shared" si="204"/>
        <v>34981</v>
      </c>
      <c r="O349" s="96">
        <v>0</v>
      </c>
      <c r="P349" s="96">
        <f t="shared" si="205"/>
        <v>34981</v>
      </c>
      <c r="Q349" s="96">
        <v>-4812</v>
      </c>
      <c r="R349" s="96">
        <f t="shared" si="206"/>
        <v>30169</v>
      </c>
      <c r="S349" s="96">
        <v>0</v>
      </c>
      <c r="T349" s="96">
        <f t="shared" si="207"/>
        <v>30169</v>
      </c>
      <c r="U349" s="96">
        <v>0</v>
      </c>
      <c r="V349" s="96">
        <f t="shared" si="208"/>
        <v>30169</v>
      </c>
      <c r="W349" s="96">
        <v>0</v>
      </c>
      <c r="X349" s="96">
        <f t="shared" si="209"/>
        <v>30169</v>
      </c>
      <c r="Y349" s="150"/>
      <c r="Z349" s="150"/>
    </row>
    <row r="350" spans="1:26" s="27" customFormat="1" ht="21" customHeight="1">
      <c r="A350" s="81"/>
      <c r="B350" s="98"/>
      <c r="C350" s="102">
        <v>4110</v>
      </c>
      <c r="D350" s="45" t="s">
        <v>208</v>
      </c>
      <c r="E350" s="96">
        <v>84863</v>
      </c>
      <c r="F350" s="96"/>
      <c r="G350" s="96"/>
      <c r="H350" s="96">
        <f t="shared" si="200"/>
        <v>84863</v>
      </c>
      <c r="I350" s="96"/>
      <c r="J350" s="96">
        <f t="shared" si="181"/>
        <v>84863</v>
      </c>
      <c r="K350" s="96">
        <v>0</v>
      </c>
      <c r="L350" s="96">
        <f t="shared" si="182"/>
        <v>84863</v>
      </c>
      <c r="M350" s="96">
        <v>0</v>
      </c>
      <c r="N350" s="96">
        <f t="shared" si="204"/>
        <v>84863</v>
      </c>
      <c r="O350" s="96">
        <v>0</v>
      </c>
      <c r="P350" s="96">
        <f t="shared" si="205"/>
        <v>84863</v>
      </c>
      <c r="Q350" s="96">
        <v>0</v>
      </c>
      <c r="R350" s="96">
        <f t="shared" si="206"/>
        <v>84863</v>
      </c>
      <c r="S350" s="96">
        <v>0</v>
      </c>
      <c r="T350" s="96">
        <f t="shared" si="207"/>
        <v>84863</v>
      </c>
      <c r="U350" s="96">
        <v>0</v>
      </c>
      <c r="V350" s="96">
        <f t="shared" si="208"/>
        <v>84863</v>
      </c>
      <c r="W350" s="96">
        <v>500</v>
      </c>
      <c r="X350" s="96">
        <f t="shared" si="209"/>
        <v>85363</v>
      </c>
      <c r="Y350" s="150"/>
      <c r="Z350" s="150"/>
    </row>
    <row r="351" spans="1:26" s="27" customFormat="1" ht="21" customHeight="1">
      <c r="A351" s="81"/>
      <c r="B351" s="98"/>
      <c r="C351" s="102">
        <v>4120</v>
      </c>
      <c r="D351" s="45" t="s">
        <v>209</v>
      </c>
      <c r="E351" s="96">
        <v>11990</v>
      </c>
      <c r="F351" s="96"/>
      <c r="G351" s="96"/>
      <c r="H351" s="96">
        <f t="shared" si="200"/>
        <v>11990</v>
      </c>
      <c r="I351" s="96"/>
      <c r="J351" s="96">
        <f t="shared" si="181"/>
        <v>11990</v>
      </c>
      <c r="K351" s="96">
        <v>0</v>
      </c>
      <c r="L351" s="96">
        <f t="shared" si="182"/>
        <v>11990</v>
      </c>
      <c r="M351" s="96">
        <v>0</v>
      </c>
      <c r="N351" s="96">
        <f t="shared" si="204"/>
        <v>11990</v>
      </c>
      <c r="O351" s="96">
        <v>0</v>
      </c>
      <c r="P351" s="96">
        <f t="shared" si="205"/>
        <v>11990</v>
      </c>
      <c r="Q351" s="96">
        <v>0</v>
      </c>
      <c r="R351" s="96">
        <f t="shared" si="206"/>
        <v>11990</v>
      </c>
      <c r="S351" s="96">
        <v>0</v>
      </c>
      <c r="T351" s="96">
        <f t="shared" si="207"/>
        <v>11990</v>
      </c>
      <c r="U351" s="96">
        <v>0</v>
      </c>
      <c r="V351" s="96">
        <f t="shared" si="208"/>
        <v>11990</v>
      </c>
      <c r="W351" s="96">
        <v>100</v>
      </c>
      <c r="X351" s="96">
        <f t="shared" si="209"/>
        <v>12090</v>
      </c>
      <c r="Y351" s="150"/>
      <c r="Z351" s="150"/>
    </row>
    <row r="352" spans="1:26" s="27" customFormat="1" ht="21" customHeight="1">
      <c r="A352" s="81"/>
      <c r="B352" s="98"/>
      <c r="C352" s="102">
        <v>4170</v>
      </c>
      <c r="D352" s="45" t="s">
        <v>339</v>
      </c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>
        <v>0</v>
      </c>
      <c r="W352" s="96">
        <v>1200</v>
      </c>
      <c r="X352" s="96">
        <f t="shared" si="209"/>
        <v>1200</v>
      </c>
      <c r="Y352" s="150"/>
      <c r="Z352" s="150"/>
    </row>
    <row r="353" spans="1:24" s="27" customFormat="1" ht="21" customHeight="1">
      <c r="A353" s="81"/>
      <c r="B353" s="98"/>
      <c r="C353" s="102">
        <v>4210</v>
      </c>
      <c r="D353" s="45" t="s">
        <v>214</v>
      </c>
      <c r="E353" s="96">
        <v>14070</v>
      </c>
      <c r="F353" s="96"/>
      <c r="G353" s="96"/>
      <c r="H353" s="96">
        <f t="shared" si="200"/>
        <v>14070</v>
      </c>
      <c r="I353" s="96"/>
      <c r="J353" s="96">
        <f t="shared" si="181"/>
        <v>14070</v>
      </c>
      <c r="K353" s="96">
        <v>0</v>
      </c>
      <c r="L353" s="96">
        <f t="shared" si="182"/>
        <v>14070</v>
      </c>
      <c r="M353" s="96">
        <v>0</v>
      </c>
      <c r="N353" s="96">
        <f t="shared" si="204"/>
        <v>14070</v>
      </c>
      <c r="O353" s="96">
        <v>0</v>
      </c>
      <c r="P353" s="96">
        <f t="shared" si="205"/>
        <v>14070</v>
      </c>
      <c r="Q353" s="96">
        <v>0</v>
      </c>
      <c r="R353" s="96">
        <f t="shared" si="206"/>
        <v>14070</v>
      </c>
      <c r="S353" s="96">
        <v>0</v>
      </c>
      <c r="T353" s="96">
        <f t="shared" si="207"/>
        <v>14070</v>
      </c>
      <c r="U353" s="96">
        <v>0</v>
      </c>
      <c r="V353" s="96">
        <f t="shared" si="208"/>
        <v>14070</v>
      </c>
      <c r="W353" s="96">
        <v>300</v>
      </c>
      <c r="X353" s="96">
        <f t="shared" si="209"/>
        <v>14370</v>
      </c>
    </row>
    <row r="354" spans="1:24" s="27" customFormat="1" ht="21" customHeight="1">
      <c r="A354" s="81"/>
      <c r="B354" s="98"/>
      <c r="C354" s="102">
        <v>4230</v>
      </c>
      <c r="D354" s="45" t="s">
        <v>626</v>
      </c>
      <c r="E354" s="96">
        <v>100</v>
      </c>
      <c r="F354" s="96"/>
      <c r="G354" s="96"/>
      <c r="H354" s="96">
        <f t="shared" si="200"/>
        <v>100</v>
      </c>
      <c r="I354" s="96"/>
      <c r="J354" s="96">
        <f t="shared" si="181"/>
        <v>100</v>
      </c>
      <c r="K354" s="96">
        <v>0</v>
      </c>
      <c r="L354" s="96">
        <f t="shared" si="182"/>
        <v>100</v>
      </c>
      <c r="M354" s="96">
        <v>0</v>
      </c>
      <c r="N354" s="96">
        <f t="shared" si="204"/>
        <v>100</v>
      </c>
      <c r="O354" s="96">
        <v>0</v>
      </c>
      <c r="P354" s="96">
        <f t="shared" si="205"/>
        <v>100</v>
      </c>
      <c r="Q354" s="96">
        <v>0</v>
      </c>
      <c r="R354" s="96">
        <f t="shared" si="206"/>
        <v>100</v>
      </c>
      <c r="S354" s="96">
        <v>0</v>
      </c>
      <c r="T354" s="96">
        <f t="shared" si="207"/>
        <v>100</v>
      </c>
      <c r="U354" s="96">
        <v>0</v>
      </c>
      <c r="V354" s="96">
        <f t="shared" si="208"/>
        <v>100</v>
      </c>
      <c r="W354" s="96">
        <v>0</v>
      </c>
      <c r="X354" s="96">
        <f t="shared" si="209"/>
        <v>100</v>
      </c>
    </row>
    <row r="355" spans="1:24" s="27" customFormat="1" ht="21" customHeight="1">
      <c r="A355" s="81"/>
      <c r="B355" s="98"/>
      <c r="C355" s="102">
        <v>4240</v>
      </c>
      <c r="D355" s="45" t="s">
        <v>247</v>
      </c>
      <c r="E355" s="96">
        <v>1100</v>
      </c>
      <c r="F355" s="96"/>
      <c r="G355" s="96"/>
      <c r="H355" s="96">
        <f t="shared" si="200"/>
        <v>1100</v>
      </c>
      <c r="I355" s="96"/>
      <c r="J355" s="96">
        <f t="shared" si="181"/>
        <v>1100</v>
      </c>
      <c r="K355" s="96">
        <v>0</v>
      </c>
      <c r="L355" s="96">
        <f t="shared" si="182"/>
        <v>1100</v>
      </c>
      <c r="M355" s="96">
        <v>0</v>
      </c>
      <c r="N355" s="96">
        <f t="shared" si="204"/>
        <v>1100</v>
      </c>
      <c r="O355" s="96">
        <v>0</v>
      </c>
      <c r="P355" s="96">
        <f t="shared" si="205"/>
        <v>1100</v>
      </c>
      <c r="Q355" s="96">
        <v>0</v>
      </c>
      <c r="R355" s="96">
        <f t="shared" si="206"/>
        <v>1100</v>
      </c>
      <c r="S355" s="96">
        <v>0</v>
      </c>
      <c r="T355" s="96">
        <f t="shared" si="207"/>
        <v>1100</v>
      </c>
      <c r="U355" s="96">
        <v>0</v>
      </c>
      <c r="V355" s="96">
        <f t="shared" si="208"/>
        <v>1100</v>
      </c>
      <c r="W355" s="96">
        <v>0</v>
      </c>
      <c r="X355" s="96">
        <f t="shared" si="209"/>
        <v>1100</v>
      </c>
    </row>
    <row r="356" spans="1:24" s="27" customFormat="1" ht="21" customHeight="1">
      <c r="A356" s="81"/>
      <c r="B356" s="98"/>
      <c r="C356" s="102">
        <v>4270</v>
      </c>
      <c r="D356" s="45" t="s">
        <v>200</v>
      </c>
      <c r="E356" s="96">
        <v>600</v>
      </c>
      <c r="F356" s="96"/>
      <c r="G356" s="96"/>
      <c r="H356" s="96">
        <f t="shared" si="200"/>
        <v>600</v>
      </c>
      <c r="I356" s="96"/>
      <c r="J356" s="96">
        <f t="shared" si="181"/>
        <v>600</v>
      </c>
      <c r="K356" s="96">
        <v>0</v>
      </c>
      <c r="L356" s="96">
        <f t="shared" si="182"/>
        <v>600</v>
      </c>
      <c r="M356" s="96">
        <v>0</v>
      </c>
      <c r="N356" s="96">
        <f t="shared" si="204"/>
        <v>600</v>
      </c>
      <c r="O356" s="96">
        <v>0</v>
      </c>
      <c r="P356" s="96">
        <f t="shared" si="205"/>
        <v>600</v>
      </c>
      <c r="Q356" s="96">
        <v>0</v>
      </c>
      <c r="R356" s="96">
        <f t="shared" si="206"/>
        <v>600</v>
      </c>
      <c r="S356" s="96">
        <v>0</v>
      </c>
      <c r="T356" s="96">
        <f t="shared" si="207"/>
        <v>600</v>
      </c>
      <c r="U356" s="96">
        <v>0</v>
      </c>
      <c r="V356" s="96">
        <f t="shared" si="208"/>
        <v>600</v>
      </c>
      <c r="W356" s="96">
        <v>-300</v>
      </c>
      <c r="X356" s="96">
        <f t="shared" si="209"/>
        <v>300</v>
      </c>
    </row>
    <row r="357" spans="1:24" s="27" customFormat="1" ht="21" customHeight="1">
      <c r="A357" s="81"/>
      <c r="B357" s="98"/>
      <c r="C357" s="102">
        <v>4280</v>
      </c>
      <c r="D357" s="45" t="s">
        <v>353</v>
      </c>
      <c r="E357" s="96">
        <v>610</v>
      </c>
      <c r="F357" s="96"/>
      <c r="G357" s="96"/>
      <c r="H357" s="96">
        <f t="shared" si="200"/>
        <v>610</v>
      </c>
      <c r="I357" s="96"/>
      <c r="J357" s="96">
        <f t="shared" si="181"/>
        <v>610</v>
      </c>
      <c r="K357" s="96">
        <v>0</v>
      </c>
      <c r="L357" s="96">
        <f t="shared" si="182"/>
        <v>610</v>
      </c>
      <c r="M357" s="96">
        <v>0</v>
      </c>
      <c r="N357" s="96">
        <f t="shared" si="204"/>
        <v>610</v>
      </c>
      <c r="O357" s="96">
        <v>0</v>
      </c>
      <c r="P357" s="96">
        <f t="shared" si="205"/>
        <v>610</v>
      </c>
      <c r="Q357" s="96">
        <v>0</v>
      </c>
      <c r="R357" s="96">
        <f t="shared" si="206"/>
        <v>610</v>
      </c>
      <c r="S357" s="96">
        <v>0</v>
      </c>
      <c r="T357" s="96">
        <f t="shared" si="207"/>
        <v>610</v>
      </c>
      <c r="U357" s="96">
        <v>0</v>
      </c>
      <c r="V357" s="96">
        <f t="shared" si="208"/>
        <v>610</v>
      </c>
      <c r="W357" s="96">
        <v>0</v>
      </c>
      <c r="X357" s="96">
        <f t="shared" si="209"/>
        <v>610</v>
      </c>
    </row>
    <row r="358" spans="1:24" s="27" customFormat="1" ht="21" customHeight="1">
      <c r="A358" s="81"/>
      <c r="B358" s="98"/>
      <c r="C358" s="102">
        <v>4300</v>
      </c>
      <c r="D358" s="45" t="s">
        <v>201</v>
      </c>
      <c r="E358" s="96">
        <v>300</v>
      </c>
      <c r="F358" s="96"/>
      <c r="G358" s="96"/>
      <c r="H358" s="96">
        <f t="shared" si="200"/>
        <v>300</v>
      </c>
      <c r="I358" s="96"/>
      <c r="J358" s="96">
        <f t="shared" si="181"/>
        <v>300</v>
      </c>
      <c r="K358" s="96">
        <v>0</v>
      </c>
      <c r="L358" s="96">
        <f t="shared" si="182"/>
        <v>300</v>
      </c>
      <c r="M358" s="96">
        <v>0</v>
      </c>
      <c r="N358" s="96">
        <f t="shared" si="204"/>
        <v>300</v>
      </c>
      <c r="O358" s="96">
        <v>0</v>
      </c>
      <c r="P358" s="96">
        <f t="shared" si="205"/>
        <v>300</v>
      </c>
      <c r="Q358" s="96">
        <v>0</v>
      </c>
      <c r="R358" s="96">
        <f t="shared" si="206"/>
        <v>300</v>
      </c>
      <c r="S358" s="96">
        <v>0</v>
      </c>
      <c r="T358" s="96">
        <f t="shared" si="207"/>
        <v>300</v>
      </c>
      <c r="U358" s="96">
        <v>0</v>
      </c>
      <c r="V358" s="96">
        <f t="shared" si="208"/>
        <v>300</v>
      </c>
      <c r="W358" s="96">
        <v>0</v>
      </c>
      <c r="X358" s="96">
        <f t="shared" si="209"/>
        <v>300</v>
      </c>
    </row>
    <row r="359" spans="1:24" s="27" customFormat="1" ht="24">
      <c r="A359" s="81"/>
      <c r="B359" s="98"/>
      <c r="C359" s="102">
        <v>4440</v>
      </c>
      <c r="D359" s="45" t="s">
        <v>210</v>
      </c>
      <c r="E359" s="96">
        <v>30333</v>
      </c>
      <c r="F359" s="96"/>
      <c r="G359" s="96"/>
      <c r="H359" s="96">
        <f t="shared" si="200"/>
        <v>30333</v>
      </c>
      <c r="I359" s="96"/>
      <c r="J359" s="96">
        <f t="shared" si="181"/>
        <v>30333</v>
      </c>
      <c r="K359" s="96">
        <v>0</v>
      </c>
      <c r="L359" s="96">
        <f t="shared" si="182"/>
        <v>30333</v>
      </c>
      <c r="M359" s="96">
        <v>0</v>
      </c>
      <c r="N359" s="96">
        <f t="shared" si="204"/>
        <v>30333</v>
      </c>
      <c r="O359" s="96">
        <v>0</v>
      </c>
      <c r="P359" s="96">
        <f t="shared" si="205"/>
        <v>30333</v>
      </c>
      <c r="Q359" s="96">
        <v>0</v>
      </c>
      <c r="R359" s="96">
        <f t="shared" si="206"/>
        <v>30333</v>
      </c>
      <c r="S359" s="96">
        <v>0</v>
      </c>
      <c r="T359" s="96">
        <f t="shared" si="207"/>
        <v>30333</v>
      </c>
      <c r="U359" s="96">
        <v>0</v>
      </c>
      <c r="V359" s="96">
        <f t="shared" si="208"/>
        <v>30333</v>
      </c>
      <c r="W359" s="96">
        <v>0</v>
      </c>
      <c r="X359" s="96">
        <f t="shared" si="209"/>
        <v>30333</v>
      </c>
    </row>
    <row r="360" spans="1:24" s="27" customFormat="1" ht="21.75" customHeight="1">
      <c r="A360" s="81"/>
      <c r="B360" s="98">
        <v>85407</v>
      </c>
      <c r="C360" s="102"/>
      <c r="D360" s="45" t="s">
        <v>663</v>
      </c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>
        <f>SUM(V361)</f>
        <v>0</v>
      </c>
      <c r="W360" s="96">
        <f>SUM(W361)</f>
        <v>3000</v>
      </c>
      <c r="X360" s="96">
        <f>SUM(X361)</f>
        <v>3000</v>
      </c>
    </row>
    <row r="361" spans="1:24" s="27" customFormat="1" ht="48">
      <c r="A361" s="81"/>
      <c r="B361" s="98"/>
      <c r="C361" s="102">
        <v>2320</v>
      </c>
      <c r="D361" s="45" t="s">
        <v>285</v>
      </c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>
        <v>0</v>
      </c>
      <c r="W361" s="96">
        <v>3000</v>
      </c>
      <c r="X361" s="96">
        <f>SUM(V361:W361)</f>
        <v>3000</v>
      </c>
    </row>
    <row r="362" spans="1:24" s="27" customFormat="1" ht="36">
      <c r="A362" s="81"/>
      <c r="B362" s="98" t="s">
        <v>250</v>
      </c>
      <c r="C362" s="102"/>
      <c r="D362" s="45" t="s">
        <v>294</v>
      </c>
      <c r="E362" s="96">
        <f>SUM(E363:E368)</f>
        <v>149500</v>
      </c>
      <c r="F362" s="96">
        <f>SUM(F363:F368)</f>
        <v>0</v>
      </c>
      <c r="G362" s="96">
        <f>SUM(G363:G368)</f>
        <v>70000</v>
      </c>
      <c r="H362" s="96">
        <f t="shared" si="200"/>
        <v>79500</v>
      </c>
      <c r="I362" s="96">
        <f aca="true" t="shared" si="210" ref="I362:N362">SUM(I363:I368)</f>
        <v>0</v>
      </c>
      <c r="J362" s="96">
        <f t="shared" si="210"/>
        <v>79500</v>
      </c>
      <c r="K362" s="96">
        <f t="shared" si="210"/>
        <v>0</v>
      </c>
      <c r="L362" s="96">
        <f t="shared" si="210"/>
        <v>79500</v>
      </c>
      <c r="M362" s="96">
        <f t="shared" si="210"/>
        <v>0</v>
      </c>
      <c r="N362" s="96">
        <f t="shared" si="210"/>
        <v>79500</v>
      </c>
      <c r="O362" s="96">
        <f aca="true" t="shared" si="211" ref="O362:T362">SUM(O363:O368)</f>
        <v>-500</v>
      </c>
      <c r="P362" s="96">
        <f t="shared" si="211"/>
        <v>79000</v>
      </c>
      <c r="Q362" s="96">
        <f t="shared" si="211"/>
        <v>69808</v>
      </c>
      <c r="R362" s="96">
        <f t="shared" si="211"/>
        <v>148808</v>
      </c>
      <c r="S362" s="96">
        <f t="shared" si="211"/>
        <v>0</v>
      </c>
      <c r="T362" s="96">
        <f t="shared" si="211"/>
        <v>148808</v>
      </c>
      <c r="U362" s="96">
        <f>SUM(U363:U368)</f>
        <v>0</v>
      </c>
      <c r="V362" s="96">
        <f>SUM(V363:V368)</f>
        <v>148808</v>
      </c>
      <c r="W362" s="96">
        <f>SUM(W363:W368)</f>
        <v>15000</v>
      </c>
      <c r="X362" s="96">
        <f>SUM(X363:X368)</f>
        <v>163808</v>
      </c>
    </row>
    <row r="363" spans="1:24" s="27" customFormat="1" ht="36">
      <c r="A363" s="81"/>
      <c r="B363" s="98"/>
      <c r="C363" s="102">
        <v>2630</v>
      </c>
      <c r="D363" s="45" t="s">
        <v>403</v>
      </c>
      <c r="E363" s="96">
        <v>36000</v>
      </c>
      <c r="F363" s="96"/>
      <c r="G363" s="96"/>
      <c r="H363" s="96">
        <f t="shared" si="200"/>
        <v>36000</v>
      </c>
      <c r="I363" s="96"/>
      <c r="J363" s="96">
        <f t="shared" si="181"/>
        <v>36000</v>
      </c>
      <c r="K363" s="96">
        <v>0</v>
      </c>
      <c r="L363" s="96">
        <f t="shared" si="182"/>
        <v>36000</v>
      </c>
      <c r="M363" s="96">
        <v>0</v>
      </c>
      <c r="N363" s="96">
        <f aca="true" t="shared" si="212" ref="N363:N370">SUM(L363:M363)</f>
        <v>36000</v>
      </c>
      <c r="O363" s="96">
        <v>0</v>
      </c>
      <c r="P363" s="96">
        <f aca="true" t="shared" si="213" ref="P363:P370">SUM(N363:O363)</f>
        <v>36000</v>
      </c>
      <c r="Q363" s="96">
        <v>-36000</v>
      </c>
      <c r="R363" s="96">
        <f aca="true" t="shared" si="214" ref="R363:R370">SUM(P363:Q363)</f>
        <v>0</v>
      </c>
      <c r="S363" s="96">
        <v>0</v>
      </c>
      <c r="T363" s="96">
        <f aca="true" t="shared" si="215" ref="T363:T370">SUM(R363:S363)</f>
        <v>0</v>
      </c>
      <c r="U363" s="96">
        <v>0</v>
      </c>
      <c r="V363" s="96">
        <f aca="true" t="shared" si="216" ref="V363:V371">SUM(T363:U363)</f>
        <v>0</v>
      </c>
      <c r="W363" s="96">
        <v>0</v>
      </c>
      <c r="X363" s="96">
        <f aca="true" t="shared" si="217" ref="X363:X368">SUM(V363:W363)</f>
        <v>0</v>
      </c>
    </row>
    <row r="364" spans="1:24" s="27" customFormat="1" ht="36">
      <c r="A364" s="81"/>
      <c r="B364" s="98"/>
      <c r="C364" s="102">
        <v>2820</v>
      </c>
      <c r="D364" s="45" t="s">
        <v>554</v>
      </c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>
        <v>0</v>
      </c>
      <c r="Q364" s="96">
        <f>5680+3610</f>
        <v>9290</v>
      </c>
      <c r="R364" s="96">
        <f t="shared" si="214"/>
        <v>9290</v>
      </c>
      <c r="S364" s="96">
        <v>0</v>
      </c>
      <c r="T364" s="96">
        <f t="shared" si="215"/>
        <v>9290</v>
      </c>
      <c r="U364" s="96">
        <v>0</v>
      </c>
      <c r="V364" s="96">
        <f t="shared" si="216"/>
        <v>9290</v>
      </c>
      <c r="W364" s="96">
        <v>0</v>
      </c>
      <c r="X364" s="96">
        <f t="shared" si="217"/>
        <v>9290</v>
      </c>
    </row>
    <row r="365" spans="1:24" s="27" customFormat="1" ht="48">
      <c r="A365" s="81"/>
      <c r="B365" s="98"/>
      <c r="C365" s="102">
        <v>2830</v>
      </c>
      <c r="D365" s="45" t="s">
        <v>553</v>
      </c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>
        <v>0</v>
      </c>
      <c r="Q365" s="96">
        <v>26710</v>
      </c>
      <c r="R365" s="96">
        <f t="shared" si="214"/>
        <v>26710</v>
      </c>
      <c r="S365" s="96">
        <v>0</v>
      </c>
      <c r="T365" s="96">
        <f t="shared" si="215"/>
        <v>26710</v>
      </c>
      <c r="U365" s="96">
        <v>0</v>
      </c>
      <c r="V365" s="96">
        <f t="shared" si="216"/>
        <v>26710</v>
      </c>
      <c r="W365" s="96">
        <v>0</v>
      </c>
      <c r="X365" s="96">
        <f t="shared" si="217"/>
        <v>26710</v>
      </c>
    </row>
    <row r="366" spans="1:24" s="27" customFormat="1" ht="21" customHeight="1">
      <c r="A366" s="81"/>
      <c r="B366" s="98"/>
      <c r="C366" s="102">
        <v>4210</v>
      </c>
      <c r="D366" s="45" t="s">
        <v>214</v>
      </c>
      <c r="E366" s="96">
        <f>5500+1500</f>
        <v>7000</v>
      </c>
      <c r="F366" s="96"/>
      <c r="G366" s="96"/>
      <c r="H366" s="96">
        <f t="shared" si="200"/>
        <v>7000</v>
      </c>
      <c r="I366" s="96"/>
      <c r="J366" s="96">
        <f t="shared" si="181"/>
        <v>7000</v>
      </c>
      <c r="K366" s="96">
        <v>0</v>
      </c>
      <c r="L366" s="96">
        <f t="shared" si="182"/>
        <v>7000</v>
      </c>
      <c r="M366" s="96">
        <v>0</v>
      </c>
      <c r="N366" s="96">
        <f t="shared" si="212"/>
        <v>7000</v>
      </c>
      <c r="O366" s="96">
        <v>-500</v>
      </c>
      <c r="P366" s="96">
        <f t="shared" si="213"/>
        <v>6500</v>
      </c>
      <c r="Q366" s="96">
        <f>250+2100+803</f>
        <v>3153</v>
      </c>
      <c r="R366" s="96">
        <f t="shared" si="214"/>
        <v>9653</v>
      </c>
      <c r="S366" s="96">
        <v>0</v>
      </c>
      <c r="T366" s="96">
        <f t="shared" si="215"/>
        <v>9653</v>
      </c>
      <c r="U366" s="96">
        <v>0</v>
      </c>
      <c r="V366" s="96">
        <f t="shared" si="216"/>
        <v>9653</v>
      </c>
      <c r="W366" s="96">
        <v>0</v>
      </c>
      <c r="X366" s="96">
        <f t="shared" si="217"/>
        <v>9653</v>
      </c>
    </row>
    <row r="367" spans="1:24" s="27" customFormat="1" ht="21" customHeight="1">
      <c r="A367" s="102"/>
      <c r="B367" s="103"/>
      <c r="C367" s="102">
        <v>4300</v>
      </c>
      <c r="D367" s="45" t="s">
        <v>201</v>
      </c>
      <c r="E367" s="96">
        <f>5500+1000</f>
        <v>6500</v>
      </c>
      <c r="F367" s="96"/>
      <c r="G367" s="96"/>
      <c r="H367" s="96">
        <f t="shared" si="200"/>
        <v>6500</v>
      </c>
      <c r="I367" s="96"/>
      <c r="J367" s="96">
        <f aca="true" t="shared" si="218" ref="J367:J441">SUM(H367:I367)</f>
        <v>6500</v>
      </c>
      <c r="K367" s="96">
        <v>0</v>
      </c>
      <c r="L367" s="96">
        <f aca="true" t="shared" si="219" ref="L367:L441">SUM(J367:K367)</f>
        <v>6500</v>
      </c>
      <c r="M367" s="96">
        <v>0</v>
      </c>
      <c r="N367" s="96">
        <f t="shared" si="212"/>
        <v>6500</v>
      </c>
      <c r="O367" s="96">
        <v>0</v>
      </c>
      <c r="P367" s="96">
        <f t="shared" si="213"/>
        <v>6500</v>
      </c>
      <c r="Q367" s="96">
        <v>-4345</v>
      </c>
      <c r="R367" s="96">
        <f t="shared" si="214"/>
        <v>2155</v>
      </c>
      <c r="S367" s="96">
        <v>0</v>
      </c>
      <c r="T367" s="96">
        <f t="shared" si="215"/>
        <v>2155</v>
      </c>
      <c r="U367" s="96">
        <v>0</v>
      </c>
      <c r="V367" s="96">
        <f t="shared" si="216"/>
        <v>2155</v>
      </c>
      <c r="W367" s="96">
        <v>0</v>
      </c>
      <c r="X367" s="96">
        <f t="shared" si="217"/>
        <v>2155</v>
      </c>
    </row>
    <row r="368" spans="1:24" s="27" customFormat="1" ht="21" customHeight="1">
      <c r="A368" s="102"/>
      <c r="B368" s="103"/>
      <c r="C368" s="102">
        <v>6050</v>
      </c>
      <c r="D368" s="268" t="s">
        <v>195</v>
      </c>
      <c r="E368" s="269">
        <v>100000</v>
      </c>
      <c r="F368" s="269"/>
      <c r="G368" s="269">
        <v>70000</v>
      </c>
      <c r="H368" s="269">
        <f t="shared" si="200"/>
        <v>30000</v>
      </c>
      <c r="I368" s="269"/>
      <c r="J368" s="269">
        <f t="shared" si="218"/>
        <v>30000</v>
      </c>
      <c r="K368" s="269">
        <v>0</v>
      </c>
      <c r="L368" s="269">
        <f t="shared" si="219"/>
        <v>30000</v>
      </c>
      <c r="M368" s="269">
        <v>0</v>
      </c>
      <c r="N368" s="269">
        <f t="shared" si="212"/>
        <v>30000</v>
      </c>
      <c r="O368" s="269">
        <v>0</v>
      </c>
      <c r="P368" s="269">
        <f t="shared" si="213"/>
        <v>30000</v>
      </c>
      <c r="Q368" s="286">
        <f>11000+60000</f>
        <v>71000</v>
      </c>
      <c r="R368" s="269">
        <f t="shared" si="214"/>
        <v>101000</v>
      </c>
      <c r="S368" s="269">
        <v>0</v>
      </c>
      <c r="T368" s="269">
        <f t="shared" si="215"/>
        <v>101000</v>
      </c>
      <c r="U368" s="269">
        <v>0</v>
      </c>
      <c r="V368" s="269">
        <f t="shared" si="216"/>
        <v>101000</v>
      </c>
      <c r="W368" s="269">
        <v>15000</v>
      </c>
      <c r="X368" s="269">
        <f t="shared" si="217"/>
        <v>116000</v>
      </c>
    </row>
    <row r="369" spans="1:24" s="27" customFormat="1" ht="21" customHeight="1">
      <c r="A369" s="102"/>
      <c r="B369" s="103">
        <v>85415</v>
      </c>
      <c r="C369" s="102"/>
      <c r="D369" s="45" t="s">
        <v>418</v>
      </c>
      <c r="E369" s="96">
        <f>SUM(E370)</f>
        <v>117924</v>
      </c>
      <c r="F369" s="96">
        <f>SUM(F370)</f>
        <v>0</v>
      </c>
      <c r="G369" s="96">
        <f>SUM(G370)</f>
        <v>0</v>
      </c>
      <c r="H369" s="96">
        <f t="shared" si="200"/>
        <v>117924</v>
      </c>
      <c r="I369" s="96">
        <f>SUM(I370)</f>
        <v>0</v>
      </c>
      <c r="J369" s="96">
        <f t="shared" si="218"/>
        <v>117924</v>
      </c>
      <c r="K369" s="96">
        <f>SUM(K370)</f>
        <v>252197</v>
      </c>
      <c r="L369" s="96">
        <f t="shared" si="219"/>
        <v>370121</v>
      </c>
      <c r="M369" s="96">
        <f>SUM(M370)</f>
        <v>0</v>
      </c>
      <c r="N369" s="96">
        <f t="shared" si="212"/>
        <v>370121</v>
      </c>
      <c r="O369" s="96">
        <f>SUM(O370)</f>
        <v>0</v>
      </c>
      <c r="P369" s="96">
        <f t="shared" si="213"/>
        <v>370121</v>
      </c>
      <c r="Q369" s="96">
        <f>SUM(Q370)</f>
        <v>-4772</v>
      </c>
      <c r="R369" s="96">
        <f t="shared" si="214"/>
        <v>365349</v>
      </c>
      <c r="S369" s="96">
        <f>SUM(S370)</f>
        <v>0</v>
      </c>
      <c r="T369" s="96">
        <f>SUM(T370:T371)</f>
        <v>365349</v>
      </c>
      <c r="U369" s="96">
        <f>SUM(U370:U371)</f>
        <v>56396</v>
      </c>
      <c r="V369" s="96">
        <f>SUM(V370:V376)</f>
        <v>421745</v>
      </c>
      <c r="W369" s="96">
        <f>SUM(W370:W376)</f>
        <v>21980</v>
      </c>
      <c r="X369" s="96">
        <f>SUM(X370:X376)</f>
        <v>443725</v>
      </c>
    </row>
    <row r="370" spans="1:24" s="27" customFormat="1" ht="21" customHeight="1">
      <c r="A370" s="102"/>
      <c r="B370" s="103"/>
      <c r="C370" s="102">
        <v>3240</v>
      </c>
      <c r="D370" s="45" t="s">
        <v>419</v>
      </c>
      <c r="E370" s="96">
        <v>117924</v>
      </c>
      <c r="F370" s="96"/>
      <c r="G370" s="96"/>
      <c r="H370" s="96">
        <f t="shared" si="200"/>
        <v>117924</v>
      </c>
      <c r="I370" s="96"/>
      <c r="J370" s="96">
        <f t="shared" si="218"/>
        <v>117924</v>
      </c>
      <c r="K370" s="85">
        <v>252197</v>
      </c>
      <c r="L370" s="96">
        <f t="shared" si="219"/>
        <v>370121</v>
      </c>
      <c r="M370" s="85">
        <v>0</v>
      </c>
      <c r="N370" s="96">
        <f t="shared" si="212"/>
        <v>370121</v>
      </c>
      <c r="O370" s="85">
        <v>0</v>
      </c>
      <c r="P370" s="96">
        <f t="shared" si="213"/>
        <v>370121</v>
      </c>
      <c r="Q370" s="85">
        <v>-4772</v>
      </c>
      <c r="R370" s="96">
        <f t="shared" si="214"/>
        <v>365349</v>
      </c>
      <c r="S370" s="85">
        <v>0</v>
      </c>
      <c r="T370" s="96">
        <f t="shared" si="215"/>
        <v>365349</v>
      </c>
      <c r="U370" s="85">
        <v>0</v>
      </c>
      <c r="V370" s="96">
        <f t="shared" si="216"/>
        <v>365349</v>
      </c>
      <c r="W370" s="266">
        <v>0</v>
      </c>
      <c r="X370" s="96">
        <f aca="true" t="shared" si="220" ref="X370:X376">SUM(V370:W370)</f>
        <v>365349</v>
      </c>
    </row>
    <row r="371" spans="1:24" s="27" customFormat="1" ht="21" customHeight="1">
      <c r="A371" s="102"/>
      <c r="B371" s="103"/>
      <c r="C371" s="102">
        <v>3260</v>
      </c>
      <c r="D371" s="45" t="s">
        <v>45</v>
      </c>
      <c r="E371" s="96"/>
      <c r="F371" s="96"/>
      <c r="G371" s="96"/>
      <c r="H371" s="96"/>
      <c r="I371" s="96"/>
      <c r="J371" s="96"/>
      <c r="K371" s="85"/>
      <c r="L371" s="96"/>
      <c r="M371" s="85"/>
      <c r="N371" s="96"/>
      <c r="O371" s="85"/>
      <c r="P371" s="96"/>
      <c r="Q371" s="85"/>
      <c r="R371" s="96"/>
      <c r="S371" s="85"/>
      <c r="T371" s="96">
        <v>0</v>
      </c>
      <c r="U371" s="85">
        <v>56396</v>
      </c>
      <c r="V371" s="96">
        <f t="shared" si="216"/>
        <v>56396</v>
      </c>
      <c r="W371" s="85">
        <v>0</v>
      </c>
      <c r="X371" s="96">
        <f t="shared" si="220"/>
        <v>56396</v>
      </c>
    </row>
    <row r="372" spans="1:26" s="27" customFormat="1" ht="21" customHeight="1">
      <c r="A372" s="102"/>
      <c r="B372" s="103"/>
      <c r="C372" s="102">
        <v>4110</v>
      </c>
      <c r="D372" s="45" t="s">
        <v>208</v>
      </c>
      <c r="E372" s="96"/>
      <c r="F372" s="96"/>
      <c r="G372" s="96"/>
      <c r="H372" s="96"/>
      <c r="I372" s="96"/>
      <c r="J372" s="96"/>
      <c r="K372" s="85"/>
      <c r="L372" s="96"/>
      <c r="M372" s="85"/>
      <c r="N372" s="96"/>
      <c r="O372" s="85"/>
      <c r="P372" s="96"/>
      <c r="Q372" s="85"/>
      <c r="R372" s="96"/>
      <c r="S372" s="85"/>
      <c r="T372" s="96"/>
      <c r="U372" s="85"/>
      <c r="V372" s="96">
        <v>0</v>
      </c>
      <c r="W372" s="85">
        <v>2598</v>
      </c>
      <c r="X372" s="96">
        <f t="shared" si="220"/>
        <v>2598</v>
      </c>
      <c r="Y372" s="150"/>
      <c r="Z372" s="150"/>
    </row>
    <row r="373" spans="1:26" s="27" customFormat="1" ht="21" customHeight="1">
      <c r="A373" s="102"/>
      <c r="B373" s="103"/>
      <c r="C373" s="102">
        <v>4120</v>
      </c>
      <c r="D373" s="45" t="s">
        <v>209</v>
      </c>
      <c r="E373" s="96"/>
      <c r="F373" s="96"/>
      <c r="G373" s="96"/>
      <c r="H373" s="96"/>
      <c r="I373" s="96"/>
      <c r="J373" s="96"/>
      <c r="K373" s="85"/>
      <c r="L373" s="96"/>
      <c r="M373" s="85"/>
      <c r="N373" s="96"/>
      <c r="O373" s="85"/>
      <c r="P373" s="96"/>
      <c r="Q373" s="85"/>
      <c r="R373" s="96"/>
      <c r="S373" s="85"/>
      <c r="T373" s="96"/>
      <c r="U373" s="85"/>
      <c r="V373" s="96">
        <v>0</v>
      </c>
      <c r="W373" s="85">
        <v>365</v>
      </c>
      <c r="X373" s="96">
        <f t="shared" si="220"/>
        <v>365</v>
      </c>
      <c r="Y373" s="150"/>
      <c r="Z373" s="150"/>
    </row>
    <row r="374" spans="1:26" s="27" customFormat="1" ht="21" customHeight="1">
      <c r="A374" s="102"/>
      <c r="B374" s="103"/>
      <c r="C374" s="102">
        <v>4170</v>
      </c>
      <c r="D374" s="45" t="s">
        <v>339</v>
      </c>
      <c r="E374" s="96"/>
      <c r="F374" s="96"/>
      <c r="G374" s="96"/>
      <c r="H374" s="96"/>
      <c r="I374" s="96"/>
      <c r="J374" s="96"/>
      <c r="K374" s="85"/>
      <c r="L374" s="96"/>
      <c r="M374" s="85"/>
      <c r="N374" s="96"/>
      <c r="O374" s="85"/>
      <c r="P374" s="96"/>
      <c r="Q374" s="85"/>
      <c r="R374" s="96"/>
      <c r="S374" s="85"/>
      <c r="T374" s="96"/>
      <c r="U374" s="85"/>
      <c r="V374" s="96">
        <v>0</v>
      </c>
      <c r="W374" s="85">
        <v>14877</v>
      </c>
      <c r="X374" s="96">
        <f t="shared" si="220"/>
        <v>14877</v>
      </c>
      <c r="Y374" s="150"/>
      <c r="Z374" s="150"/>
    </row>
    <row r="375" spans="1:24" s="27" customFormat="1" ht="21" customHeight="1">
      <c r="A375" s="102"/>
      <c r="B375" s="103"/>
      <c r="C375" s="102">
        <v>4210</v>
      </c>
      <c r="D375" s="45" t="s">
        <v>214</v>
      </c>
      <c r="E375" s="96"/>
      <c r="F375" s="96"/>
      <c r="G375" s="96"/>
      <c r="H375" s="96"/>
      <c r="I375" s="96"/>
      <c r="J375" s="96"/>
      <c r="K375" s="85"/>
      <c r="L375" s="96"/>
      <c r="M375" s="85"/>
      <c r="N375" s="96"/>
      <c r="O375" s="85"/>
      <c r="P375" s="96"/>
      <c r="Q375" s="85"/>
      <c r="R375" s="96"/>
      <c r="S375" s="85"/>
      <c r="T375" s="96"/>
      <c r="U375" s="85"/>
      <c r="V375" s="96">
        <v>0</v>
      </c>
      <c r="W375" s="85">
        <v>240</v>
      </c>
      <c r="X375" s="96">
        <f t="shared" si="220"/>
        <v>240</v>
      </c>
    </row>
    <row r="376" spans="1:24" s="27" customFormat="1" ht="21" customHeight="1">
      <c r="A376" s="102"/>
      <c r="B376" s="103"/>
      <c r="C376" s="102">
        <v>4300</v>
      </c>
      <c r="D376" s="45" t="s">
        <v>201</v>
      </c>
      <c r="E376" s="96"/>
      <c r="F376" s="96"/>
      <c r="G376" s="96"/>
      <c r="H376" s="96"/>
      <c r="I376" s="96"/>
      <c r="J376" s="96"/>
      <c r="K376" s="85"/>
      <c r="L376" s="96"/>
      <c r="M376" s="85"/>
      <c r="N376" s="96"/>
      <c r="O376" s="85"/>
      <c r="P376" s="96"/>
      <c r="Q376" s="85"/>
      <c r="R376" s="96"/>
      <c r="S376" s="85"/>
      <c r="T376" s="96"/>
      <c r="U376" s="85"/>
      <c r="V376" s="96">
        <v>0</v>
      </c>
      <c r="W376" s="85">
        <v>3900</v>
      </c>
      <c r="X376" s="96">
        <f t="shared" si="220"/>
        <v>3900</v>
      </c>
    </row>
    <row r="377" spans="1:24" s="27" customFormat="1" ht="21.75" customHeight="1">
      <c r="A377" s="102"/>
      <c r="B377" s="103">
        <v>85446</v>
      </c>
      <c r="C377" s="102"/>
      <c r="D377" s="45" t="s">
        <v>282</v>
      </c>
      <c r="E377" s="96">
        <f>SUM(E378:E378)</f>
        <v>3981</v>
      </c>
      <c r="F377" s="96">
        <f>SUM(F378:F378)</f>
        <v>0</v>
      </c>
      <c r="G377" s="96">
        <f>SUM(G378:G378)</f>
        <v>0</v>
      </c>
      <c r="H377" s="96">
        <f aca="true" t="shared" si="221" ref="H377:N377">SUM(H378:H379)</f>
        <v>3981</v>
      </c>
      <c r="I377" s="96">
        <f t="shared" si="221"/>
        <v>0</v>
      </c>
      <c r="J377" s="96">
        <f t="shared" si="221"/>
        <v>3981</v>
      </c>
      <c r="K377" s="96">
        <f t="shared" si="221"/>
        <v>0</v>
      </c>
      <c r="L377" s="96">
        <f t="shared" si="221"/>
        <v>3981</v>
      </c>
      <c r="M377" s="96">
        <f t="shared" si="221"/>
        <v>0</v>
      </c>
      <c r="N377" s="96">
        <f t="shared" si="221"/>
        <v>3981</v>
      </c>
      <c r="O377" s="96">
        <f aca="true" t="shared" si="222" ref="O377:T377">SUM(O378:O379)</f>
        <v>0</v>
      </c>
      <c r="P377" s="96">
        <f t="shared" si="222"/>
        <v>3981</v>
      </c>
      <c r="Q377" s="96">
        <f t="shared" si="222"/>
        <v>0</v>
      </c>
      <c r="R377" s="96">
        <f t="shared" si="222"/>
        <v>3981</v>
      </c>
      <c r="S377" s="96">
        <f t="shared" si="222"/>
        <v>0</v>
      </c>
      <c r="T377" s="96">
        <f t="shared" si="222"/>
        <v>3981</v>
      </c>
      <c r="U377" s="96">
        <f>SUM(U378:U379)</f>
        <v>0</v>
      </c>
      <c r="V377" s="96">
        <f>SUM(V378:V379)</f>
        <v>3981</v>
      </c>
      <c r="W377" s="96">
        <f>SUM(W378:W379)</f>
        <v>-242</v>
      </c>
      <c r="X377" s="96">
        <f>SUM(X378:X379)</f>
        <v>3739</v>
      </c>
    </row>
    <row r="378" spans="1:24" s="27" customFormat="1" ht="21" customHeight="1">
      <c r="A378" s="102"/>
      <c r="B378" s="103"/>
      <c r="C378" s="102">
        <v>4300</v>
      </c>
      <c r="D378" s="45" t="s">
        <v>201</v>
      </c>
      <c r="E378" s="96">
        <v>3981</v>
      </c>
      <c r="F378" s="96"/>
      <c r="G378" s="96"/>
      <c r="H378" s="96">
        <f>E378+F378-G378</f>
        <v>3981</v>
      </c>
      <c r="I378" s="96">
        <v>-998</v>
      </c>
      <c r="J378" s="96">
        <f t="shared" si="218"/>
        <v>2983</v>
      </c>
      <c r="K378" s="96">
        <v>0</v>
      </c>
      <c r="L378" s="96">
        <f t="shared" si="219"/>
        <v>2983</v>
      </c>
      <c r="M378" s="96">
        <v>0</v>
      </c>
      <c r="N378" s="96">
        <f>SUM(L378:M378)</f>
        <v>2983</v>
      </c>
      <c r="O378" s="96">
        <v>0</v>
      </c>
      <c r="P378" s="96">
        <f>SUM(N378:O378)</f>
        <v>2983</v>
      </c>
      <c r="Q378" s="96">
        <v>0</v>
      </c>
      <c r="R378" s="96">
        <f>SUM(P378:Q378)</f>
        <v>2983</v>
      </c>
      <c r="S378" s="96">
        <v>0</v>
      </c>
      <c r="T378" s="96">
        <f>SUM(R378:S378)</f>
        <v>2983</v>
      </c>
      <c r="U378" s="96">
        <v>0</v>
      </c>
      <c r="V378" s="96">
        <f>SUM(T378:U378)</f>
        <v>2983</v>
      </c>
      <c r="W378" s="96">
        <v>-987</v>
      </c>
      <c r="X378" s="96">
        <f>SUM(V378:W378)</f>
        <v>1996</v>
      </c>
    </row>
    <row r="379" spans="1:24" s="27" customFormat="1" ht="21" customHeight="1">
      <c r="A379" s="102"/>
      <c r="B379" s="103"/>
      <c r="C379" s="102">
        <v>4410</v>
      </c>
      <c r="D379" s="45" t="s">
        <v>212</v>
      </c>
      <c r="E379" s="96"/>
      <c r="F379" s="96"/>
      <c r="G379" s="96"/>
      <c r="H379" s="96">
        <v>0</v>
      </c>
      <c r="I379" s="96">
        <v>998</v>
      </c>
      <c r="J379" s="96">
        <f t="shared" si="218"/>
        <v>998</v>
      </c>
      <c r="K379" s="96">
        <v>0</v>
      </c>
      <c r="L379" s="96">
        <f t="shared" si="219"/>
        <v>998</v>
      </c>
      <c r="M379" s="96">
        <v>0</v>
      </c>
      <c r="N379" s="96">
        <f>SUM(L379:M379)</f>
        <v>998</v>
      </c>
      <c r="O379" s="96">
        <v>0</v>
      </c>
      <c r="P379" s="96">
        <f>SUM(N379:O379)</f>
        <v>998</v>
      </c>
      <c r="Q379" s="96">
        <v>0</v>
      </c>
      <c r="R379" s="96">
        <f>SUM(P379:Q379)</f>
        <v>998</v>
      </c>
      <c r="S379" s="96">
        <v>0</v>
      </c>
      <c r="T379" s="96">
        <f>SUM(R379:S379)</f>
        <v>998</v>
      </c>
      <c r="U379" s="96">
        <v>0</v>
      </c>
      <c r="V379" s="96">
        <f>SUM(T379:U379)</f>
        <v>998</v>
      </c>
      <c r="W379" s="96">
        <v>745</v>
      </c>
      <c r="X379" s="96">
        <f>SUM(V379:W379)</f>
        <v>1743</v>
      </c>
    </row>
    <row r="380" spans="1:24" s="27" customFormat="1" ht="21.75" customHeight="1">
      <c r="A380" s="102"/>
      <c r="B380" s="103">
        <v>85495</v>
      </c>
      <c r="C380" s="102"/>
      <c r="D380" s="45" t="s">
        <v>118</v>
      </c>
      <c r="E380" s="96">
        <f>SUM(E381:E381)</f>
        <v>226650</v>
      </c>
      <c r="F380" s="96">
        <f>SUM(F381:F381)</f>
        <v>0</v>
      </c>
      <c r="G380" s="96">
        <f>SUM(G381:G381)</f>
        <v>0</v>
      </c>
      <c r="H380" s="96">
        <f aca="true" t="shared" si="223" ref="H380:H425">E380+F380-G380</f>
        <v>226650</v>
      </c>
      <c r="I380" s="96">
        <f>SUM(I381:I381)</f>
        <v>0</v>
      </c>
      <c r="J380" s="96">
        <f aca="true" t="shared" si="224" ref="J380:X380">SUM(J381)</f>
        <v>226650</v>
      </c>
      <c r="K380" s="96">
        <f t="shared" si="224"/>
        <v>0</v>
      </c>
      <c r="L380" s="96">
        <f t="shared" si="224"/>
        <v>226650</v>
      </c>
      <c r="M380" s="96">
        <f t="shared" si="224"/>
        <v>0</v>
      </c>
      <c r="N380" s="96">
        <f t="shared" si="224"/>
        <v>226650</v>
      </c>
      <c r="O380" s="96">
        <f t="shared" si="224"/>
        <v>0</v>
      </c>
      <c r="P380" s="96">
        <f t="shared" si="224"/>
        <v>226650</v>
      </c>
      <c r="Q380" s="96">
        <f t="shared" si="224"/>
        <v>0</v>
      </c>
      <c r="R380" s="96">
        <f t="shared" si="224"/>
        <v>226650</v>
      </c>
      <c r="S380" s="96">
        <f t="shared" si="224"/>
        <v>0</v>
      </c>
      <c r="T380" s="96">
        <f t="shared" si="224"/>
        <v>226650</v>
      </c>
      <c r="U380" s="96">
        <f t="shared" si="224"/>
        <v>0</v>
      </c>
      <c r="V380" s="96">
        <f t="shared" si="224"/>
        <v>226650</v>
      </c>
      <c r="W380" s="96">
        <f t="shared" si="224"/>
        <v>0</v>
      </c>
      <c r="X380" s="96">
        <f t="shared" si="224"/>
        <v>226650</v>
      </c>
    </row>
    <row r="381" spans="1:24" s="27" customFormat="1" ht="48">
      <c r="A381" s="102"/>
      <c r="B381" s="103"/>
      <c r="C381" s="102">
        <v>2320</v>
      </c>
      <c r="D381" s="45" t="s">
        <v>285</v>
      </c>
      <c r="E381" s="96">
        <f>200000+26650</f>
        <v>226650</v>
      </c>
      <c r="F381" s="96"/>
      <c r="G381" s="96"/>
      <c r="H381" s="96">
        <f t="shared" si="223"/>
        <v>226650</v>
      </c>
      <c r="I381" s="96"/>
      <c r="J381" s="96">
        <f t="shared" si="218"/>
        <v>226650</v>
      </c>
      <c r="K381" s="96">
        <v>0</v>
      </c>
      <c r="L381" s="96">
        <f t="shared" si="219"/>
        <v>226650</v>
      </c>
      <c r="M381" s="96">
        <v>0</v>
      </c>
      <c r="N381" s="96">
        <f>SUM(L381:M381)</f>
        <v>226650</v>
      </c>
      <c r="O381" s="96">
        <v>0</v>
      </c>
      <c r="P381" s="96">
        <f>SUM(N381:O381)</f>
        <v>226650</v>
      </c>
      <c r="Q381" s="96">
        <v>0</v>
      </c>
      <c r="R381" s="96">
        <f>SUM(P381:Q381)</f>
        <v>226650</v>
      </c>
      <c r="S381" s="96">
        <v>0</v>
      </c>
      <c r="T381" s="96">
        <f>SUM(R381:S381)</f>
        <v>226650</v>
      </c>
      <c r="U381" s="96">
        <v>0</v>
      </c>
      <c r="V381" s="96">
        <f>SUM(T381:U381)</f>
        <v>226650</v>
      </c>
      <c r="W381" s="96">
        <v>0</v>
      </c>
      <c r="X381" s="96">
        <f>SUM(V381:W381)</f>
        <v>226650</v>
      </c>
    </row>
    <row r="382" spans="1:24" s="8" customFormat="1" ht="24.75" customHeight="1">
      <c r="A382" s="40" t="s">
        <v>252</v>
      </c>
      <c r="B382" s="41"/>
      <c r="C382" s="42"/>
      <c r="D382" s="43" t="s">
        <v>183</v>
      </c>
      <c r="E382" s="44">
        <f>SUM(E383,E388,E390,E394,E396,E398,E403,)</f>
        <v>2120241</v>
      </c>
      <c r="F382" s="44">
        <f>SUM(F383,F388,F390,F394,F396,F398,F403,)</f>
        <v>560000</v>
      </c>
      <c r="G382" s="44">
        <f>SUM(G383,G388,G390,G394,G396,G398,G403,)</f>
        <v>268000</v>
      </c>
      <c r="H382" s="44">
        <f t="shared" si="223"/>
        <v>2412241</v>
      </c>
      <c r="I382" s="44">
        <f aca="true" t="shared" si="225" ref="I382:N382">SUM(I383,I388,I390,I394,I396,I398,I403,)</f>
        <v>-12</v>
      </c>
      <c r="J382" s="44">
        <f t="shared" si="225"/>
        <v>2412229</v>
      </c>
      <c r="K382" s="44">
        <f t="shared" si="225"/>
        <v>554715</v>
      </c>
      <c r="L382" s="44">
        <f t="shared" si="225"/>
        <v>2966944</v>
      </c>
      <c r="M382" s="44">
        <f t="shared" si="225"/>
        <v>0</v>
      </c>
      <c r="N382" s="44">
        <f t="shared" si="225"/>
        <v>2966944</v>
      </c>
      <c r="O382" s="44">
        <f aca="true" t="shared" si="226" ref="O382:T382">SUM(O383,O388,O390,O394,O396,O398,O403,)</f>
        <v>15847</v>
      </c>
      <c r="P382" s="44">
        <f t="shared" si="226"/>
        <v>2982791</v>
      </c>
      <c r="Q382" s="44">
        <f t="shared" si="226"/>
        <v>873078</v>
      </c>
      <c r="R382" s="44">
        <f t="shared" si="226"/>
        <v>3855869</v>
      </c>
      <c r="S382" s="44">
        <f t="shared" si="226"/>
        <v>0</v>
      </c>
      <c r="T382" s="44">
        <f t="shared" si="226"/>
        <v>3855869</v>
      </c>
      <c r="U382" s="44">
        <f>SUM(U383,U388,U390,U394,U396,U398,U403,)</f>
        <v>0</v>
      </c>
      <c r="V382" s="44">
        <f>SUM(V383,V388,V390,V394,V396,V398,V403,)</f>
        <v>3855869</v>
      </c>
      <c r="W382" s="44">
        <f>SUM(W383,W388,W390,W394,W396,W398,W403,)</f>
        <v>-1247</v>
      </c>
      <c r="X382" s="44">
        <f>SUM(X383,X388,X390,X394,X396,X398,X403,)</f>
        <v>3854622</v>
      </c>
    </row>
    <row r="383" spans="1:24" s="27" customFormat="1" ht="21.75" customHeight="1">
      <c r="A383" s="81"/>
      <c r="B383" s="98" t="s">
        <v>253</v>
      </c>
      <c r="C383" s="102"/>
      <c r="D383" s="45" t="s">
        <v>184</v>
      </c>
      <c r="E383" s="96">
        <f>SUM(E384:E387)</f>
        <v>303075</v>
      </c>
      <c r="F383" s="96">
        <f>SUM(F384:F387)</f>
        <v>560000</v>
      </c>
      <c r="G383" s="96">
        <f>SUM(G384:G387)</f>
        <v>260000</v>
      </c>
      <c r="H383" s="96">
        <f t="shared" si="223"/>
        <v>603075</v>
      </c>
      <c r="I383" s="96">
        <f aca="true" t="shared" si="227" ref="I383:N383">SUM(I384:I387)</f>
        <v>0</v>
      </c>
      <c r="J383" s="96">
        <f t="shared" si="227"/>
        <v>603075</v>
      </c>
      <c r="K383" s="96">
        <f t="shared" si="227"/>
        <v>505115</v>
      </c>
      <c r="L383" s="96">
        <f t="shared" si="227"/>
        <v>1108190</v>
      </c>
      <c r="M383" s="96">
        <f t="shared" si="227"/>
        <v>0</v>
      </c>
      <c r="N383" s="96">
        <f t="shared" si="227"/>
        <v>1108190</v>
      </c>
      <c r="O383" s="96">
        <f aca="true" t="shared" si="228" ref="O383:T383">SUM(O384:O387)</f>
        <v>777</v>
      </c>
      <c r="P383" s="96">
        <f t="shared" si="228"/>
        <v>1108967</v>
      </c>
      <c r="Q383" s="96">
        <f t="shared" si="228"/>
        <v>797078</v>
      </c>
      <c r="R383" s="96">
        <f t="shared" si="228"/>
        <v>1906045</v>
      </c>
      <c r="S383" s="96">
        <f t="shared" si="228"/>
        <v>0</v>
      </c>
      <c r="T383" s="96">
        <f t="shared" si="228"/>
        <v>1906045</v>
      </c>
      <c r="U383" s="96">
        <f>SUM(U384:U387)</f>
        <v>0</v>
      </c>
      <c r="V383" s="96">
        <f>SUM(V384:V387)</f>
        <v>1906045</v>
      </c>
      <c r="W383" s="96">
        <f>SUM(W384:W387)</f>
        <v>34000</v>
      </c>
      <c r="X383" s="96">
        <f>SUM(X384:X387)</f>
        <v>1940045</v>
      </c>
    </row>
    <row r="384" spans="1:24" s="27" customFormat="1" ht="21" customHeight="1">
      <c r="A384" s="81"/>
      <c r="B384" s="98"/>
      <c r="C384" s="81">
        <v>4300</v>
      </c>
      <c r="D384" s="45" t="s">
        <v>201</v>
      </c>
      <c r="E384" s="96">
        <f>40000+3000</f>
        <v>43000</v>
      </c>
      <c r="F384" s="96">
        <v>50000</v>
      </c>
      <c r="G384" s="96"/>
      <c r="H384" s="96">
        <f t="shared" si="223"/>
        <v>93000</v>
      </c>
      <c r="I384" s="96"/>
      <c r="J384" s="96">
        <f t="shared" si="218"/>
        <v>93000</v>
      </c>
      <c r="K384" s="96">
        <v>0</v>
      </c>
      <c r="L384" s="96">
        <f t="shared" si="219"/>
        <v>93000</v>
      </c>
      <c r="M384" s="96">
        <v>0</v>
      </c>
      <c r="N384" s="96">
        <f>SUM(L384:M384)</f>
        <v>93000</v>
      </c>
      <c r="O384" s="96">
        <v>720</v>
      </c>
      <c r="P384" s="96">
        <f>SUM(N384:O384)</f>
        <v>93720</v>
      </c>
      <c r="Q384" s="96">
        <v>0</v>
      </c>
      <c r="R384" s="96">
        <f>SUM(P384:Q384)</f>
        <v>93720</v>
      </c>
      <c r="S384" s="96">
        <v>0</v>
      </c>
      <c r="T384" s="96">
        <f>SUM(R384:S384)</f>
        <v>93720</v>
      </c>
      <c r="U384" s="96">
        <v>0</v>
      </c>
      <c r="V384" s="96">
        <f>SUM(T384:U384)</f>
        <v>93720</v>
      </c>
      <c r="W384" s="96">
        <v>0</v>
      </c>
      <c r="X384" s="96">
        <f>SUM(V384:W384)</f>
        <v>93720</v>
      </c>
    </row>
    <row r="385" spans="1:24" s="27" customFormat="1" ht="21" customHeight="1">
      <c r="A385" s="81"/>
      <c r="B385" s="98"/>
      <c r="C385" s="81">
        <v>4430</v>
      </c>
      <c r="D385" s="45" t="s">
        <v>216</v>
      </c>
      <c r="E385" s="96">
        <v>75</v>
      </c>
      <c r="F385" s="96"/>
      <c r="G385" s="96"/>
      <c r="H385" s="96">
        <f t="shared" si="223"/>
        <v>75</v>
      </c>
      <c r="I385" s="96"/>
      <c r="J385" s="96">
        <f t="shared" si="218"/>
        <v>75</v>
      </c>
      <c r="K385" s="96">
        <v>0</v>
      </c>
      <c r="L385" s="96">
        <f t="shared" si="219"/>
        <v>75</v>
      </c>
      <c r="M385" s="96">
        <v>0</v>
      </c>
      <c r="N385" s="96">
        <f>SUM(L385:M385)</f>
        <v>75</v>
      </c>
      <c r="O385" s="96">
        <v>0</v>
      </c>
      <c r="P385" s="96">
        <f>SUM(N385:O385)</f>
        <v>75</v>
      </c>
      <c r="Q385" s="96">
        <v>0</v>
      </c>
      <c r="R385" s="96">
        <f>SUM(P385:Q385)</f>
        <v>75</v>
      </c>
      <c r="S385" s="96">
        <v>0</v>
      </c>
      <c r="T385" s="96">
        <f>SUM(R385:S385)</f>
        <v>75</v>
      </c>
      <c r="U385" s="96">
        <v>0</v>
      </c>
      <c r="V385" s="96">
        <f>SUM(T385:U385)</f>
        <v>75</v>
      </c>
      <c r="W385" s="96">
        <v>0</v>
      </c>
      <c r="X385" s="96">
        <f>SUM(V385:W385)</f>
        <v>75</v>
      </c>
    </row>
    <row r="386" spans="1:24" s="27" customFormat="1" ht="48">
      <c r="A386" s="81"/>
      <c r="B386" s="98"/>
      <c r="C386" s="81">
        <v>6010</v>
      </c>
      <c r="D386" s="45" t="s">
        <v>417</v>
      </c>
      <c r="E386" s="96"/>
      <c r="F386" s="96"/>
      <c r="G386" s="96"/>
      <c r="H386" s="96"/>
      <c r="I386" s="96"/>
      <c r="J386" s="96">
        <v>0</v>
      </c>
      <c r="K386" s="96">
        <v>115</v>
      </c>
      <c r="L386" s="96">
        <f t="shared" si="219"/>
        <v>115</v>
      </c>
      <c r="M386" s="96">
        <v>0</v>
      </c>
      <c r="N386" s="96">
        <f>SUM(L386:M386)</f>
        <v>115</v>
      </c>
      <c r="O386" s="96">
        <v>57</v>
      </c>
      <c r="P386" s="96">
        <f>SUM(N386:O386)</f>
        <v>172</v>
      </c>
      <c r="Q386" s="96">
        <v>578</v>
      </c>
      <c r="R386" s="96">
        <f>SUM(P386:Q386)</f>
        <v>750</v>
      </c>
      <c r="S386" s="96">
        <v>0</v>
      </c>
      <c r="T386" s="96">
        <f>SUM(R386:S386)</f>
        <v>750</v>
      </c>
      <c r="U386" s="96">
        <v>0</v>
      </c>
      <c r="V386" s="96">
        <f>SUM(T386:U386)</f>
        <v>750</v>
      </c>
      <c r="W386" s="96">
        <v>0</v>
      </c>
      <c r="X386" s="96">
        <f>SUM(V386:W386)</f>
        <v>750</v>
      </c>
    </row>
    <row r="387" spans="1:24" s="27" customFormat="1" ht="21" customHeight="1">
      <c r="A387" s="81"/>
      <c r="B387" s="98"/>
      <c r="C387" s="81">
        <v>6050</v>
      </c>
      <c r="D387" s="45" t="s">
        <v>195</v>
      </c>
      <c r="E387" s="96">
        <f>110000+150000</f>
        <v>260000</v>
      </c>
      <c r="F387" s="96">
        <f>250000+150000+110000</f>
        <v>510000</v>
      </c>
      <c r="G387" s="96">
        <f>110000+150000</f>
        <v>260000</v>
      </c>
      <c r="H387" s="96">
        <f t="shared" si="223"/>
        <v>510000</v>
      </c>
      <c r="I387" s="96"/>
      <c r="J387" s="96">
        <f t="shared" si="218"/>
        <v>510000</v>
      </c>
      <c r="K387" s="96">
        <f>5000+500000</f>
        <v>505000</v>
      </c>
      <c r="L387" s="96">
        <f t="shared" si="219"/>
        <v>1015000</v>
      </c>
      <c r="M387" s="96">
        <v>0</v>
      </c>
      <c r="N387" s="96">
        <f>SUM(L387:M387)</f>
        <v>1015000</v>
      </c>
      <c r="O387" s="96">
        <v>0</v>
      </c>
      <c r="P387" s="96">
        <f>SUM(N387:O387)</f>
        <v>1015000</v>
      </c>
      <c r="Q387" s="286">
        <f>75000+480000+22000+350000+95000+65000+15000+21000+110000-1233000+796500</f>
        <v>796500</v>
      </c>
      <c r="R387" s="96">
        <f>SUM(P387:Q387)</f>
        <v>1811500</v>
      </c>
      <c r="S387" s="286"/>
      <c r="T387" s="96">
        <f>SUM(R387:S387)</f>
        <v>1811500</v>
      </c>
      <c r="U387" s="286"/>
      <c r="V387" s="96">
        <f>SUM(T387:U387)</f>
        <v>1811500</v>
      </c>
      <c r="W387" s="96">
        <f>-13000+31000+190000+86000+46000+15000+29000+68500-418500</f>
        <v>34000</v>
      </c>
      <c r="X387" s="96">
        <f>SUM(V387:W387)</f>
        <v>1845500</v>
      </c>
    </row>
    <row r="388" spans="1:24" s="27" customFormat="1" ht="21.75" customHeight="1">
      <c r="A388" s="81"/>
      <c r="B388" s="98" t="s">
        <v>254</v>
      </c>
      <c r="C388" s="102"/>
      <c r="D388" s="45" t="s">
        <v>255</v>
      </c>
      <c r="E388" s="96">
        <f>SUM(E389:E389)</f>
        <v>650946</v>
      </c>
      <c r="F388" s="96">
        <f>SUM(F389:F389)</f>
        <v>0</v>
      </c>
      <c r="G388" s="96">
        <f>SUM(G389:G389)</f>
        <v>0</v>
      </c>
      <c r="H388" s="96">
        <f t="shared" si="223"/>
        <v>650946</v>
      </c>
      <c r="I388" s="96">
        <f>SUM(I389:I389)</f>
        <v>0</v>
      </c>
      <c r="J388" s="96">
        <f aca="true" t="shared" si="229" ref="J388:X388">SUM(J389)</f>
        <v>650946</v>
      </c>
      <c r="K388" s="96">
        <f t="shared" si="229"/>
        <v>38000</v>
      </c>
      <c r="L388" s="96">
        <f t="shared" si="229"/>
        <v>688946</v>
      </c>
      <c r="M388" s="96">
        <f t="shared" si="229"/>
        <v>0</v>
      </c>
      <c r="N388" s="96">
        <f t="shared" si="229"/>
        <v>688946</v>
      </c>
      <c r="O388" s="96">
        <f t="shared" si="229"/>
        <v>0</v>
      </c>
      <c r="P388" s="96">
        <f t="shared" si="229"/>
        <v>688946</v>
      </c>
      <c r="Q388" s="96">
        <f t="shared" si="229"/>
        <v>0</v>
      </c>
      <c r="R388" s="96">
        <f t="shared" si="229"/>
        <v>688946</v>
      </c>
      <c r="S388" s="96">
        <f t="shared" si="229"/>
        <v>0</v>
      </c>
      <c r="T388" s="96">
        <f t="shared" si="229"/>
        <v>688946</v>
      </c>
      <c r="U388" s="96">
        <f t="shared" si="229"/>
        <v>0</v>
      </c>
      <c r="V388" s="96">
        <f t="shared" si="229"/>
        <v>688946</v>
      </c>
      <c r="W388" s="96">
        <f t="shared" si="229"/>
        <v>-2000</v>
      </c>
      <c r="X388" s="96">
        <f t="shared" si="229"/>
        <v>686946</v>
      </c>
    </row>
    <row r="389" spans="1:24" s="27" customFormat="1" ht="21" customHeight="1">
      <c r="A389" s="81"/>
      <c r="B389" s="98"/>
      <c r="C389" s="102">
        <v>4300</v>
      </c>
      <c r="D389" s="106" t="s">
        <v>201</v>
      </c>
      <c r="E389" s="96">
        <f>2500+648446</f>
        <v>650946</v>
      </c>
      <c r="F389" s="96"/>
      <c r="G389" s="96"/>
      <c r="H389" s="96">
        <f t="shared" si="223"/>
        <v>650946</v>
      </c>
      <c r="I389" s="96"/>
      <c r="J389" s="96">
        <f t="shared" si="218"/>
        <v>650946</v>
      </c>
      <c r="K389" s="96">
        <v>38000</v>
      </c>
      <c r="L389" s="96">
        <f t="shared" si="219"/>
        <v>688946</v>
      </c>
      <c r="M389" s="96"/>
      <c r="N389" s="96">
        <f>SUM(L389:M389)</f>
        <v>688946</v>
      </c>
      <c r="O389" s="96"/>
      <c r="P389" s="96">
        <f>SUM(N389:O389)</f>
        <v>688946</v>
      </c>
      <c r="Q389" s="96"/>
      <c r="R389" s="96">
        <f>SUM(P389:Q389)</f>
        <v>688946</v>
      </c>
      <c r="S389" s="96">
        <v>0</v>
      </c>
      <c r="T389" s="96">
        <f>SUM(R389:S389)</f>
        <v>688946</v>
      </c>
      <c r="U389" s="96">
        <v>0</v>
      </c>
      <c r="V389" s="96">
        <f>SUM(T389:U389)</f>
        <v>688946</v>
      </c>
      <c r="W389" s="96">
        <v>-2000</v>
      </c>
      <c r="X389" s="96">
        <f>SUM(V389:W389)</f>
        <v>686946</v>
      </c>
    </row>
    <row r="390" spans="1:24" s="27" customFormat="1" ht="21.75" customHeight="1">
      <c r="A390" s="81"/>
      <c r="B390" s="98" t="s">
        <v>256</v>
      </c>
      <c r="C390" s="102"/>
      <c r="D390" s="45" t="s">
        <v>287</v>
      </c>
      <c r="E390" s="96">
        <f>SUM(E391:E393)</f>
        <v>209620</v>
      </c>
      <c r="F390" s="96">
        <f>SUM(F391:F393)</f>
        <v>0</v>
      </c>
      <c r="G390" s="96">
        <f>SUM(G391:G393)</f>
        <v>0</v>
      </c>
      <c r="H390" s="96">
        <f t="shared" si="223"/>
        <v>209620</v>
      </c>
      <c r="I390" s="96">
        <f aca="true" t="shared" si="230" ref="I390:N390">SUM(I391:I393)</f>
        <v>-12</v>
      </c>
      <c r="J390" s="96">
        <f t="shared" si="230"/>
        <v>209608</v>
      </c>
      <c r="K390" s="96">
        <f t="shared" si="230"/>
        <v>-8400</v>
      </c>
      <c r="L390" s="96">
        <f t="shared" si="230"/>
        <v>201208</v>
      </c>
      <c r="M390" s="96">
        <f t="shared" si="230"/>
        <v>0</v>
      </c>
      <c r="N390" s="96">
        <f t="shared" si="230"/>
        <v>201208</v>
      </c>
      <c r="O390" s="96">
        <f aca="true" t="shared" si="231" ref="O390:T390">SUM(O391:O393)</f>
        <v>1070</v>
      </c>
      <c r="P390" s="96">
        <f t="shared" si="231"/>
        <v>202278</v>
      </c>
      <c r="Q390" s="96">
        <f t="shared" si="231"/>
        <v>0</v>
      </c>
      <c r="R390" s="96">
        <f t="shared" si="231"/>
        <v>202278</v>
      </c>
      <c r="S390" s="96">
        <f t="shared" si="231"/>
        <v>0</v>
      </c>
      <c r="T390" s="96">
        <f t="shared" si="231"/>
        <v>202278</v>
      </c>
      <c r="U390" s="96">
        <f>SUM(U391:U393)</f>
        <v>0</v>
      </c>
      <c r="V390" s="96">
        <f>SUM(V391:V393)</f>
        <v>202278</v>
      </c>
      <c r="W390" s="96">
        <f>SUM(W391:W393)</f>
        <v>-3148</v>
      </c>
      <c r="X390" s="96">
        <f>SUM(X391:X393)</f>
        <v>199130</v>
      </c>
    </row>
    <row r="391" spans="1:24" s="27" customFormat="1" ht="21" customHeight="1">
      <c r="A391" s="81"/>
      <c r="B391" s="98"/>
      <c r="C391" s="81">
        <v>4210</v>
      </c>
      <c r="D391" s="45" t="s">
        <v>214</v>
      </c>
      <c r="E391" s="96">
        <f>20420+18000+10000</f>
        <v>48420</v>
      </c>
      <c r="F391" s="96"/>
      <c r="G391" s="96"/>
      <c r="H391" s="96">
        <f t="shared" si="223"/>
        <v>48420</v>
      </c>
      <c r="I391" s="96">
        <v>-12</v>
      </c>
      <c r="J391" s="96">
        <f t="shared" si="218"/>
        <v>48408</v>
      </c>
      <c r="K391" s="96">
        <v>-400</v>
      </c>
      <c r="L391" s="96">
        <f t="shared" si="219"/>
        <v>48008</v>
      </c>
      <c r="M391" s="96">
        <v>0</v>
      </c>
      <c r="N391" s="96">
        <f>SUM(L391:M391)</f>
        <v>48008</v>
      </c>
      <c r="O391" s="96">
        <f>370+5000</f>
        <v>5370</v>
      </c>
      <c r="P391" s="96">
        <f>SUM(N391:O391)</f>
        <v>53378</v>
      </c>
      <c r="Q391" s="96"/>
      <c r="R391" s="96">
        <f>SUM(P391:Q391)</f>
        <v>53378</v>
      </c>
      <c r="S391" s="96">
        <v>0</v>
      </c>
      <c r="T391" s="96">
        <f>SUM(R391:S391)</f>
        <v>53378</v>
      </c>
      <c r="U391" s="96">
        <v>0</v>
      </c>
      <c r="V391" s="96">
        <f>SUM(T391:U391)</f>
        <v>53378</v>
      </c>
      <c r="W391" s="96">
        <f>-3348-100</f>
        <v>-3448</v>
      </c>
      <c r="X391" s="96">
        <f>SUM(V391:W391)</f>
        <v>49930</v>
      </c>
    </row>
    <row r="392" spans="1:24" s="27" customFormat="1" ht="21" customHeight="1">
      <c r="A392" s="81"/>
      <c r="B392" s="98"/>
      <c r="C392" s="81">
        <v>4270</v>
      </c>
      <c r="D392" s="45" t="s">
        <v>200</v>
      </c>
      <c r="E392" s="96">
        <v>5000</v>
      </c>
      <c r="F392" s="96"/>
      <c r="G392" s="96"/>
      <c r="H392" s="96">
        <f t="shared" si="223"/>
        <v>5000</v>
      </c>
      <c r="I392" s="96"/>
      <c r="J392" s="96">
        <f t="shared" si="218"/>
        <v>5000</v>
      </c>
      <c r="K392" s="96">
        <v>0</v>
      </c>
      <c r="L392" s="96">
        <f t="shared" si="219"/>
        <v>5000</v>
      </c>
      <c r="M392" s="96">
        <v>0</v>
      </c>
      <c r="N392" s="96">
        <f>SUM(L392:M392)</f>
        <v>5000</v>
      </c>
      <c r="O392" s="96">
        <v>-5000</v>
      </c>
      <c r="P392" s="96">
        <f>SUM(N392:O392)</f>
        <v>0</v>
      </c>
      <c r="Q392" s="96"/>
      <c r="R392" s="96">
        <f>SUM(P392:Q392)</f>
        <v>0</v>
      </c>
      <c r="S392" s="96">
        <v>0</v>
      </c>
      <c r="T392" s="96">
        <f>SUM(R392:S392)</f>
        <v>0</v>
      </c>
      <c r="U392" s="96">
        <v>0</v>
      </c>
      <c r="V392" s="96">
        <f>SUM(T392:U392)</f>
        <v>0</v>
      </c>
      <c r="W392" s="96">
        <v>0</v>
      </c>
      <c r="X392" s="96">
        <f>SUM(V392:W392)</f>
        <v>0</v>
      </c>
    </row>
    <row r="393" spans="1:24" s="27" customFormat="1" ht="21" customHeight="1">
      <c r="A393" s="81"/>
      <c r="B393" s="98"/>
      <c r="C393" s="81">
        <v>4300</v>
      </c>
      <c r="D393" s="45" t="s">
        <v>201</v>
      </c>
      <c r="E393" s="96">
        <f>12940+143260</f>
        <v>156200</v>
      </c>
      <c r="F393" s="96"/>
      <c r="G393" s="96"/>
      <c r="H393" s="96">
        <f t="shared" si="223"/>
        <v>156200</v>
      </c>
      <c r="I393" s="96"/>
      <c r="J393" s="96">
        <f t="shared" si="218"/>
        <v>156200</v>
      </c>
      <c r="K393" s="96">
        <v>-8000</v>
      </c>
      <c r="L393" s="96">
        <f t="shared" si="219"/>
        <v>148200</v>
      </c>
      <c r="M393" s="96">
        <v>0</v>
      </c>
      <c r="N393" s="96">
        <f>SUM(L393:M393)</f>
        <v>148200</v>
      </c>
      <c r="O393" s="96">
        <v>700</v>
      </c>
      <c r="P393" s="96">
        <f>SUM(N393:O393)</f>
        <v>148900</v>
      </c>
      <c r="Q393" s="96"/>
      <c r="R393" s="96">
        <f>SUM(P393:Q393)</f>
        <v>148900</v>
      </c>
      <c r="S393" s="96">
        <v>0</v>
      </c>
      <c r="T393" s="96">
        <f>SUM(R393:S393)</f>
        <v>148900</v>
      </c>
      <c r="U393" s="96">
        <v>0</v>
      </c>
      <c r="V393" s="96">
        <f>SUM(T393:U393)</f>
        <v>148900</v>
      </c>
      <c r="W393" s="96">
        <v>300</v>
      </c>
      <c r="X393" s="96">
        <f>SUM(V393:W393)</f>
        <v>149200</v>
      </c>
    </row>
    <row r="394" spans="1:24" s="27" customFormat="1" ht="21.75" customHeight="1">
      <c r="A394" s="81"/>
      <c r="B394" s="98" t="s">
        <v>257</v>
      </c>
      <c r="C394" s="102"/>
      <c r="D394" s="45" t="s">
        <v>258</v>
      </c>
      <c r="E394" s="96">
        <f>SUM(E395:E395)</f>
        <v>12000</v>
      </c>
      <c r="F394" s="96">
        <f>SUM(F395:F395)</f>
        <v>0</v>
      </c>
      <c r="G394" s="96">
        <f>SUM(G395:G395)</f>
        <v>0</v>
      </c>
      <c r="H394" s="96">
        <f t="shared" si="223"/>
        <v>12000</v>
      </c>
      <c r="I394" s="96">
        <f>SUM(I395:I395)</f>
        <v>0</v>
      </c>
      <c r="J394" s="96">
        <f aca="true" t="shared" si="232" ref="J394:X394">SUM(J395)</f>
        <v>12000</v>
      </c>
      <c r="K394" s="96">
        <f t="shared" si="232"/>
        <v>0</v>
      </c>
      <c r="L394" s="96">
        <f t="shared" si="232"/>
        <v>12000</v>
      </c>
      <c r="M394" s="96">
        <f t="shared" si="232"/>
        <v>0</v>
      </c>
      <c r="N394" s="96">
        <f t="shared" si="232"/>
        <v>12000</v>
      </c>
      <c r="O394" s="96">
        <f t="shared" si="232"/>
        <v>0</v>
      </c>
      <c r="P394" s="96">
        <f t="shared" si="232"/>
        <v>12000</v>
      </c>
      <c r="Q394" s="96">
        <f t="shared" si="232"/>
        <v>0</v>
      </c>
      <c r="R394" s="96">
        <f t="shared" si="232"/>
        <v>12000</v>
      </c>
      <c r="S394" s="96">
        <f t="shared" si="232"/>
        <v>0</v>
      </c>
      <c r="T394" s="96">
        <f t="shared" si="232"/>
        <v>12000</v>
      </c>
      <c r="U394" s="96">
        <f t="shared" si="232"/>
        <v>0</v>
      </c>
      <c r="V394" s="96">
        <f t="shared" si="232"/>
        <v>12000</v>
      </c>
      <c r="W394" s="96">
        <f t="shared" si="232"/>
        <v>0</v>
      </c>
      <c r="X394" s="96">
        <f t="shared" si="232"/>
        <v>12000</v>
      </c>
    </row>
    <row r="395" spans="1:24" s="27" customFormat="1" ht="24">
      <c r="A395" s="81"/>
      <c r="B395" s="98"/>
      <c r="C395" s="102">
        <v>4520</v>
      </c>
      <c r="D395" s="45" t="s">
        <v>259</v>
      </c>
      <c r="E395" s="96">
        <v>12000</v>
      </c>
      <c r="F395" s="96"/>
      <c r="G395" s="96"/>
      <c r="H395" s="96">
        <f t="shared" si="223"/>
        <v>12000</v>
      </c>
      <c r="I395" s="96"/>
      <c r="J395" s="96">
        <f t="shared" si="218"/>
        <v>12000</v>
      </c>
      <c r="K395" s="96">
        <v>0</v>
      </c>
      <c r="L395" s="96">
        <f t="shared" si="219"/>
        <v>12000</v>
      </c>
      <c r="M395" s="96">
        <v>0</v>
      </c>
      <c r="N395" s="96">
        <f>SUM(L395:M395)</f>
        <v>12000</v>
      </c>
      <c r="O395" s="96">
        <v>0</v>
      </c>
      <c r="P395" s="96">
        <f>SUM(N395:O395)</f>
        <v>12000</v>
      </c>
      <c r="Q395" s="96">
        <v>0</v>
      </c>
      <c r="R395" s="96">
        <f>SUM(P395:Q395)</f>
        <v>12000</v>
      </c>
      <c r="S395" s="96">
        <v>0</v>
      </c>
      <c r="T395" s="96">
        <f>SUM(R395:S395)</f>
        <v>12000</v>
      </c>
      <c r="U395" s="96">
        <v>0</v>
      </c>
      <c r="V395" s="96">
        <f>SUM(T395:U395)</f>
        <v>12000</v>
      </c>
      <c r="W395" s="96">
        <v>0</v>
      </c>
      <c r="X395" s="96">
        <f>SUM(V395:W395)</f>
        <v>12000</v>
      </c>
    </row>
    <row r="396" spans="1:24" s="27" customFormat="1" ht="21" customHeight="1">
      <c r="A396" s="81"/>
      <c r="B396" s="98" t="s">
        <v>260</v>
      </c>
      <c r="C396" s="102"/>
      <c r="D396" s="45" t="s">
        <v>261</v>
      </c>
      <c r="E396" s="96">
        <f>SUM(E397)</f>
        <v>84000</v>
      </c>
      <c r="F396" s="96">
        <f>SUM(F397)</f>
        <v>0</v>
      </c>
      <c r="G396" s="96">
        <f>SUM(G397)</f>
        <v>0</v>
      </c>
      <c r="H396" s="96">
        <f t="shared" si="223"/>
        <v>84000</v>
      </c>
      <c r="I396" s="96">
        <f aca="true" t="shared" si="233" ref="I396:X396">SUM(I397)</f>
        <v>0</v>
      </c>
      <c r="J396" s="96">
        <f t="shared" si="233"/>
        <v>84000</v>
      </c>
      <c r="K396" s="96">
        <f t="shared" si="233"/>
        <v>20000</v>
      </c>
      <c r="L396" s="96">
        <f t="shared" si="233"/>
        <v>104000</v>
      </c>
      <c r="M396" s="96">
        <f t="shared" si="233"/>
        <v>0</v>
      </c>
      <c r="N396" s="96">
        <f t="shared" si="233"/>
        <v>104000</v>
      </c>
      <c r="O396" s="96">
        <f t="shared" si="233"/>
        <v>0</v>
      </c>
      <c r="P396" s="96">
        <f t="shared" si="233"/>
        <v>104000</v>
      </c>
      <c r="Q396" s="96">
        <f t="shared" si="233"/>
        <v>0</v>
      </c>
      <c r="R396" s="96">
        <f t="shared" si="233"/>
        <v>104000</v>
      </c>
      <c r="S396" s="96">
        <f t="shared" si="233"/>
        <v>0</v>
      </c>
      <c r="T396" s="96">
        <f t="shared" si="233"/>
        <v>104000</v>
      </c>
      <c r="U396" s="96">
        <f t="shared" si="233"/>
        <v>0</v>
      </c>
      <c r="V396" s="96">
        <f t="shared" si="233"/>
        <v>104000</v>
      </c>
      <c r="W396" s="96">
        <f t="shared" si="233"/>
        <v>0</v>
      </c>
      <c r="X396" s="96">
        <f t="shared" si="233"/>
        <v>104000</v>
      </c>
    </row>
    <row r="397" spans="1:24" s="27" customFormat="1" ht="21" customHeight="1">
      <c r="A397" s="81"/>
      <c r="B397" s="98"/>
      <c r="C397" s="102">
        <v>4300</v>
      </c>
      <c r="D397" s="106" t="s">
        <v>201</v>
      </c>
      <c r="E397" s="96">
        <f>84000</f>
        <v>84000</v>
      </c>
      <c r="F397" s="96"/>
      <c r="G397" s="96"/>
      <c r="H397" s="96">
        <f t="shared" si="223"/>
        <v>84000</v>
      </c>
      <c r="I397" s="96"/>
      <c r="J397" s="96">
        <f t="shared" si="218"/>
        <v>84000</v>
      </c>
      <c r="K397" s="96">
        <v>20000</v>
      </c>
      <c r="L397" s="96">
        <f t="shared" si="219"/>
        <v>104000</v>
      </c>
      <c r="M397" s="96">
        <v>0</v>
      </c>
      <c r="N397" s="96">
        <f>SUM(L397:M397)</f>
        <v>104000</v>
      </c>
      <c r="O397" s="96">
        <v>0</v>
      </c>
      <c r="P397" s="96">
        <f>SUM(N397:O397)</f>
        <v>104000</v>
      </c>
      <c r="Q397" s="96">
        <v>0</v>
      </c>
      <c r="R397" s="96">
        <f>SUM(P397:Q397)</f>
        <v>104000</v>
      </c>
      <c r="S397" s="96">
        <v>0</v>
      </c>
      <c r="T397" s="96">
        <f>SUM(R397:S397)</f>
        <v>104000</v>
      </c>
      <c r="U397" s="96">
        <v>0</v>
      </c>
      <c r="V397" s="96">
        <f>SUM(T397:U397)</f>
        <v>104000</v>
      </c>
      <c r="W397" s="96">
        <v>0</v>
      </c>
      <c r="X397" s="96">
        <f>SUM(V397:W397)</f>
        <v>104000</v>
      </c>
    </row>
    <row r="398" spans="1:24" s="27" customFormat="1" ht="21" customHeight="1">
      <c r="A398" s="81"/>
      <c r="B398" s="98" t="s">
        <v>262</v>
      </c>
      <c r="C398" s="102"/>
      <c r="D398" s="45" t="s">
        <v>263</v>
      </c>
      <c r="E398" s="96">
        <f>SUM(E399:E402)</f>
        <v>760400</v>
      </c>
      <c r="F398" s="96">
        <f>SUM(F399:F402)</f>
        <v>0</v>
      </c>
      <c r="G398" s="96">
        <f>SUM(G399:G402)</f>
        <v>0</v>
      </c>
      <c r="H398" s="96">
        <f t="shared" si="223"/>
        <v>760400</v>
      </c>
      <c r="I398" s="96">
        <f aca="true" t="shared" si="234" ref="I398:N398">SUM(I399:I402)</f>
        <v>0</v>
      </c>
      <c r="J398" s="96">
        <f t="shared" si="234"/>
        <v>760400</v>
      </c>
      <c r="K398" s="96">
        <f t="shared" si="234"/>
        <v>0</v>
      </c>
      <c r="L398" s="96">
        <f t="shared" si="234"/>
        <v>760400</v>
      </c>
      <c r="M398" s="96">
        <f t="shared" si="234"/>
        <v>0</v>
      </c>
      <c r="N398" s="96">
        <f t="shared" si="234"/>
        <v>760400</v>
      </c>
      <c r="O398" s="96">
        <f aca="true" t="shared" si="235" ref="O398:T398">SUM(O399:O402)</f>
        <v>14000</v>
      </c>
      <c r="P398" s="96">
        <f t="shared" si="235"/>
        <v>774400</v>
      </c>
      <c r="Q398" s="96">
        <f t="shared" si="235"/>
        <v>76000</v>
      </c>
      <c r="R398" s="96">
        <f t="shared" si="235"/>
        <v>850400</v>
      </c>
      <c r="S398" s="96">
        <f t="shared" si="235"/>
        <v>0</v>
      </c>
      <c r="T398" s="96">
        <f t="shared" si="235"/>
        <v>850400</v>
      </c>
      <c r="U398" s="96">
        <f>SUM(U399:U402)</f>
        <v>0</v>
      </c>
      <c r="V398" s="96">
        <f>SUM(V399:V402)</f>
        <v>850400</v>
      </c>
      <c r="W398" s="96">
        <f>SUM(W399:W402)</f>
        <v>-30000</v>
      </c>
      <c r="X398" s="96">
        <f>SUM(X399:X402)</f>
        <v>820400</v>
      </c>
    </row>
    <row r="399" spans="1:24" s="27" customFormat="1" ht="21" customHeight="1">
      <c r="A399" s="81"/>
      <c r="B399" s="103"/>
      <c r="C399" s="81">
        <v>4260</v>
      </c>
      <c r="D399" s="45" t="s">
        <v>217</v>
      </c>
      <c r="E399" s="96">
        <v>450000</v>
      </c>
      <c r="F399" s="96"/>
      <c r="G399" s="96"/>
      <c r="H399" s="96">
        <f t="shared" si="223"/>
        <v>450000</v>
      </c>
      <c r="I399" s="96"/>
      <c r="J399" s="96">
        <f t="shared" si="218"/>
        <v>450000</v>
      </c>
      <c r="K399" s="96">
        <v>0</v>
      </c>
      <c r="L399" s="96">
        <f t="shared" si="219"/>
        <v>450000</v>
      </c>
      <c r="M399" s="96">
        <v>0</v>
      </c>
      <c r="N399" s="96">
        <f>SUM(L399:M399)</f>
        <v>450000</v>
      </c>
      <c r="O399" s="96">
        <v>0</v>
      </c>
      <c r="P399" s="96">
        <f>SUM(N399:O399)</f>
        <v>450000</v>
      </c>
      <c r="Q399" s="96">
        <v>0</v>
      </c>
      <c r="R399" s="96">
        <f>SUM(P399:Q399)</f>
        <v>450000</v>
      </c>
      <c r="S399" s="96">
        <v>0</v>
      </c>
      <c r="T399" s="96">
        <f>SUM(R399:S399)</f>
        <v>450000</v>
      </c>
      <c r="U399" s="96">
        <v>0</v>
      </c>
      <c r="V399" s="96">
        <f>SUM(T399:U399)</f>
        <v>450000</v>
      </c>
      <c r="W399" s="96">
        <v>0</v>
      </c>
      <c r="X399" s="96">
        <f>SUM(V399:W399)</f>
        <v>450000</v>
      </c>
    </row>
    <row r="400" spans="1:24" s="27" customFormat="1" ht="21" customHeight="1">
      <c r="A400" s="81"/>
      <c r="B400" s="103"/>
      <c r="C400" s="81">
        <v>4270</v>
      </c>
      <c r="D400" s="45" t="s">
        <v>200</v>
      </c>
      <c r="E400" s="96">
        <v>130000</v>
      </c>
      <c r="F400" s="96"/>
      <c r="G400" s="96"/>
      <c r="H400" s="96">
        <f t="shared" si="223"/>
        <v>130000</v>
      </c>
      <c r="I400" s="96"/>
      <c r="J400" s="96">
        <f t="shared" si="218"/>
        <v>130000</v>
      </c>
      <c r="K400" s="96">
        <v>0</v>
      </c>
      <c r="L400" s="96">
        <f t="shared" si="219"/>
        <v>130000</v>
      </c>
      <c r="M400" s="96">
        <v>0</v>
      </c>
      <c r="N400" s="96">
        <f>SUM(L400:M400)</f>
        <v>130000</v>
      </c>
      <c r="O400" s="96">
        <v>0</v>
      </c>
      <c r="P400" s="96">
        <f>SUM(N400:O400)</f>
        <v>130000</v>
      </c>
      <c r="Q400" s="96">
        <v>0</v>
      </c>
      <c r="R400" s="96">
        <f>SUM(P400:Q400)</f>
        <v>130000</v>
      </c>
      <c r="S400" s="96">
        <v>0</v>
      </c>
      <c r="T400" s="96">
        <f>SUM(R400:S400)</f>
        <v>130000</v>
      </c>
      <c r="U400" s="96">
        <v>0</v>
      </c>
      <c r="V400" s="96">
        <f>SUM(T400:U400)</f>
        <v>130000</v>
      </c>
      <c r="W400" s="96">
        <v>0</v>
      </c>
      <c r="X400" s="96">
        <f>SUM(V400:W400)</f>
        <v>130000</v>
      </c>
    </row>
    <row r="401" spans="1:24" s="27" customFormat="1" ht="21" customHeight="1">
      <c r="A401" s="81"/>
      <c r="B401" s="103"/>
      <c r="C401" s="81">
        <v>4300</v>
      </c>
      <c r="D401" s="45" t="s">
        <v>201</v>
      </c>
      <c r="E401" s="96">
        <v>25000</v>
      </c>
      <c r="F401" s="96"/>
      <c r="G401" s="96"/>
      <c r="H401" s="96">
        <f t="shared" si="223"/>
        <v>25000</v>
      </c>
      <c r="I401" s="96"/>
      <c r="J401" s="96">
        <f t="shared" si="218"/>
        <v>25000</v>
      </c>
      <c r="K401" s="96">
        <v>0</v>
      </c>
      <c r="L401" s="96">
        <f t="shared" si="219"/>
        <v>25000</v>
      </c>
      <c r="M401" s="96">
        <v>0</v>
      </c>
      <c r="N401" s="96">
        <f>SUM(L401:M401)</f>
        <v>25000</v>
      </c>
      <c r="O401" s="96">
        <v>0</v>
      </c>
      <c r="P401" s="96">
        <f>SUM(N401:O401)</f>
        <v>25000</v>
      </c>
      <c r="Q401" s="96">
        <v>0</v>
      </c>
      <c r="R401" s="96">
        <f>SUM(P401:Q401)</f>
        <v>25000</v>
      </c>
      <c r="S401" s="96">
        <v>0</v>
      </c>
      <c r="T401" s="96">
        <f>SUM(R401:S401)</f>
        <v>25000</v>
      </c>
      <c r="U401" s="96">
        <v>0</v>
      </c>
      <c r="V401" s="96">
        <f>SUM(T401:U401)</f>
        <v>25000</v>
      </c>
      <c r="W401" s="96">
        <v>0</v>
      </c>
      <c r="X401" s="96">
        <f>SUM(V401:W401)</f>
        <v>25000</v>
      </c>
    </row>
    <row r="402" spans="1:24" s="27" customFormat="1" ht="21" customHeight="1">
      <c r="A402" s="81"/>
      <c r="B402" s="103"/>
      <c r="C402" s="81">
        <v>6050</v>
      </c>
      <c r="D402" s="45" t="s">
        <v>195</v>
      </c>
      <c r="E402" s="96">
        <f>20400+85000+20000+10000+20000</f>
        <v>155400</v>
      </c>
      <c r="F402" s="96"/>
      <c r="G402" s="96"/>
      <c r="H402" s="96">
        <f t="shared" si="223"/>
        <v>155400</v>
      </c>
      <c r="I402" s="96"/>
      <c r="J402" s="96">
        <f t="shared" si="218"/>
        <v>155400</v>
      </c>
      <c r="K402" s="96">
        <v>0</v>
      </c>
      <c r="L402" s="96">
        <f t="shared" si="219"/>
        <v>155400</v>
      </c>
      <c r="M402" s="96">
        <v>0</v>
      </c>
      <c r="N402" s="96">
        <f>SUM(L402:M402)</f>
        <v>155400</v>
      </c>
      <c r="O402" s="96">
        <v>14000</v>
      </c>
      <c r="P402" s="96">
        <f>SUM(N402:O402)</f>
        <v>169400</v>
      </c>
      <c r="Q402" s="286">
        <f>100000+14000+33000+25000+30000-202000+76000</f>
        <v>76000</v>
      </c>
      <c r="R402" s="96">
        <f>SUM(P402:Q402)</f>
        <v>245400</v>
      </c>
      <c r="S402" s="269">
        <v>0</v>
      </c>
      <c r="T402" s="96">
        <f>SUM(R402:S402)</f>
        <v>245400</v>
      </c>
      <c r="U402" s="269">
        <v>0</v>
      </c>
      <c r="V402" s="96">
        <f>SUM(T402:U402)</f>
        <v>245400</v>
      </c>
      <c r="W402" s="269">
        <f>-30000</f>
        <v>-30000</v>
      </c>
      <c r="X402" s="96">
        <f>SUM(V402:W402)</f>
        <v>215400</v>
      </c>
    </row>
    <row r="403" spans="1:24" s="27" customFormat="1" ht="21" customHeight="1">
      <c r="A403" s="81"/>
      <c r="B403" s="98" t="s">
        <v>264</v>
      </c>
      <c r="C403" s="102"/>
      <c r="D403" s="45" t="s">
        <v>118</v>
      </c>
      <c r="E403" s="96">
        <f>SUM(E404:E408)</f>
        <v>100200</v>
      </c>
      <c r="F403" s="96">
        <f>SUM(F404:F408)</f>
        <v>0</v>
      </c>
      <c r="G403" s="96">
        <f>SUM(G404:G408)</f>
        <v>8000</v>
      </c>
      <c r="H403" s="96">
        <f t="shared" si="223"/>
        <v>92200</v>
      </c>
      <c r="I403" s="96">
        <f aca="true" t="shared" si="236" ref="I403:N403">SUM(I404:I408)</f>
        <v>0</v>
      </c>
      <c r="J403" s="96">
        <f t="shared" si="236"/>
        <v>92200</v>
      </c>
      <c r="K403" s="96">
        <f t="shared" si="236"/>
        <v>0</v>
      </c>
      <c r="L403" s="96">
        <f t="shared" si="236"/>
        <v>92200</v>
      </c>
      <c r="M403" s="96">
        <f t="shared" si="236"/>
        <v>0</v>
      </c>
      <c r="N403" s="96">
        <f t="shared" si="236"/>
        <v>92200</v>
      </c>
      <c r="O403" s="96">
        <f aca="true" t="shared" si="237" ref="O403:T403">SUM(O404:O408)</f>
        <v>0</v>
      </c>
      <c r="P403" s="96">
        <f t="shared" si="237"/>
        <v>92200</v>
      </c>
      <c r="Q403" s="96">
        <f t="shared" si="237"/>
        <v>0</v>
      </c>
      <c r="R403" s="96">
        <f t="shared" si="237"/>
        <v>92200</v>
      </c>
      <c r="S403" s="96">
        <f t="shared" si="237"/>
        <v>0</v>
      </c>
      <c r="T403" s="96">
        <f t="shared" si="237"/>
        <v>92200</v>
      </c>
      <c r="U403" s="96">
        <f>SUM(U404:U408)</f>
        <v>0</v>
      </c>
      <c r="V403" s="96">
        <f>SUM(V404:V408)</f>
        <v>92200</v>
      </c>
      <c r="W403" s="96">
        <f>SUM(W404:W408)</f>
        <v>-99</v>
      </c>
      <c r="X403" s="96">
        <f>SUM(X404:X408)</f>
        <v>92101</v>
      </c>
    </row>
    <row r="404" spans="1:24" s="27" customFormat="1" ht="21" customHeight="1">
      <c r="A404" s="81"/>
      <c r="B404" s="103"/>
      <c r="C404" s="102">
        <v>4210</v>
      </c>
      <c r="D404" s="45" t="s">
        <v>214</v>
      </c>
      <c r="E404" s="96">
        <v>2700</v>
      </c>
      <c r="F404" s="96"/>
      <c r="G404" s="96"/>
      <c r="H404" s="96">
        <f t="shared" si="223"/>
        <v>2700</v>
      </c>
      <c r="I404" s="96"/>
      <c r="J404" s="96">
        <f t="shared" si="218"/>
        <v>2700</v>
      </c>
      <c r="K404" s="96">
        <v>0</v>
      </c>
      <c r="L404" s="96">
        <f t="shared" si="219"/>
        <v>2700</v>
      </c>
      <c r="M404" s="96">
        <v>0</v>
      </c>
      <c r="N404" s="96">
        <f>SUM(L404:M404)</f>
        <v>2700</v>
      </c>
      <c r="O404" s="96">
        <v>0</v>
      </c>
      <c r="P404" s="96">
        <f>SUM(N404:O404)</f>
        <v>2700</v>
      </c>
      <c r="Q404" s="96">
        <v>0</v>
      </c>
      <c r="R404" s="96">
        <f>SUM(P404:Q404)</f>
        <v>2700</v>
      </c>
      <c r="S404" s="96">
        <v>0</v>
      </c>
      <c r="T404" s="96">
        <f>SUM(R404:S404)</f>
        <v>2700</v>
      </c>
      <c r="U404" s="96">
        <v>0</v>
      </c>
      <c r="V404" s="96">
        <f>SUM(T404:U404)</f>
        <v>2700</v>
      </c>
      <c r="W404" s="96">
        <v>-99</v>
      </c>
      <c r="X404" s="96">
        <f>SUM(V404:W404)</f>
        <v>2601</v>
      </c>
    </row>
    <row r="405" spans="1:24" s="27" customFormat="1" ht="21" customHeight="1">
      <c r="A405" s="81"/>
      <c r="B405" s="103"/>
      <c r="C405" s="81">
        <v>4260</v>
      </c>
      <c r="D405" s="45" t="s">
        <v>217</v>
      </c>
      <c r="E405" s="96">
        <v>5500</v>
      </c>
      <c r="F405" s="96"/>
      <c r="G405" s="96"/>
      <c r="H405" s="96">
        <f t="shared" si="223"/>
        <v>5500</v>
      </c>
      <c r="I405" s="96"/>
      <c r="J405" s="96">
        <f t="shared" si="218"/>
        <v>5500</v>
      </c>
      <c r="K405" s="96">
        <v>0</v>
      </c>
      <c r="L405" s="96">
        <f t="shared" si="219"/>
        <v>5500</v>
      </c>
      <c r="M405" s="96">
        <v>0</v>
      </c>
      <c r="N405" s="96">
        <f>SUM(L405:M405)</f>
        <v>5500</v>
      </c>
      <c r="O405" s="96">
        <v>0</v>
      </c>
      <c r="P405" s="96">
        <f>SUM(N405:O405)</f>
        <v>5500</v>
      </c>
      <c r="Q405" s="96">
        <v>0</v>
      </c>
      <c r="R405" s="96">
        <f>SUM(P405:Q405)</f>
        <v>5500</v>
      </c>
      <c r="S405" s="96">
        <v>0</v>
      </c>
      <c r="T405" s="96">
        <f>SUM(R405:S405)</f>
        <v>5500</v>
      </c>
      <c r="U405" s="96">
        <v>0</v>
      </c>
      <c r="V405" s="96">
        <f>SUM(T405:U405)</f>
        <v>5500</v>
      </c>
      <c r="W405" s="96">
        <v>0</v>
      </c>
      <c r="X405" s="96">
        <f>SUM(V405:W405)</f>
        <v>5500</v>
      </c>
    </row>
    <row r="406" spans="1:24" s="27" customFormat="1" ht="21" customHeight="1">
      <c r="A406" s="81"/>
      <c r="B406" s="103"/>
      <c r="C406" s="81">
        <v>4270</v>
      </c>
      <c r="D406" s="45" t="s">
        <v>200</v>
      </c>
      <c r="E406" s="96">
        <v>8000</v>
      </c>
      <c r="F406" s="96"/>
      <c r="G406" s="96">
        <v>8000</v>
      </c>
      <c r="H406" s="96">
        <f t="shared" si="223"/>
        <v>0</v>
      </c>
      <c r="I406" s="96"/>
      <c r="J406" s="96">
        <f t="shared" si="218"/>
        <v>0</v>
      </c>
      <c r="K406" s="96">
        <v>0</v>
      </c>
      <c r="L406" s="96">
        <f t="shared" si="219"/>
        <v>0</v>
      </c>
      <c r="M406" s="96">
        <v>0</v>
      </c>
      <c r="N406" s="96">
        <f>SUM(L406:M406)</f>
        <v>0</v>
      </c>
      <c r="O406" s="96">
        <v>0</v>
      </c>
      <c r="P406" s="96">
        <f>SUM(N406:O406)</f>
        <v>0</v>
      </c>
      <c r="Q406" s="96">
        <v>0</v>
      </c>
      <c r="R406" s="96">
        <f>SUM(P406:Q406)</f>
        <v>0</v>
      </c>
      <c r="S406" s="96">
        <v>0</v>
      </c>
      <c r="T406" s="96">
        <f>SUM(R406:S406)</f>
        <v>0</v>
      </c>
      <c r="U406" s="96">
        <v>0</v>
      </c>
      <c r="V406" s="96">
        <f>SUM(T406:U406)</f>
        <v>0</v>
      </c>
      <c r="W406" s="96">
        <v>0</v>
      </c>
      <c r="X406" s="96">
        <f>SUM(V406:W406)</f>
        <v>0</v>
      </c>
    </row>
    <row r="407" spans="1:24" s="27" customFormat="1" ht="21" customHeight="1">
      <c r="A407" s="81"/>
      <c r="B407" s="103"/>
      <c r="C407" s="102">
        <v>4300</v>
      </c>
      <c r="D407" s="106" t="s">
        <v>201</v>
      </c>
      <c r="E407" s="96">
        <f>67000+5000+2000</f>
        <v>74000</v>
      </c>
      <c r="F407" s="96"/>
      <c r="G407" s="96"/>
      <c r="H407" s="96">
        <f t="shared" si="223"/>
        <v>74000</v>
      </c>
      <c r="I407" s="96"/>
      <c r="J407" s="96">
        <f t="shared" si="218"/>
        <v>74000</v>
      </c>
      <c r="K407" s="96">
        <v>0</v>
      </c>
      <c r="L407" s="96">
        <f t="shared" si="219"/>
        <v>74000</v>
      </c>
      <c r="M407" s="96">
        <v>0</v>
      </c>
      <c r="N407" s="96">
        <f>SUM(L407:M407)</f>
        <v>74000</v>
      </c>
      <c r="O407" s="96">
        <v>0</v>
      </c>
      <c r="P407" s="96">
        <f>SUM(N407:O407)</f>
        <v>74000</v>
      </c>
      <c r="Q407" s="96">
        <v>0</v>
      </c>
      <c r="R407" s="96">
        <f>SUM(P407:Q407)</f>
        <v>74000</v>
      </c>
      <c r="S407" s="96">
        <v>0</v>
      </c>
      <c r="T407" s="96">
        <f>SUM(R407:S407)</f>
        <v>74000</v>
      </c>
      <c r="U407" s="96">
        <v>0</v>
      </c>
      <c r="V407" s="96">
        <f>SUM(T407:U407)</f>
        <v>74000</v>
      </c>
      <c r="W407" s="96">
        <v>0</v>
      </c>
      <c r="X407" s="96">
        <f>SUM(V407:W407)</f>
        <v>74000</v>
      </c>
    </row>
    <row r="408" spans="1:24" s="27" customFormat="1" ht="21" customHeight="1">
      <c r="A408" s="81"/>
      <c r="B408" s="103"/>
      <c r="C408" s="102">
        <v>4390</v>
      </c>
      <c r="D408" s="45" t="s">
        <v>415</v>
      </c>
      <c r="E408" s="96">
        <f>6000+4000</f>
        <v>10000</v>
      </c>
      <c r="F408" s="96"/>
      <c r="G408" s="96"/>
      <c r="H408" s="96">
        <f t="shared" si="223"/>
        <v>10000</v>
      </c>
      <c r="I408" s="96"/>
      <c r="J408" s="96">
        <f t="shared" si="218"/>
        <v>10000</v>
      </c>
      <c r="K408" s="96">
        <v>0</v>
      </c>
      <c r="L408" s="96">
        <f t="shared" si="219"/>
        <v>10000</v>
      </c>
      <c r="M408" s="96">
        <v>0</v>
      </c>
      <c r="N408" s="96">
        <f>SUM(L408:M408)</f>
        <v>10000</v>
      </c>
      <c r="O408" s="96">
        <v>0</v>
      </c>
      <c r="P408" s="96">
        <f>SUM(N408:O408)</f>
        <v>10000</v>
      </c>
      <c r="Q408" s="96">
        <v>0</v>
      </c>
      <c r="R408" s="96">
        <f>SUM(P408:Q408)</f>
        <v>10000</v>
      </c>
      <c r="S408" s="96">
        <v>0</v>
      </c>
      <c r="T408" s="96">
        <f>SUM(R408:S408)</f>
        <v>10000</v>
      </c>
      <c r="U408" s="96">
        <v>0</v>
      </c>
      <c r="V408" s="96">
        <f>SUM(T408:U408)</f>
        <v>10000</v>
      </c>
      <c r="W408" s="96">
        <v>0</v>
      </c>
      <c r="X408" s="96">
        <f>SUM(V408:W408)</f>
        <v>10000</v>
      </c>
    </row>
    <row r="409" spans="1:24" s="7" customFormat="1" ht="24.75" customHeight="1">
      <c r="A409" s="40" t="s">
        <v>185</v>
      </c>
      <c r="B409" s="41"/>
      <c r="C409" s="42"/>
      <c r="D409" s="43" t="s">
        <v>265</v>
      </c>
      <c r="E409" s="44">
        <f>SUM(E410,E419,E421,)</f>
        <v>1797130</v>
      </c>
      <c r="F409" s="44">
        <f>SUM(F410,F419,F421,)</f>
        <v>76900</v>
      </c>
      <c r="G409" s="44">
        <f>SUM(G410,G419,G421,)</f>
        <v>0</v>
      </c>
      <c r="H409" s="44">
        <f t="shared" si="223"/>
        <v>1874030</v>
      </c>
      <c r="I409" s="44">
        <f aca="true" t="shared" si="238" ref="I409:N409">SUM(I410,I419,I421,)</f>
        <v>10258</v>
      </c>
      <c r="J409" s="44">
        <f t="shared" si="238"/>
        <v>1884288</v>
      </c>
      <c r="K409" s="44">
        <f t="shared" si="238"/>
        <v>0</v>
      </c>
      <c r="L409" s="44">
        <f t="shared" si="238"/>
        <v>1884288</v>
      </c>
      <c r="M409" s="44">
        <f t="shared" si="238"/>
        <v>0</v>
      </c>
      <c r="N409" s="44">
        <f t="shared" si="238"/>
        <v>1884288</v>
      </c>
      <c r="O409" s="44">
        <f aca="true" t="shared" si="239" ref="O409:T409">SUM(O410,O419,O421,)</f>
        <v>-2390</v>
      </c>
      <c r="P409" s="44">
        <f t="shared" si="239"/>
        <v>1881898</v>
      </c>
      <c r="Q409" s="44">
        <f t="shared" si="239"/>
        <v>20000</v>
      </c>
      <c r="R409" s="44">
        <f t="shared" si="239"/>
        <v>1901898</v>
      </c>
      <c r="S409" s="44">
        <f t="shared" si="239"/>
        <v>0</v>
      </c>
      <c r="T409" s="44">
        <f t="shared" si="239"/>
        <v>1901898</v>
      </c>
      <c r="U409" s="44">
        <f>SUM(U410,U419,U421,)</f>
        <v>0</v>
      </c>
      <c r="V409" s="44">
        <f>SUM(V410,V419,V421,)</f>
        <v>1901898</v>
      </c>
      <c r="W409" s="44">
        <f>SUM(W410,W419,W421,)</f>
        <v>8847</v>
      </c>
      <c r="X409" s="44">
        <f>SUM(X410,X419,X421,)</f>
        <v>1910745</v>
      </c>
    </row>
    <row r="410" spans="1:24" s="27" customFormat="1" ht="21.75" customHeight="1">
      <c r="A410" s="81"/>
      <c r="B410" s="98" t="s">
        <v>266</v>
      </c>
      <c r="C410" s="102"/>
      <c r="D410" s="45" t="s">
        <v>286</v>
      </c>
      <c r="E410" s="96">
        <f>SUM(E411:E417)</f>
        <v>504660</v>
      </c>
      <c r="F410" s="96">
        <f>SUM(F411:F417)</f>
        <v>76000</v>
      </c>
      <c r="G410" s="96">
        <f>SUM(G411:G417)</f>
        <v>0</v>
      </c>
      <c r="H410" s="96">
        <f t="shared" si="223"/>
        <v>580660</v>
      </c>
      <c r="I410" s="96">
        <f>SUM(I411:I417)</f>
        <v>8258</v>
      </c>
      <c r="J410" s="96">
        <f aca="true" t="shared" si="240" ref="J410:P410">SUM(J411:J418)</f>
        <v>588918</v>
      </c>
      <c r="K410" s="96">
        <f t="shared" si="240"/>
        <v>0</v>
      </c>
      <c r="L410" s="96">
        <f t="shared" si="240"/>
        <v>588918</v>
      </c>
      <c r="M410" s="96">
        <f t="shared" si="240"/>
        <v>0</v>
      </c>
      <c r="N410" s="96">
        <f t="shared" si="240"/>
        <v>588918</v>
      </c>
      <c r="O410" s="96">
        <f t="shared" si="240"/>
        <v>-2390</v>
      </c>
      <c r="P410" s="96">
        <f t="shared" si="240"/>
        <v>586528</v>
      </c>
      <c r="Q410" s="96">
        <f aca="true" t="shared" si="241" ref="Q410:V410">SUM(Q411:Q418)</f>
        <v>20000</v>
      </c>
      <c r="R410" s="96">
        <f t="shared" si="241"/>
        <v>606528</v>
      </c>
      <c r="S410" s="96">
        <f t="shared" si="241"/>
        <v>0</v>
      </c>
      <c r="T410" s="96">
        <f t="shared" si="241"/>
        <v>606528</v>
      </c>
      <c r="U410" s="96">
        <f t="shared" si="241"/>
        <v>0</v>
      </c>
      <c r="V410" s="96">
        <f t="shared" si="241"/>
        <v>606528</v>
      </c>
      <c r="W410" s="96">
        <f>SUM(W411:W418)</f>
        <v>8847</v>
      </c>
      <c r="X410" s="96">
        <f>SUM(X411:X418)</f>
        <v>615375</v>
      </c>
    </row>
    <row r="411" spans="1:24" s="27" customFormat="1" ht="24">
      <c r="A411" s="81"/>
      <c r="B411" s="98"/>
      <c r="C411" s="102">
        <v>2480</v>
      </c>
      <c r="D411" s="45" t="s">
        <v>334</v>
      </c>
      <c r="E411" s="96">
        <f>407340+43250</f>
        <v>450590</v>
      </c>
      <c r="F411" s="96">
        <v>76000</v>
      </c>
      <c r="G411" s="96"/>
      <c r="H411" s="96">
        <f t="shared" si="223"/>
        <v>526590</v>
      </c>
      <c r="I411" s="96">
        <f>1500+500+3500+1500+1000+1500</f>
        <v>9500</v>
      </c>
      <c r="J411" s="96">
        <f t="shared" si="218"/>
        <v>536090</v>
      </c>
      <c r="K411" s="96">
        <v>0</v>
      </c>
      <c r="L411" s="96">
        <f t="shared" si="219"/>
        <v>536090</v>
      </c>
      <c r="M411" s="96">
        <v>0</v>
      </c>
      <c r="N411" s="96">
        <f aca="true" t="shared" si="242" ref="N411:N418">SUM(L411:M411)</f>
        <v>536090</v>
      </c>
      <c r="O411" s="96">
        <v>0</v>
      </c>
      <c r="P411" s="96">
        <f aca="true" t="shared" si="243" ref="P411:P418">SUM(N411:O411)</f>
        <v>536090</v>
      </c>
      <c r="Q411" s="286">
        <v>20000</v>
      </c>
      <c r="R411" s="96">
        <f aca="true" t="shared" si="244" ref="R411:R418">SUM(P411:Q411)</f>
        <v>556090</v>
      </c>
      <c r="S411" s="269">
        <v>0</v>
      </c>
      <c r="T411" s="96">
        <f aca="true" t="shared" si="245" ref="T411:T418">SUM(R411:S411)</f>
        <v>556090</v>
      </c>
      <c r="U411" s="269">
        <v>0</v>
      </c>
      <c r="V411" s="96">
        <f aca="true" t="shared" si="246" ref="V411:V418">SUM(T411:U411)</f>
        <v>556090</v>
      </c>
      <c r="W411" s="269">
        <v>0</v>
      </c>
      <c r="X411" s="96">
        <f aca="true" t="shared" si="247" ref="X411:X418">SUM(V411:W411)</f>
        <v>556090</v>
      </c>
    </row>
    <row r="412" spans="1:24" s="27" customFormat="1" ht="20.25" customHeight="1">
      <c r="A412" s="81"/>
      <c r="B412" s="98"/>
      <c r="C412" s="81">
        <v>4210</v>
      </c>
      <c r="D412" s="45" t="s">
        <v>214</v>
      </c>
      <c r="E412" s="96">
        <v>16610</v>
      </c>
      <c r="F412" s="96"/>
      <c r="G412" s="96"/>
      <c r="H412" s="96">
        <f t="shared" si="223"/>
        <v>16610</v>
      </c>
      <c r="I412" s="96"/>
      <c r="J412" s="96">
        <f t="shared" si="218"/>
        <v>16610</v>
      </c>
      <c r="K412" s="96">
        <v>0</v>
      </c>
      <c r="L412" s="96">
        <f t="shared" si="219"/>
        <v>16610</v>
      </c>
      <c r="M412" s="96">
        <v>0</v>
      </c>
      <c r="N412" s="96">
        <f t="shared" si="242"/>
        <v>16610</v>
      </c>
      <c r="O412" s="96">
        <v>1620</v>
      </c>
      <c r="P412" s="96">
        <f t="shared" si="243"/>
        <v>18230</v>
      </c>
      <c r="Q412" s="96">
        <v>0</v>
      </c>
      <c r="R412" s="96">
        <f t="shared" si="244"/>
        <v>18230</v>
      </c>
      <c r="S412" s="96">
        <v>0</v>
      </c>
      <c r="T412" s="96">
        <f t="shared" si="245"/>
        <v>18230</v>
      </c>
      <c r="U412" s="96">
        <v>0</v>
      </c>
      <c r="V412" s="96">
        <f t="shared" si="246"/>
        <v>18230</v>
      </c>
      <c r="W412" s="96">
        <f>6693-200</f>
        <v>6493</v>
      </c>
      <c r="X412" s="96">
        <f t="shared" si="247"/>
        <v>24723</v>
      </c>
    </row>
    <row r="413" spans="1:24" s="27" customFormat="1" ht="21" customHeight="1">
      <c r="A413" s="81"/>
      <c r="B413" s="98"/>
      <c r="C413" s="81">
        <v>4260</v>
      </c>
      <c r="D413" s="45" t="s">
        <v>217</v>
      </c>
      <c r="E413" s="96">
        <v>9540</v>
      </c>
      <c r="F413" s="96"/>
      <c r="G413" s="96"/>
      <c r="H413" s="96">
        <f t="shared" si="223"/>
        <v>9540</v>
      </c>
      <c r="I413" s="96">
        <v>-42</v>
      </c>
      <c r="J413" s="96">
        <f t="shared" si="218"/>
        <v>9498</v>
      </c>
      <c r="K413" s="96">
        <v>0</v>
      </c>
      <c r="L413" s="96">
        <f t="shared" si="219"/>
        <v>9498</v>
      </c>
      <c r="M413" s="96">
        <v>0</v>
      </c>
      <c r="N413" s="96">
        <f t="shared" si="242"/>
        <v>9498</v>
      </c>
      <c r="O413" s="96">
        <v>0</v>
      </c>
      <c r="P413" s="96">
        <f t="shared" si="243"/>
        <v>9498</v>
      </c>
      <c r="Q413" s="96">
        <v>0</v>
      </c>
      <c r="R413" s="96">
        <f t="shared" si="244"/>
        <v>9498</v>
      </c>
      <c r="S413" s="96">
        <v>0</v>
      </c>
      <c r="T413" s="96">
        <f t="shared" si="245"/>
        <v>9498</v>
      </c>
      <c r="U413" s="96">
        <v>0</v>
      </c>
      <c r="V413" s="96">
        <f t="shared" si="246"/>
        <v>9498</v>
      </c>
      <c r="W413" s="96">
        <v>1354</v>
      </c>
      <c r="X413" s="96">
        <f t="shared" si="247"/>
        <v>10852</v>
      </c>
    </row>
    <row r="414" spans="1:24" s="27" customFormat="1" ht="21" customHeight="1">
      <c r="A414" s="81"/>
      <c r="B414" s="98"/>
      <c r="C414" s="81">
        <v>4270</v>
      </c>
      <c r="D414" s="45" t="s">
        <v>200</v>
      </c>
      <c r="E414" s="96">
        <v>20680</v>
      </c>
      <c r="F414" s="96"/>
      <c r="G414" s="96"/>
      <c r="H414" s="96">
        <f t="shared" si="223"/>
        <v>20680</v>
      </c>
      <c r="I414" s="96">
        <v>-1200</v>
      </c>
      <c r="J414" s="96">
        <f t="shared" si="218"/>
        <v>19480</v>
      </c>
      <c r="K414" s="96">
        <v>0</v>
      </c>
      <c r="L414" s="96">
        <f t="shared" si="219"/>
        <v>19480</v>
      </c>
      <c r="M414" s="96">
        <v>0</v>
      </c>
      <c r="N414" s="96">
        <f t="shared" si="242"/>
        <v>19480</v>
      </c>
      <c r="O414" s="96">
        <v>-3290</v>
      </c>
      <c r="P414" s="96">
        <f t="shared" si="243"/>
        <v>16190</v>
      </c>
      <c r="Q414" s="96">
        <v>0</v>
      </c>
      <c r="R414" s="96">
        <f t="shared" si="244"/>
        <v>16190</v>
      </c>
      <c r="S414" s="96">
        <v>0</v>
      </c>
      <c r="T414" s="96">
        <f t="shared" si="245"/>
        <v>16190</v>
      </c>
      <c r="U414" s="96">
        <v>0</v>
      </c>
      <c r="V414" s="96">
        <f t="shared" si="246"/>
        <v>16190</v>
      </c>
      <c r="W414" s="96">
        <v>1000</v>
      </c>
      <c r="X414" s="96">
        <f t="shared" si="247"/>
        <v>17190</v>
      </c>
    </row>
    <row r="415" spans="1:24" s="27" customFormat="1" ht="21" customHeight="1">
      <c r="A415" s="81"/>
      <c r="B415" s="98"/>
      <c r="C415" s="102">
        <v>4300</v>
      </c>
      <c r="D415" s="106" t="s">
        <v>201</v>
      </c>
      <c r="E415" s="96">
        <v>980</v>
      </c>
      <c r="F415" s="96"/>
      <c r="G415" s="96"/>
      <c r="H415" s="96">
        <f t="shared" si="223"/>
        <v>980</v>
      </c>
      <c r="I415" s="96"/>
      <c r="J415" s="96">
        <f t="shared" si="218"/>
        <v>980</v>
      </c>
      <c r="K415" s="96">
        <v>0</v>
      </c>
      <c r="L415" s="96">
        <f t="shared" si="219"/>
        <v>980</v>
      </c>
      <c r="M415" s="96">
        <v>0</v>
      </c>
      <c r="N415" s="96">
        <f t="shared" si="242"/>
        <v>980</v>
      </c>
      <c r="O415" s="96">
        <v>-720</v>
      </c>
      <c r="P415" s="96">
        <f t="shared" si="243"/>
        <v>260</v>
      </c>
      <c r="Q415" s="96">
        <v>0</v>
      </c>
      <c r="R415" s="96">
        <f t="shared" si="244"/>
        <v>260</v>
      </c>
      <c r="S415" s="96">
        <v>0</v>
      </c>
      <c r="T415" s="96">
        <f t="shared" si="245"/>
        <v>260</v>
      </c>
      <c r="U415" s="96">
        <v>0</v>
      </c>
      <c r="V415" s="96">
        <f t="shared" si="246"/>
        <v>260</v>
      </c>
      <c r="W415" s="96">
        <v>0</v>
      </c>
      <c r="X415" s="96">
        <f t="shared" si="247"/>
        <v>260</v>
      </c>
    </row>
    <row r="416" spans="1:24" s="27" customFormat="1" ht="21" customHeight="1">
      <c r="A416" s="81"/>
      <c r="B416" s="98"/>
      <c r="C416" s="102">
        <v>4430</v>
      </c>
      <c r="D416" s="106" t="s">
        <v>216</v>
      </c>
      <c r="E416" s="96">
        <v>1280</v>
      </c>
      <c r="F416" s="96"/>
      <c r="G416" s="96"/>
      <c r="H416" s="96">
        <f t="shared" si="223"/>
        <v>1280</v>
      </c>
      <c r="I416" s="96"/>
      <c r="J416" s="96">
        <f t="shared" si="218"/>
        <v>1280</v>
      </c>
      <c r="K416" s="96">
        <v>0</v>
      </c>
      <c r="L416" s="96">
        <f t="shared" si="219"/>
        <v>1280</v>
      </c>
      <c r="M416" s="96">
        <v>0</v>
      </c>
      <c r="N416" s="96">
        <f t="shared" si="242"/>
        <v>1280</v>
      </c>
      <c r="O416" s="96">
        <v>0</v>
      </c>
      <c r="P416" s="96">
        <f t="shared" si="243"/>
        <v>1280</v>
      </c>
      <c r="Q416" s="96">
        <v>0</v>
      </c>
      <c r="R416" s="96">
        <f t="shared" si="244"/>
        <v>1280</v>
      </c>
      <c r="S416" s="96">
        <v>0</v>
      </c>
      <c r="T416" s="96">
        <f t="shared" si="245"/>
        <v>1280</v>
      </c>
      <c r="U416" s="96">
        <v>0</v>
      </c>
      <c r="V416" s="96">
        <f t="shared" si="246"/>
        <v>1280</v>
      </c>
      <c r="W416" s="96">
        <v>0</v>
      </c>
      <c r="X416" s="96">
        <f t="shared" si="247"/>
        <v>1280</v>
      </c>
    </row>
    <row r="417" spans="1:24" s="27" customFormat="1" ht="21" customHeight="1">
      <c r="A417" s="81"/>
      <c r="B417" s="98"/>
      <c r="C417" s="102">
        <v>6050</v>
      </c>
      <c r="D417" s="45" t="s">
        <v>195</v>
      </c>
      <c r="E417" s="96">
        <v>4980</v>
      </c>
      <c r="F417" s="96"/>
      <c r="G417" s="96"/>
      <c r="H417" s="96">
        <f t="shared" si="223"/>
        <v>4980</v>
      </c>
      <c r="I417" s="96"/>
      <c r="J417" s="96">
        <f t="shared" si="218"/>
        <v>4980</v>
      </c>
      <c r="K417" s="96">
        <v>-4980</v>
      </c>
      <c r="L417" s="96">
        <f t="shared" si="219"/>
        <v>0</v>
      </c>
      <c r="M417" s="96">
        <v>0</v>
      </c>
      <c r="N417" s="96">
        <f t="shared" si="242"/>
        <v>0</v>
      </c>
      <c r="O417" s="96">
        <v>0</v>
      </c>
      <c r="P417" s="96">
        <f t="shared" si="243"/>
        <v>0</v>
      </c>
      <c r="Q417" s="96">
        <v>0</v>
      </c>
      <c r="R417" s="96">
        <f t="shared" si="244"/>
        <v>0</v>
      </c>
      <c r="S417" s="96">
        <v>0</v>
      </c>
      <c r="T417" s="96">
        <f t="shared" si="245"/>
        <v>0</v>
      </c>
      <c r="U417" s="96">
        <v>0</v>
      </c>
      <c r="V417" s="96">
        <f t="shared" si="246"/>
        <v>0</v>
      </c>
      <c r="W417" s="96">
        <v>0</v>
      </c>
      <c r="X417" s="96">
        <f t="shared" si="247"/>
        <v>0</v>
      </c>
    </row>
    <row r="418" spans="1:24" s="27" customFormat="1" ht="21" customHeight="1">
      <c r="A418" s="81"/>
      <c r="B418" s="98"/>
      <c r="C418" s="102">
        <v>6060</v>
      </c>
      <c r="D418" s="45" t="s">
        <v>218</v>
      </c>
      <c r="E418" s="96"/>
      <c r="F418" s="96"/>
      <c r="G418" s="96"/>
      <c r="H418" s="96"/>
      <c r="I418" s="96"/>
      <c r="J418" s="96">
        <v>0</v>
      </c>
      <c r="K418" s="96">
        <v>4980</v>
      </c>
      <c r="L418" s="96">
        <f t="shared" si="219"/>
        <v>4980</v>
      </c>
      <c r="M418" s="96">
        <v>0</v>
      </c>
      <c r="N418" s="96">
        <f t="shared" si="242"/>
        <v>4980</v>
      </c>
      <c r="O418" s="96">
        <v>0</v>
      </c>
      <c r="P418" s="96">
        <f t="shared" si="243"/>
        <v>4980</v>
      </c>
      <c r="Q418" s="96">
        <v>0</v>
      </c>
      <c r="R418" s="96">
        <f t="shared" si="244"/>
        <v>4980</v>
      </c>
      <c r="S418" s="96">
        <v>0</v>
      </c>
      <c r="T418" s="96">
        <f t="shared" si="245"/>
        <v>4980</v>
      </c>
      <c r="U418" s="96">
        <v>0</v>
      </c>
      <c r="V418" s="96">
        <f t="shared" si="246"/>
        <v>4980</v>
      </c>
      <c r="W418" s="96">
        <v>0</v>
      </c>
      <c r="X418" s="96">
        <f t="shared" si="247"/>
        <v>4980</v>
      </c>
    </row>
    <row r="419" spans="1:24" s="27" customFormat="1" ht="21.75" customHeight="1">
      <c r="A419" s="81"/>
      <c r="B419" s="98" t="s">
        <v>186</v>
      </c>
      <c r="C419" s="102"/>
      <c r="D419" s="45" t="s">
        <v>187</v>
      </c>
      <c r="E419" s="96">
        <f>E420</f>
        <v>916000</v>
      </c>
      <c r="F419" s="96">
        <f>F420</f>
        <v>900</v>
      </c>
      <c r="G419" s="96">
        <f>G420</f>
        <v>0</v>
      </c>
      <c r="H419" s="96">
        <f t="shared" si="223"/>
        <v>916900</v>
      </c>
      <c r="I419" s="96">
        <f>I420</f>
        <v>0</v>
      </c>
      <c r="J419" s="96">
        <f aca="true" t="shared" si="248" ref="J419:X419">SUM(J420)</f>
        <v>916900</v>
      </c>
      <c r="K419" s="96">
        <f t="shared" si="248"/>
        <v>0</v>
      </c>
      <c r="L419" s="96">
        <f t="shared" si="248"/>
        <v>916900</v>
      </c>
      <c r="M419" s="96">
        <f t="shared" si="248"/>
        <v>0</v>
      </c>
      <c r="N419" s="96">
        <f t="shared" si="248"/>
        <v>916900</v>
      </c>
      <c r="O419" s="96">
        <f t="shared" si="248"/>
        <v>0</v>
      </c>
      <c r="P419" s="96">
        <f t="shared" si="248"/>
        <v>916900</v>
      </c>
      <c r="Q419" s="96">
        <f t="shared" si="248"/>
        <v>0</v>
      </c>
      <c r="R419" s="96">
        <f t="shared" si="248"/>
        <v>916900</v>
      </c>
      <c r="S419" s="96">
        <f t="shared" si="248"/>
        <v>0</v>
      </c>
      <c r="T419" s="96">
        <f t="shared" si="248"/>
        <v>916900</v>
      </c>
      <c r="U419" s="96">
        <f t="shared" si="248"/>
        <v>0</v>
      </c>
      <c r="V419" s="96">
        <f t="shared" si="248"/>
        <v>916900</v>
      </c>
      <c r="W419" s="96">
        <f t="shared" si="248"/>
        <v>0</v>
      </c>
      <c r="X419" s="96">
        <f t="shared" si="248"/>
        <v>916900</v>
      </c>
    </row>
    <row r="420" spans="1:24" s="27" customFormat="1" ht="24">
      <c r="A420" s="81"/>
      <c r="B420" s="98"/>
      <c r="C420" s="102">
        <v>2480</v>
      </c>
      <c r="D420" s="45" t="s">
        <v>334</v>
      </c>
      <c r="E420" s="96">
        <f>45000+851000+20000</f>
        <v>916000</v>
      </c>
      <c r="F420" s="96">
        <v>900</v>
      </c>
      <c r="G420" s="96"/>
      <c r="H420" s="96">
        <f t="shared" si="223"/>
        <v>916900</v>
      </c>
      <c r="I420" s="96"/>
      <c r="J420" s="96">
        <f t="shared" si="218"/>
        <v>916900</v>
      </c>
      <c r="K420" s="96">
        <v>0</v>
      </c>
      <c r="L420" s="96">
        <f t="shared" si="219"/>
        <v>916900</v>
      </c>
      <c r="M420" s="96">
        <v>0</v>
      </c>
      <c r="N420" s="96">
        <f>SUM(L420:M420)</f>
        <v>916900</v>
      </c>
      <c r="O420" s="96">
        <v>0</v>
      </c>
      <c r="P420" s="96">
        <f>SUM(N420:O420)</f>
        <v>916900</v>
      </c>
      <c r="Q420" s="96">
        <v>0</v>
      </c>
      <c r="R420" s="96">
        <f>SUM(P420:Q420)</f>
        <v>916900</v>
      </c>
      <c r="S420" s="96">
        <v>0</v>
      </c>
      <c r="T420" s="96">
        <f>SUM(R420:S420)</f>
        <v>916900</v>
      </c>
      <c r="U420" s="96">
        <v>0</v>
      </c>
      <c r="V420" s="96">
        <f>SUM(T420:U420)</f>
        <v>916900</v>
      </c>
      <c r="W420" s="96">
        <v>0</v>
      </c>
      <c r="X420" s="96">
        <f>SUM(V420:W420)</f>
        <v>916900</v>
      </c>
    </row>
    <row r="421" spans="1:24" s="27" customFormat="1" ht="18.75" customHeight="1">
      <c r="A421" s="81"/>
      <c r="B421" s="98" t="s">
        <v>267</v>
      </c>
      <c r="C421" s="102"/>
      <c r="D421" s="45" t="s">
        <v>268</v>
      </c>
      <c r="E421" s="96">
        <f>E422</f>
        <v>376470</v>
      </c>
      <c r="F421" s="96">
        <f>F422</f>
        <v>0</v>
      </c>
      <c r="G421" s="96">
        <f>G422</f>
        <v>0</v>
      </c>
      <c r="H421" s="96">
        <f t="shared" si="223"/>
        <v>376470</v>
      </c>
      <c r="I421" s="96">
        <f>I422</f>
        <v>2000</v>
      </c>
      <c r="J421" s="96">
        <f aca="true" t="shared" si="249" ref="J421:X421">SUM(J422)</f>
        <v>378470</v>
      </c>
      <c r="K421" s="96">
        <f t="shared" si="249"/>
        <v>0</v>
      </c>
      <c r="L421" s="96">
        <f t="shared" si="249"/>
        <v>378470</v>
      </c>
      <c r="M421" s="96">
        <f t="shared" si="249"/>
        <v>0</v>
      </c>
      <c r="N421" s="96">
        <f t="shared" si="249"/>
        <v>378470</v>
      </c>
      <c r="O421" s="96">
        <f t="shared" si="249"/>
        <v>0</v>
      </c>
      <c r="P421" s="96">
        <f t="shared" si="249"/>
        <v>378470</v>
      </c>
      <c r="Q421" s="96">
        <f t="shared" si="249"/>
        <v>0</v>
      </c>
      <c r="R421" s="96">
        <f t="shared" si="249"/>
        <v>378470</v>
      </c>
      <c r="S421" s="96">
        <f t="shared" si="249"/>
        <v>0</v>
      </c>
      <c r="T421" s="96">
        <f t="shared" si="249"/>
        <v>378470</v>
      </c>
      <c r="U421" s="96">
        <f t="shared" si="249"/>
        <v>0</v>
      </c>
      <c r="V421" s="96">
        <f t="shared" si="249"/>
        <v>378470</v>
      </c>
      <c r="W421" s="96">
        <f t="shared" si="249"/>
        <v>0</v>
      </c>
      <c r="X421" s="96">
        <f t="shared" si="249"/>
        <v>378470</v>
      </c>
    </row>
    <row r="422" spans="1:24" s="27" customFormat="1" ht="25.5" customHeight="1">
      <c r="A422" s="81"/>
      <c r="B422" s="98"/>
      <c r="C422" s="102">
        <v>2480</v>
      </c>
      <c r="D422" s="45" t="s">
        <v>334</v>
      </c>
      <c r="E422" s="96">
        <f>368470+8000</f>
        <v>376470</v>
      </c>
      <c r="F422" s="96"/>
      <c r="G422" s="96"/>
      <c r="H422" s="96">
        <f t="shared" si="223"/>
        <v>376470</v>
      </c>
      <c r="I422" s="96">
        <f>500+1000+500</f>
        <v>2000</v>
      </c>
      <c r="J422" s="96">
        <f t="shared" si="218"/>
        <v>378470</v>
      </c>
      <c r="K422" s="96">
        <v>0</v>
      </c>
      <c r="L422" s="96">
        <f t="shared" si="219"/>
        <v>378470</v>
      </c>
      <c r="M422" s="96">
        <v>0</v>
      </c>
      <c r="N422" s="96">
        <f>SUM(L422:M422)</f>
        <v>378470</v>
      </c>
      <c r="O422" s="96">
        <v>0</v>
      </c>
      <c r="P422" s="96">
        <f>SUM(N422:O422)</f>
        <v>378470</v>
      </c>
      <c r="Q422" s="96">
        <v>0</v>
      </c>
      <c r="R422" s="96">
        <f>SUM(P422:Q422)</f>
        <v>378470</v>
      </c>
      <c r="S422" s="96">
        <v>0</v>
      </c>
      <c r="T422" s="96">
        <f>SUM(R422:S422)</f>
        <v>378470</v>
      </c>
      <c r="U422" s="96">
        <v>0</v>
      </c>
      <c r="V422" s="96">
        <f>SUM(T422:U422)</f>
        <v>378470</v>
      </c>
      <c r="W422" s="96">
        <v>0</v>
      </c>
      <c r="X422" s="96">
        <f>SUM(V422:W422)</f>
        <v>378470</v>
      </c>
    </row>
    <row r="423" spans="1:24" s="7" customFormat="1" ht="24.75" customHeight="1">
      <c r="A423" s="40" t="s">
        <v>269</v>
      </c>
      <c r="B423" s="41"/>
      <c r="C423" s="42"/>
      <c r="D423" s="43" t="s">
        <v>188</v>
      </c>
      <c r="E423" s="44">
        <f>SUM(E430,E426,E424)</f>
        <v>693580</v>
      </c>
      <c r="F423" s="44">
        <f>SUM(F430,F426,F424)</f>
        <v>28000</v>
      </c>
      <c r="G423" s="44">
        <f>SUM(G430,G426,G424)</f>
        <v>200000</v>
      </c>
      <c r="H423" s="44">
        <f t="shared" si="223"/>
        <v>521580</v>
      </c>
      <c r="I423" s="44">
        <f>SUM(I430,I426,I424)</f>
        <v>436800</v>
      </c>
      <c r="J423" s="44">
        <f aca="true" t="shared" si="250" ref="J423:P423">SUM(J424,J426,J430,)</f>
        <v>958380</v>
      </c>
      <c r="K423" s="44">
        <f t="shared" si="250"/>
        <v>10800</v>
      </c>
      <c r="L423" s="44">
        <f t="shared" si="250"/>
        <v>969180</v>
      </c>
      <c r="M423" s="44">
        <f t="shared" si="250"/>
        <v>0</v>
      </c>
      <c r="N423" s="44">
        <f t="shared" si="250"/>
        <v>969180</v>
      </c>
      <c r="O423" s="44">
        <f t="shared" si="250"/>
        <v>35000</v>
      </c>
      <c r="P423" s="44">
        <f t="shared" si="250"/>
        <v>1004180</v>
      </c>
      <c r="Q423" s="44">
        <f aca="true" t="shared" si="251" ref="Q423:V423">SUM(Q424,Q426,Q430,)</f>
        <v>-21360</v>
      </c>
      <c r="R423" s="44">
        <f t="shared" si="251"/>
        <v>982820</v>
      </c>
      <c r="S423" s="44">
        <f t="shared" si="251"/>
        <v>0</v>
      </c>
      <c r="T423" s="44">
        <f t="shared" si="251"/>
        <v>982820</v>
      </c>
      <c r="U423" s="44">
        <f t="shared" si="251"/>
        <v>0</v>
      </c>
      <c r="V423" s="44">
        <f t="shared" si="251"/>
        <v>982820</v>
      </c>
      <c r="W423" s="44">
        <f>SUM(W424,W426,W430,)</f>
        <v>2260</v>
      </c>
      <c r="X423" s="44">
        <f>SUM(X424,X426,X430,)</f>
        <v>985080</v>
      </c>
    </row>
    <row r="424" spans="1:24" s="27" customFormat="1" ht="20.25" customHeight="1">
      <c r="A424" s="81"/>
      <c r="B424" s="103">
        <v>92601</v>
      </c>
      <c r="C424" s="102"/>
      <c r="D424" s="45" t="s">
        <v>421</v>
      </c>
      <c r="E424" s="96">
        <f>SUM(E425)</f>
        <v>100000</v>
      </c>
      <c r="F424" s="96">
        <f>SUM(F425)</f>
        <v>0</v>
      </c>
      <c r="G424" s="96">
        <f>SUM(G425)</f>
        <v>0</v>
      </c>
      <c r="H424" s="96">
        <f t="shared" si="223"/>
        <v>100000</v>
      </c>
      <c r="I424" s="96">
        <f aca="true" t="shared" si="252" ref="I424:X424">SUM(I425)</f>
        <v>0</v>
      </c>
      <c r="J424" s="96">
        <f t="shared" si="252"/>
        <v>100000</v>
      </c>
      <c r="K424" s="96">
        <f t="shared" si="252"/>
        <v>0</v>
      </c>
      <c r="L424" s="96">
        <f t="shared" si="252"/>
        <v>100000</v>
      </c>
      <c r="M424" s="96">
        <f t="shared" si="252"/>
        <v>0</v>
      </c>
      <c r="N424" s="96">
        <f t="shared" si="252"/>
        <v>100000</v>
      </c>
      <c r="O424" s="96">
        <f t="shared" si="252"/>
        <v>0</v>
      </c>
      <c r="P424" s="96">
        <f t="shared" si="252"/>
        <v>100000</v>
      </c>
      <c r="Q424" s="96">
        <f t="shared" si="252"/>
        <v>0</v>
      </c>
      <c r="R424" s="96">
        <f t="shared" si="252"/>
        <v>100000</v>
      </c>
      <c r="S424" s="96">
        <f t="shared" si="252"/>
        <v>0</v>
      </c>
      <c r="T424" s="96">
        <f t="shared" si="252"/>
        <v>100000</v>
      </c>
      <c r="U424" s="96">
        <f t="shared" si="252"/>
        <v>0</v>
      </c>
      <c r="V424" s="96">
        <f t="shared" si="252"/>
        <v>100000</v>
      </c>
      <c r="W424" s="96">
        <f t="shared" si="252"/>
        <v>0</v>
      </c>
      <c r="X424" s="96">
        <f t="shared" si="252"/>
        <v>100000</v>
      </c>
    </row>
    <row r="425" spans="1:24" s="27" customFormat="1" ht="20.25" customHeight="1">
      <c r="A425" s="81"/>
      <c r="B425" s="103"/>
      <c r="C425" s="102">
        <v>6050</v>
      </c>
      <c r="D425" s="45" t="s">
        <v>195</v>
      </c>
      <c r="E425" s="96">
        <f>100000</f>
        <v>100000</v>
      </c>
      <c r="F425" s="96"/>
      <c r="G425" s="96"/>
      <c r="H425" s="96">
        <f t="shared" si="223"/>
        <v>100000</v>
      </c>
      <c r="I425" s="96"/>
      <c r="J425" s="96">
        <f t="shared" si="218"/>
        <v>100000</v>
      </c>
      <c r="K425" s="96">
        <v>0</v>
      </c>
      <c r="L425" s="96">
        <f t="shared" si="219"/>
        <v>100000</v>
      </c>
      <c r="M425" s="96">
        <v>0</v>
      </c>
      <c r="N425" s="96">
        <f>SUM(L425:M425)</f>
        <v>100000</v>
      </c>
      <c r="O425" s="96">
        <v>0</v>
      </c>
      <c r="P425" s="96">
        <f>SUM(N425:O425)</f>
        <v>100000</v>
      </c>
      <c r="Q425" s="96">
        <v>0</v>
      </c>
      <c r="R425" s="96">
        <f>SUM(P425:Q425)</f>
        <v>100000</v>
      </c>
      <c r="S425" s="96">
        <v>0</v>
      </c>
      <c r="T425" s="96">
        <f>SUM(R425:S425)</f>
        <v>100000</v>
      </c>
      <c r="U425" s="96">
        <v>0</v>
      </c>
      <c r="V425" s="96">
        <f>SUM(T425:U425)</f>
        <v>100000</v>
      </c>
      <c r="W425" s="96">
        <v>0</v>
      </c>
      <c r="X425" s="96">
        <f>SUM(V425:W425)</f>
        <v>100000</v>
      </c>
    </row>
    <row r="426" spans="1:24" s="27" customFormat="1" ht="21.75" customHeight="1">
      <c r="A426" s="81"/>
      <c r="B426" s="103">
        <v>92604</v>
      </c>
      <c r="C426" s="102"/>
      <c r="D426" s="45" t="s">
        <v>350</v>
      </c>
      <c r="E426" s="96">
        <f aca="true" t="shared" si="253" ref="E426:L426">SUM(E427:E429)</f>
        <v>280000</v>
      </c>
      <c r="F426" s="96">
        <f t="shared" si="253"/>
        <v>28000</v>
      </c>
      <c r="G426" s="96">
        <f t="shared" si="253"/>
        <v>200000</v>
      </c>
      <c r="H426" s="96">
        <f t="shared" si="253"/>
        <v>108000</v>
      </c>
      <c r="I426" s="96">
        <f t="shared" si="253"/>
        <v>0</v>
      </c>
      <c r="J426" s="96">
        <f t="shared" si="253"/>
        <v>108000</v>
      </c>
      <c r="K426" s="96">
        <f t="shared" si="253"/>
        <v>0</v>
      </c>
      <c r="L426" s="96">
        <f t="shared" si="253"/>
        <v>108000</v>
      </c>
      <c r="M426" s="96">
        <f aca="true" t="shared" si="254" ref="M426:R426">SUM(M427:M429)</f>
        <v>0</v>
      </c>
      <c r="N426" s="96">
        <f t="shared" si="254"/>
        <v>108000</v>
      </c>
      <c r="O426" s="96">
        <f t="shared" si="254"/>
        <v>0</v>
      </c>
      <c r="P426" s="96">
        <f t="shared" si="254"/>
        <v>108000</v>
      </c>
      <c r="Q426" s="96">
        <f t="shared" si="254"/>
        <v>0</v>
      </c>
      <c r="R426" s="96">
        <f t="shared" si="254"/>
        <v>108000</v>
      </c>
      <c r="S426" s="96">
        <f aca="true" t="shared" si="255" ref="S426:X426">SUM(S427:S429)</f>
        <v>0</v>
      </c>
      <c r="T426" s="96">
        <f t="shared" si="255"/>
        <v>108000</v>
      </c>
      <c r="U426" s="96">
        <f t="shared" si="255"/>
        <v>0</v>
      </c>
      <c r="V426" s="96">
        <f t="shared" si="255"/>
        <v>108000</v>
      </c>
      <c r="W426" s="96">
        <f t="shared" si="255"/>
        <v>0</v>
      </c>
      <c r="X426" s="96">
        <f t="shared" si="255"/>
        <v>108000</v>
      </c>
    </row>
    <row r="427" spans="1:24" s="27" customFormat="1" ht="21.75" customHeight="1">
      <c r="A427" s="81"/>
      <c r="B427" s="103"/>
      <c r="C427" s="102">
        <v>4270</v>
      </c>
      <c r="D427" s="45" t="s">
        <v>200</v>
      </c>
      <c r="E427" s="96">
        <v>0</v>
      </c>
      <c r="F427" s="96">
        <f>20000+8000</f>
        <v>28000</v>
      </c>
      <c r="G427" s="96"/>
      <c r="H427" s="96">
        <f>E427+F427-G427</f>
        <v>28000</v>
      </c>
      <c r="I427" s="96"/>
      <c r="J427" s="96">
        <f t="shared" si="218"/>
        <v>28000</v>
      </c>
      <c r="K427" s="96">
        <v>0</v>
      </c>
      <c r="L427" s="96">
        <f t="shared" si="219"/>
        <v>28000</v>
      </c>
      <c r="M427" s="96">
        <v>0</v>
      </c>
      <c r="N427" s="96">
        <f>SUM(L427:M427)</f>
        <v>28000</v>
      </c>
      <c r="O427" s="96">
        <v>0</v>
      </c>
      <c r="P427" s="96">
        <f>SUM(N427:O427)</f>
        <v>28000</v>
      </c>
      <c r="Q427" s="96">
        <v>0</v>
      </c>
      <c r="R427" s="96">
        <f>SUM(P427:Q427)</f>
        <v>28000</v>
      </c>
      <c r="S427" s="96">
        <v>0</v>
      </c>
      <c r="T427" s="96">
        <f>SUM(R427:S427)</f>
        <v>28000</v>
      </c>
      <c r="U427" s="96">
        <v>0</v>
      </c>
      <c r="V427" s="96">
        <f>SUM(T427:U427)</f>
        <v>28000</v>
      </c>
      <c r="W427" s="96">
        <v>0</v>
      </c>
      <c r="X427" s="96">
        <f>SUM(V427:W427)</f>
        <v>28000</v>
      </c>
    </row>
    <row r="428" spans="1:24" s="27" customFormat="1" ht="21" customHeight="1">
      <c r="A428" s="81"/>
      <c r="B428" s="103"/>
      <c r="C428" s="102">
        <v>4300</v>
      </c>
      <c r="D428" s="106" t="s">
        <v>201</v>
      </c>
      <c r="E428" s="96">
        <f>60000+20000</f>
        <v>80000</v>
      </c>
      <c r="F428" s="96"/>
      <c r="G428" s="96"/>
      <c r="H428" s="96">
        <f>E428+F428-G428</f>
        <v>80000</v>
      </c>
      <c r="I428" s="96"/>
      <c r="J428" s="96">
        <f t="shared" si="218"/>
        <v>80000</v>
      </c>
      <c r="K428" s="96">
        <v>0</v>
      </c>
      <c r="L428" s="96">
        <f t="shared" si="219"/>
        <v>80000</v>
      </c>
      <c r="M428" s="96">
        <v>0</v>
      </c>
      <c r="N428" s="96">
        <f>SUM(L428:M428)</f>
        <v>80000</v>
      </c>
      <c r="O428" s="96">
        <v>0</v>
      </c>
      <c r="P428" s="96">
        <f>SUM(N428:O428)</f>
        <v>80000</v>
      </c>
      <c r="Q428" s="96">
        <v>0</v>
      </c>
      <c r="R428" s="96">
        <f>SUM(P428:Q428)</f>
        <v>80000</v>
      </c>
      <c r="S428" s="96">
        <v>0</v>
      </c>
      <c r="T428" s="96">
        <f>SUM(R428:S428)</f>
        <v>80000</v>
      </c>
      <c r="U428" s="96">
        <v>0</v>
      </c>
      <c r="V428" s="96">
        <f>SUM(T428:U428)</f>
        <v>80000</v>
      </c>
      <c r="W428" s="96">
        <v>0</v>
      </c>
      <c r="X428" s="96">
        <f>SUM(V428:W428)</f>
        <v>80000</v>
      </c>
    </row>
    <row r="429" spans="1:24" s="27" customFormat="1" ht="20.25" customHeight="1">
      <c r="A429" s="81"/>
      <c r="B429" s="103"/>
      <c r="C429" s="102">
        <v>6050</v>
      </c>
      <c r="D429" s="45" t="s">
        <v>195</v>
      </c>
      <c r="E429" s="96">
        <v>200000</v>
      </c>
      <c r="F429" s="96"/>
      <c r="G429" s="96">
        <v>200000</v>
      </c>
      <c r="H429" s="96">
        <f>E429+F429-G429</f>
        <v>0</v>
      </c>
      <c r="I429" s="96"/>
      <c r="J429" s="96">
        <f t="shared" si="218"/>
        <v>0</v>
      </c>
      <c r="K429" s="96">
        <v>0</v>
      </c>
      <c r="L429" s="96">
        <f t="shared" si="219"/>
        <v>0</v>
      </c>
      <c r="M429" s="96">
        <v>0</v>
      </c>
      <c r="N429" s="96">
        <f>SUM(L429:M429)</f>
        <v>0</v>
      </c>
      <c r="O429" s="96">
        <v>0</v>
      </c>
      <c r="P429" s="96">
        <f>SUM(N429:O429)</f>
        <v>0</v>
      </c>
      <c r="Q429" s="96">
        <v>0</v>
      </c>
      <c r="R429" s="96">
        <f>SUM(P429:Q429)</f>
        <v>0</v>
      </c>
      <c r="S429" s="96">
        <v>0</v>
      </c>
      <c r="T429" s="96">
        <f>SUM(R429:S429)</f>
        <v>0</v>
      </c>
      <c r="U429" s="96">
        <v>0</v>
      </c>
      <c r="V429" s="96">
        <f>SUM(T429:U429)</f>
        <v>0</v>
      </c>
      <c r="W429" s="96">
        <v>0</v>
      </c>
      <c r="X429" s="96">
        <f>SUM(V429:W429)</f>
        <v>0</v>
      </c>
    </row>
    <row r="430" spans="1:24" s="27" customFormat="1" ht="20.25" customHeight="1">
      <c r="A430" s="102"/>
      <c r="B430" s="105">
        <v>92605</v>
      </c>
      <c r="C430" s="102"/>
      <c r="D430" s="45" t="s">
        <v>189</v>
      </c>
      <c r="E430" s="96">
        <f>SUM(E432:E440)</f>
        <v>313580</v>
      </c>
      <c r="F430" s="96">
        <f>SUM(F432:F440)</f>
        <v>0</v>
      </c>
      <c r="G430" s="96">
        <f>SUM(G432:G440)</f>
        <v>0</v>
      </c>
      <c r="H430" s="96">
        <f aca="true" t="shared" si="256" ref="H430:M430">SUM(H432:H441)</f>
        <v>313580</v>
      </c>
      <c r="I430" s="96">
        <f t="shared" si="256"/>
        <v>436800</v>
      </c>
      <c r="J430" s="96">
        <f t="shared" si="256"/>
        <v>750380</v>
      </c>
      <c r="K430" s="96">
        <f t="shared" si="256"/>
        <v>10800</v>
      </c>
      <c r="L430" s="96">
        <f t="shared" si="256"/>
        <v>761180</v>
      </c>
      <c r="M430" s="96">
        <f t="shared" si="256"/>
        <v>0</v>
      </c>
      <c r="N430" s="96">
        <f aca="true" t="shared" si="257" ref="N430:T430">SUM(N431:N441)</f>
        <v>761180</v>
      </c>
      <c r="O430" s="96">
        <f t="shared" si="257"/>
        <v>35000</v>
      </c>
      <c r="P430" s="96">
        <f t="shared" si="257"/>
        <v>796180</v>
      </c>
      <c r="Q430" s="96">
        <f t="shared" si="257"/>
        <v>-21360</v>
      </c>
      <c r="R430" s="96">
        <f t="shared" si="257"/>
        <v>774820</v>
      </c>
      <c r="S430" s="96">
        <f t="shared" si="257"/>
        <v>0</v>
      </c>
      <c r="T430" s="96">
        <f t="shared" si="257"/>
        <v>774820</v>
      </c>
      <c r="U430" s="96">
        <f>SUM(U431:U441)</f>
        <v>0</v>
      </c>
      <c r="V430" s="96">
        <f>SUM(V431:V441)</f>
        <v>774820</v>
      </c>
      <c r="W430" s="96">
        <f>SUM(W431:W441)</f>
        <v>2260</v>
      </c>
      <c r="X430" s="96">
        <f>SUM(X431:X441)</f>
        <v>777080</v>
      </c>
    </row>
    <row r="431" spans="1:24" s="27" customFormat="1" ht="48">
      <c r="A431" s="102"/>
      <c r="B431" s="105"/>
      <c r="C431" s="102">
        <v>2320</v>
      </c>
      <c r="D431" s="45" t="s">
        <v>285</v>
      </c>
      <c r="E431" s="96"/>
      <c r="F431" s="96"/>
      <c r="G431" s="96"/>
      <c r="H431" s="96"/>
      <c r="I431" s="96"/>
      <c r="J431" s="96"/>
      <c r="K431" s="96"/>
      <c r="L431" s="96"/>
      <c r="M431" s="96"/>
      <c r="N431" s="96">
        <v>0</v>
      </c>
      <c r="O431" s="96">
        <f>2000+2000+3000</f>
        <v>7000</v>
      </c>
      <c r="P431" s="96">
        <f aca="true" t="shared" si="258" ref="P431:P441">SUM(N431:O431)</f>
        <v>7000</v>
      </c>
      <c r="Q431" s="96">
        <v>0</v>
      </c>
      <c r="R431" s="96">
        <f aca="true" t="shared" si="259" ref="R431:R441">SUM(P431:Q431)</f>
        <v>7000</v>
      </c>
      <c r="S431" s="96">
        <v>0</v>
      </c>
      <c r="T431" s="96">
        <f aca="true" t="shared" si="260" ref="T431:T441">SUM(R431:S431)</f>
        <v>7000</v>
      </c>
      <c r="U431" s="96">
        <v>0</v>
      </c>
      <c r="V431" s="96">
        <f aca="true" t="shared" si="261" ref="V431:V441">SUM(T431:U431)</f>
        <v>7000</v>
      </c>
      <c r="W431" s="96">
        <v>-3000</v>
      </c>
      <c r="X431" s="96">
        <f aca="true" t="shared" si="262" ref="X431:X441">SUM(V431:W431)</f>
        <v>4000</v>
      </c>
    </row>
    <row r="432" spans="1:24" s="27" customFormat="1" ht="36">
      <c r="A432" s="102"/>
      <c r="B432" s="105"/>
      <c r="C432" s="102">
        <v>2630</v>
      </c>
      <c r="D432" s="45" t="s">
        <v>403</v>
      </c>
      <c r="E432" s="96">
        <v>250000</v>
      </c>
      <c r="F432" s="96"/>
      <c r="G432" s="96"/>
      <c r="H432" s="96">
        <f>E432+F432-G432</f>
        <v>250000</v>
      </c>
      <c r="I432" s="96">
        <v>-247500</v>
      </c>
      <c r="J432" s="96">
        <f t="shared" si="218"/>
        <v>2500</v>
      </c>
      <c r="K432" s="96">
        <v>0</v>
      </c>
      <c r="L432" s="96">
        <f t="shared" si="219"/>
        <v>2500</v>
      </c>
      <c r="M432" s="96">
        <v>0</v>
      </c>
      <c r="N432" s="96">
        <f aca="true" t="shared" si="263" ref="N432:N441">SUM(L432:M432)</f>
        <v>2500</v>
      </c>
      <c r="O432" s="96">
        <v>-2000</v>
      </c>
      <c r="P432" s="96">
        <f t="shared" si="258"/>
        <v>500</v>
      </c>
      <c r="Q432" s="286">
        <v>70000</v>
      </c>
      <c r="R432" s="96">
        <f t="shared" si="259"/>
        <v>70500</v>
      </c>
      <c r="S432" s="269">
        <v>0</v>
      </c>
      <c r="T432" s="96">
        <f t="shared" si="260"/>
        <v>70500</v>
      </c>
      <c r="U432" s="269">
        <v>0</v>
      </c>
      <c r="V432" s="96">
        <f t="shared" si="261"/>
        <v>70500</v>
      </c>
      <c r="W432" s="269">
        <f>-4500-500-65500</f>
        <v>-70500</v>
      </c>
      <c r="X432" s="96">
        <f t="shared" si="262"/>
        <v>0</v>
      </c>
    </row>
    <row r="433" spans="1:24" s="27" customFormat="1" ht="36">
      <c r="A433" s="102"/>
      <c r="B433" s="105"/>
      <c r="C433" s="102">
        <v>2820</v>
      </c>
      <c r="D433" s="45" t="s">
        <v>554</v>
      </c>
      <c r="E433" s="96"/>
      <c r="F433" s="96"/>
      <c r="G433" s="96"/>
      <c r="H433" s="96">
        <v>0</v>
      </c>
      <c r="I433" s="96">
        <f>131400+62000+4000+5000+3500+5000+2500+7000+14000+6000+1500+2000+3000</f>
        <v>246900</v>
      </c>
      <c r="J433" s="96">
        <f t="shared" si="218"/>
        <v>246900</v>
      </c>
      <c r="K433" s="96">
        <v>0</v>
      </c>
      <c r="L433" s="96">
        <f t="shared" si="219"/>
        <v>246900</v>
      </c>
      <c r="M433" s="96">
        <v>0</v>
      </c>
      <c r="N433" s="96">
        <f t="shared" si="263"/>
        <v>246900</v>
      </c>
      <c r="O433" s="96">
        <v>0</v>
      </c>
      <c r="P433" s="96">
        <f t="shared" si="258"/>
        <v>246900</v>
      </c>
      <c r="Q433" s="96">
        <v>0</v>
      </c>
      <c r="R433" s="96">
        <f t="shared" si="259"/>
        <v>246900</v>
      </c>
      <c r="S433" s="269">
        <v>0</v>
      </c>
      <c r="T433" s="96">
        <f t="shared" si="260"/>
        <v>246900</v>
      </c>
      <c r="U433" s="269">
        <v>0</v>
      </c>
      <c r="V433" s="96">
        <f t="shared" si="261"/>
        <v>246900</v>
      </c>
      <c r="W433" s="269">
        <v>65500</v>
      </c>
      <c r="X433" s="96">
        <f t="shared" si="262"/>
        <v>312400</v>
      </c>
    </row>
    <row r="434" spans="1:24" s="27" customFormat="1" ht="48">
      <c r="A434" s="102"/>
      <c r="B434" s="105"/>
      <c r="C434" s="102">
        <v>2830</v>
      </c>
      <c r="D434" s="45" t="s">
        <v>553</v>
      </c>
      <c r="E434" s="96"/>
      <c r="F434" s="96"/>
      <c r="G434" s="96"/>
      <c r="H434" s="96">
        <v>0</v>
      </c>
      <c r="I434" s="96">
        <v>600</v>
      </c>
      <c r="J434" s="96">
        <f t="shared" si="218"/>
        <v>600</v>
      </c>
      <c r="K434" s="96">
        <v>0</v>
      </c>
      <c r="L434" s="96">
        <f t="shared" si="219"/>
        <v>600</v>
      </c>
      <c r="M434" s="96">
        <v>0</v>
      </c>
      <c r="N434" s="96">
        <f t="shared" si="263"/>
        <v>600</v>
      </c>
      <c r="O434" s="96">
        <v>0</v>
      </c>
      <c r="P434" s="96">
        <f t="shared" si="258"/>
        <v>600</v>
      </c>
      <c r="Q434" s="96">
        <v>0</v>
      </c>
      <c r="R434" s="96">
        <f t="shared" si="259"/>
        <v>600</v>
      </c>
      <c r="S434" s="269">
        <v>0</v>
      </c>
      <c r="T434" s="96">
        <f t="shared" si="260"/>
        <v>600</v>
      </c>
      <c r="U434" s="269">
        <v>0</v>
      </c>
      <c r="V434" s="96">
        <f t="shared" si="261"/>
        <v>600</v>
      </c>
      <c r="W434" s="269">
        <v>0</v>
      </c>
      <c r="X434" s="96">
        <f t="shared" si="262"/>
        <v>600</v>
      </c>
    </row>
    <row r="435" spans="1:26" s="27" customFormat="1" ht="20.25" customHeight="1">
      <c r="A435" s="102"/>
      <c r="B435" s="105"/>
      <c r="C435" s="102">
        <v>4110</v>
      </c>
      <c r="D435" s="45" t="s">
        <v>208</v>
      </c>
      <c r="E435" s="96"/>
      <c r="F435" s="96"/>
      <c r="G435" s="96"/>
      <c r="H435" s="96"/>
      <c r="I435" s="96"/>
      <c r="J435" s="96"/>
      <c r="K435" s="96"/>
      <c r="L435" s="96"/>
      <c r="M435" s="96"/>
      <c r="N435" s="96">
        <v>0</v>
      </c>
      <c r="O435" s="96">
        <f>20+20</f>
        <v>40</v>
      </c>
      <c r="P435" s="96">
        <f t="shared" si="258"/>
        <v>40</v>
      </c>
      <c r="Q435" s="96">
        <v>346</v>
      </c>
      <c r="R435" s="96">
        <f t="shared" si="259"/>
        <v>386</v>
      </c>
      <c r="S435" s="269">
        <v>0</v>
      </c>
      <c r="T435" s="96">
        <f t="shared" si="260"/>
        <v>386</v>
      </c>
      <c r="U435" s="269">
        <v>0</v>
      </c>
      <c r="V435" s="96">
        <f t="shared" si="261"/>
        <v>386</v>
      </c>
      <c r="W435" s="269">
        <v>120</v>
      </c>
      <c r="X435" s="96">
        <f t="shared" si="262"/>
        <v>506</v>
      </c>
      <c r="Y435" s="150"/>
      <c r="Z435" s="150"/>
    </row>
    <row r="436" spans="1:26" s="27" customFormat="1" ht="20.25" customHeight="1">
      <c r="A436" s="102"/>
      <c r="B436" s="105"/>
      <c r="C436" s="102">
        <v>4120</v>
      </c>
      <c r="D436" s="45" t="s">
        <v>209</v>
      </c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>
        <v>0</v>
      </c>
      <c r="Q436" s="96">
        <v>49</v>
      </c>
      <c r="R436" s="96">
        <f t="shared" si="259"/>
        <v>49</v>
      </c>
      <c r="S436" s="269">
        <v>0</v>
      </c>
      <c r="T436" s="96">
        <f t="shared" si="260"/>
        <v>49</v>
      </c>
      <c r="U436" s="269">
        <v>0</v>
      </c>
      <c r="V436" s="96">
        <f t="shared" si="261"/>
        <v>49</v>
      </c>
      <c r="W436" s="269">
        <v>0</v>
      </c>
      <c r="X436" s="96">
        <f t="shared" si="262"/>
        <v>49</v>
      </c>
      <c r="Y436" s="150"/>
      <c r="Z436" s="150"/>
    </row>
    <row r="437" spans="1:26" s="27" customFormat="1" ht="21" customHeight="1">
      <c r="A437" s="102"/>
      <c r="B437" s="105"/>
      <c r="C437" s="102">
        <v>4170</v>
      </c>
      <c r="D437" s="45" t="s">
        <v>344</v>
      </c>
      <c r="E437" s="96">
        <f>20000+11000</f>
        <v>31000</v>
      </c>
      <c r="F437" s="96"/>
      <c r="G437" s="96"/>
      <c r="H437" s="96">
        <f>E437+F437-G437</f>
        <v>31000</v>
      </c>
      <c r="I437" s="96"/>
      <c r="J437" s="96">
        <f t="shared" si="218"/>
        <v>31000</v>
      </c>
      <c r="K437" s="96">
        <v>0</v>
      </c>
      <c r="L437" s="96">
        <f t="shared" si="219"/>
        <v>31000</v>
      </c>
      <c r="M437" s="96">
        <v>0</v>
      </c>
      <c r="N437" s="96">
        <f t="shared" si="263"/>
        <v>31000</v>
      </c>
      <c r="O437" s="96">
        <f>7980-2020</f>
        <v>5960</v>
      </c>
      <c r="P437" s="96">
        <f t="shared" si="258"/>
        <v>36960</v>
      </c>
      <c r="Q437" s="96">
        <f>-2100-346-49</f>
        <v>-2495</v>
      </c>
      <c r="R437" s="96">
        <f t="shared" si="259"/>
        <v>34465</v>
      </c>
      <c r="S437" s="269">
        <v>0</v>
      </c>
      <c r="T437" s="96">
        <f t="shared" si="260"/>
        <v>34465</v>
      </c>
      <c r="U437" s="269">
        <v>0</v>
      </c>
      <c r="V437" s="96">
        <f t="shared" si="261"/>
        <v>34465</v>
      </c>
      <c r="W437" s="96">
        <v>690</v>
      </c>
      <c r="X437" s="96">
        <f t="shared" si="262"/>
        <v>35155</v>
      </c>
      <c r="Y437" s="150"/>
      <c r="Z437" s="150"/>
    </row>
    <row r="438" spans="1:24" s="27" customFormat="1" ht="21" customHeight="1">
      <c r="A438" s="102"/>
      <c r="B438" s="98"/>
      <c r="C438" s="81">
        <v>4210</v>
      </c>
      <c r="D438" s="45" t="s">
        <v>214</v>
      </c>
      <c r="E438" s="96">
        <f>7780+10000</f>
        <v>17780</v>
      </c>
      <c r="F438" s="96"/>
      <c r="G438" s="96"/>
      <c r="H438" s="96">
        <f>E438+F438-G438</f>
        <v>17780</v>
      </c>
      <c r="I438" s="96">
        <f>600</f>
        <v>600</v>
      </c>
      <c r="J438" s="96">
        <f t="shared" si="218"/>
        <v>18380</v>
      </c>
      <c r="K438" s="96">
        <v>0</v>
      </c>
      <c r="L438" s="96">
        <f t="shared" si="219"/>
        <v>18380</v>
      </c>
      <c r="M438" s="96">
        <v>0</v>
      </c>
      <c r="N438" s="96">
        <f t="shared" si="263"/>
        <v>18380</v>
      </c>
      <c r="O438" s="96">
        <f>2000-8000</f>
        <v>-6000</v>
      </c>
      <c r="P438" s="96">
        <f t="shared" si="258"/>
        <v>12380</v>
      </c>
      <c r="Q438" s="96">
        <v>0</v>
      </c>
      <c r="R438" s="96">
        <f t="shared" si="259"/>
        <v>12380</v>
      </c>
      <c r="S438" s="269">
        <v>0</v>
      </c>
      <c r="T438" s="96">
        <f t="shared" si="260"/>
        <v>12380</v>
      </c>
      <c r="U438" s="269">
        <v>0</v>
      </c>
      <c r="V438" s="96">
        <f t="shared" si="261"/>
        <v>12380</v>
      </c>
      <c r="W438" s="269">
        <v>0</v>
      </c>
      <c r="X438" s="96">
        <f t="shared" si="262"/>
        <v>12380</v>
      </c>
    </row>
    <row r="439" spans="1:24" s="27" customFormat="1" ht="21" customHeight="1">
      <c r="A439" s="102"/>
      <c r="B439" s="98"/>
      <c r="C439" s="81">
        <v>4260</v>
      </c>
      <c r="D439" s="45" t="s">
        <v>217</v>
      </c>
      <c r="E439" s="96">
        <v>600</v>
      </c>
      <c r="F439" s="96"/>
      <c r="G439" s="96"/>
      <c r="H439" s="96">
        <f>E439+F439-G439</f>
        <v>600</v>
      </c>
      <c r="I439" s="96"/>
      <c r="J439" s="96">
        <f t="shared" si="218"/>
        <v>600</v>
      </c>
      <c r="K439" s="96">
        <v>0</v>
      </c>
      <c r="L439" s="96">
        <f t="shared" si="219"/>
        <v>600</v>
      </c>
      <c r="M439" s="96">
        <v>0</v>
      </c>
      <c r="N439" s="96">
        <f t="shared" si="263"/>
        <v>600</v>
      </c>
      <c r="O439" s="96">
        <v>0</v>
      </c>
      <c r="P439" s="96">
        <f t="shared" si="258"/>
        <v>600</v>
      </c>
      <c r="Q439" s="96">
        <v>0</v>
      </c>
      <c r="R439" s="96">
        <f t="shared" si="259"/>
        <v>600</v>
      </c>
      <c r="S439" s="269">
        <v>0</v>
      </c>
      <c r="T439" s="96">
        <f t="shared" si="260"/>
        <v>600</v>
      </c>
      <c r="U439" s="269">
        <v>0</v>
      </c>
      <c r="V439" s="96">
        <f t="shared" si="261"/>
        <v>600</v>
      </c>
      <c r="W439" s="269">
        <v>-100</v>
      </c>
      <c r="X439" s="96">
        <f t="shared" si="262"/>
        <v>500</v>
      </c>
    </row>
    <row r="440" spans="1:24" s="27" customFormat="1" ht="21" customHeight="1">
      <c r="A440" s="102"/>
      <c r="B440" s="98"/>
      <c r="C440" s="102">
        <v>4300</v>
      </c>
      <c r="D440" s="106" t="s">
        <v>201</v>
      </c>
      <c r="E440" s="96">
        <f>2200+10000+2000</f>
        <v>14200</v>
      </c>
      <c r="F440" s="96"/>
      <c r="G440" s="96"/>
      <c r="H440" s="96">
        <f>E440+F440-G440</f>
        <v>14200</v>
      </c>
      <c r="I440" s="96">
        <v>1200</v>
      </c>
      <c r="J440" s="96">
        <f t="shared" si="218"/>
        <v>15400</v>
      </c>
      <c r="K440" s="96">
        <v>-200</v>
      </c>
      <c r="L440" s="96">
        <f t="shared" si="219"/>
        <v>15200</v>
      </c>
      <c r="M440" s="96">
        <v>0</v>
      </c>
      <c r="N440" s="96">
        <f t="shared" si="263"/>
        <v>15200</v>
      </c>
      <c r="O440" s="96">
        <f>20000+10000</f>
        <v>30000</v>
      </c>
      <c r="P440" s="96">
        <f t="shared" si="258"/>
        <v>45200</v>
      </c>
      <c r="Q440" s="96">
        <v>0</v>
      </c>
      <c r="R440" s="96">
        <f t="shared" si="259"/>
        <v>45200</v>
      </c>
      <c r="S440" s="269">
        <v>0</v>
      </c>
      <c r="T440" s="96">
        <f t="shared" si="260"/>
        <v>45200</v>
      </c>
      <c r="U440" s="269">
        <v>0</v>
      </c>
      <c r="V440" s="96">
        <f t="shared" si="261"/>
        <v>45200</v>
      </c>
      <c r="W440" s="269">
        <f>-700+4190</f>
        <v>3490</v>
      </c>
      <c r="X440" s="96">
        <f t="shared" si="262"/>
        <v>48690</v>
      </c>
    </row>
    <row r="441" spans="1:24" s="27" customFormat="1" ht="27" customHeight="1">
      <c r="A441" s="102"/>
      <c r="B441" s="81"/>
      <c r="C441" s="102">
        <v>6050</v>
      </c>
      <c r="D441" s="45" t="s">
        <v>195</v>
      </c>
      <c r="E441" s="96"/>
      <c r="F441" s="96"/>
      <c r="G441" s="96"/>
      <c r="H441" s="96">
        <v>0</v>
      </c>
      <c r="I441" s="96">
        <f>260000+175000</f>
        <v>435000</v>
      </c>
      <c r="J441" s="96">
        <f t="shared" si="218"/>
        <v>435000</v>
      </c>
      <c r="K441" s="85">
        <v>11000</v>
      </c>
      <c r="L441" s="96">
        <f t="shared" si="219"/>
        <v>446000</v>
      </c>
      <c r="M441" s="85">
        <v>0</v>
      </c>
      <c r="N441" s="96">
        <f t="shared" si="263"/>
        <v>446000</v>
      </c>
      <c r="O441" s="85">
        <v>0</v>
      </c>
      <c r="P441" s="96">
        <f t="shared" si="258"/>
        <v>446000</v>
      </c>
      <c r="Q441" s="266">
        <f>-239260+150000</f>
        <v>-89260</v>
      </c>
      <c r="R441" s="96">
        <f t="shared" si="259"/>
        <v>356740</v>
      </c>
      <c r="S441" s="173">
        <v>0</v>
      </c>
      <c r="T441" s="96">
        <f t="shared" si="260"/>
        <v>356740</v>
      </c>
      <c r="U441" s="173">
        <v>0</v>
      </c>
      <c r="V441" s="96">
        <f t="shared" si="261"/>
        <v>356740</v>
      </c>
      <c r="W441" s="173">
        <f>6060</f>
        <v>6060</v>
      </c>
      <c r="X441" s="96">
        <f t="shared" si="262"/>
        <v>362800</v>
      </c>
    </row>
    <row r="442" spans="1:24" s="8" customFormat="1" ht="24.75" customHeight="1">
      <c r="A442" s="10"/>
      <c r="B442" s="10"/>
      <c r="C442" s="10"/>
      <c r="D442" s="42" t="s">
        <v>190</v>
      </c>
      <c r="E442" s="44">
        <f>SUM(E423,E409,E382,E345,E281,E264,E174,E171,E168,E158,E121,E113,E55,E48,E30,E18,E9,)</f>
        <v>46618116</v>
      </c>
      <c r="F442" s="44">
        <f>SUM(F423,F409,F382,F345,F281,F264,F174,F171,F168,F158,F121,F113,F55,F48,F30,F18,F9,)</f>
        <v>1762700</v>
      </c>
      <c r="G442" s="44">
        <f>SUM(G423,G409,G382,G345,G281,G264,G174,G171,G168,G158,G121,G113,G55,G48,G30,G18,G9,)</f>
        <v>1761800</v>
      </c>
      <c r="H442" s="44">
        <f>E442+F442-G442</f>
        <v>46619016</v>
      </c>
      <c r="I442" s="44">
        <f aca="true" t="shared" si="264" ref="I442:O442">SUM(I423,I409,I382,I345,I281,I264,I174,I171,I168,I158,I121,I113,I55,I48,I30,I18,I9,)</f>
        <v>350197</v>
      </c>
      <c r="J442" s="44">
        <f t="shared" si="264"/>
        <v>46977213</v>
      </c>
      <c r="K442" s="44">
        <f t="shared" si="264"/>
        <v>908807</v>
      </c>
      <c r="L442" s="44">
        <f t="shared" si="264"/>
        <v>47886020</v>
      </c>
      <c r="M442" s="44">
        <f t="shared" si="264"/>
        <v>366151</v>
      </c>
      <c r="N442" s="44">
        <f t="shared" si="264"/>
        <v>48252171</v>
      </c>
      <c r="O442" s="44">
        <f t="shared" si="264"/>
        <v>57057</v>
      </c>
      <c r="P442" s="44">
        <f aca="true" t="shared" si="265" ref="P442:V442">SUM(P423,P409,P382,P345,P281,P264,P174,P171,P168,P158,P121,P113,P55,P48,P30,P18,P9,P342)</f>
        <v>48309228</v>
      </c>
      <c r="Q442" s="44">
        <f t="shared" si="265"/>
        <v>2655473</v>
      </c>
      <c r="R442" s="44">
        <f t="shared" si="265"/>
        <v>50964701</v>
      </c>
      <c r="S442" s="44">
        <f t="shared" si="265"/>
        <v>40107</v>
      </c>
      <c r="T442" s="44">
        <f t="shared" si="265"/>
        <v>51004808</v>
      </c>
      <c r="U442" s="44">
        <f t="shared" si="265"/>
        <v>13917</v>
      </c>
      <c r="V442" s="44">
        <f t="shared" si="265"/>
        <v>51018725</v>
      </c>
      <c r="W442" s="44">
        <f>SUM(W423,W409,W382,W345,W281,W264,W174,W171,W168,W158,W121,W113,W55,W48,W30,W18,W9,W342)</f>
        <v>619425</v>
      </c>
      <c r="X442" s="44">
        <f>SUM(X423,X409,X382,X345,X281,X264,X174,X171,X168,X158,X121,X113,X55,X48,X30,X18,X9,X342)</f>
        <v>51638150</v>
      </c>
    </row>
    <row r="443" spans="1:24" ht="12.75">
      <c r="A443" s="69"/>
      <c r="B443" s="69"/>
      <c r="C443" s="69"/>
      <c r="D443" s="6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</row>
    <row r="444" spans="4:24" ht="12">
      <c r="D444" s="6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4:24" ht="12">
      <c r="D445" s="69"/>
      <c r="E445" s="149"/>
      <c r="F445" s="149"/>
      <c r="G445" s="149">
        <f>SUM(F442-G442)</f>
        <v>900</v>
      </c>
      <c r="H445" s="149"/>
      <c r="I445" s="149" t="s">
        <v>557</v>
      </c>
      <c r="J445" s="149"/>
      <c r="K445" s="149" t="s">
        <v>557</v>
      </c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</row>
    <row r="446" spans="4:24" ht="12">
      <c r="D446" s="6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4:24" ht="12">
      <c r="D447" s="6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19"/>
      <c r="Q447" s="71"/>
      <c r="R447" s="119"/>
      <c r="S447" s="71"/>
      <c r="T447" s="119"/>
      <c r="U447" s="71"/>
      <c r="V447" s="119"/>
      <c r="W447" s="71"/>
      <c r="X447" s="119"/>
    </row>
    <row r="448" spans="1:24" s="24" customFormat="1" ht="12.75">
      <c r="A448" s="26"/>
      <c r="B448" s="26"/>
      <c r="C448" s="26"/>
      <c r="D448" s="130"/>
      <c r="E448" s="119"/>
      <c r="F448" s="119"/>
      <c r="G448" s="119"/>
      <c r="H448" s="119"/>
      <c r="I448" s="119"/>
      <c r="J448" s="119"/>
      <c r="K448" s="242"/>
      <c r="L448" s="119"/>
      <c r="M448" s="242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s="24" customFormat="1" ht="12.75">
      <c r="A449" s="26"/>
      <c r="B449" s="26"/>
      <c r="C449" s="26"/>
      <c r="D449" s="130"/>
      <c r="E449" s="119"/>
      <c r="F449" s="119"/>
      <c r="G449" s="119"/>
      <c r="H449" s="119"/>
      <c r="I449" s="119"/>
      <c r="J449" s="119"/>
      <c r="K449" s="242"/>
      <c r="L449" s="119"/>
      <c r="M449" s="242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24" customFormat="1" ht="12.75">
      <c r="A450" s="26"/>
      <c r="B450" s="26"/>
      <c r="C450" s="26"/>
      <c r="D450" s="130"/>
      <c r="E450" s="119"/>
      <c r="F450" s="119"/>
      <c r="G450" s="119"/>
      <c r="H450" s="119"/>
      <c r="I450" s="119"/>
      <c r="J450" s="119"/>
      <c r="K450" s="242"/>
      <c r="L450" s="119"/>
      <c r="M450" s="242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s="24" customFormat="1" ht="12.75">
      <c r="A451" s="26"/>
      <c r="B451" s="26"/>
      <c r="C451" s="26"/>
      <c r="D451" s="130"/>
      <c r="E451" s="119"/>
      <c r="F451" s="119"/>
      <c r="G451" s="119"/>
      <c r="H451" s="119"/>
      <c r="I451" s="119"/>
      <c r="J451" s="119"/>
      <c r="K451" s="242"/>
      <c r="L451" s="119"/>
      <c r="M451" s="242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s="24" customFormat="1" ht="12.75">
      <c r="A452" s="26"/>
      <c r="B452" s="26"/>
      <c r="C452" s="26"/>
      <c r="D452" s="130"/>
      <c r="E452" s="119"/>
      <c r="F452" s="119"/>
      <c r="G452" s="119"/>
      <c r="H452" s="119"/>
      <c r="I452" s="119"/>
      <c r="J452" s="119"/>
      <c r="K452" s="242"/>
      <c r="L452" s="119"/>
      <c r="M452" s="242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s="24" customFormat="1" ht="12.75">
      <c r="A453" s="26"/>
      <c r="B453" s="26"/>
      <c r="C453" s="26"/>
      <c r="D453" s="130"/>
      <c r="E453" s="119"/>
      <c r="F453" s="119"/>
      <c r="G453" s="119"/>
      <c r="H453" s="119"/>
      <c r="I453" s="119"/>
      <c r="J453" s="119"/>
      <c r="K453" s="242"/>
      <c r="L453" s="119"/>
      <c r="M453" s="242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s="24" customFormat="1" ht="12.75">
      <c r="A454" s="26"/>
      <c r="B454" s="26"/>
      <c r="C454" s="26"/>
      <c r="D454" s="130"/>
      <c r="E454" s="119"/>
      <c r="F454" s="119"/>
      <c r="G454" s="119"/>
      <c r="H454" s="119"/>
      <c r="I454" s="119"/>
      <c r="J454" s="119"/>
      <c r="K454" s="242"/>
      <c r="L454" s="119"/>
      <c r="M454" s="242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s="24" customFormat="1" ht="12.75">
      <c r="A455" s="26"/>
      <c r="B455" s="26"/>
      <c r="C455" s="26"/>
      <c r="D455" s="130"/>
      <c r="E455" s="119"/>
      <c r="F455" s="119"/>
      <c r="G455" s="119"/>
      <c r="H455" s="119"/>
      <c r="I455" s="119"/>
      <c r="J455" s="119"/>
      <c r="K455" s="242"/>
      <c r="L455" s="119"/>
      <c r="M455" s="242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s="24" customFormat="1" ht="12.75">
      <c r="A456" s="26"/>
      <c r="B456" s="26"/>
      <c r="C456" s="26"/>
      <c r="D456" s="130"/>
      <c r="E456" s="119"/>
      <c r="F456" s="119"/>
      <c r="G456" s="119"/>
      <c r="H456" s="119"/>
      <c r="I456" s="119"/>
      <c r="J456" s="119"/>
      <c r="K456" s="242"/>
      <c r="L456" s="119"/>
      <c r="M456" s="242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s="24" customFormat="1" ht="12.75">
      <c r="A457" s="26"/>
      <c r="B457" s="26"/>
      <c r="C457" s="26"/>
      <c r="D457" s="130"/>
      <c r="E457" s="119"/>
      <c r="F457" s="119"/>
      <c r="G457" s="119"/>
      <c r="H457" s="119"/>
      <c r="I457" s="119"/>
      <c r="J457" s="119"/>
      <c r="K457" s="242"/>
      <c r="L457" s="119"/>
      <c r="M457" s="242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s="24" customFormat="1" ht="12.75">
      <c r="A458" s="26"/>
      <c r="B458" s="26"/>
      <c r="C458" s="26"/>
      <c r="D458" s="130"/>
      <c r="E458" s="119"/>
      <c r="F458" s="119"/>
      <c r="G458" s="119"/>
      <c r="H458" s="119"/>
      <c r="I458" s="119"/>
      <c r="J458" s="119"/>
      <c r="K458" s="242"/>
      <c r="L458" s="119"/>
      <c r="M458" s="242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s="24" customFormat="1" ht="12.75">
      <c r="A459" s="26"/>
      <c r="B459" s="26"/>
      <c r="C459" s="26"/>
      <c r="D459" s="130"/>
      <c r="E459" s="119"/>
      <c r="F459" s="119"/>
      <c r="G459" s="119"/>
      <c r="H459" s="119"/>
      <c r="I459" s="119"/>
      <c r="J459" s="119"/>
      <c r="K459" s="242"/>
      <c r="L459" s="119"/>
      <c r="M459" s="242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s="24" customFormat="1" ht="12.75">
      <c r="A460" s="26"/>
      <c r="B460" s="26"/>
      <c r="C460" s="26"/>
      <c r="D460" s="130"/>
      <c r="E460" s="119"/>
      <c r="F460" s="119"/>
      <c r="G460" s="119"/>
      <c r="H460" s="119"/>
      <c r="I460" s="119"/>
      <c r="J460" s="119"/>
      <c r="K460" s="242"/>
      <c r="L460" s="119"/>
      <c r="M460" s="242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s="24" customFormat="1" ht="12.75">
      <c r="A461" s="26"/>
      <c r="B461" s="26"/>
      <c r="C461" s="26"/>
      <c r="D461" s="130"/>
      <c r="E461" s="119"/>
      <c r="F461" s="119"/>
      <c r="G461" s="119"/>
      <c r="H461" s="119"/>
      <c r="I461" s="119"/>
      <c r="J461" s="119"/>
      <c r="K461" s="242"/>
      <c r="L461" s="119"/>
      <c r="M461" s="242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s="24" customFormat="1" ht="12.75">
      <c r="A462" s="26"/>
      <c r="B462" s="26"/>
      <c r="C462" s="26"/>
      <c r="D462" s="130"/>
      <c r="E462" s="119"/>
      <c r="F462" s="119"/>
      <c r="G462" s="119"/>
      <c r="H462" s="119"/>
      <c r="I462" s="119"/>
      <c r="J462" s="119"/>
      <c r="K462" s="242"/>
      <c r="L462" s="119"/>
      <c r="M462" s="242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s="24" customFormat="1" ht="12.75">
      <c r="A463" s="26"/>
      <c r="B463" s="26"/>
      <c r="C463" s="26"/>
      <c r="D463" s="130"/>
      <c r="E463" s="119"/>
      <c r="F463" s="119"/>
      <c r="G463" s="119"/>
      <c r="H463" s="119"/>
      <c r="I463" s="119"/>
      <c r="J463" s="119"/>
      <c r="K463" s="242"/>
      <c r="L463" s="119"/>
      <c r="M463" s="242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s="24" customFormat="1" ht="12.75">
      <c r="A464" s="26"/>
      <c r="B464" s="26"/>
      <c r="C464" s="26"/>
      <c r="D464" s="130"/>
      <c r="E464" s="119"/>
      <c r="F464" s="119"/>
      <c r="G464" s="119"/>
      <c r="H464" s="119"/>
      <c r="I464" s="119"/>
      <c r="J464" s="119"/>
      <c r="K464" s="242"/>
      <c r="L464" s="119"/>
      <c r="M464" s="242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s="24" customFormat="1" ht="12.75">
      <c r="A465" s="26"/>
      <c r="B465" s="26"/>
      <c r="C465" s="26"/>
      <c r="D465" s="26"/>
      <c r="E465" s="25"/>
      <c r="F465" s="25"/>
      <c r="G465" s="25"/>
      <c r="H465" s="25"/>
      <c r="I465" s="25"/>
      <c r="J465" s="25"/>
      <c r="K465" s="143"/>
      <c r="L465" s="25"/>
      <c r="M465" s="143"/>
      <c r="N465" s="25"/>
      <c r="O465" s="25"/>
      <c r="P465" s="25"/>
      <c r="Q465" s="25"/>
      <c r="R465" s="25"/>
      <c r="S465" s="25"/>
      <c r="T465" s="25"/>
      <c r="U465" s="25"/>
      <c r="V465" s="25"/>
      <c r="W465" s="143"/>
      <c r="X465" s="25"/>
    </row>
    <row r="466" spans="1:24" s="24" customFormat="1" ht="12.75">
      <c r="A466" s="26"/>
      <c r="B466" s="26"/>
      <c r="C466" s="26"/>
      <c r="D466" s="26"/>
      <c r="E466" s="25"/>
      <c r="F466" s="25"/>
      <c r="G466" s="25"/>
      <c r="H466" s="25"/>
      <c r="I466" s="25"/>
      <c r="J466" s="25"/>
      <c r="K466" s="143"/>
      <c r="L466" s="25"/>
      <c r="M466" s="143"/>
      <c r="N466" s="25"/>
      <c r="O466" s="143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4" customFormat="1" ht="12.75">
      <c r="A467" s="26"/>
      <c r="B467" s="26"/>
      <c r="C467" s="26"/>
      <c r="D467" s="26"/>
      <c r="E467" s="25"/>
      <c r="F467" s="25"/>
      <c r="G467" s="25"/>
      <c r="H467" s="25"/>
      <c r="I467" s="25"/>
      <c r="J467" s="25"/>
      <c r="K467" s="143"/>
      <c r="L467" s="25"/>
      <c r="M467" s="143"/>
      <c r="N467" s="25"/>
      <c r="O467" s="143"/>
      <c r="P467" s="25"/>
      <c r="Q467" s="25"/>
      <c r="R467" s="25"/>
      <c r="S467" s="25"/>
      <c r="T467" s="25"/>
      <c r="U467" s="25"/>
      <c r="V467" s="25"/>
      <c r="W467" s="143"/>
      <c r="X467" s="25"/>
    </row>
    <row r="468" spans="1:24" s="24" customFormat="1" ht="12.75">
      <c r="A468" s="26"/>
      <c r="B468" s="26"/>
      <c r="C468" s="26"/>
      <c r="D468" s="26"/>
      <c r="E468" s="25"/>
      <c r="F468" s="25"/>
      <c r="G468" s="25"/>
      <c r="H468" s="25"/>
      <c r="I468" s="25"/>
      <c r="J468" s="25"/>
      <c r="K468" s="143"/>
      <c r="L468" s="25"/>
      <c r="M468" s="143"/>
      <c r="N468" s="25"/>
      <c r="O468" s="143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4" customFormat="1" ht="12.75">
      <c r="A469" s="26"/>
      <c r="B469" s="26"/>
      <c r="C469" s="26"/>
      <c r="D469" s="26"/>
      <c r="E469" s="25"/>
      <c r="F469" s="25"/>
      <c r="G469" s="25"/>
      <c r="H469" s="25"/>
      <c r="I469" s="25"/>
      <c r="J469" s="25"/>
      <c r="K469" s="143"/>
      <c r="L469" s="25"/>
      <c r="M469" s="143"/>
      <c r="N469" s="25"/>
      <c r="O469" s="143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4" customFormat="1" ht="12.75">
      <c r="A470" s="26"/>
      <c r="B470" s="26"/>
      <c r="C470" s="26"/>
      <c r="D470" s="26"/>
      <c r="E470" s="25"/>
      <c r="F470" s="25"/>
      <c r="G470" s="25"/>
      <c r="H470" s="25"/>
      <c r="I470" s="25"/>
      <c r="J470" s="25"/>
      <c r="K470" s="143"/>
      <c r="L470" s="25"/>
      <c r="M470" s="143"/>
      <c r="N470" s="25"/>
      <c r="O470" s="143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4" customFormat="1" ht="12.75">
      <c r="A471" s="26"/>
      <c r="B471" s="26"/>
      <c r="C471" s="26"/>
      <c r="D471" s="26"/>
      <c r="E471" s="25"/>
      <c r="F471" s="25"/>
      <c r="G471" s="25"/>
      <c r="H471" s="25"/>
      <c r="I471" s="25"/>
      <c r="J471" s="25"/>
      <c r="K471" s="143"/>
      <c r="L471" s="25"/>
      <c r="M471" s="143"/>
      <c r="N471" s="25"/>
      <c r="O471" s="143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5" s="24" customFormat="1" ht="12.75">
      <c r="A472" s="26"/>
      <c r="B472" s="26"/>
      <c r="C472" s="26"/>
      <c r="D472" s="26"/>
      <c r="E472" s="25"/>
      <c r="F472" s="25"/>
      <c r="G472" s="25"/>
      <c r="H472" s="25"/>
      <c r="I472" s="25"/>
      <c r="J472" s="25"/>
      <c r="K472" s="143"/>
      <c r="L472" s="25"/>
      <c r="M472" s="143"/>
      <c r="N472" s="25"/>
      <c r="O472" s="143"/>
      <c r="P472" s="25"/>
      <c r="Q472" s="25"/>
      <c r="R472" s="25"/>
      <c r="S472" s="25"/>
      <c r="T472" s="25"/>
      <c r="U472" s="25"/>
      <c r="V472" s="25"/>
      <c r="W472" s="25"/>
      <c r="X472" s="25"/>
      <c r="Y472" s="336"/>
    </row>
    <row r="473" spans="1:24" s="24" customFormat="1" ht="12.75">
      <c r="A473" s="26"/>
      <c r="B473" s="26"/>
      <c r="C473" s="26"/>
      <c r="D473" s="26"/>
      <c r="E473" s="25"/>
      <c r="F473" s="25"/>
      <c r="G473" s="25"/>
      <c r="H473" s="25"/>
      <c r="I473" s="25"/>
      <c r="J473" s="25"/>
      <c r="K473" s="143"/>
      <c r="L473" s="25"/>
      <c r="M473" s="143"/>
      <c r="N473" s="25"/>
      <c r="O473" s="143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4" customFormat="1" ht="12.75">
      <c r="A474" s="26"/>
      <c r="B474" s="26"/>
      <c r="C474" s="26"/>
      <c r="D474" s="26"/>
      <c r="E474" s="25"/>
      <c r="F474" s="25"/>
      <c r="G474" s="25"/>
      <c r="H474" s="25"/>
      <c r="I474" s="25"/>
      <c r="J474" s="25"/>
      <c r="K474" s="143"/>
      <c r="L474" s="25"/>
      <c r="M474" s="143"/>
      <c r="N474" s="25"/>
      <c r="O474" s="143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4" customFormat="1" ht="12.75">
      <c r="A475" s="26"/>
      <c r="B475" s="26"/>
      <c r="C475" s="26"/>
      <c r="D475" s="26"/>
      <c r="E475" s="25"/>
      <c r="F475" s="25"/>
      <c r="G475" s="25"/>
      <c r="H475" s="25"/>
      <c r="I475" s="25"/>
      <c r="J475" s="25"/>
      <c r="K475" s="143"/>
      <c r="L475" s="25"/>
      <c r="M475" s="143"/>
      <c r="N475" s="25"/>
      <c r="O475" s="143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4" customFormat="1" ht="12.75">
      <c r="A476" s="26"/>
      <c r="B476" s="26"/>
      <c r="C476" s="26"/>
      <c r="D476" s="26"/>
      <c r="E476" s="25"/>
      <c r="F476" s="25"/>
      <c r="G476" s="25"/>
      <c r="H476" s="25"/>
      <c r="I476" s="25"/>
      <c r="J476" s="25"/>
      <c r="K476" s="143"/>
      <c r="L476" s="25"/>
      <c r="M476" s="143"/>
      <c r="N476" s="25"/>
      <c r="O476" s="143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4" customFormat="1" ht="12.75">
      <c r="A477" s="26"/>
      <c r="B477" s="26"/>
      <c r="C477" s="26"/>
      <c r="D477" s="26"/>
      <c r="E477" s="25"/>
      <c r="F477" s="25"/>
      <c r="G477" s="25"/>
      <c r="H477" s="25"/>
      <c r="I477" s="25"/>
      <c r="J477" s="25"/>
      <c r="K477" s="143"/>
      <c r="L477" s="25"/>
      <c r="M477" s="143"/>
      <c r="N477" s="25"/>
      <c r="O477" s="143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4" customFormat="1" ht="12.75">
      <c r="A478" s="26"/>
      <c r="B478" s="26"/>
      <c r="C478" s="26"/>
      <c r="D478" s="26"/>
      <c r="E478" s="25"/>
      <c r="F478" s="25"/>
      <c r="G478" s="25"/>
      <c r="H478" s="25"/>
      <c r="I478" s="25"/>
      <c r="J478" s="25"/>
      <c r="K478" s="143"/>
      <c r="L478" s="25"/>
      <c r="M478" s="143"/>
      <c r="N478" s="25"/>
      <c r="O478" s="143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4" customFormat="1" ht="12.75">
      <c r="A479" s="26"/>
      <c r="B479" s="26"/>
      <c r="C479" s="26"/>
      <c r="D479" s="26"/>
      <c r="E479" s="25"/>
      <c r="F479" s="25"/>
      <c r="G479" s="25"/>
      <c r="H479" s="25"/>
      <c r="I479" s="25"/>
      <c r="J479" s="25"/>
      <c r="K479" s="143"/>
      <c r="L479" s="25"/>
      <c r="M479" s="143"/>
      <c r="N479" s="25"/>
      <c r="O479" s="143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4" customFormat="1" ht="12.75">
      <c r="A480" s="26"/>
      <c r="B480" s="26"/>
      <c r="C480" s="26"/>
      <c r="D480" s="26"/>
      <c r="E480" s="25"/>
      <c r="F480" s="25"/>
      <c r="G480" s="25"/>
      <c r="H480" s="25"/>
      <c r="I480" s="25"/>
      <c r="J480" s="25"/>
      <c r="K480" s="143"/>
      <c r="L480" s="25"/>
      <c r="M480" s="143"/>
      <c r="N480" s="25"/>
      <c r="O480" s="143"/>
      <c r="P480" s="25"/>
      <c r="Q480" s="25"/>
      <c r="R480" s="25"/>
      <c r="S480" s="25"/>
      <c r="T480" s="25"/>
      <c r="U480" s="25"/>
      <c r="V480" s="143"/>
      <c r="W480" s="25"/>
      <c r="X480" s="25"/>
    </row>
    <row r="481" spans="1:24" s="24" customFormat="1" ht="12.75">
      <c r="A481" s="26"/>
      <c r="B481" s="26"/>
      <c r="C481" s="26"/>
      <c r="D481" s="26"/>
      <c r="E481" s="25"/>
      <c r="F481" s="25"/>
      <c r="G481" s="25"/>
      <c r="H481" s="25"/>
      <c r="I481" s="25"/>
      <c r="J481" s="25"/>
      <c r="K481" s="143"/>
      <c r="L481" s="25"/>
      <c r="M481" s="143"/>
      <c r="N481" s="25"/>
      <c r="O481" s="143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4" customFormat="1" ht="12.75">
      <c r="A482" s="26"/>
      <c r="B482" s="26"/>
      <c r="C482" s="26"/>
      <c r="D482" s="26"/>
      <c r="E482" s="25"/>
      <c r="F482" s="25"/>
      <c r="G482" s="25"/>
      <c r="H482" s="25"/>
      <c r="I482" s="25"/>
      <c r="J482" s="25"/>
      <c r="K482" s="143"/>
      <c r="L482" s="25"/>
      <c r="M482" s="143"/>
      <c r="N482" s="25"/>
      <c r="O482" s="143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4" customFormat="1" ht="12.75">
      <c r="A483" s="26"/>
      <c r="B483" s="26"/>
      <c r="C483" s="26"/>
      <c r="D483" s="26"/>
      <c r="E483" s="25"/>
      <c r="F483" s="25"/>
      <c r="G483" s="25"/>
      <c r="H483" s="25"/>
      <c r="I483" s="25"/>
      <c r="J483" s="25"/>
      <c r="K483" s="143"/>
      <c r="L483" s="25"/>
      <c r="M483" s="143"/>
      <c r="N483" s="25"/>
      <c r="O483" s="143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4" customFormat="1" ht="12.75">
      <c r="A484" s="26"/>
      <c r="B484" s="26"/>
      <c r="C484" s="26"/>
      <c r="D484" s="26"/>
      <c r="E484" s="25"/>
      <c r="F484" s="25"/>
      <c r="G484" s="25"/>
      <c r="H484" s="25"/>
      <c r="I484" s="25"/>
      <c r="J484" s="25"/>
      <c r="K484" s="143"/>
      <c r="L484" s="25"/>
      <c r="M484" s="143"/>
      <c r="N484" s="25"/>
      <c r="O484" s="143"/>
      <c r="P484" s="25"/>
      <c r="Q484" s="25">
        <v>85000</v>
      </c>
      <c r="R484" s="25" t="s">
        <v>713</v>
      </c>
      <c r="S484" s="25"/>
      <c r="T484" s="25"/>
      <c r="U484" s="25"/>
      <c r="V484" s="25"/>
      <c r="W484" s="25"/>
      <c r="X484" s="25"/>
    </row>
    <row r="485" spans="1:24" s="24" customFormat="1" ht="12.75">
      <c r="A485" s="26"/>
      <c r="B485" s="26"/>
      <c r="C485" s="26"/>
      <c r="D485" s="26"/>
      <c r="E485" s="25"/>
      <c r="F485" s="25"/>
      <c r="G485" s="25"/>
      <c r="H485" s="25"/>
      <c r="I485" s="25"/>
      <c r="J485" s="25"/>
      <c r="K485" s="143"/>
      <c r="L485" s="25"/>
      <c r="M485" s="143"/>
      <c r="N485" s="25"/>
      <c r="O485" s="143"/>
      <c r="P485" s="25"/>
      <c r="Q485" s="25"/>
      <c r="R485" s="25" t="s">
        <v>54</v>
      </c>
      <c r="S485" s="25"/>
      <c r="T485" s="25"/>
      <c r="U485" s="25"/>
      <c r="V485" s="25"/>
      <c r="W485" s="25"/>
      <c r="X485" s="25"/>
    </row>
    <row r="486" spans="1:24" s="24" customFormat="1" ht="12.75">
      <c r="A486" s="26"/>
      <c r="B486" s="26"/>
      <c r="C486" s="26"/>
      <c r="D486" s="26"/>
      <c r="E486" s="25"/>
      <c r="F486" s="25"/>
      <c r="G486" s="25"/>
      <c r="H486" s="25"/>
      <c r="I486" s="25"/>
      <c r="J486" s="25"/>
      <c r="K486" s="143"/>
      <c r="L486" s="25"/>
      <c r="M486" s="143"/>
      <c r="N486" s="25"/>
      <c r="O486" s="143"/>
      <c r="P486" s="25"/>
      <c r="Q486" s="25"/>
      <c r="R486" s="25" t="s">
        <v>54</v>
      </c>
      <c r="S486" s="25"/>
      <c r="T486" s="25"/>
      <c r="U486" s="25"/>
      <c r="V486" s="25"/>
      <c r="W486" s="25"/>
      <c r="X486" s="25"/>
    </row>
    <row r="487" spans="1:24" s="24" customFormat="1" ht="12.75">
      <c r="A487" s="26"/>
      <c r="B487" s="26"/>
      <c r="C487" s="26"/>
      <c r="D487" s="26"/>
      <c r="E487" s="25"/>
      <c r="F487" s="25"/>
      <c r="G487" s="25"/>
      <c r="H487" s="25"/>
      <c r="I487" s="25"/>
      <c r="J487" s="25"/>
      <c r="K487" s="143"/>
      <c r="L487" s="25"/>
      <c r="M487" s="143"/>
      <c r="N487" s="25"/>
      <c r="O487" s="143"/>
      <c r="P487" s="25"/>
      <c r="Q487" s="25"/>
      <c r="R487" s="25" t="s">
        <v>92</v>
      </c>
      <c r="S487" s="25"/>
      <c r="T487" s="25"/>
      <c r="U487" s="25"/>
      <c r="V487" s="25"/>
      <c r="W487" s="25"/>
      <c r="X487" s="25"/>
    </row>
    <row r="488" spans="1:24" s="24" customFormat="1" ht="12.75">
      <c r="A488" s="26"/>
      <c r="B488" s="26"/>
      <c r="C488" s="26"/>
      <c r="D488" s="26"/>
      <c r="E488" s="25"/>
      <c r="F488" s="25"/>
      <c r="G488" s="25"/>
      <c r="H488" s="25"/>
      <c r="I488" s="25"/>
      <c r="J488" s="25"/>
      <c r="K488" s="143"/>
      <c r="L488" s="25"/>
      <c r="M488" s="143"/>
      <c r="N488" s="25"/>
      <c r="O488" s="143"/>
      <c r="P488" s="25"/>
      <c r="Q488" s="25"/>
      <c r="R488" s="25" t="s">
        <v>93</v>
      </c>
      <c r="S488" s="25"/>
      <c r="T488" s="25"/>
      <c r="U488" s="25"/>
      <c r="V488" s="25"/>
      <c r="W488" s="25"/>
      <c r="X488" s="25"/>
    </row>
    <row r="489" spans="1:24" s="24" customFormat="1" ht="12.75">
      <c r="A489" s="26"/>
      <c r="B489" s="26"/>
      <c r="C489" s="26"/>
      <c r="D489" s="26"/>
      <c r="E489" s="25"/>
      <c r="F489" s="25"/>
      <c r="G489" s="25"/>
      <c r="H489" s="25"/>
      <c r="I489" s="25"/>
      <c r="J489" s="25"/>
      <c r="K489" s="143"/>
      <c r="L489" s="25"/>
      <c r="M489" s="143"/>
      <c r="N489" s="25"/>
      <c r="O489" s="143"/>
      <c r="P489" s="25"/>
      <c r="Q489" s="25"/>
      <c r="R489" s="25" t="s">
        <v>94</v>
      </c>
      <c r="S489" s="25"/>
      <c r="T489" s="25"/>
      <c r="U489" s="25"/>
      <c r="V489" s="25"/>
      <c r="W489" s="25"/>
      <c r="X489" s="25"/>
    </row>
    <row r="490" spans="1:24" s="24" customFormat="1" ht="12.75">
      <c r="A490" s="26"/>
      <c r="B490" s="26"/>
      <c r="C490" s="26"/>
      <c r="D490" s="26"/>
      <c r="E490" s="25"/>
      <c r="F490" s="25"/>
      <c r="G490" s="25"/>
      <c r="H490" s="25"/>
      <c r="I490" s="25"/>
      <c r="J490" s="25"/>
      <c r="K490" s="143"/>
      <c r="L490" s="25"/>
      <c r="M490" s="143"/>
      <c r="N490" s="25"/>
      <c r="O490" s="143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4" customFormat="1" ht="12.75">
      <c r="A491" s="26"/>
      <c r="B491" s="26"/>
      <c r="C491" s="26"/>
      <c r="D491" s="26"/>
      <c r="E491" s="25"/>
      <c r="F491" s="25"/>
      <c r="G491" s="25"/>
      <c r="H491" s="25"/>
      <c r="I491" s="25"/>
      <c r="J491" s="25"/>
      <c r="K491" s="143"/>
      <c r="L491" s="25"/>
      <c r="M491" s="143"/>
      <c r="N491" s="25"/>
      <c r="O491" s="143"/>
      <c r="P491" s="25"/>
      <c r="Q491" s="143">
        <f>SUM(Q447:Q490)</f>
        <v>85000</v>
      </c>
      <c r="R491" s="25">
        <v>1209460</v>
      </c>
      <c r="S491" s="143"/>
      <c r="T491" s="25"/>
      <c r="U491" s="143"/>
      <c r="V491" s="25"/>
      <c r="W491" s="143"/>
      <c r="X491" s="25"/>
    </row>
    <row r="492" spans="1:24" s="24" customFormat="1" ht="12.75">
      <c r="A492" s="26"/>
      <c r="B492" s="26"/>
      <c r="C492" s="26"/>
      <c r="D492" s="26"/>
      <c r="E492" s="25"/>
      <c r="F492" s="25"/>
      <c r="G492" s="25"/>
      <c r="H492" s="25"/>
      <c r="I492" s="25"/>
      <c r="J492" s="25"/>
      <c r="K492" s="143"/>
      <c r="L492" s="25"/>
      <c r="M492" s="143"/>
      <c r="N492" s="25"/>
      <c r="O492" s="143">
        <v>57</v>
      </c>
      <c r="P492" s="25" t="s">
        <v>681</v>
      </c>
      <c r="Q492" s="143">
        <f>SUM(Q447:Q467)</f>
        <v>0</v>
      </c>
      <c r="R492" s="25"/>
      <c r="S492" s="143"/>
      <c r="T492" s="25"/>
      <c r="U492" s="143"/>
      <c r="V492" s="25"/>
      <c r="W492" s="143"/>
      <c r="X492" s="25"/>
    </row>
    <row r="493" spans="1:24" s="24" customFormat="1" ht="12.75">
      <c r="A493" s="26"/>
      <c r="B493" s="26"/>
      <c r="C493" s="26"/>
      <c r="D493" s="26"/>
      <c r="E493" s="25"/>
      <c r="F493" s="25"/>
      <c r="G493" s="25"/>
      <c r="H493" s="25"/>
      <c r="I493" s="25"/>
      <c r="J493" s="25"/>
      <c r="K493" s="143"/>
      <c r="L493" s="25"/>
      <c r="M493" s="143"/>
      <c r="N493" s="25"/>
      <c r="O493" s="25">
        <v>30000</v>
      </c>
      <c r="P493" s="25" t="s">
        <v>683</v>
      </c>
      <c r="Q493" s="25">
        <v>-120660</v>
      </c>
      <c r="R493" s="25"/>
      <c r="S493" s="25"/>
      <c r="T493" s="25"/>
      <c r="U493" s="25"/>
      <c r="V493" s="25"/>
      <c r="W493" s="25"/>
      <c r="X493" s="25"/>
    </row>
    <row r="494" spans="1:24" s="24" customFormat="1" ht="12.75">
      <c r="A494" s="26"/>
      <c r="B494" s="26"/>
      <c r="C494" s="26"/>
      <c r="D494" s="26"/>
      <c r="E494" s="25"/>
      <c r="F494" s="25"/>
      <c r="G494" s="25"/>
      <c r="H494" s="25"/>
      <c r="I494" s="25"/>
      <c r="J494" s="25"/>
      <c r="K494" s="143"/>
      <c r="L494" s="25"/>
      <c r="M494" s="143"/>
      <c r="N494" s="25"/>
      <c r="O494" s="143">
        <v>14000</v>
      </c>
      <c r="P494" s="25" t="s">
        <v>691</v>
      </c>
      <c r="Q494" s="143">
        <f>SUM(Q492:Q493)</f>
        <v>-120660</v>
      </c>
      <c r="R494" s="25"/>
      <c r="S494" s="143"/>
      <c r="T494" s="25"/>
      <c r="U494" s="143"/>
      <c r="V494" s="25"/>
      <c r="W494" s="143"/>
      <c r="X494" s="25"/>
    </row>
    <row r="495" spans="1:24" s="24" customFormat="1" ht="12.75">
      <c r="A495" s="26"/>
      <c r="B495" s="26"/>
      <c r="C495" s="26"/>
      <c r="D495" s="26"/>
      <c r="E495" s="25"/>
      <c r="F495" s="25"/>
      <c r="G495" s="25"/>
      <c r="H495" s="25"/>
      <c r="I495" s="25"/>
      <c r="J495" s="25" t="s">
        <v>607</v>
      </c>
      <c r="K495" s="143">
        <v>115</v>
      </c>
      <c r="L495" s="25" t="s">
        <v>602</v>
      </c>
      <c r="M495" s="143"/>
      <c r="N495" s="25"/>
      <c r="O495" s="143">
        <f>SUM(O447:O494)</f>
        <v>44057</v>
      </c>
      <c r="P495" s="25"/>
      <c r="Q495" s="143"/>
      <c r="R495" s="25"/>
      <c r="S495" s="143"/>
      <c r="T495" s="25"/>
      <c r="U495" s="143"/>
      <c r="V495" s="25"/>
      <c r="W495" s="143"/>
      <c r="X495" s="25"/>
    </row>
    <row r="496" spans="1:24" s="24" customFormat="1" ht="12.75">
      <c r="A496" s="26"/>
      <c r="B496" s="26"/>
      <c r="C496" s="26"/>
      <c r="D496" s="26"/>
      <c r="E496" s="25"/>
      <c r="F496" s="25"/>
      <c r="G496" s="25"/>
      <c r="H496" s="25"/>
      <c r="I496" s="25"/>
      <c r="J496" s="25" t="s">
        <v>607</v>
      </c>
      <c r="K496" s="25">
        <v>-4980</v>
      </c>
      <c r="L496" s="25" t="s">
        <v>604</v>
      </c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4" customFormat="1" ht="12.75">
      <c r="A497" s="26"/>
      <c r="B497" s="26"/>
      <c r="C497" s="26"/>
      <c r="D497" s="26"/>
      <c r="E497" s="25"/>
      <c r="F497" s="25"/>
      <c r="G497" s="25"/>
      <c r="H497" s="25"/>
      <c r="I497" s="25"/>
      <c r="J497" s="25" t="s">
        <v>607</v>
      </c>
      <c r="K497" s="25">
        <v>4980</v>
      </c>
      <c r="L497" s="25" t="s">
        <v>604</v>
      </c>
      <c r="M497" s="25"/>
      <c r="N497" s="25"/>
      <c r="O497" s="25">
        <f>13057+14000</f>
        <v>27057</v>
      </c>
      <c r="P497" s="25" t="s">
        <v>686</v>
      </c>
      <c r="Q497" s="25"/>
      <c r="R497" s="25"/>
      <c r="S497" s="25"/>
      <c r="T497" s="25"/>
      <c r="U497" s="25"/>
      <c r="V497" s="25"/>
      <c r="W497" s="25"/>
      <c r="X497" s="25"/>
    </row>
    <row r="498" spans="1:24" s="24" customFormat="1" ht="12.75">
      <c r="A498" s="26"/>
      <c r="B498" s="26"/>
      <c r="C498" s="26"/>
      <c r="D498" s="26"/>
      <c r="E498" s="25"/>
      <c r="F498" s="25"/>
      <c r="G498" s="25"/>
      <c r="H498" s="25"/>
      <c r="I498" s="25"/>
      <c r="J498" s="25" t="s">
        <v>607</v>
      </c>
      <c r="K498" s="25">
        <v>-30000</v>
      </c>
      <c r="L498" s="25" t="s">
        <v>605</v>
      </c>
      <c r="M498" s="25"/>
      <c r="N498" s="25"/>
      <c r="O498" s="25">
        <v>30000</v>
      </c>
      <c r="P498" s="25" t="s">
        <v>687</v>
      </c>
      <c r="Q498" s="25"/>
      <c r="R498" s="25"/>
      <c r="S498" s="25"/>
      <c r="T498" s="25"/>
      <c r="U498" s="25"/>
      <c r="V498" s="25"/>
      <c r="W498" s="25"/>
      <c r="X498" s="25"/>
    </row>
    <row r="499" spans="1:24" s="24" customFormat="1" ht="12.75">
      <c r="A499" s="26"/>
      <c r="B499" s="26"/>
      <c r="C499" s="26"/>
      <c r="D499" s="26"/>
      <c r="E499" s="25"/>
      <c r="F499" s="25"/>
      <c r="G499" s="25"/>
      <c r="H499" s="25"/>
      <c r="I499" s="25"/>
      <c r="J499" s="25" t="s">
        <v>608</v>
      </c>
      <c r="K499" s="25">
        <v>30000</v>
      </c>
      <c r="L499" s="25" t="s">
        <v>606</v>
      </c>
      <c r="M499" s="25"/>
      <c r="N499" s="25"/>
      <c r="O499" s="143">
        <f>SUM(O497:O498)</f>
        <v>57057</v>
      </c>
      <c r="P499" s="25"/>
      <c r="Q499" s="143"/>
      <c r="R499" s="25"/>
      <c r="S499" s="143"/>
      <c r="T499" s="25"/>
      <c r="U499" s="143"/>
      <c r="V499" s="25"/>
      <c r="W499" s="143"/>
      <c r="X499" s="25"/>
    </row>
    <row r="500" spans="1:24" s="24" customFormat="1" ht="12.75">
      <c r="A500" s="26"/>
      <c r="B500" s="26"/>
      <c r="C500" s="26"/>
      <c r="D500" s="26"/>
      <c r="E500" s="25"/>
      <c r="F500" s="25"/>
      <c r="G500" s="25"/>
      <c r="H500" s="25"/>
      <c r="I500" s="25"/>
      <c r="J500" s="25" t="s">
        <v>609</v>
      </c>
      <c r="K500" s="25">
        <v>-11000</v>
      </c>
      <c r="L500" s="25" t="s">
        <v>617</v>
      </c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4" customFormat="1" ht="12.75">
      <c r="A501" s="26"/>
      <c r="B501" s="26"/>
      <c r="C501" s="26"/>
      <c r="D501" s="26"/>
      <c r="E501" s="25"/>
      <c r="F501" s="25"/>
      <c r="G501" s="25"/>
      <c r="H501" s="25"/>
      <c r="I501" s="25"/>
      <c r="J501" s="25" t="s">
        <v>627</v>
      </c>
      <c r="K501" s="25">
        <v>-18900</v>
      </c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4" customFormat="1" ht="12.75">
      <c r="A502" s="26"/>
      <c r="B502" s="26"/>
      <c r="C502" s="26"/>
      <c r="D502" s="26"/>
      <c r="E502" s="25"/>
      <c r="F502" s="25"/>
      <c r="G502" s="25"/>
      <c r="H502" s="25"/>
      <c r="I502" s="25"/>
      <c r="J502" s="25" t="s">
        <v>610</v>
      </c>
      <c r="K502" s="25">
        <v>11551</v>
      </c>
      <c r="L502" s="25" t="s">
        <v>603</v>
      </c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4" customFormat="1" ht="12.75">
      <c r="A503" s="26"/>
      <c r="B503" s="26"/>
      <c r="C503" s="26"/>
      <c r="D503" s="26"/>
      <c r="E503" s="25"/>
      <c r="F503" s="25"/>
      <c r="G503" s="25"/>
      <c r="H503" s="25"/>
      <c r="I503" s="25"/>
      <c r="J503" s="25" t="s">
        <v>609</v>
      </c>
      <c r="K503" s="25">
        <v>10089</v>
      </c>
      <c r="L503" s="25" t="s">
        <v>628</v>
      </c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4" customFormat="1" ht="12.75">
      <c r="A504" s="26"/>
      <c r="B504" s="26"/>
      <c r="C504" s="26"/>
      <c r="D504" s="26"/>
      <c r="E504" s="25"/>
      <c r="F504" s="25"/>
      <c r="G504" s="25"/>
      <c r="H504" s="25"/>
      <c r="I504" s="25"/>
      <c r="J504" s="143" t="s">
        <v>609</v>
      </c>
      <c r="K504" s="25">
        <v>1900</v>
      </c>
      <c r="L504" s="25" t="s">
        <v>629</v>
      </c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4" customFormat="1" ht="12.75">
      <c r="A505" s="26"/>
      <c r="B505" s="26"/>
      <c r="C505" s="26"/>
      <c r="D505" s="26"/>
      <c r="E505" s="25"/>
      <c r="F505" s="25"/>
      <c r="G505" s="25"/>
      <c r="H505" s="25"/>
      <c r="I505" s="25"/>
      <c r="J505" s="143"/>
      <c r="K505" s="25">
        <v>6360</v>
      </c>
      <c r="L505" s="25" t="s">
        <v>630</v>
      </c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4" customFormat="1" ht="12.75">
      <c r="A506" s="26"/>
      <c r="B506" s="26"/>
      <c r="C506" s="26"/>
      <c r="D506" s="26"/>
      <c r="E506" s="25"/>
      <c r="F506" s="25"/>
      <c r="G506" s="25"/>
      <c r="H506" s="25"/>
      <c r="I506" s="25"/>
      <c r="J506" s="143"/>
      <c r="K506" s="25">
        <v>-4978</v>
      </c>
      <c r="L506" s="25" t="s">
        <v>633</v>
      </c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4" customFormat="1" ht="12.75">
      <c r="A507" s="26"/>
      <c r="B507" s="26"/>
      <c r="C507" s="26"/>
      <c r="D507" s="26"/>
      <c r="E507" s="25"/>
      <c r="F507" s="25"/>
      <c r="G507" s="25"/>
      <c r="H507" s="25"/>
      <c r="I507" s="25"/>
      <c r="J507" s="143"/>
      <c r="K507" s="25">
        <v>1978</v>
      </c>
      <c r="L507" s="25" t="s">
        <v>634</v>
      </c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4" customFormat="1" ht="12.75">
      <c r="A508" s="26"/>
      <c r="B508" s="26"/>
      <c r="C508" s="26"/>
      <c r="D508" s="26"/>
      <c r="E508" s="25"/>
      <c r="F508" s="25"/>
      <c r="G508" s="25"/>
      <c r="H508" s="25"/>
      <c r="I508" s="25"/>
      <c r="J508" s="143"/>
      <c r="K508" s="25">
        <v>3000</v>
      </c>
      <c r="L508" s="25" t="s">
        <v>635</v>
      </c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4" customFormat="1" ht="12.75">
      <c r="A509" s="26"/>
      <c r="B509" s="26"/>
      <c r="C509" s="26"/>
      <c r="D509" s="26"/>
      <c r="E509" s="25"/>
      <c r="F509" s="25"/>
      <c r="G509" s="25"/>
      <c r="H509" s="25"/>
      <c r="I509" s="25"/>
      <c r="J509" s="143"/>
      <c r="K509" s="25">
        <v>6218</v>
      </c>
      <c r="L509" s="25" t="s">
        <v>631</v>
      </c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4" customFormat="1" ht="12.75">
      <c r="A510" s="26"/>
      <c r="B510" s="26"/>
      <c r="C510" s="26"/>
      <c r="D510" s="26"/>
      <c r="E510" s="25"/>
      <c r="F510" s="25"/>
      <c r="G510" s="25"/>
      <c r="H510" s="25"/>
      <c r="I510" s="25"/>
      <c r="J510" s="143"/>
      <c r="K510" s="25">
        <v>11277</v>
      </c>
      <c r="L510" s="25" t="s">
        <v>632</v>
      </c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4" customFormat="1" ht="12.75">
      <c r="A511" s="26"/>
      <c r="B511" s="26"/>
      <c r="C511" s="26"/>
      <c r="D511" s="26"/>
      <c r="E511" s="25"/>
      <c r="F511" s="25"/>
      <c r="G511" s="25"/>
      <c r="H511" s="25"/>
      <c r="I511" s="25"/>
      <c r="J511" s="143"/>
      <c r="K511" s="25">
        <v>252197</v>
      </c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4" customFormat="1" ht="12.75">
      <c r="A512" s="26"/>
      <c r="B512" s="26"/>
      <c r="C512" s="26"/>
      <c r="D512" s="26"/>
      <c r="E512" s="25"/>
      <c r="F512" s="25"/>
      <c r="G512" s="25"/>
      <c r="H512" s="25"/>
      <c r="I512" s="25"/>
      <c r="J512" s="143"/>
      <c r="K512" s="25">
        <v>500000</v>
      </c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4" customFormat="1" ht="12.75">
      <c r="A513" s="26"/>
      <c r="B513" s="26"/>
      <c r="C513" s="26"/>
      <c r="D513" s="26"/>
      <c r="E513" s="25"/>
      <c r="F513" s="25"/>
      <c r="G513" s="25"/>
      <c r="H513" s="25"/>
      <c r="I513" s="25"/>
      <c r="J513" s="143"/>
      <c r="K513" s="25">
        <v>11000</v>
      </c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4" customFormat="1" ht="12.75">
      <c r="A514" s="26"/>
      <c r="B514" s="26"/>
      <c r="C514" s="26"/>
      <c r="D514" s="26"/>
      <c r="E514" s="25"/>
      <c r="F514" s="25"/>
      <c r="G514" s="25"/>
      <c r="H514" s="25"/>
      <c r="I514" s="25"/>
      <c r="J514" s="25"/>
      <c r="K514" s="143">
        <f>SUM(K448:K513)</f>
        <v>780807</v>
      </c>
      <c r="L514" s="25"/>
      <c r="M514" s="143"/>
      <c r="N514" s="25"/>
      <c r="O514" s="143"/>
      <c r="P514" s="25"/>
      <c r="Q514" s="143"/>
      <c r="R514" s="25"/>
      <c r="S514" s="143"/>
      <c r="T514" s="25"/>
      <c r="U514" s="143"/>
      <c r="V514" s="25"/>
      <c r="W514" s="143"/>
      <c r="X514" s="25"/>
    </row>
    <row r="515" spans="1:24" s="24" customFormat="1" ht="12.75">
      <c r="A515" s="26"/>
      <c r="B515" s="26"/>
      <c r="C515" s="26"/>
      <c r="D515" s="2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4" customFormat="1" ht="12.75">
      <c r="A516" s="26"/>
      <c r="B516" s="26"/>
      <c r="C516" s="26"/>
      <c r="D516" s="2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4" customFormat="1" ht="12.75">
      <c r="A517" s="26"/>
      <c r="B517" s="26"/>
      <c r="C517" s="26"/>
      <c r="D517" s="2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4" customFormat="1" ht="12.75">
      <c r="A518" s="26"/>
      <c r="B518" s="26"/>
      <c r="C518" s="26"/>
      <c r="D518" s="2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4" customFormat="1" ht="12.75">
      <c r="A519" s="26"/>
      <c r="B519" s="26"/>
      <c r="C519" s="26"/>
      <c r="D519" s="2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4" customFormat="1" ht="12.75">
      <c r="A520" s="26"/>
      <c r="B520" s="26"/>
      <c r="C520" s="26"/>
      <c r="D520" s="26"/>
      <c r="E520" s="25"/>
      <c r="F520" s="25"/>
      <c r="G520" s="25"/>
      <c r="H520" s="25"/>
      <c r="I520" s="143"/>
      <c r="J520" s="25"/>
      <c r="K520" s="143"/>
      <c r="L520" s="25"/>
      <c r="M520" s="143"/>
      <c r="N520" s="25"/>
      <c r="O520" s="143"/>
      <c r="P520" s="25"/>
      <c r="Q520" s="143"/>
      <c r="R520" s="25"/>
      <c r="S520" s="143"/>
      <c r="T520" s="25"/>
      <c r="U520" s="143"/>
      <c r="V520" s="25"/>
      <c r="W520" s="143"/>
      <c r="X520" s="25"/>
    </row>
    <row r="521" spans="1:24" s="24" customFormat="1" ht="12.75">
      <c r="A521" s="26"/>
      <c r="B521" s="26"/>
      <c r="C521" s="26"/>
      <c r="D521" s="2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4" customFormat="1" ht="12.75">
      <c r="A522" s="26"/>
      <c r="B522" s="26"/>
      <c r="C522" s="26"/>
      <c r="D522" s="2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4" customFormat="1" ht="12.75">
      <c r="A523" s="26"/>
      <c r="B523" s="26"/>
      <c r="C523" s="26"/>
      <c r="D523" s="2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4" customFormat="1" ht="12.75">
      <c r="A524" s="26"/>
      <c r="B524" s="26"/>
      <c r="C524" s="26"/>
      <c r="D524" s="2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4" customFormat="1" ht="12.75">
      <c r="A525" s="26"/>
      <c r="B525" s="26"/>
      <c r="C525" s="26"/>
      <c r="D525" s="2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4" customFormat="1" ht="12.75">
      <c r="A526" s="26"/>
      <c r="B526" s="26"/>
      <c r="C526" s="26"/>
      <c r="D526" s="2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4" customFormat="1" ht="12.75">
      <c r="A527" s="26"/>
      <c r="B527" s="26"/>
      <c r="C527" s="26"/>
      <c r="D527" s="2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4" customFormat="1" ht="12.75">
      <c r="A528" s="26"/>
      <c r="B528" s="26"/>
      <c r="C528" s="26"/>
      <c r="D528" s="2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4" customFormat="1" ht="12.75">
      <c r="A529" s="26"/>
      <c r="B529" s="26"/>
      <c r="C529" s="26"/>
      <c r="D529" s="2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4" customFormat="1" ht="12.75">
      <c r="A530" s="26"/>
      <c r="B530" s="26"/>
      <c r="C530" s="26"/>
      <c r="D530" s="26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</row>
    <row r="531" spans="1:24" s="24" customFormat="1" ht="12.75">
      <c r="A531" s="26"/>
      <c r="B531" s="26"/>
      <c r="C531" s="26"/>
      <c r="D531" s="2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4" customFormat="1" ht="12.75">
      <c r="A532" s="26"/>
      <c r="B532" s="26"/>
      <c r="C532" s="26"/>
      <c r="D532" s="2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4" customFormat="1" ht="12.75">
      <c r="A533" s="26"/>
      <c r="B533" s="26"/>
      <c r="C533" s="26"/>
      <c r="D533" s="2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4" customFormat="1" ht="12.75">
      <c r="A534" s="26"/>
      <c r="B534" s="26"/>
      <c r="C534" s="26"/>
      <c r="D534" s="2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4" customFormat="1" ht="12.75">
      <c r="A535" s="26"/>
      <c r="B535" s="26"/>
      <c r="C535" s="26"/>
      <c r="D535" s="2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4" customFormat="1" ht="12.75">
      <c r="A536" s="26"/>
      <c r="B536" s="26"/>
      <c r="C536" s="26"/>
      <c r="D536" s="2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4" customFormat="1" ht="12.75">
      <c r="A537" s="26"/>
      <c r="B537" s="26"/>
      <c r="C537" s="26"/>
      <c r="D537" s="2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4" customFormat="1" ht="12.75">
      <c r="A538" s="26"/>
      <c r="B538" s="26"/>
      <c r="C538" s="26"/>
      <c r="D538" s="2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4" customFormat="1" ht="12.75">
      <c r="A539" s="26"/>
      <c r="B539" s="26"/>
      <c r="C539" s="26"/>
      <c r="D539" s="2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4" customFormat="1" ht="12.75">
      <c r="A540" s="26"/>
      <c r="B540" s="26"/>
      <c r="C540" s="26"/>
      <c r="D540" s="2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4" customFormat="1" ht="12.75">
      <c r="A541" s="26"/>
      <c r="B541" s="26"/>
      <c r="C541" s="26"/>
      <c r="D541" s="2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4" customFormat="1" ht="12.75">
      <c r="A542" s="26"/>
      <c r="B542" s="26"/>
      <c r="C542" s="26"/>
      <c r="D542" s="2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4" customFormat="1" ht="12.75">
      <c r="A543" s="26"/>
      <c r="B543" s="26"/>
      <c r="C543" s="26"/>
      <c r="D543" s="2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4" customFormat="1" ht="12.75">
      <c r="A544" s="26"/>
      <c r="B544" s="26"/>
      <c r="C544" s="26"/>
      <c r="D544" s="2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4" customFormat="1" ht="12.75">
      <c r="A545" s="26"/>
      <c r="B545" s="26"/>
      <c r="C545" s="26"/>
      <c r="D545" s="2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4" customFormat="1" ht="12.75">
      <c r="A546" s="26"/>
      <c r="B546" s="26"/>
      <c r="C546" s="26"/>
      <c r="D546" s="2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4" customFormat="1" ht="12.75">
      <c r="A547" s="26"/>
      <c r="B547" s="26"/>
      <c r="C547" s="26"/>
      <c r="D547" s="2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4" customFormat="1" ht="12.75">
      <c r="A548" s="26"/>
      <c r="B548" s="26"/>
      <c r="C548" s="26"/>
      <c r="D548" s="2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4" customFormat="1" ht="12.75">
      <c r="A549" s="26"/>
      <c r="B549" s="26"/>
      <c r="C549" s="26"/>
      <c r="D549" s="2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4" customFormat="1" ht="12.75">
      <c r="A550" s="26"/>
      <c r="B550" s="26"/>
      <c r="C550" s="26"/>
      <c r="D550" s="2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4" customFormat="1" ht="12.75">
      <c r="A551" s="26"/>
      <c r="B551" s="26"/>
      <c r="C551" s="26"/>
      <c r="D551" s="2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4" customFormat="1" ht="12.75">
      <c r="A552" s="26"/>
      <c r="B552" s="26"/>
      <c r="C552" s="26"/>
      <c r="D552" s="2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4" customFormat="1" ht="12.75">
      <c r="A553" s="26"/>
      <c r="B553" s="26"/>
      <c r="C553" s="26"/>
      <c r="D553" s="2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4" customFormat="1" ht="12.75">
      <c r="A554" s="26"/>
      <c r="B554" s="26"/>
      <c r="C554" s="26"/>
      <c r="D554" s="2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4" customFormat="1" ht="12.75">
      <c r="A555" s="26"/>
      <c r="B555" s="26"/>
      <c r="C555" s="26"/>
      <c r="D555" s="2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4" customFormat="1" ht="12.75">
      <c r="A556" s="26"/>
      <c r="B556" s="26"/>
      <c r="C556" s="26"/>
      <c r="D556" s="2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4" customFormat="1" ht="12.75">
      <c r="A557" s="26"/>
      <c r="B557" s="26"/>
      <c r="C557" s="26"/>
      <c r="D557" s="2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4" customFormat="1" ht="12.75">
      <c r="A558" s="26"/>
      <c r="B558" s="26"/>
      <c r="C558" s="26"/>
      <c r="D558" s="2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4" customFormat="1" ht="12.75">
      <c r="A559" s="26"/>
      <c r="B559" s="26"/>
      <c r="C559" s="26"/>
      <c r="D559" s="2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4" customFormat="1" ht="12.75">
      <c r="A560" s="26"/>
      <c r="B560" s="26"/>
      <c r="C560" s="26"/>
      <c r="D560" s="2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4" customFormat="1" ht="12.75">
      <c r="A561" s="26"/>
      <c r="B561" s="26"/>
      <c r="C561" s="26"/>
      <c r="D561" s="2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4" customFormat="1" ht="12.75">
      <c r="A562" s="26"/>
      <c r="B562" s="26"/>
      <c r="C562" s="26"/>
      <c r="D562" s="2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4" customFormat="1" ht="12.75">
      <c r="A563" s="26"/>
      <c r="B563" s="26"/>
      <c r="C563" s="26"/>
      <c r="D563" s="2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4" customFormat="1" ht="12.75">
      <c r="A564" s="26"/>
      <c r="B564" s="26"/>
      <c r="C564" s="26"/>
      <c r="D564" s="2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4" customFormat="1" ht="12.75">
      <c r="A565" s="26"/>
      <c r="B565" s="26"/>
      <c r="C565" s="26"/>
      <c r="D565" s="2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4" customFormat="1" ht="12.75">
      <c r="A566" s="26"/>
      <c r="B566" s="26"/>
      <c r="C566" s="26"/>
      <c r="D566" s="2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4" customFormat="1" ht="12.75">
      <c r="A567" s="26"/>
      <c r="B567" s="26"/>
      <c r="C567" s="26"/>
      <c r="D567" s="2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4" customFormat="1" ht="12.75">
      <c r="A568" s="26"/>
      <c r="B568" s="26"/>
      <c r="C568" s="26"/>
      <c r="D568" s="2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4" customFormat="1" ht="12.75">
      <c r="A569" s="26"/>
      <c r="B569" s="26"/>
      <c r="C569" s="26"/>
      <c r="D569" s="2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4" customFormat="1" ht="12.75">
      <c r="A570" s="26"/>
      <c r="B570" s="26"/>
      <c r="C570" s="26"/>
      <c r="D570" s="2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4" customFormat="1" ht="12.75">
      <c r="A571" s="26"/>
      <c r="B571" s="26"/>
      <c r="C571" s="26"/>
      <c r="D571" s="2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4" customFormat="1" ht="12.75">
      <c r="A572" s="26"/>
      <c r="B572" s="26"/>
      <c r="C572" s="26"/>
      <c r="D572" s="2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4" customFormat="1" ht="12.75">
      <c r="A573" s="26"/>
      <c r="B573" s="26"/>
      <c r="C573" s="26"/>
      <c r="D573" s="2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4" customFormat="1" ht="12.75">
      <c r="A574" s="26"/>
      <c r="B574" s="26"/>
      <c r="C574" s="26"/>
      <c r="D574" s="2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4" customFormat="1" ht="12.75">
      <c r="A575" s="26"/>
      <c r="B575" s="26"/>
      <c r="C575" s="26"/>
      <c r="D575" s="2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4" customFormat="1" ht="12.75">
      <c r="A576" s="26"/>
      <c r="B576" s="26"/>
      <c r="C576" s="26"/>
      <c r="D576" s="2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4" customFormat="1" ht="12.75">
      <c r="A577" s="26"/>
      <c r="B577" s="26"/>
      <c r="C577" s="26"/>
      <c r="D577" s="2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4" customFormat="1" ht="12.75">
      <c r="A578" s="26"/>
      <c r="B578" s="26"/>
      <c r="C578" s="26"/>
      <c r="D578" s="2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4" customFormat="1" ht="12.75">
      <c r="A579" s="26"/>
      <c r="B579" s="26"/>
      <c r="C579" s="26"/>
      <c r="D579" s="2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4" customFormat="1" ht="12.75">
      <c r="A580" s="26"/>
      <c r="B580" s="26"/>
      <c r="C580" s="26"/>
      <c r="D580" s="2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4" customFormat="1" ht="12.75">
      <c r="A581" s="26"/>
      <c r="B581" s="26"/>
      <c r="C581" s="26"/>
      <c r="D581" s="2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4" customFormat="1" ht="12.75">
      <c r="A582" s="26"/>
      <c r="B582" s="26"/>
      <c r="C582" s="26"/>
      <c r="D582" s="2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4" customFormat="1" ht="12.75">
      <c r="A583" s="26"/>
      <c r="B583" s="26"/>
      <c r="C583" s="26"/>
      <c r="D583" s="2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4" customFormat="1" ht="12.75">
      <c r="A584" s="26"/>
      <c r="B584" s="26"/>
      <c r="C584" s="26"/>
      <c r="D584" s="2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4" customFormat="1" ht="12.75">
      <c r="A585" s="26"/>
      <c r="B585" s="26"/>
      <c r="C585" s="26"/>
      <c r="D585" s="2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4" customFormat="1" ht="12.75">
      <c r="A586" s="26"/>
      <c r="B586" s="26"/>
      <c r="C586" s="26"/>
      <c r="D586" s="2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4" customFormat="1" ht="12.75">
      <c r="A587" s="26"/>
      <c r="B587" s="26"/>
      <c r="C587" s="26"/>
      <c r="D587" s="2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4" customFormat="1" ht="12.75">
      <c r="A588" s="26"/>
      <c r="B588" s="26"/>
      <c r="C588" s="26"/>
      <c r="D588" s="2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4" customFormat="1" ht="12.75">
      <c r="A589" s="26"/>
      <c r="B589" s="26"/>
      <c r="C589" s="26"/>
      <c r="D589" s="2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4" customFormat="1" ht="12.75">
      <c r="A590" s="26"/>
      <c r="B590" s="26"/>
      <c r="C590" s="26"/>
      <c r="D590" s="2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4" customFormat="1" ht="12.75">
      <c r="A591" s="26"/>
      <c r="B591" s="26"/>
      <c r="C591" s="26"/>
      <c r="D591" s="2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4" customFormat="1" ht="12.75">
      <c r="A592" s="26"/>
      <c r="B592" s="26"/>
      <c r="C592" s="26"/>
      <c r="D592" s="2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4" customFormat="1" ht="12.75">
      <c r="A593" s="26"/>
      <c r="B593" s="26"/>
      <c r="C593" s="26"/>
      <c r="D593" s="2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4" customFormat="1" ht="12.75">
      <c r="A594" s="26"/>
      <c r="B594" s="26"/>
      <c r="C594" s="26"/>
      <c r="D594" s="2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4" customFormat="1" ht="12.75">
      <c r="A595" s="26"/>
      <c r="B595" s="26"/>
      <c r="C595" s="26"/>
      <c r="D595" s="2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4" customFormat="1" ht="12.75">
      <c r="A596" s="26"/>
      <c r="B596" s="26"/>
      <c r="C596" s="26"/>
      <c r="D596" s="2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4" customFormat="1" ht="12.75">
      <c r="A597" s="26"/>
      <c r="B597" s="26"/>
      <c r="C597" s="26"/>
      <c r="D597" s="2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4" customFormat="1" ht="12.75">
      <c r="A598" s="26"/>
      <c r="B598" s="26"/>
      <c r="C598" s="26"/>
      <c r="D598" s="2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4" customFormat="1" ht="12.75">
      <c r="A599" s="26"/>
      <c r="B599" s="26"/>
      <c r="C599" s="26"/>
      <c r="D599" s="2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4" customFormat="1" ht="12.75">
      <c r="A600" s="26"/>
      <c r="B600" s="26"/>
      <c r="C600" s="26"/>
      <c r="D600" s="2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4" customFormat="1" ht="12.75">
      <c r="A601" s="26"/>
      <c r="B601" s="26"/>
      <c r="C601" s="26"/>
      <c r="D601" s="2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4" customFormat="1" ht="12.75">
      <c r="A602" s="26"/>
      <c r="B602" s="26"/>
      <c r="C602" s="26"/>
      <c r="D602" s="2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4" customFormat="1" ht="12.75">
      <c r="A603" s="26"/>
      <c r="B603" s="26"/>
      <c r="C603" s="26"/>
      <c r="D603" s="2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4" customFormat="1" ht="12.75">
      <c r="A604" s="26"/>
      <c r="B604" s="26"/>
      <c r="C604" s="26"/>
      <c r="D604" s="2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4" customFormat="1" ht="12.75">
      <c r="A605" s="26"/>
      <c r="B605" s="26"/>
      <c r="C605" s="26"/>
      <c r="D605" s="2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4" customFormat="1" ht="12.75">
      <c r="A606" s="26"/>
      <c r="B606" s="26"/>
      <c r="C606" s="26"/>
      <c r="D606" s="2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4" customFormat="1" ht="12.75">
      <c r="A607" s="26"/>
      <c r="B607" s="26"/>
      <c r="C607" s="26"/>
      <c r="D607" s="2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4" customFormat="1" ht="12.75">
      <c r="A608" s="26"/>
      <c r="B608" s="26"/>
      <c r="C608" s="26"/>
      <c r="D608" s="2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4" customFormat="1" ht="12.75">
      <c r="A609" s="26"/>
      <c r="B609" s="26"/>
      <c r="C609" s="26"/>
      <c r="D609" s="2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4" customFormat="1" ht="12.75">
      <c r="A610" s="26"/>
      <c r="B610" s="26"/>
      <c r="C610" s="26"/>
      <c r="D610" s="2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4" customFormat="1" ht="12.75">
      <c r="A611" s="26"/>
      <c r="B611" s="26"/>
      <c r="C611" s="26"/>
      <c r="D611" s="2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4" customFormat="1" ht="12.75">
      <c r="A612" s="26"/>
      <c r="B612" s="26"/>
      <c r="C612" s="26"/>
      <c r="D612" s="2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4" customFormat="1" ht="12.75">
      <c r="A613" s="26"/>
      <c r="B613" s="26"/>
      <c r="C613" s="26"/>
      <c r="D613" s="2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4" customFormat="1" ht="12.75">
      <c r="A614" s="26"/>
      <c r="B614" s="26"/>
      <c r="C614" s="26"/>
      <c r="D614" s="2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4" customFormat="1" ht="12.75">
      <c r="A615" s="26"/>
      <c r="B615" s="26"/>
      <c r="C615" s="26"/>
      <c r="D615" s="2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4" customFormat="1" ht="12.75">
      <c r="A616" s="26"/>
      <c r="B616" s="26"/>
      <c r="C616" s="26"/>
      <c r="D616" s="2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4" customFormat="1" ht="12.75">
      <c r="A617" s="26"/>
      <c r="B617" s="26"/>
      <c r="C617" s="26"/>
      <c r="D617" s="2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4" customFormat="1" ht="12.75">
      <c r="A618" s="26"/>
      <c r="B618" s="26"/>
      <c r="C618" s="26"/>
      <c r="D618" s="2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4" customFormat="1" ht="12.75">
      <c r="A619" s="26"/>
      <c r="B619" s="26"/>
      <c r="C619" s="26"/>
      <c r="D619" s="2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4" customFormat="1" ht="12.75">
      <c r="A620" s="26"/>
      <c r="B620" s="26"/>
      <c r="C620" s="26"/>
      <c r="D620" s="2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4" customFormat="1" ht="12.75">
      <c r="A621" s="26"/>
      <c r="B621" s="26"/>
      <c r="C621" s="26"/>
      <c r="D621" s="2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4" customFormat="1" ht="12.75">
      <c r="A622" s="26"/>
      <c r="B622" s="26"/>
      <c r="C622" s="26"/>
      <c r="D622" s="2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4" customFormat="1" ht="12.75">
      <c r="A623" s="26"/>
      <c r="B623" s="26"/>
      <c r="C623" s="26"/>
      <c r="D623" s="2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4" customFormat="1" ht="12.75">
      <c r="A624" s="26"/>
      <c r="B624" s="26"/>
      <c r="C624" s="26"/>
      <c r="D624" s="2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4" customFormat="1" ht="12.75">
      <c r="A625" s="26"/>
      <c r="B625" s="26"/>
      <c r="C625" s="26"/>
      <c r="D625" s="2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4" customFormat="1" ht="12.75">
      <c r="A626" s="26"/>
      <c r="B626" s="26"/>
      <c r="C626" s="26"/>
      <c r="D626" s="2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4" customFormat="1" ht="12.75">
      <c r="A627" s="26"/>
      <c r="B627" s="26"/>
      <c r="C627" s="26"/>
      <c r="D627" s="2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4" customFormat="1" ht="12.75">
      <c r="A628" s="26"/>
      <c r="B628" s="26"/>
      <c r="C628" s="26"/>
      <c r="D628" s="2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4" customFormat="1" ht="12.75">
      <c r="A629" s="26"/>
      <c r="B629" s="26"/>
      <c r="C629" s="26"/>
      <c r="D629" s="2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4" customFormat="1" ht="12.75">
      <c r="A630" s="26"/>
      <c r="B630" s="26"/>
      <c r="C630" s="26"/>
      <c r="D630" s="2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4" customFormat="1" ht="12.75">
      <c r="A631" s="26"/>
      <c r="B631" s="26"/>
      <c r="C631" s="26"/>
      <c r="D631" s="2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4" customFormat="1" ht="12.75">
      <c r="A632" s="26"/>
      <c r="B632" s="26"/>
      <c r="C632" s="26"/>
      <c r="D632" s="2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4" customFormat="1" ht="12.75">
      <c r="A633" s="26"/>
      <c r="B633" s="26"/>
      <c r="C633" s="26"/>
      <c r="D633" s="2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4" customFormat="1" ht="12.75">
      <c r="A634" s="26"/>
      <c r="B634" s="26"/>
      <c r="C634" s="26"/>
      <c r="D634" s="2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4" customFormat="1" ht="12.75">
      <c r="A635" s="26"/>
      <c r="B635" s="26"/>
      <c r="C635" s="26"/>
      <c r="D635" s="2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4" customFormat="1" ht="12.75">
      <c r="A636" s="26"/>
      <c r="B636" s="26"/>
      <c r="C636" s="26"/>
      <c r="D636" s="2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4" customFormat="1" ht="12.75">
      <c r="A637" s="26"/>
      <c r="B637" s="26"/>
      <c r="C637" s="26"/>
      <c r="D637" s="2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4" customFormat="1" ht="12.75">
      <c r="A638" s="26"/>
      <c r="B638" s="26"/>
      <c r="C638" s="26"/>
      <c r="D638" s="2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4" customFormat="1" ht="12.75">
      <c r="A639" s="26"/>
      <c r="B639" s="26"/>
      <c r="C639" s="26"/>
      <c r="D639" s="2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4" customFormat="1" ht="12.75">
      <c r="A640" s="26"/>
      <c r="B640" s="26"/>
      <c r="C640" s="26"/>
      <c r="D640" s="2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4" customFormat="1" ht="12.75">
      <c r="A641" s="26"/>
      <c r="B641" s="26"/>
      <c r="C641" s="26"/>
      <c r="D641" s="2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4" customFormat="1" ht="12.75">
      <c r="A642" s="26"/>
      <c r="B642" s="26"/>
      <c r="C642" s="26"/>
      <c r="D642" s="2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4" customFormat="1" ht="12.75">
      <c r="A643" s="26"/>
      <c r="B643" s="26"/>
      <c r="C643" s="26"/>
      <c r="D643" s="2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4" customFormat="1" ht="12.75">
      <c r="A644" s="26"/>
      <c r="B644" s="26"/>
      <c r="C644" s="26"/>
      <c r="D644" s="2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4" customFormat="1" ht="12.75">
      <c r="A645" s="26"/>
      <c r="B645" s="26"/>
      <c r="C645" s="26"/>
      <c r="D645" s="2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4" customFormat="1" ht="12.75">
      <c r="A646" s="26"/>
      <c r="B646" s="26"/>
      <c r="C646" s="26"/>
      <c r="D646" s="2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4" customFormat="1" ht="12.75">
      <c r="A647" s="26"/>
      <c r="B647" s="26"/>
      <c r="C647" s="26"/>
      <c r="D647" s="2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4" customFormat="1" ht="12.75">
      <c r="A648" s="26"/>
      <c r="B648" s="26"/>
      <c r="C648" s="26"/>
      <c r="D648" s="2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4" customFormat="1" ht="12.75">
      <c r="A649" s="26"/>
      <c r="B649" s="26"/>
      <c r="C649" s="26"/>
      <c r="D649" s="2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4" customFormat="1" ht="12.75">
      <c r="A650" s="26"/>
      <c r="B650" s="26"/>
      <c r="C650" s="26"/>
      <c r="D650" s="2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4" customFormat="1" ht="12.75">
      <c r="A651" s="26"/>
      <c r="B651" s="26"/>
      <c r="C651" s="26"/>
      <c r="D651" s="2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4" customFormat="1" ht="12.75">
      <c r="A652" s="26"/>
      <c r="B652" s="26"/>
      <c r="C652" s="26"/>
      <c r="D652" s="2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4" customFormat="1" ht="12.75">
      <c r="A653" s="26"/>
      <c r="B653" s="26"/>
      <c r="C653" s="26"/>
      <c r="D653" s="2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4" customFormat="1" ht="12.75">
      <c r="A654" s="26"/>
      <c r="B654" s="26"/>
      <c r="C654" s="26"/>
      <c r="D654" s="2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4" customFormat="1" ht="12.75">
      <c r="A655" s="26"/>
      <c r="B655" s="26"/>
      <c r="C655" s="26"/>
      <c r="D655" s="2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4" customFormat="1" ht="12.75">
      <c r="A656" s="26"/>
      <c r="B656" s="26"/>
      <c r="C656" s="26"/>
      <c r="D656" s="2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4" customFormat="1" ht="12.75">
      <c r="A657" s="26"/>
      <c r="B657" s="26"/>
      <c r="C657" s="26"/>
      <c r="D657" s="2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4" customFormat="1" ht="12.75">
      <c r="A658" s="26"/>
      <c r="B658" s="26"/>
      <c r="C658" s="26"/>
      <c r="D658" s="2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4" customFormat="1" ht="12.75">
      <c r="A659" s="26"/>
      <c r="B659" s="26"/>
      <c r="C659" s="26"/>
      <c r="D659" s="2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4" customFormat="1" ht="12.75">
      <c r="A660" s="26"/>
      <c r="B660" s="26"/>
      <c r="C660" s="26"/>
      <c r="D660" s="2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4" customFormat="1" ht="12.75">
      <c r="A661" s="26"/>
      <c r="B661" s="26"/>
      <c r="C661" s="26"/>
      <c r="D661" s="2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4" customFormat="1" ht="12.75">
      <c r="A662" s="26"/>
      <c r="B662" s="26"/>
      <c r="C662" s="26"/>
      <c r="D662" s="2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4" customFormat="1" ht="12.75">
      <c r="A663" s="26"/>
      <c r="B663" s="26"/>
      <c r="C663" s="26"/>
      <c r="D663" s="2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4" customFormat="1" ht="12.75">
      <c r="A664" s="26"/>
      <c r="B664" s="26"/>
      <c r="C664" s="26"/>
      <c r="D664" s="2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4" customFormat="1" ht="12.75">
      <c r="A665" s="26"/>
      <c r="B665" s="26"/>
      <c r="C665" s="26"/>
      <c r="D665" s="2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4" customFormat="1" ht="12.75">
      <c r="A666" s="26"/>
      <c r="B666" s="26"/>
      <c r="C666" s="26"/>
      <c r="D666" s="2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4" customFormat="1" ht="12.75">
      <c r="A667" s="26"/>
      <c r="B667" s="26"/>
      <c r="C667" s="26"/>
      <c r="D667" s="2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4" customFormat="1" ht="12.75">
      <c r="A668" s="26"/>
      <c r="B668" s="26"/>
      <c r="C668" s="26"/>
      <c r="D668" s="2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4" customFormat="1" ht="12.75">
      <c r="A669" s="26"/>
      <c r="B669" s="26"/>
      <c r="C669" s="26"/>
      <c r="D669" s="2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4" customFormat="1" ht="12.75">
      <c r="A670" s="26"/>
      <c r="B670" s="26"/>
      <c r="C670" s="26"/>
      <c r="D670" s="2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4" customFormat="1" ht="12.75">
      <c r="A671" s="26"/>
      <c r="B671" s="26"/>
      <c r="C671" s="26"/>
      <c r="D671" s="2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4" customFormat="1" ht="12.75">
      <c r="A672" s="26"/>
      <c r="B672" s="26"/>
      <c r="C672" s="26"/>
      <c r="D672" s="2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4" customFormat="1" ht="12.75">
      <c r="A673" s="26"/>
      <c r="B673" s="26"/>
      <c r="C673" s="26"/>
      <c r="D673" s="2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4" customFormat="1" ht="12.75">
      <c r="A674" s="26"/>
      <c r="B674" s="26"/>
      <c r="C674" s="26"/>
      <c r="D674" s="2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4" customFormat="1" ht="12.75">
      <c r="A675" s="26"/>
      <c r="B675" s="26"/>
      <c r="C675" s="26"/>
      <c r="D675" s="2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4" customFormat="1" ht="12.75">
      <c r="A676" s="26"/>
      <c r="B676" s="26"/>
      <c r="C676" s="26"/>
      <c r="D676" s="2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4" customFormat="1" ht="12.75">
      <c r="A677" s="26"/>
      <c r="B677" s="26"/>
      <c r="C677" s="26"/>
      <c r="D677" s="2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4" customFormat="1" ht="12.75">
      <c r="A678" s="26"/>
      <c r="B678" s="26"/>
      <c r="C678" s="26"/>
      <c r="D678" s="2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4" customFormat="1" ht="12.75">
      <c r="A679" s="26"/>
      <c r="B679" s="26"/>
      <c r="C679" s="26"/>
      <c r="D679" s="2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4" customFormat="1" ht="12.75">
      <c r="A680" s="26"/>
      <c r="B680" s="26"/>
      <c r="C680" s="26"/>
      <c r="D680" s="2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4" customFormat="1" ht="12.75">
      <c r="A681" s="26"/>
      <c r="B681" s="26"/>
      <c r="C681" s="26"/>
      <c r="D681" s="2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4" customFormat="1" ht="12.75">
      <c r="A682" s="26"/>
      <c r="B682" s="26"/>
      <c r="C682" s="26"/>
      <c r="D682" s="2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4" customFormat="1" ht="12.75">
      <c r="A683" s="26"/>
      <c r="B683" s="26"/>
      <c r="C683" s="26"/>
      <c r="D683" s="2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4" customFormat="1" ht="12.75">
      <c r="A684" s="26"/>
      <c r="B684" s="26"/>
      <c r="C684" s="26"/>
      <c r="D684" s="2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4" customFormat="1" ht="12.75">
      <c r="A685" s="26"/>
      <c r="B685" s="26"/>
      <c r="C685" s="26"/>
      <c r="D685" s="2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4" customFormat="1" ht="12.75">
      <c r="A686" s="26"/>
      <c r="B686" s="26"/>
      <c r="C686" s="26"/>
      <c r="D686" s="2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4" customFormat="1" ht="12.75">
      <c r="A687" s="26"/>
      <c r="B687" s="26"/>
      <c r="C687" s="26"/>
      <c r="D687" s="2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4" customFormat="1" ht="12.75">
      <c r="A688" s="26"/>
      <c r="B688" s="26"/>
      <c r="C688" s="26"/>
      <c r="D688" s="2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4" customFormat="1" ht="12.75">
      <c r="A689" s="26"/>
      <c r="B689" s="26"/>
      <c r="C689" s="26"/>
      <c r="D689" s="2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4" customFormat="1" ht="12.75">
      <c r="A690" s="26"/>
      <c r="B690" s="26"/>
      <c r="C690" s="26"/>
      <c r="D690" s="2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4" customFormat="1" ht="12.75">
      <c r="A691" s="26"/>
      <c r="B691" s="26"/>
      <c r="C691" s="26"/>
      <c r="D691" s="2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4" customFormat="1" ht="12.75">
      <c r="A692" s="26"/>
      <c r="B692" s="26"/>
      <c r="C692" s="26"/>
      <c r="D692" s="2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4" customFormat="1" ht="12.75">
      <c r="A693" s="26"/>
      <c r="B693" s="26"/>
      <c r="C693" s="26"/>
      <c r="D693" s="2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4" customFormat="1" ht="12.75">
      <c r="A694" s="26"/>
      <c r="B694" s="26"/>
      <c r="C694" s="26"/>
      <c r="D694" s="2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4" customFormat="1" ht="12.75">
      <c r="A695" s="26"/>
      <c r="B695" s="26"/>
      <c r="C695" s="26"/>
      <c r="D695" s="2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4" customFormat="1" ht="12.75">
      <c r="A696" s="26"/>
      <c r="B696" s="26"/>
      <c r="C696" s="26"/>
      <c r="D696" s="2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4" customFormat="1" ht="12.75">
      <c r="A697" s="26"/>
      <c r="B697" s="26"/>
      <c r="C697" s="26"/>
      <c r="D697" s="2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4" customFormat="1" ht="12.75">
      <c r="A698" s="26"/>
      <c r="B698" s="26"/>
      <c r="C698" s="26"/>
      <c r="D698" s="2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4" customFormat="1" ht="12.75">
      <c r="A699" s="26"/>
      <c r="B699" s="26"/>
      <c r="C699" s="26"/>
      <c r="D699" s="2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4" customFormat="1" ht="12.75">
      <c r="A700" s="26"/>
      <c r="B700" s="26"/>
      <c r="C700" s="26"/>
      <c r="D700" s="2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4" customFormat="1" ht="12.75">
      <c r="A701" s="26"/>
      <c r="B701" s="26"/>
      <c r="C701" s="26"/>
      <c r="D701" s="2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4" customFormat="1" ht="12.75">
      <c r="A702" s="26"/>
      <c r="B702" s="26"/>
      <c r="C702" s="26"/>
      <c r="D702" s="2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4" customFormat="1" ht="12.75">
      <c r="A703" s="26"/>
      <c r="B703" s="26"/>
      <c r="C703" s="26"/>
      <c r="D703" s="2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4" customFormat="1" ht="12.75">
      <c r="A704" s="26"/>
      <c r="B704" s="26"/>
      <c r="C704" s="26"/>
      <c r="D704" s="2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4" customFormat="1" ht="12.75">
      <c r="A705" s="26"/>
      <c r="B705" s="26"/>
      <c r="C705" s="26"/>
      <c r="D705" s="2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4" customFormat="1" ht="12.75">
      <c r="A706" s="26"/>
      <c r="B706" s="26"/>
      <c r="C706" s="26"/>
      <c r="D706" s="2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4" customFormat="1" ht="12.75">
      <c r="A707" s="26"/>
      <c r="B707" s="26"/>
      <c r="C707" s="26"/>
      <c r="D707" s="2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4" customFormat="1" ht="12.75">
      <c r="A708" s="26"/>
      <c r="B708" s="26"/>
      <c r="C708" s="26"/>
      <c r="D708" s="2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4" customFormat="1" ht="12.75">
      <c r="A709" s="26"/>
      <c r="B709" s="26"/>
      <c r="C709" s="26"/>
      <c r="D709" s="2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4" customFormat="1" ht="12.75">
      <c r="A710" s="26"/>
      <c r="B710" s="26"/>
      <c r="C710" s="26"/>
      <c r="D710" s="2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4" customFormat="1" ht="12.75">
      <c r="A711" s="26"/>
      <c r="B711" s="26"/>
      <c r="C711" s="26"/>
      <c r="D711" s="2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4" customFormat="1" ht="12.75">
      <c r="A712" s="26"/>
      <c r="B712" s="26"/>
      <c r="C712" s="26"/>
      <c r="D712" s="2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4" customFormat="1" ht="12.75">
      <c r="A713" s="26"/>
      <c r="B713" s="26"/>
      <c r="C713" s="26"/>
      <c r="D713" s="2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4" customFormat="1" ht="12.75">
      <c r="A714" s="26"/>
      <c r="B714" s="26"/>
      <c r="C714" s="26"/>
      <c r="D714" s="2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4" customFormat="1" ht="12.75">
      <c r="A715" s="26"/>
      <c r="B715" s="26"/>
      <c r="C715" s="26"/>
      <c r="D715" s="2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4" customFormat="1" ht="12.75">
      <c r="A716" s="26"/>
      <c r="B716" s="26"/>
      <c r="C716" s="26"/>
      <c r="D716" s="2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4" customFormat="1" ht="12.75">
      <c r="A717" s="26"/>
      <c r="B717" s="26"/>
      <c r="C717" s="26"/>
      <c r="D717" s="2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4" customFormat="1" ht="12.75">
      <c r="A718" s="26"/>
      <c r="B718" s="26"/>
      <c r="C718" s="26"/>
      <c r="D718" s="2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4" customFormat="1" ht="12.75">
      <c r="A719" s="26"/>
      <c r="B719" s="26"/>
      <c r="C719" s="26"/>
      <c r="D719" s="2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4" customFormat="1" ht="12.75">
      <c r="A720" s="26"/>
      <c r="B720" s="26"/>
      <c r="C720" s="26"/>
      <c r="D720" s="2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4" customFormat="1" ht="12.75">
      <c r="A721" s="26"/>
      <c r="B721" s="26"/>
      <c r="C721" s="26"/>
      <c r="D721" s="2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4" customFormat="1" ht="12.75">
      <c r="A722" s="26"/>
      <c r="B722" s="26"/>
      <c r="C722" s="26"/>
      <c r="D722" s="26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4" customFormat="1" ht="12.75">
      <c r="A723" s="26"/>
      <c r="B723" s="26"/>
      <c r="C723" s="26"/>
      <c r="D723" s="26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4" customFormat="1" ht="12.75">
      <c r="A724" s="26"/>
      <c r="B724" s="26"/>
      <c r="C724" s="26"/>
      <c r="D724" s="26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4" customFormat="1" ht="12.75">
      <c r="A725" s="26"/>
      <c r="B725" s="26"/>
      <c r="C725" s="26"/>
      <c r="D725" s="26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4" customFormat="1" ht="12.75">
      <c r="A726" s="26"/>
      <c r="B726" s="26"/>
      <c r="C726" s="26"/>
      <c r="D726" s="26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4" customFormat="1" ht="12.75">
      <c r="A727" s="26"/>
      <c r="B727" s="26"/>
      <c r="C727" s="26"/>
      <c r="D727" s="26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4" customFormat="1" ht="12.75">
      <c r="A728" s="26"/>
      <c r="B728" s="26"/>
      <c r="C728" s="26"/>
      <c r="D728" s="26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4" customFormat="1" ht="12.75">
      <c r="A729" s="26"/>
      <c r="B729" s="26"/>
      <c r="C729" s="26"/>
      <c r="D729" s="26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4" customFormat="1" ht="12.75">
      <c r="A730" s="26"/>
      <c r="B730" s="26"/>
      <c r="C730" s="26"/>
      <c r="D730" s="26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4" customFormat="1" ht="12.75">
      <c r="A731" s="26"/>
      <c r="B731" s="26"/>
      <c r="C731" s="26"/>
      <c r="D731" s="26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4" customFormat="1" ht="12.75">
      <c r="A732" s="26"/>
      <c r="B732" s="26"/>
      <c r="C732" s="26"/>
      <c r="D732" s="26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4" customFormat="1" ht="12.75">
      <c r="A733" s="26"/>
      <c r="B733" s="26"/>
      <c r="C733" s="26"/>
      <c r="D733" s="26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4" customFormat="1" ht="12.75">
      <c r="A734" s="26"/>
      <c r="B734" s="26"/>
      <c r="C734" s="26"/>
      <c r="D734" s="26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4" customFormat="1" ht="12.75">
      <c r="A735" s="26"/>
      <c r="B735" s="26"/>
      <c r="C735" s="26"/>
      <c r="D735" s="26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D92" sqref="D92"/>
    </sheetView>
  </sheetViews>
  <sheetFormatPr defaultColWidth="9.00390625" defaultRowHeight="12.75"/>
  <cols>
    <col min="1" max="1" width="5.875" style="8" customWidth="1"/>
    <col min="2" max="2" width="7.25390625" style="8" bestFit="1" customWidth="1"/>
    <col min="3" max="3" width="5.00390625" style="8" bestFit="1" customWidth="1"/>
    <col min="4" max="4" width="29.75390625" style="8" customWidth="1"/>
    <col min="5" max="5" width="12.75390625" style="8" hidden="1" customWidth="1"/>
    <col min="6" max="6" width="12.875" style="8" hidden="1" customWidth="1"/>
    <col min="7" max="7" width="13.125" style="8" hidden="1" customWidth="1"/>
    <col min="8" max="8" width="34.875" style="8" hidden="1" customWidth="1"/>
    <col min="9" max="9" width="10.375" style="8" hidden="1" customWidth="1"/>
    <col min="10" max="10" width="13.875" style="8" hidden="1" customWidth="1"/>
    <col min="11" max="11" width="13.00390625" style="8" hidden="1" customWidth="1"/>
    <col min="12" max="12" width="12.625" style="8" hidden="1" customWidth="1"/>
    <col min="13" max="13" width="10.375" style="8" hidden="1" customWidth="1"/>
    <col min="14" max="14" width="12.75390625" style="8" hidden="1" customWidth="1"/>
    <col min="15" max="15" width="11.75390625" style="8" hidden="1" customWidth="1"/>
    <col min="16" max="16" width="13.875" style="8" hidden="1" customWidth="1"/>
    <col min="17" max="17" width="13.375" style="8" hidden="1" customWidth="1"/>
    <col min="18" max="18" width="14.75390625" style="8" hidden="1" customWidth="1"/>
    <col min="19" max="19" width="13.375" style="8" hidden="1" customWidth="1"/>
    <col min="20" max="20" width="32.375" style="8" hidden="1" customWidth="1"/>
    <col min="21" max="21" width="10.375" style="8" hidden="1" customWidth="1"/>
    <col min="22" max="22" width="14.75390625" style="8" customWidth="1"/>
    <col min="23" max="23" width="13.375" style="8" customWidth="1"/>
    <col min="24" max="24" width="14.75390625" style="8" customWidth="1"/>
  </cols>
  <sheetData>
    <row r="1" spans="1:24" ht="12.75">
      <c r="A1" s="69"/>
      <c r="B1" s="69"/>
      <c r="C1" s="69"/>
      <c r="D1" s="69"/>
      <c r="E1" s="70"/>
      <c r="F1" s="70"/>
      <c r="G1" s="70"/>
      <c r="H1" s="123"/>
      <c r="I1" s="123"/>
      <c r="J1" s="123" t="s">
        <v>654</v>
      </c>
      <c r="K1" s="123"/>
      <c r="L1" s="123" t="s">
        <v>675</v>
      </c>
      <c r="M1" s="123"/>
      <c r="N1" s="123" t="s">
        <v>695</v>
      </c>
      <c r="O1" s="123"/>
      <c r="P1" s="123" t="s">
        <v>76</v>
      </c>
      <c r="Q1" s="123"/>
      <c r="R1" s="123" t="s">
        <v>99</v>
      </c>
      <c r="S1" s="123"/>
      <c r="T1" s="123" t="s">
        <v>51</v>
      </c>
      <c r="U1" s="123"/>
      <c r="V1" s="123" t="s">
        <v>87</v>
      </c>
      <c r="W1" s="123"/>
      <c r="X1" s="123"/>
    </row>
    <row r="2" spans="1:24" ht="12.75">
      <c r="A2" s="69"/>
      <c r="B2" s="69"/>
      <c r="C2" s="69"/>
      <c r="D2" s="69"/>
      <c r="E2" s="70"/>
      <c r="F2" s="70"/>
      <c r="G2" s="70"/>
      <c r="H2" s="123"/>
      <c r="I2" s="123"/>
      <c r="J2" s="123" t="s">
        <v>637</v>
      </c>
      <c r="K2" s="123"/>
      <c r="L2" s="123" t="s">
        <v>672</v>
      </c>
      <c r="M2" s="123"/>
      <c r="N2" s="123" t="s">
        <v>693</v>
      </c>
      <c r="O2" s="123"/>
      <c r="P2" s="123" t="s">
        <v>74</v>
      </c>
      <c r="Q2" s="123"/>
      <c r="R2" s="123" t="s">
        <v>100</v>
      </c>
      <c r="S2" s="123"/>
      <c r="T2" s="123" t="s">
        <v>69</v>
      </c>
      <c r="U2" s="123"/>
      <c r="V2" s="123" t="s">
        <v>381</v>
      </c>
      <c r="W2" s="123"/>
      <c r="X2" s="123"/>
    </row>
    <row r="3" spans="1:24" ht="12.75">
      <c r="A3" s="69"/>
      <c r="B3" s="69"/>
      <c r="C3" s="69"/>
      <c r="D3" s="69"/>
      <c r="E3" s="70"/>
      <c r="F3" s="70"/>
      <c r="G3" s="70"/>
      <c r="H3" s="123"/>
      <c r="I3" s="123"/>
      <c r="J3" s="123" t="s">
        <v>587</v>
      </c>
      <c r="K3" s="123"/>
      <c r="L3" s="123" t="s">
        <v>654</v>
      </c>
      <c r="M3" s="123"/>
      <c r="N3" s="123" t="s">
        <v>675</v>
      </c>
      <c r="O3" s="123"/>
      <c r="P3" s="123" t="s">
        <v>695</v>
      </c>
      <c r="Q3" s="123"/>
      <c r="R3" s="123" t="s">
        <v>76</v>
      </c>
      <c r="S3" s="123"/>
      <c r="T3" s="123" t="s">
        <v>99</v>
      </c>
      <c r="U3" s="123"/>
      <c r="V3" s="123" t="s">
        <v>51</v>
      </c>
      <c r="W3" s="123"/>
      <c r="X3" s="123"/>
    </row>
    <row r="4" spans="1:24" ht="12.75">
      <c r="A4" s="69"/>
      <c r="B4" s="69"/>
      <c r="C4" s="69"/>
      <c r="D4" s="69"/>
      <c r="E4" s="70"/>
      <c r="F4" s="70"/>
      <c r="G4" s="70"/>
      <c r="H4" s="123"/>
      <c r="I4" s="123"/>
      <c r="J4" s="123" t="s">
        <v>595</v>
      </c>
      <c r="K4" s="123"/>
      <c r="L4" s="123" t="s">
        <v>670</v>
      </c>
      <c r="M4" s="123"/>
      <c r="N4" s="123" t="s">
        <v>684</v>
      </c>
      <c r="O4" s="123"/>
      <c r="P4" s="123" t="s">
        <v>701</v>
      </c>
      <c r="Q4" s="123"/>
      <c r="R4" s="123" t="s">
        <v>101</v>
      </c>
      <c r="S4" s="123"/>
      <c r="T4" s="123" t="s">
        <v>90</v>
      </c>
      <c r="U4" s="123"/>
      <c r="V4" s="123" t="s">
        <v>26</v>
      </c>
      <c r="W4" s="123"/>
      <c r="X4" s="123"/>
    </row>
    <row r="5" spans="1:24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s="244" customFormat="1" ht="31.5" customHeight="1">
      <c r="A6" s="365" t="s">
        <v>685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132"/>
      <c r="X6" s="132"/>
    </row>
    <row r="7" spans="1:24" s="8" customFormat="1" ht="28.5" customHeight="1">
      <c r="A7" s="74" t="s">
        <v>112</v>
      </c>
      <c r="B7" s="74" t="s">
        <v>113</v>
      </c>
      <c r="C7" s="112" t="s">
        <v>114</v>
      </c>
      <c r="D7" s="74" t="s">
        <v>565</v>
      </c>
      <c r="E7" s="125" t="s">
        <v>270</v>
      </c>
      <c r="F7" s="125" t="s">
        <v>346</v>
      </c>
      <c r="G7" s="125" t="s">
        <v>347</v>
      </c>
      <c r="H7" s="125" t="s">
        <v>560</v>
      </c>
      <c r="I7" s="125" t="s">
        <v>557</v>
      </c>
      <c r="J7" s="125" t="s">
        <v>558</v>
      </c>
      <c r="K7" s="125" t="s">
        <v>351</v>
      </c>
      <c r="L7" s="125" t="s">
        <v>669</v>
      </c>
      <c r="M7" s="125" t="s">
        <v>351</v>
      </c>
      <c r="N7" s="125" t="s">
        <v>669</v>
      </c>
      <c r="O7" s="125" t="s">
        <v>557</v>
      </c>
      <c r="P7" s="125" t="s">
        <v>669</v>
      </c>
      <c r="Q7" s="125" t="s">
        <v>557</v>
      </c>
      <c r="R7" s="125" t="s">
        <v>669</v>
      </c>
      <c r="S7" s="125" t="s">
        <v>557</v>
      </c>
      <c r="T7" s="125" t="s">
        <v>271</v>
      </c>
      <c r="U7" s="125" t="s">
        <v>557</v>
      </c>
      <c r="V7" s="125" t="s">
        <v>669</v>
      </c>
      <c r="W7" s="125" t="s">
        <v>557</v>
      </c>
      <c r="X7" s="125" t="s">
        <v>680</v>
      </c>
    </row>
    <row r="8" spans="1:24" s="8" customFormat="1" ht="20.25" customHeight="1">
      <c r="A8" s="40" t="s">
        <v>116</v>
      </c>
      <c r="B8" s="74"/>
      <c r="C8" s="112"/>
      <c r="D8" s="43" t="s">
        <v>117</v>
      </c>
      <c r="E8" s="125"/>
      <c r="F8" s="125"/>
      <c r="G8" s="125"/>
      <c r="H8" s="125"/>
      <c r="I8" s="125"/>
      <c r="J8" s="125"/>
      <c r="K8" s="125"/>
      <c r="L8" s="77">
        <f aca="true" t="shared" si="0" ref="L8:X9">SUM(L9)</f>
        <v>0</v>
      </c>
      <c r="M8" s="77">
        <f t="shared" si="0"/>
        <v>98263</v>
      </c>
      <c r="N8" s="77">
        <f t="shared" si="0"/>
        <v>98263</v>
      </c>
      <c r="O8" s="77">
        <f t="shared" si="0"/>
        <v>0</v>
      </c>
      <c r="P8" s="77">
        <f t="shared" si="0"/>
        <v>98263</v>
      </c>
      <c r="Q8" s="77">
        <f t="shared" si="0"/>
        <v>0</v>
      </c>
      <c r="R8" s="77">
        <f t="shared" si="0"/>
        <v>98263</v>
      </c>
      <c r="S8" s="77">
        <f t="shared" si="0"/>
        <v>0</v>
      </c>
      <c r="T8" s="77">
        <f t="shared" si="0"/>
        <v>98263</v>
      </c>
      <c r="U8" s="77">
        <f t="shared" si="0"/>
        <v>0</v>
      </c>
      <c r="V8" s="77">
        <f t="shared" si="0"/>
        <v>98263</v>
      </c>
      <c r="W8" s="77">
        <f t="shared" si="0"/>
        <v>0</v>
      </c>
      <c r="X8" s="77">
        <f t="shared" si="0"/>
        <v>98263</v>
      </c>
    </row>
    <row r="9" spans="1:24" s="27" customFormat="1" ht="21" customHeight="1">
      <c r="A9" s="84"/>
      <c r="B9" s="81" t="s">
        <v>622</v>
      </c>
      <c r="C9" s="258"/>
      <c r="D9" s="45" t="s">
        <v>118</v>
      </c>
      <c r="E9" s="259"/>
      <c r="F9" s="259"/>
      <c r="G9" s="259"/>
      <c r="H9" s="259"/>
      <c r="I9" s="259"/>
      <c r="J9" s="259"/>
      <c r="K9" s="259"/>
      <c r="L9" s="107">
        <f t="shared" si="0"/>
        <v>0</v>
      </c>
      <c r="M9" s="107">
        <f t="shared" si="0"/>
        <v>98263</v>
      </c>
      <c r="N9" s="107">
        <f t="shared" si="0"/>
        <v>98263</v>
      </c>
      <c r="O9" s="107">
        <f t="shared" si="0"/>
        <v>0</v>
      </c>
      <c r="P9" s="107">
        <f t="shared" si="0"/>
        <v>98263</v>
      </c>
      <c r="Q9" s="107">
        <f t="shared" si="0"/>
        <v>0</v>
      </c>
      <c r="R9" s="107">
        <f t="shared" si="0"/>
        <v>98263</v>
      </c>
      <c r="S9" s="107">
        <f t="shared" si="0"/>
        <v>0</v>
      </c>
      <c r="T9" s="107">
        <f t="shared" si="0"/>
        <v>98263</v>
      </c>
      <c r="U9" s="107">
        <f t="shared" si="0"/>
        <v>0</v>
      </c>
      <c r="V9" s="107">
        <f t="shared" si="0"/>
        <v>98263</v>
      </c>
      <c r="W9" s="107">
        <f t="shared" si="0"/>
        <v>0</v>
      </c>
      <c r="X9" s="107">
        <f t="shared" si="0"/>
        <v>98263</v>
      </c>
    </row>
    <row r="10" spans="1:24" s="27" customFormat="1" ht="67.5">
      <c r="A10" s="84"/>
      <c r="B10" s="84"/>
      <c r="C10" s="258">
        <v>2010</v>
      </c>
      <c r="D10" s="45" t="s">
        <v>660</v>
      </c>
      <c r="E10" s="259"/>
      <c r="F10" s="259"/>
      <c r="G10" s="259"/>
      <c r="H10" s="259"/>
      <c r="I10" s="259"/>
      <c r="J10" s="259"/>
      <c r="K10" s="259"/>
      <c r="L10" s="107">
        <v>0</v>
      </c>
      <c r="M10" s="107">
        <v>98263</v>
      </c>
      <c r="N10" s="107">
        <f>SUM(L10:M10)</f>
        <v>98263</v>
      </c>
      <c r="O10" s="107">
        <v>0</v>
      </c>
      <c r="P10" s="107">
        <f aca="true" t="shared" si="1" ref="P10:P23">SUM(N10:O10)</f>
        <v>98263</v>
      </c>
      <c r="Q10" s="107">
        <v>0</v>
      </c>
      <c r="R10" s="107">
        <f aca="true" t="shared" si="2" ref="R10:R23">SUM(P10:Q10)</f>
        <v>98263</v>
      </c>
      <c r="S10" s="107">
        <v>0</v>
      </c>
      <c r="T10" s="107">
        <f aca="true" t="shared" si="3" ref="T10:T23">SUM(R10:S10)</f>
        <v>98263</v>
      </c>
      <c r="U10" s="107">
        <v>0</v>
      </c>
      <c r="V10" s="107">
        <f aca="true" t="shared" si="4" ref="V10:V23">SUM(T10:U10)</f>
        <v>98263</v>
      </c>
      <c r="W10" s="107">
        <v>0</v>
      </c>
      <c r="X10" s="107">
        <f aca="true" t="shared" si="5" ref="X10:X23">SUM(V10:W10)</f>
        <v>98263</v>
      </c>
    </row>
    <row r="11" spans="1:24" s="8" customFormat="1" ht="21" customHeight="1">
      <c r="A11" s="40" t="s">
        <v>130</v>
      </c>
      <c r="B11" s="31"/>
      <c r="C11" s="68"/>
      <c r="D11" s="43" t="s">
        <v>131</v>
      </c>
      <c r="E11" s="77">
        <f>SUM(E12)</f>
        <v>144800</v>
      </c>
      <c r="F11" s="77">
        <f>SUM(F12)</f>
        <v>0</v>
      </c>
      <c r="G11" s="77">
        <f>SUM(G12)</f>
        <v>0</v>
      </c>
      <c r="H11" s="77">
        <f aca="true" t="shared" si="6" ref="H11:H19">SUM(E11+F11-G11)</f>
        <v>144800</v>
      </c>
      <c r="I11" s="77">
        <f>SUM(I12)</f>
        <v>0</v>
      </c>
      <c r="J11" s="77">
        <f>SUM(H11:I11)</f>
        <v>144800</v>
      </c>
      <c r="K11" s="77">
        <f>SUM(K12)</f>
        <v>0</v>
      </c>
      <c r="L11" s="77">
        <f>SUM(J11:K11)</f>
        <v>144800</v>
      </c>
      <c r="M11" s="77">
        <f>SUM(M12)</f>
        <v>0</v>
      </c>
      <c r="N11" s="77">
        <f>SUM(L11:M11)</f>
        <v>144800</v>
      </c>
      <c r="O11" s="77">
        <f>SUM(O12)</f>
        <v>0</v>
      </c>
      <c r="P11" s="77">
        <f t="shared" si="1"/>
        <v>144800</v>
      </c>
      <c r="Q11" s="77">
        <f>SUM(Q12)</f>
        <v>0</v>
      </c>
      <c r="R11" s="77">
        <f t="shared" si="2"/>
        <v>144800</v>
      </c>
      <c r="S11" s="77">
        <f>SUM(S12)</f>
        <v>0</v>
      </c>
      <c r="T11" s="77">
        <f t="shared" si="3"/>
        <v>144800</v>
      </c>
      <c r="U11" s="77">
        <f>SUM(U12)</f>
        <v>0</v>
      </c>
      <c r="V11" s="77">
        <f t="shared" si="4"/>
        <v>144800</v>
      </c>
      <c r="W11" s="77">
        <f>SUM(W12)</f>
        <v>0</v>
      </c>
      <c r="X11" s="77">
        <f t="shared" si="5"/>
        <v>144800</v>
      </c>
    </row>
    <row r="12" spans="1:24" s="27" customFormat="1" ht="21" customHeight="1">
      <c r="A12" s="81"/>
      <c r="B12" s="81">
        <v>75011</v>
      </c>
      <c r="C12" s="82"/>
      <c r="D12" s="45" t="s">
        <v>132</v>
      </c>
      <c r="E12" s="109">
        <f>E13</f>
        <v>144800</v>
      </c>
      <c r="F12" s="109">
        <f>F13</f>
        <v>0</v>
      </c>
      <c r="G12" s="109">
        <f>G13</f>
        <v>0</v>
      </c>
      <c r="H12" s="107">
        <f t="shared" si="6"/>
        <v>144800</v>
      </c>
      <c r="I12" s="109">
        <f>I13</f>
        <v>0</v>
      </c>
      <c r="J12" s="107">
        <f aca="true" t="shared" si="7" ref="J12:J60">SUM(H12:I12)</f>
        <v>144800</v>
      </c>
      <c r="K12" s="109">
        <f>K13</f>
        <v>0</v>
      </c>
      <c r="L12" s="107">
        <f aca="true" t="shared" si="8" ref="L12:L60">SUM(J12:K12)</f>
        <v>144800</v>
      </c>
      <c r="M12" s="109">
        <f>M13</f>
        <v>0</v>
      </c>
      <c r="N12" s="107">
        <f aca="true" t="shared" si="9" ref="N12:N45">SUM(L12:M12)</f>
        <v>144800</v>
      </c>
      <c r="O12" s="109">
        <f>O13</f>
        <v>0</v>
      </c>
      <c r="P12" s="107">
        <f t="shared" si="1"/>
        <v>144800</v>
      </c>
      <c r="Q12" s="109">
        <f>Q13</f>
        <v>0</v>
      </c>
      <c r="R12" s="107">
        <f t="shared" si="2"/>
        <v>144800</v>
      </c>
      <c r="S12" s="109">
        <f>S13</f>
        <v>0</v>
      </c>
      <c r="T12" s="107">
        <f t="shared" si="3"/>
        <v>144800</v>
      </c>
      <c r="U12" s="109">
        <f>U13</f>
        <v>0</v>
      </c>
      <c r="V12" s="107">
        <f t="shared" si="4"/>
        <v>144800</v>
      </c>
      <c r="W12" s="109">
        <f>W13</f>
        <v>0</v>
      </c>
      <c r="X12" s="107">
        <f t="shared" si="5"/>
        <v>144800</v>
      </c>
    </row>
    <row r="13" spans="1:24" s="27" customFormat="1" ht="67.5">
      <c r="A13" s="81"/>
      <c r="B13" s="102"/>
      <c r="C13" s="83" t="s">
        <v>319</v>
      </c>
      <c r="D13" s="45" t="s">
        <v>660</v>
      </c>
      <c r="E13" s="109">
        <v>144800</v>
      </c>
      <c r="F13" s="109"/>
      <c r="G13" s="109"/>
      <c r="H13" s="107">
        <f t="shared" si="6"/>
        <v>144800</v>
      </c>
      <c r="I13" s="109">
        <v>0</v>
      </c>
      <c r="J13" s="107">
        <f t="shared" si="7"/>
        <v>144800</v>
      </c>
      <c r="K13" s="109">
        <v>0</v>
      </c>
      <c r="L13" s="107">
        <f t="shared" si="8"/>
        <v>144800</v>
      </c>
      <c r="M13" s="109">
        <v>0</v>
      </c>
      <c r="N13" s="107">
        <f t="shared" si="9"/>
        <v>144800</v>
      </c>
      <c r="O13" s="109">
        <v>0</v>
      </c>
      <c r="P13" s="107">
        <f t="shared" si="1"/>
        <v>144800</v>
      </c>
      <c r="Q13" s="109">
        <v>0</v>
      </c>
      <c r="R13" s="107">
        <f t="shared" si="2"/>
        <v>144800</v>
      </c>
      <c r="S13" s="109">
        <v>0</v>
      </c>
      <c r="T13" s="107">
        <f t="shared" si="3"/>
        <v>144800</v>
      </c>
      <c r="U13" s="109">
        <v>0</v>
      </c>
      <c r="V13" s="107">
        <f t="shared" si="4"/>
        <v>144800</v>
      </c>
      <c r="W13" s="109">
        <v>0</v>
      </c>
      <c r="X13" s="107">
        <f t="shared" si="5"/>
        <v>144800</v>
      </c>
    </row>
    <row r="14" spans="1:24" s="8" customFormat="1" ht="48">
      <c r="A14" s="40">
        <v>751</v>
      </c>
      <c r="B14" s="42"/>
      <c r="C14" s="78"/>
      <c r="D14" s="43" t="s">
        <v>135</v>
      </c>
      <c r="E14" s="79">
        <f>SUM(E15)</f>
        <v>3809</v>
      </c>
      <c r="F14" s="79">
        <f>SUM(F15)</f>
        <v>0</v>
      </c>
      <c r="G14" s="79">
        <f>SUM(G15)</f>
        <v>0</v>
      </c>
      <c r="H14" s="77">
        <f t="shared" si="6"/>
        <v>3809</v>
      </c>
      <c r="I14" s="79">
        <f>SUM(I15)</f>
        <v>0</v>
      </c>
      <c r="J14" s="77">
        <f t="shared" si="7"/>
        <v>3809</v>
      </c>
      <c r="K14" s="79">
        <f>SUM(K15)</f>
        <v>0</v>
      </c>
      <c r="L14" s="77">
        <f t="shared" si="8"/>
        <v>3809</v>
      </c>
      <c r="M14" s="79">
        <f>SUM(M15)</f>
        <v>0</v>
      </c>
      <c r="N14" s="77">
        <f t="shared" si="9"/>
        <v>3809</v>
      </c>
      <c r="O14" s="79">
        <f>SUM(O15)</f>
        <v>0</v>
      </c>
      <c r="P14" s="77">
        <f t="shared" si="1"/>
        <v>3809</v>
      </c>
      <c r="Q14" s="79">
        <f>SUM(Q15)</f>
        <v>0</v>
      </c>
      <c r="R14" s="77">
        <f t="shared" si="2"/>
        <v>3809</v>
      </c>
      <c r="S14" s="79">
        <f>SUM(S15)</f>
        <v>0</v>
      </c>
      <c r="T14" s="77">
        <f t="shared" si="3"/>
        <v>3809</v>
      </c>
      <c r="U14" s="79">
        <f>SUM(U15)</f>
        <v>0</v>
      </c>
      <c r="V14" s="77">
        <f>SUM(V15,V17)</f>
        <v>3809</v>
      </c>
      <c r="W14" s="77">
        <f>SUM(W15,W17)</f>
        <v>6644</v>
      </c>
      <c r="X14" s="77">
        <f>SUM(X15,X17)</f>
        <v>10453</v>
      </c>
    </row>
    <row r="15" spans="1:24" s="27" customFormat="1" ht="22.5">
      <c r="A15" s="102"/>
      <c r="B15" s="81">
        <v>75101</v>
      </c>
      <c r="C15" s="82"/>
      <c r="D15" s="45" t="s">
        <v>136</v>
      </c>
      <c r="E15" s="110">
        <f>E16</f>
        <v>3809</v>
      </c>
      <c r="F15" s="110">
        <f>F16</f>
        <v>0</v>
      </c>
      <c r="G15" s="110">
        <f>G16</f>
        <v>0</v>
      </c>
      <c r="H15" s="107">
        <f t="shared" si="6"/>
        <v>3809</v>
      </c>
      <c r="I15" s="110">
        <f>I16</f>
        <v>0</v>
      </c>
      <c r="J15" s="107">
        <f t="shared" si="7"/>
        <v>3809</v>
      </c>
      <c r="K15" s="110">
        <f>K16</f>
        <v>0</v>
      </c>
      <c r="L15" s="107">
        <f t="shared" si="8"/>
        <v>3809</v>
      </c>
      <c r="M15" s="110">
        <f>M16</f>
        <v>0</v>
      </c>
      <c r="N15" s="107">
        <f t="shared" si="9"/>
        <v>3809</v>
      </c>
      <c r="O15" s="110">
        <f>O16</f>
        <v>0</v>
      </c>
      <c r="P15" s="107">
        <f t="shared" si="1"/>
        <v>3809</v>
      </c>
      <c r="Q15" s="110">
        <f>Q16</f>
        <v>0</v>
      </c>
      <c r="R15" s="107">
        <f t="shared" si="2"/>
        <v>3809</v>
      </c>
      <c r="S15" s="110">
        <f>S16</f>
        <v>0</v>
      </c>
      <c r="T15" s="107">
        <f t="shared" si="3"/>
        <v>3809</v>
      </c>
      <c r="U15" s="110">
        <f>U16</f>
        <v>0</v>
      </c>
      <c r="V15" s="107">
        <f t="shared" si="4"/>
        <v>3809</v>
      </c>
      <c r="W15" s="110">
        <f>W16</f>
        <v>0</v>
      </c>
      <c r="X15" s="107">
        <f t="shared" si="5"/>
        <v>3809</v>
      </c>
    </row>
    <row r="16" spans="1:24" s="27" customFormat="1" ht="67.5">
      <c r="A16" s="102"/>
      <c r="B16" s="81"/>
      <c r="C16" s="83" t="s">
        <v>319</v>
      </c>
      <c r="D16" s="45" t="s">
        <v>390</v>
      </c>
      <c r="E16" s="110">
        <v>3809</v>
      </c>
      <c r="F16" s="110"/>
      <c r="G16" s="110"/>
      <c r="H16" s="107">
        <f t="shared" si="6"/>
        <v>3809</v>
      </c>
      <c r="I16" s="110"/>
      <c r="J16" s="107">
        <f t="shared" si="7"/>
        <v>3809</v>
      </c>
      <c r="K16" s="110"/>
      <c r="L16" s="107">
        <f t="shared" si="8"/>
        <v>3809</v>
      </c>
      <c r="M16" s="110"/>
      <c r="N16" s="107">
        <f t="shared" si="9"/>
        <v>3809</v>
      </c>
      <c r="O16" s="110">
        <v>0</v>
      </c>
      <c r="P16" s="107">
        <f t="shared" si="1"/>
        <v>3809</v>
      </c>
      <c r="Q16" s="110">
        <v>0</v>
      </c>
      <c r="R16" s="107">
        <f t="shared" si="2"/>
        <v>3809</v>
      </c>
      <c r="S16" s="110">
        <v>0</v>
      </c>
      <c r="T16" s="107">
        <f t="shared" si="3"/>
        <v>3809</v>
      </c>
      <c r="U16" s="110">
        <v>0</v>
      </c>
      <c r="V16" s="107">
        <f t="shared" si="4"/>
        <v>3809</v>
      </c>
      <c r="W16" s="110">
        <v>0</v>
      </c>
      <c r="X16" s="107">
        <f t="shared" si="5"/>
        <v>3809</v>
      </c>
    </row>
    <row r="17" spans="1:24" s="27" customFormat="1" ht="21" customHeight="1">
      <c r="A17" s="102"/>
      <c r="B17" s="81">
        <v>75108</v>
      </c>
      <c r="C17" s="83"/>
      <c r="D17" s="80" t="s">
        <v>440</v>
      </c>
      <c r="E17" s="110"/>
      <c r="F17" s="110"/>
      <c r="G17" s="110"/>
      <c r="H17" s="107"/>
      <c r="I17" s="110"/>
      <c r="J17" s="107"/>
      <c r="K17" s="110"/>
      <c r="L17" s="107"/>
      <c r="M17" s="110"/>
      <c r="N17" s="107"/>
      <c r="O17" s="110"/>
      <c r="P17" s="107"/>
      <c r="Q17" s="110"/>
      <c r="R17" s="107"/>
      <c r="S17" s="110"/>
      <c r="T17" s="107"/>
      <c r="U17" s="110"/>
      <c r="V17" s="107">
        <f>SUM(V18)</f>
        <v>0</v>
      </c>
      <c r="W17" s="107">
        <f>SUM(W18)</f>
        <v>6644</v>
      </c>
      <c r="X17" s="107">
        <f>SUM(X18)</f>
        <v>6644</v>
      </c>
    </row>
    <row r="18" spans="1:24" s="27" customFormat="1" ht="67.5">
      <c r="A18" s="102"/>
      <c r="B18" s="81"/>
      <c r="C18" s="83">
        <v>2010</v>
      </c>
      <c r="D18" s="45" t="s">
        <v>390</v>
      </c>
      <c r="E18" s="110"/>
      <c r="F18" s="110"/>
      <c r="G18" s="110"/>
      <c r="H18" s="107"/>
      <c r="I18" s="110"/>
      <c r="J18" s="107"/>
      <c r="K18" s="110"/>
      <c r="L18" s="107"/>
      <c r="M18" s="110"/>
      <c r="N18" s="107"/>
      <c r="O18" s="110"/>
      <c r="P18" s="107"/>
      <c r="Q18" s="110"/>
      <c r="R18" s="107"/>
      <c r="S18" s="110"/>
      <c r="T18" s="107"/>
      <c r="U18" s="110"/>
      <c r="V18" s="107">
        <v>0</v>
      </c>
      <c r="W18" s="110">
        <v>6644</v>
      </c>
      <c r="X18" s="107">
        <f>SUM(V18:W18)</f>
        <v>6644</v>
      </c>
    </row>
    <row r="19" spans="1:24" s="48" customFormat="1" ht="60">
      <c r="A19" s="42">
        <v>756</v>
      </c>
      <c r="B19" s="40"/>
      <c r="C19" s="116"/>
      <c r="D19" s="121" t="s">
        <v>288</v>
      </c>
      <c r="E19" s="117">
        <f>SUM(E20)</f>
        <v>228717</v>
      </c>
      <c r="F19" s="117">
        <f>SUM(F20)</f>
        <v>228717</v>
      </c>
      <c r="G19" s="117">
        <f>SUM(G20)</f>
        <v>228717</v>
      </c>
      <c r="H19" s="77">
        <f t="shared" si="6"/>
        <v>228717</v>
      </c>
      <c r="I19" s="117">
        <f>SUM(I20)</f>
        <v>0</v>
      </c>
      <c r="J19" s="77">
        <f t="shared" si="7"/>
        <v>228717</v>
      </c>
      <c r="K19" s="117">
        <f>SUM(K20)</f>
        <v>0</v>
      </c>
      <c r="L19" s="77">
        <f t="shared" si="8"/>
        <v>228717</v>
      </c>
      <c r="M19" s="117">
        <f>SUM(M20)</f>
        <v>0</v>
      </c>
      <c r="N19" s="77">
        <f t="shared" si="9"/>
        <v>228717</v>
      </c>
      <c r="O19" s="117">
        <f>SUM(O20)</f>
        <v>0</v>
      </c>
      <c r="P19" s="77">
        <f t="shared" si="1"/>
        <v>228717</v>
      </c>
      <c r="Q19" s="117">
        <f>SUM(Q20)</f>
        <v>0</v>
      </c>
      <c r="R19" s="77">
        <f t="shared" si="2"/>
        <v>228717</v>
      </c>
      <c r="S19" s="117">
        <f>SUM(S20)</f>
        <v>0</v>
      </c>
      <c r="T19" s="77">
        <f t="shared" si="3"/>
        <v>228717</v>
      </c>
      <c r="U19" s="117">
        <f>SUM(U20)</f>
        <v>0</v>
      </c>
      <c r="V19" s="77">
        <f t="shared" si="4"/>
        <v>228717</v>
      </c>
      <c r="W19" s="117">
        <f>SUM(W20)</f>
        <v>0</v>
      </c>
      <c r="X19" s="77">
        <f t="shared" si="5"/>
        <v>228717</v>
      </c>
    </row>
    <row r="20" spans="1:24" s="27" customFormat="1" ht="56.25">
      <c r="A20" s="102"/>
      <c r="B20" s="81">
        <v>75615</v>
      </c>
      <c r="C20" s="83"/>
      <c r="D20" s="80" t="s">
        <v>289</v>
      </c>
      <c r="E20" s="109">
        <f>SUM(E21:E22)</f>
        <v>228717</v>
      </c>
      <c r="F20" s="109">
        <f>SUM(F21:F22)</f>
        <v>228717</v>
      </c>
      <c r="G20" s="109">
        <f>SUM(G21:G22)</f>
        <v>228717</v>
      </c>
      <c r="H20" s="109">
        <f>SUM(H21:H22)</f>
        <v>228717</v>
      </c>
      <c r="I20" s="109">
        <f>SUM(I21:I22)</f>
        <v>0</v>
      </c>
      <c r="J20" s="107">
        <f t="shared" si="7"/>
        <v>228717</v>
      </c>
      <c r="K20" s="109">
        <f>SUM(K21:K22)</f>
        <v>0</v>
      </c>
      <c r="L20" s="107">
        <f t="shared" si="8"/>
        <v>228717</v>
      </c>
      <c r="M20" s="109">
        <f>SUM(M21:M22)</f>
        <v>0</v>
      </c>
      <c r="N20" s="107">
        <f t="shared" si="9"/>
        <v>228717</v>
      </c>
      <c r="O20" s="109">
        <f>SUM(O21:O22)</f>
        <v>0</v>
      </c>
      <c r="P20" s="107">
        <f t="shared" si="1"/>
        <v>228717</v>
      </c>
      <c r="Q20" s="109">
        <f>SUM(Q21:Q22)</f>
        <v>0</v>
      </c>
      <c r="R20" s="107">
        <f t="shared" si="2"/>
        <v>228717</v>
      </c>
      <c r="S20" s="109">
        <f>SUM(S21:S22)</f>
        <v>0</v>
      </c>
      <c r="T20" s="107">
        <f t="shared" si="3"/>
        <v>228717</v>
      </c>
      <c r="U20" s="109">
        <f>SUM(U21:U22)</f>
        <v>0</v>
      </c>
      <c r="V20" s="107">
        <f t="shared" si="4"/>
        <v>228717</v>
      </c>
      <c r="W20" s="109">
        <f>SUM(W21:W22)</f>
        <v>0</v>
      </c>
      <c r="X20" s="107">
        <f t="shared" si="5"/>
        <v>228717</v>
      </c>
    </row>
    <row r="21" spans="1:24" s="27" customFormat="1" ht="45" hidden="1">
      <c r="A21" s="102"/>
      <c r="B21" s="81"/>
      <c r="C21" s="83">
        <v>2440</v>
      </c>
      <c r="D21" s="80" t="s">
        <v>327</v>
      </c>
      <c r="E21" s="109">
        <v>228717</v>
      </c>
      <c r="F21" s="109"/>
      <c r="G21" s="109">
        <v>228717</v>
      </c>
      <c r="H21" s="107">
        <f>SUM(E21+F21-G21)</f>
        <v>0</v>
      </c>
      <c r="I21" s="109"/>
      <c r="J21" s="107">
        <f t="shared" si="7"/>
        <v>0</v>
      </c>
      <c r="K21" s="109"/>
      <c r="L21" s="107">
        <f t="shared" si="8"/>
        <v>0</v>
      </c>
      <c r="M21" s="109"/>
      <c r="N21" s="107">
        <f t="shared" si="9"/>
        <v>0</v>
      </c>
      <c r="O21" s="109"/>
      <c r="P21" s="107">
        <f t="shared" si="1"/>
        <v>0</v>
      </c>
      <c r="Q21" s="109"/>
      <c r="R21" s="107">
        <f t="shared" si="2"/>
        <v>0</v>
      </c>
      <c r="S21" s="109"/>
      <c r="T21" s="107">
        <f t="shared" si="3"/>
        <v>0</v>
      </c>
      <c r="U21" s="109"/>
      <c r="V21" s="107">
        <f t="shared" si="4"/>
        <v>0</v>
      </c>
      <c r="W21" s="109"/>
      <c r="X21" s="107">
        <f t="shared" si="5"/>
        <v>0</v>
      </c>
    </row>
    <row r="22" spans="1:24" s="27" customFormat="1" ht="22.5">
      <c r="A22" s="102"/>
      <c r="B22" s="81"/>
      <c r="C22" s="83">
        <v>2680</v>
      </c>
      <c r="D22" s="92" t="s">
        <v>521</v>
      </c>
      <c r="E22" s="109">
        <v>0</v>
      </c>
      <c r="F22" s="109">
        <v>228717</v>
      </c>
      <c r="G22" s="109"/>
      <c r="H22" s="107">
        <f>SUM(E22+F22-G22)</f>
        <v>228717</v>
      </c>
      <c r="I22" s="109">
        <v>0</v>
      </c>
      <c r="J22" s="107">
        <f t="shared" si="7"/>
        <v>228717</v>
      </c>
      <c r="K22" s="109">
        <v>0</v>
      </c>
      <c r="L22" s="107">
        <f t="shared" si="8"/>
        <v>228717</v>
      </c>
      <c r="M22" s="109">
        <v>0</v>
      </c>
      <c r="N22" s="107">
        <f t="shared" si="9"/>
        <v>228717</v>
      </c>
      <c r="O22" s="109">
        <v>0</v>
      </c>
      <c r="P22" s="107">
        <f t="shared" si="1"/>
        <v>228717</v>
      </c>
      <c r="Q22" s="109">
        <v>0</v>
      </c>
      <c r="R22" s="107">
        <f t="shared" si="2"/>
        <v>228717</v>
      </c>
      <c r="S22" s="109">
        <v>0</v>
      </c>
      <c r="T22" s="107">
        <f t="shared" si="3"/>
        <v>228717</v>
      </c>
      <c r="U22" s="109">
        <v>0</v>
      </c>
      <c r="V22" s="107">
        <f t="shared" si="4"/>
        <v>228717</v>
      </c>
      <c r="W22" s="109">
        <v>0</v>
      </c>
      <c r="X22" s="107">
        <f t="shared" si="5"/>
        <v>228717</v>
      </c>
    </row>
    <row r="23" spans="1:24" s="11" customFormat="1" ht="20.25" customHeight="1">
      <c r="A23" s="161" t="s">
        <v>233</v>
      </c>
      <c r="B23" s="162"/>
      <c r="C23" s="163"/>
      <c r="D23" s="164" t="s">
        <v>234</v>
      </c>
      <c r="E23" s="165">
        <f>SUM(E24)</f>
        <v>2940</v>
      </c>
      <c r="F23" s="165">
        <f>SUM(F24)</f>
        <v>0</v>
      </c>
      <c r="G23" s="165">
        <f>SUM(G24)</f>
        <v>0</v>
      </c>
      <c r="H23" s="77">
        <f>SUM(H24,H28)</f>
        <v>2940</v>
      </c>
      <c r="I23" s="77">
        <f>SUM(I24,I28)</f>
        <v>1600</v>
      </c>
      <c r="J23" s="77">
        <f t="shared" si="7"/>
        <v>4540</v>
      </c>
      <c r="K23" s="77">
        <f>SUM(K24,K28)</f>
        <v>0</v>
      </c>
      <c r="L23" s="77">
        <f t="shared" si="8"/>
        <v>4540</v>
      </c>
      <c r="M23" s="77">
        <f>SUM(M24,M28)</f>
        <v>33110</v>
      </c>
      <c r="N23" s="77">
        <f t="shared" si="9"/>
        <v>37650</v>
      </c>
      <c r="O23" s="77">
        <f>SUM(O24,O28)</f>
        <v>0</v>
      </c>
      <c r="P23" s="77">
        <f t="shared" si="1"/>
        <v>37650</v>
      </c>
      <c r="Q23" s="77">
        <f>SUM(Q24,Q28)</f>
        <v>-1600</v>
      </c>
      <c r="R23" s="77">
        <f t="shared" si="2"/>
        <v>36050</v>
      </c>
      <c r="S23" s="77">
        <f>SUM(S24,S28,S30)</f>
        <v>40107</v>
      </c>
      <c r="T23" s="77">
        <f t="shared" si="3"/>
        <v>76157</v>
      </c>
      <c r="U23" s="77">
        <f>SUM(U24,U28,U30)</f>
        <v>0</v>
      </c>
      <c r="V23" s="77">
        <f t="shared" si="4"/>
        <v>76157</v>
      </c>
      <c r="W23" s="77">
        <f>SUM(W24,W28,W30)</f>
        <v>35088</v>
      </c>
      <c r="X23" s="77">
        <f t="shared" si="5"/>
        <v>111245</v>
      </c>
    </row>
    <row r="24" spans="1:24" s="27" customFormat="1" ht="21" customHeight="1">
      <c r="A24" s="81"/>
      <c r="B24" s="98" t="s">
        <v>235</v>
      </c>
      <c r="C24" s="102"/>
      <c r="D24" s="45" t="s">
        <v>172</v>
      </c>
      <c r="E24" s="109">
        <f>SUM(E26)</f>
        <v>2940</v>
      </c>
      <c r="F24" s="109">
        <f>SUM(F26)</f>
        <v>0</v>
      </c>
      <c r="G24" s="109">
        <f>SUM(G26)</f>
        <v>0</v>
      </c>
      <c r="H24" s="107">
        <f>SUM(H26:H27)</f>
        <v>2940</v>
      </c>
      <c r="I24" s="107">
        <f>SUM(I26:I27)</f>
        <v>1000</v>
      </c>
      <c r="J24" s="107">
        <f t="shared" si="7"/>
        <v>3940</v>
      </c>
      <c r="K24" s="107">
        <f>SUM(K26:K27)</f>
        <v>0</v>
      </c>
      <c r="L24" s="107">
        <f aca="true" t="shared" si="10" ref="L24:R24">SUM(L25:L27)</f>
        <v>3940</v>
      </c>
      <c r="M24" s="107">
        <f t="shared" si="10"/>
        <v>33110</v>
      </c>
      <c r="N24" s="107">
        <f t="shared" si="10"/>
        <v>37050</v>
      </c>
      <c r="O24" s="107">
        <f t="shared" si="10"/>
        <v>0</v>
      </c>
      <c r="P24" s="107">
        <f t="shared" si="10"/>
        <v>37050</v>
      </c>
      <c r="Q24" s="107">
        <f t="shared" si="10"/>
        <v>-1000</v>
      </c>
      <c r="R24" s="107">
        <f t="shared" si="10"/>
        <v>36050</v>
      </c>
      <c r="S24" s="107">
        <f aca="true" t="shared" si="11" ref="S24:X24">SUM(S25:S27)</f>
        <v>0</v>
      </c>
      <c r="T24" s="107">
        <f t="shared" si="11"/>
        <v>36050</v>
      </c>
      <c r="U24" s="107">
        <f t="shared" si="11"/>
        <v>0</v>
      </c>
      <c r="V24" s="107">
        <f t="shared" si="11"/>
        <v>36050</v>
      </c>
      <c r="W24" s="107">
        <f t="shared" si="11"/>
        <v>35088</v>
      </c>
      <c r="X24" s="107">
        <f t="shared" si="11"/>
        <v>71138</v>
      </c>
    </row>
    <row r="25" spans="1:24" s="27" customFormat="1" ht="45">
      <c r="A25" s="81"/>
      <c r="B25" s="81"/>
      <c r="C25" s="83">
        <v>2030</v>
      </c>
      <c r="D25" s="92" t="s">
        <v>362</v>
      </c>
      <c r="E25" s="109"/>
      <c r="F25" s="109"/>
      <c r="G25" s="109"/>
      <c r="H25" s="107"/>
      <c r="I25" s="107"/>
      <c r="J25" s="107"/>
      <c r="K25" s="107"/>
      <c r="L25" s="107">
        <v>0</v>
      </c>
      <c r="M25" s="107">
        <v>33110</v>
      </c>
      <c r="N25" s="107">
        <f t="shared" si="9"/>
        <v>33110</v>
      </c>
      <c r="O25" s="107">
        <v>0</v>
      </c>
      <c r="P25" s="107">
        <f aca="true" t="shared" si="12" ref="P25:P45">SUM(N25:O25)</f>
        <v>33110</v>
      </c>
      <c r="Q25" s="107">
        <v>0</v>
      </c>
      <c r="R25" s="107">
        <f aca="true" t="shared" si="13" ref="R25:R45">SUM(P25:Q25)</f>
        <v>33110</v>
      </c>
      <c r="S25" s="107">
        <v>0</v>
      </c>
      <c r="T25" s="107">
        <f aca="true" t="shared" si="14" ref="T25:T45">SUM(R25:S25)</f>
        <v>33110</v>
      </c>
      <c r="U25" s="107">
        <v>0</v>
      </c>
      <c r="V25" s="107">
        <f aca="true" t="shared" si="15" ref="V25:V45">SUM(T25:U25)</f>
        <v>33110</v>
      </c>
      <c r="W25" s="107">
        <v>35088</v>
      </c>
      <c r="X25" s="107">
        <f aca="true" t="shared" si="16" ref="X25:X45">SUM(V25:W25)</f>
        <v>68198</v>
      </c>
    </row>
    <row r="26" spans="1:24" s="27" customFormat="1" ht="54.75" customHeight="1">
      <c r="A26" s="102"/>
      <c r="B26" s="81"/>
      <c r="C26" s="160">
        <v>2310</v>
      </c>
      <c r="D26" s="45" t="s">
        <v>420</v>
      </c>
      <c r="E26" s="85">
        <v>2940</v>
      </c>
      <c r="F26" s="85"/>
      <c r="G26" s="85"/>
      <c r="H26" s="107">
        <f>SUM(E26+F26-G26)</f>
        <v>2940</v>
      </c>
      <c r="I26" s="85">
        <v>0</v>
      </c>
      <c r="J26" s="107">
        <f t="shared" si="7"/>
        <v>2940</v>
      </c>
      <c r="K26" s="85">
        <v>0</v>
      </c>
      <c r="L26" s="107">
        <f t="shared" si="8"/>
        <v>2940</v>
      </c>
      <c r="M26" s="85">
        <v>0</v>
      </c>
      <c r="N26" s="107">
        <f t="shared" si="9"/>
        <v>2940</v>
      </c>
      <c r="O26" s="85">
        <v>0</v>
      </c>
      <c r="P26" s="107">
        <f t="shared" si="12"/>
        <v>2940</v>
      </c>
      <c r="Q26" s="85">
        <v>0</v>
      </c>
      <c r="R26" s="107">
        <f t="shared" si="13"/>
        <v>2940</v>
      </c>
      <c r="S26" s="85">
        <v>0</v>
      </c>
      <c r="T26" s="107">
        <f t="shared" si="14"/>
        <v>2940</v>
      </c>
      <c r="U26" s="85">
        <v>0</v>
      </c>
      <c r="V26" s="107">
        <f t="shared" si="15"/>
        <v>2940</v>
      </c>
      <c r="W26" s="85">
        <v>0</v>
      </c>
      <c r="X26" s="107">
        <f t="shared" si="16"/>
        <v>2940</v>
      </c>
    </row>
    <row r="27" spans="1:24" s="27" customFormat="1" ht="56.25" hidden="1">
      <c r="A27" s="102"/>
      <c r="B27" s="81"/>
      <c r="C27" s="88">
        <v>2320</v>
      </c>
      <c r="D27" s="92" t="s">
        <v>665</v>
      </c>
      <c r="E27" s="85"/>
      <c r="F27" s="85"/>
      <c r="G27" s="85"/>
      <c r="H27" s="107">
        <v>0</v>
      </c>
      <c r="I27" s="85">
        <f>300+300+200+200</f>
        <v>1000</v>
      </c>
      <c r="J27" s="107">
        <f t="shared" si="7"/>
        <v>1000</v>
      </c>
      <c r="K27" s="85"/>
      <c r="L27" s="107">
        <f t="shared" si="8"/>
        <v>1000</v>
      </c>
      <c r="M27" s="85">
        <v>0</v>
      </c>
      <c r="N27" s="107">
        <f t="shared" si="9"/>
        <v>1000</v>
      </c>
      <c r="O27" s="85">
        <v>0</v>
      </c>
      <c r="P27" s="107">
        <f t="shared" si="12"/>
        <v>1000</v>
      </c>
      <c r="Q27" s="85">
        <f>-300-300-200-200</f>
        <v>-1000</v>
      </c>
      <c r="R27" s="107">
        <f t="shared" si="13"/>
        <v>0</v>
      </c>
      <c r="S27" s="85">
        <v>0</v>
      </c>
      <c r="T27" s="107">
        <f t="shared" si="14"/>
        <v>0</v>
      </c>
      <c r="U27" s="85">
        <v>0</v>
      </c>
      <c r="V27" s="107">
        <f t="shared" si="15"/>
        <v>0</v>
      </c>
      <c r="W27" s="85">
        <v>0</v>
      </c>
      <c r="X27" s="107">
        <f t="shared" si="16"/>
        <v>0</v>
      </c>
    </row>
    <row r="28" spans="1:24" s="27" customFormat="1" ht="0.75" customHeight="1" hidden="1">
      <c r="A28" s="102"/>
      <c r="B28" s="81">
        <v>80110</v>
      </c>
      <c r="C28" s="160"/>
      <c r="D28" s="45" t="s">
        <v>173</v>
      </c>
      <c r="E28" s="85"/>
      <c r="F28" s="85"/>
      <c r="G28" s="85"/>
      <c r="H28" s="107">
        <f>SUM(H29)</f>
        <v>0</v>
      </c>
      <c r="I28" s="107">
        <f>SUM(I29)</f>
        <v>600</v>
      </c>
      <c r="J28" s="107">
        <f t="shared" si="7"/>
        <v>600</v>
      </c>
      <c r="K28" s="107">
        <f>SUM(K29)</f>
        <v>0</v>
      </c>
      <c r="L28" s="107">
        <f t="shared" si="8"/>
        <v>600</v>
      </c>
      <c r="M28" s="107">
        <f>SUM(M29)</f>
        <v>0</v>
      </c>
      <c r="N28" s="107">
        <f t="shared" si="9"/>
        <v>600</v>
      </c>
      <c r="O28" s="107">
        <f>SUM(O29)</f>
        <v>0</v>
      </c>
      <c r="P28" s="107">
        <f t="shared" si="12"/>
        <v>600</v>
      </c>
      <c r="Q28" s="107">
        <f>SUM(Q29)</f>
        <v>-600</v>
      </c>
      <c r="R28" s="107">
        <f t="shared" si="13"/>
        <v>0</v>
      </c>
      <c r="S28" s="107">
        <f>SUM(S29)</f>
        <v>0</v>
      </c>
      <c r="T28" s="107">
        <f t="shared" si="14"/>
        <v>0</v>
      </c>
      <c r="U28" s="107">
        <f>SUM(U29)</f>
        <v>0</v>
      </c>
      <c r="V28" s="107">
        <f t="shared" si="15"/>
        <v>0</v>
      </c>
      <c r="W28" s="107">
        <f>SUM(W29)</f>
        <v>0</v>
      </c>
      <c r="X28" s="107">
        <f t="shared" si="16"/>
        <v>0</v>
      </c>
    </row>
    <row r="29" spans="1:24" s="27" customFormat="1" ht="56.25" hidden="1">
      <c r="A29" s="102"/>
      <c r="B29" s="81"/>
      <c r="C29" s="88">
        <v>2320</v>
      </c>
      <c r="D29" s="92" t="s">
        <v>665</v>
      </c>
      <c r="E29" s="85"/>
      <c r="F29" s="85"/>
      <c r="G29" s="85"/>
      <c r="H29" s="107">
        <v>0</v>
      </c>
      <c r="I29" s="85">
        <f>300+300</f>
        <v>600</v>
      </c>
      <c r="J29" s="107">
        <f t="shared" si="7"/>
        <v>600</v>
      </c>
      <c r="K29" s="85"/>
      <c r="L29" s="107">
        <f t="shared" si="8"/>
        <v>600</v>
      </c>
      <c r="M29" s="85">
        <v>0</v>
      </c>
      <c r="N29" s="107">
        <f t="shared" si="9"/>
        <v>600</v>
      </c>
      <c r="O29" s="85">
        <v>0</v>
      </c>
      <c r="P29" s="107">
        <f t="shared" si="12"/>
        <v>600</v>
      </c>
      <c r="Q29" s="85">
        <v>-600</v>
      </c>
      <c r="R29" s="107">
        <f t="shared" si="13"/>
        <v>0</v>
      </c>
      <c r="S29" s="85">
        <v>0</v>
      </c>
      <c r="T29" s="107">
        <f t="shared" si="14"/>
        <v>0</v>
      </c>
      <c r="U29" s="85">
        <v>0</v>
      </c>
      <c r="V29" s="107">
        <f t="shared" si="15"/>
        <v>0</v>
      </c>
      <c r="W29" s="85">
        <v>0</v>
      </c>
      <c r="X29" s="107">
        <f t="shared" si="16"/>
        <v>0</v>
      </c>
    </row>
    <row r="30" spans="1:24" s="27" customFormat="1" ht="18.75" customHeight="1">
      <c r="A30" s="102"/>
      <c r="B30" s="81">
        <v>80195</v>
      </c>
      <c r="C30" s="88"/>
      <c r="D30" s="92" t="s">
        <v>118</v>
      </c>
      <c r="E30" s="85"/>
      <c r="F30" s="85"/>
      <c r="G30" s="85"/>
      <c r="H30" s="107"/>
      <c r="I30" s="85"/>
      <c r="J30" s="107"/>
      <c r="K30" s="85"/>
      <c r="L30" s="107"/>
      <c r="M30" s="85"/>
      <c r="N30" s="107"/>
      <c r="O30" s="85"/>
      <c r="P30" s="107"/>
      <c r="Q30" s="85"/>
      <c r="R30" s="107">
        <f>SUM(R31)</f>
        <v>0</v>
      </c>
      <c r="S30" s="107">
        <f>SUM(S31)</f>
        <v>40107</v>
      </c>
      <c r="T30" s="107">
        <f t="shared" si="14"/>
        <v>40107</v>
      </c>
      <c r="U30" s="107">
        <f>SUM(U31)</f>
        <v>0</v>
      </c>
      <c r="V30" s="107">
        <f t="shared" si="15"/>
        <v>40107</v>
      </c>
      <c r="W30" s="107">
        <f>SUM(W31)</f>
        <v>0</v>
      </c>
      <c r="X30" s="107">
        <f t="shared" si="16"/>
        <v>40107</v>
      </c>
    </row>
    <row r="31" spans="1:24" s="27" customFormat="1" ht="45">
      <c r="A31" s="102"/>
      <c r="B31" s="81"/>
      <c r="C31" s="88">
        <v>2030</v>
      </c>
      <c r="D31" s="92" t="s">
        <v>362</v>
      </c>
      <c r="E31" s="85"/>
      <c r="F31" s="85"/>
      <c r="G31" s="85"/>
      <c r="H31" s="107"/>
      <c r="I31" s="85"/>
      <c r="J31" s="107"/>
      <c r="K31" s="85"/>
      <c r="L31" s="107"/>
      <c r="M31" s="85"/>
      <c r="N31" s="107"/>
      <c r="O31" s="85"/>
      <c r="P31" s="107"/>
      <c r="Q31" s="85"/>
      <c r="R31" s="107">
        <v>0</v>
      </c>
      <c r="S31" s="85">
        <v>40107</v>
      </c>
      <c r="T31" s="107">
        <f t="shared" si="14"/>
        <v>40107</v>
      </c>
      <c r="U31" s="85">
        <v>0</v>
      </c>
      <c r="V31" s="107">
        <f t="shared" si="15"/>
        <v>40107</v>
      </c>
      <c r="W31" s="85">
        <v>0</v>
      </c>
      <c r="X31" s="107">
        <f t="shared" si="16"/>
        <v>40107</v>
      </c>
    </row>
    <row r="32" spans="1:24" s="48" customFormat="1" ht="21" customHeight="1">
      <c r="A32" s="40" t="s">
        <v>290</v>
      </c>
      <c r="B32" s="42"/>
      <c r="C32" s="78"/>
      <c r="D32" s="43" t="s">
        <v>331</v>
      </c>
      <c r="E32" s="77">
        <f>SUM(E35,E37,E39,E42,E44,)</f>
        <v>9582400</v>
      </c>
      <c r="F32" s="77">
        <f>SUM(F35,F37,F39,F42,F44,)</f>
        <v>0</v>
      </c>
      <c r="G32" s="77">
        <f>SUM(G35,G37,G39,G42,G44,)</f>
        <v>0</v>
      </c>
      <c r="H32" s="77">
        <f aca="true" t="shared" si="17" ref="H32:H45">SUM(E32+F32-G32)</f>
        <v>9582400</v>
      </c>
      <c r="I32" s="77">
        <f>SUM(I35,I37,I39,I42,I44,)</f>
        <v>-22000</v>
      </c>
      <c r="J32" s="77">
        <f t="shared" si="7"/>
        <v>9560400</v>
      </c>
      <c r="K32" s="77">
        <f>SUM(K35,K37,K39,K42,K44,)</f>
        <v>0</v>
      </c>
      <c r="L32" s="77">
        <f t="shared" si="8"/>
        <v>9560400</v>
      </c>
      <c r="M32" s="77">
        <f>SUM(M35,M37,M39,M42,M44,)</f>
        <v>234778</v>
      </c>
      <c r="N32" s="77">
        <f t="shared" si="9"/>
        <v>9795178</v>
      </c>
      <c r="O32" s="77">
        <f>SUM(O35,O37,O39,O42,O44,)</f>
        <v>0</v>
      </c>
      <c r="P32" s="77">
        <f t="shared" si="12"/>
        <v>9795178</v>
      </c>
      <c r="Q32" s="77">
        <f>SUM(Q35,Q37,Q39,Q42,Q44,)</f>
        <v>40648</v>
      </c>
      <c r="R32" s="77">
        <f t="shared" si="13"/>
        <v>9835826</v>
      </c>
      <c r="S32" s="77">
        <f>SUM(S35,S37,S39,S42,S44,)</f>
        <v>0</v>
      </c>
      <c r="T32" s="77">
        <f t="shared" si="14"/>
        <v>9835826</v>
      </c>
      <c r="U32" s="77">
        <f>SUM(U35,U37,U39,U42,U44,)</f>
        <v>-42479</v>
      </c>
      <c r="V32" s="77">
        <f t="shared" si="15"/>
        <v>9793347</v>
      </c>
      <c r="W32" s="77">
        <f>SUM(W35,W37,W39,W42,W44,)</f>
        <v>-50000</v>
      </c>
      <c r="X32" s="77">
        <f t="shared" si="16"/>
        <v>9743347</v>
      </c>
    </row>
    <row r="33" spans="1:24" s="27" customFormat="1" ht="33.75" hidden="1">
      <c r="A33" s="81"/>
      <c r="B33" s="61">
        <v>85212</v>
      </c>
      <c r="C33" s="94"/>
      <c r="D33" s="92" t="s">
        <v>356</v>
      </c>
      <c r="E33" s="107">
        <f>SUM(E34)</f>
        <v>5507000</v>
      </c>
      <c r="F33" s="107">
        <f>SUM(F34)</f>
        <v>5507000</v>
      </c>
      <c r="G33" s="107">
        <f>SUM(G34)</f>
        <v>5507000</v>
      </c>
      <c r="H33" s="107">
        <f t="shared" si="17"/>
        <v>5507000</v>
      </c>
      <c r="I33" s="107">
        <f>SUM(I34)</f>
        <v>5507000</v>
      </c>
      <c r="J33" s="107">
        <f t="shared" si="7"/>
        <v>11014000</v>
      </c>
      <c r="K33" s="107">
        <f>SUM(K34)</f>
        <v>5507000</v>
      </c>
      <c r="L33" s="107">
        <f t="shared" si="8"/>
        <v>16521000</v>
      </c>
      <c r="M33" s="107">
        <f>SUM(M34)</f>
        <v>5507000</v>
      </c>
      <c r="N33" s="107">
        <f t="shared" si="9"/>
        <v>22028000</v>
      </c>
      <c r="O33" s="107">
        <f>SUM(O34)</f>
        <v>5507000</v>
      </c>
      <c r="P33" s="107">
        <f t="shared" si="12"/>
        <v>27535000</v>
      </c>
      <c r="Q33" s="107">
        <f>SUM(Q34)</f>
        <v>5507000</v>
      </c>
      <c r="R33" s="107">
        <f t="shared" si="13"/>
        <v>33042000</v>
      </c>
      <c r="S33" s="107">
        <f>SUM(S34)</f>
        <v>5507000</v>
      </c>
      <c r="T33" s="107">
        <f t="shared" si="14"/>
        <v>38549000</v>
      </c>
      <c r="U33" s="107">
        <f>SUM(U34)</f>
        <v>5507000</v>
      </c>
      <c r="V33" s="107">
        <f t="shared" si="15"/>
        <v>44056000</v>
      </c>
      <c r="W33" s="107">
        <f>SUM(W34)</f>
        <v>5507000</v>
      </c>
      <c r="X33" s="107">
        <f t="shared" si="16"/>
        <v>49563000</v>
      </c>
    </row>
    <row r="34" spans="1:24" s="27" customFormat="1" ht="67.5" hidden="1">
      <c r="A34" s="81"/>
      <c r="B34" s="61"/>
      <c r="C34" s="94">
        <v>2010</v>
      </c>
      <c r="D34" s="45" t="s">
        <v>379</v>
      </c>
      <c r="E34" s="107">
        <v>5507000</v>
      </c>
      <c r="F34" s="107">
        <v>5507000</v>
      </c>
      <c r="G34" s="107">
        <v>5507000</v>
      </c>
      <c r="H34" s="107">
        <f t="shared" si="17"/>
        <v>5507000</v>
      </c>
      <c r="I34" s="107">
        <v>5507000</v>
      </c>
      <c r="J34" s="107">
        <f t="shared" si="7"/>
        <v>11014000</v>
      </c>
      <c r="K34" s="107">
        <v>5507000</v>
      </c>
      <c r="L34" s="107">
        <f t="shared" si="8"/>
        <v>16521000</v>
      </c>
      <c r="M34" s="107">
        <v>5507000</v>
      </c>
      <c r="N34" s="107">
        <f t="shared" si="9"/>
        <v>22028000</v>
      </c>
      <c r="O34" s="107">
        <v>5507000</v>
      </c>
      <c r="P34" s="107">
        <f t="shared" si="12"/>
        <v>27535000</v>
      </c>
      <c r="Q34" s="107">
        <v>5507000</v>
      </c>
      <c r="R34" s="107">
        <f t="shared" si="13"/>
        <v>33042000</v>
      </c>
      <c r="S34" s="107">
        <v>5507000</v>
      </c>
      <c r="T34" s="107">
        <f t="shared" si="14"/>
        <v>38549000</v>
      </c>
      <c r="U34" s="107">
        <v>5507000</v>
      </c>
      <c r="V34" s="107">
        <f t="shared" si="15"/>
        <v>44056000</v>
      </c>
      <c r="W34" s="107">
        <v>5507000</v>
      </c>
      <c r="X34" s="107">
        <f t="shared" si="16"/>
        <v>49563000</v>
      </c>
    </row>
    <row r="35" spans="1:24" s="27" customFormat="1" ht="45">
      <c r="A35" s="81"/>
      <c r="B35" s="61">
        <v>85212</v>
      </c>
      <c r="C35" s="94"/>
      <c r="D35" s="92" t="s">
        <v>402</v>
      </c>
      <c r="E35" s="107">
        <f>SUM(E36)</f>
        <v>7804800</v>
      </c>
      <c r="F35" s="107">
        <f>SUM(F36)</f>
        <v>0</v>
      </c>
      <c r="G35" s="107">
        <f>SUM(G36)</f>
        <v>0</v>
      </c>
      <c r="H35" s="107">
        <f t="shared" si="17"/>
        <v>7804800</v>
      </c>
      <c r="I35" s="107">
        <f>SUM(I36)</f>
        <v>7900</v>
      </c>
      <c r="J35" s="107">
        <f t="shared" si="7"/>
        <v>7812700</v>
      </c>
      <c r="K35" s="107">
        <f>SUM(K36)</f>
        <v>0</v>
      </c>
      <c r="L35" s="107">
        <f t="shared" si="8"/>
        <v>7812700</v>
      </c>
      <c r="M35" s="107">
        <f>SUM(M36)</f>
        <v>0</v>
      </c>
      <c r="N35" s="107">
        <f t="shared" si="9"/>
        <v>7812700</v>
      </c>
      <c r="O35" s="107">
        <f>SUM(O36)</f>
        <v>0</v>
      </c>
      <c r="P35" s="107">
        <f t="shared" si="12"/>
        <v>7812700</v>
      </c>
      <c r="Q35" s="107">
        <f>SUM(Q36)</f>
        <v>0</v>
      </c>
      <c r="R35" s="107">
        <f t="shared" si="13"/>
        <v>7812700</v>
      </c>
      <c r="S35" s="107">
        <f>SUM(S36)</f>
        <v>0</v>
      </c>
      <c r="T35" s="107">
        <f t="shared" si="14"/>
        <v>7812700</v>
      </c>
      <c r="U35" s="107">
        <f>SUM(U36)</f>
        <v>-200000</v>
      </c>
      <c r="V35" s="107">
        <f t="shared" si="15"/>
        <v>7612700</v>
      </c>
      <c r="W35" s="107">
        <f>SUM(W36)</f>
        <v>-50000</v>
      </c>
      <c r="X35" s="107">
        <f t="shared" si="16"/>
        <v>7562700</v>
      </c>
    </row>
    <row r="36" spans="1:24" s="27" customFormat="1" ht="67.5">
      <c r="A36" s="81"/>
      <c r="B36" s="61"/>
      <c r="C36" s="94">
        <v>2010</v>
      </c>
      <c r="D36" s="45" t="s">
        <v>660</v>
      </c>
      <c r="E36" s="107">
        <v>7804800</v>
      </c>
      <c r="F36" s="107"/>
      <c r="G36" s="107"/>
      <c r="H36" s="107">
        <f t="shared" si="17"/>
        <v>7804800</v>
      </c>
      <c r="I36" s="107">
        <v>7900</v>
      </c>
      <c r="J36" s="107">
        <f t="shared" si="7"/>
        <v>7812700</v>
      </c>
      <c r="K36" s="107"/>
      <c r="L36" s="107">
        <f t="shared" si="8"/>
        <v>7812700</v>
      </c>
      <c r="M36" s="107">
        <v>0</v>
      </c>
      <c r="N36" s="107">
        <f t="shared" si="9"/>
        <v>7812700</v>
      </c>
      <c r="O36" s="107">
        <v>0</v>
      </c>
      <c r="P36" s="107">
        <f t="shared" si="12"/>
        <v>7812700</v>
      </c>
      <c r="Q36" s="107">
        <v>0</v>
      </c>
      <c r="R36" s="107">
        <f t="shared" si="13"/>
        <v>7812700</v>
      </c>
      <c r="S36" s="107">
        <v>0</v>
      </c>
      <c r="T36" s="107">
        <f t="shared" si="14"/>
        <v>7812700</v>
      </c>
      <c r="U36" s="107">
        <v>-200000</v>
      </c>
      <c r="V36" s="107">
        <f t="shared" si="15"/>
        <v>7612700</v>
      </c>
      <c r="W36" s="107">
        <v>-50000</v>
      </c>
      <c r="X36" s="107">
        <f t="shared" si="16"/>
        <v>7562700</v>
      </c>
    </row>
    <row r="37" spans="1:24" s="27" customFormat="1" ht="56.25">
      <c r="A37" s="81"/>
      <c r="B37" s="102">
        <v>85213</v>
      </c>
      <c r="C37" s="82"/>
      <c r="D37" s="45" t="s">
        <v>330</v>
      </c>
      <c r="E37" s="107">
        <f>SUM(E38)</f>
        <v>99900</v>
      </c>
      <c r="F37" s="107">
        <f>SUM(F38)</f>
        <v>0</v>
      </c>
      <c r="G37" s="107">
        <f>SUM(G38)</f>
        <v>0</v>
      </c>
      <c r="H37" s="107">
        <f t="shared" si="17"/>
        <v>99900</v>
      </c>
      <c r="I37" s="107">
        <f>SUM(I38)</f>
        <v>-21500</v>
      </c>
      <c r="J37" s="107">
        <f t="shared" si="7"/>
        <v>78400</v>
      </c>
      <c r="K37" s="107">
        <f>SUM(K38)</f>
        <v>0</v>
      </c>
      <c r="L37" s="107">
        <f t="shared" si="8"/>
        <v>78400</v>
      </c>
      <c r="M37" s="107">
        <f>SUM(M38)</f>
        <v>0</v>
      </c>
      <c r="N37" s="107">
        <f t="shared" si="9"/>
        <v>78400</v>
      </c>
      <c r="O37" s="107">
        <f>SUM(O38)</f>
        <v>0</v>
      </c>
      <c r="P37" s="107">
        <f t="shared" si="12"/>
        <v>78400</v>
      </c>
      <c r="Q37" s="107">
        <f>SUM(Q38)</f>
        <v>0</v>
      </c>
      <c r="R37" s="107">
        <f t="shared" si="13"/>
        <v>78400</v>
      </c>
      <c r="S37" s="107">
        <f>SUM(S38)</f>
        <v>0</v>
      </c>
      <c r="T37" s="107">
        <f t="shared" si="14"/>
        <v>78400</v>
      </c>
      <c r="U37" s="107">
        <f>SUM(U38)</f>
        <v>0</v>
      </c>
      <c r="V37" s="107">
        <f t="shared" si="15"/>
        <v>78400</v>
      </c>
      <c r="W37" s="107">
        <f>SUM(W38)</f>
        <v>0</v>
      </c>
      <c r="X37" s="107">
        <f t="shared" si="16"/>
        <v>78400</v>
      </c>
    </row>
    <row r="38" spans="1:24" s="27" customFormat="1" ht="67.5">
      <c r="A38" s="81"/>
      <c r="B38" s="102"/>
      <c r="C38" s="82">
        <v>2010</v>
      </c>
      <c r="D38" s="45" t="s">
        <v>379</v>
      </c>
      <c r="E38" s="107">
        <v>99900</v>
      </c>
      <c r="F38" s="107"/>
      <c r="G38" s="107"/>
      <c r="H38" s="107">
        <f t="shared" si="17"/>
        <v>99900</v>
      </c>
      <c r="I38" s="107">
        <v>-21500</v>
      </c>
      <c r="J38" s="107">
        <f t="shared" si="7"/>
        <v>78400</v>
      </c>
      <c r="K38" s="107"/>
      <c r="L38" s="107">
        <f t="shared" si="8"/>
        <v>78400</v>
      </c>
      <c r="M38" s="107">
        <v>0</v>
      </c>
      <c r="N38" s="107">
        <f t="shared" si="9"/>
        <v>78400</v>
      </c>
      <c r="O38" s="107">
        <v>0</v>
      </c>
      <c r="P38" s="107">
        <f t="shared" si="12"/>
        <v>78400</v>
      </c>
      <c r="Q38" s="107">
        <v>0</v>
      </c>
      <c r="R38" s="107">
        <f t="shared" si="13"/>
        <v>78400</v>
      </c>
      <c r="S38" s="107">
        <v>0</v>
      </c>
      <c r="T38" s="107">
        <f t="shared" si="14"/>
        <v>78400</v>
      </c>
      <c r="U38" s="107">
        <v>0</v>
      </c>
      <c r="V38" s="107">
        <f t="shared" si="15"/>
        <v>78400</v>
      </c>
      <c r="W38" s="107">
        <v>0</v>
      </c>
      <c r="X38" s="107">
        <f t="shared" si="16"/>
        <v>78400</v>
      </c>
    </row>
    <row r="39" spans="1:24" s="27" customFormat="1" ht="33.75">
      <c r="A39" s="81"/>
      <c r="B39" s="81" t="s">
        <v>291</v>
      </c>
      <c r="C39" s="82"/>
      <c r="D39" s="45" t="s">
        <v>397</v>
      </c>
      <c r="E39" s="109">
        <f>SUM(E40:E41)</f>
        <v>1011100</v>
      </c>
      <c r="F39" s="109">
        <f>SUM(F40:F41)</f>
        <v>0</v>
      </c>
      <c r="G39" s="109">
        <f>SUM(G40:G41)</f>
        <v>0</v>
      </c>
      <c r="H39" s="107">
        <f t="shared" si="17"/>
        <v>1011100</v>
      </c>
      <c r="I39" s="109">
        <f>SUM(I40:I41)</f>
        <v>-8400</v>
      </c>
      <c r="J39" s="107">
        <f t="shared" si="7"/>
        <v>1002700</v>
      </c>
      <c r="K39" s="109">
        <f>SUM(K40:K41)</f>
        <v>0</v>
      </c>
      <c r="L39" s="107">
        <f t="shared" si="8"/>
        <v>1002700</v>
      </c>
      <c r="M39" s="109">
        <f>SUM(M40:M41)</f>
        <v>0</v>
      </c>
      <c r="N39" s="107">
        <f t="shared" si="9"/>
        <v>1002700</v>
      </c>
      <c r="O39" s="109">
        <f>SUM(O40:O41)</f>
        <v>0</v>
      </c>
      <c r="P39" s="107">
        <f t="shared" si="12"/>
        <v>1002700</v>
      </c>
      <c r="Q39" s="109">
        <f>SUM(Q40:Q41)</f>
        <v>40648</v>
      </c>
      <c r="R39" s="107">
        <f t="shared" si="13"/>
        <v>1043348</v>
      </c>
      <c r="S39" s="109">
        <f>SUM(S40:S41)</f>
        <v>0</v>
      </c>
      <c r="T39" s="107">
        <f t="shared" si="14"/>
        <v>1043348</v>
      </c>
      <c r="U39" s="109">
        <f>SUM(U40:U41)</f>
        <v>-3000</v>
      </c>
      <c r="V39" s="107">
        <f t="shared" si="15"/>
        <v>1040348</v>
      </c>
      <c r="W39" s="109">
        <f>SUM(W40:W41)</f>
        <v>0</v>
      </c>
      <c r="X39" s="107">
        <f t="shared" si="16"/>
        <v>1040348</v>
      </c>
    </row>
    <row r="40" spans="1:24" s="27" customFormat="1" ht="67.5">
      <c r="A40" s="81"/>
      <c r="B40" s="81"/>
      <c r="C40" s="83" t="s">
        <v>319</v>
      </c>
      <c r="D40" s="45" t="s">
        <v>391</v>
      </c>
      <c r="E40" s="109">
        <v>439200</v>
      </c>
      <c r="F40" s="109"/>
      <c r="G40" s="109"/>
      <c r="H40" s="107">
        <f t="shared" si="17"/>
        <v>439200</v>
      </c>
      <c r="I40" s="109">
        <v>-2200</v>
      </c>
      <c r="J40" s="107">
        <f t="shared" si="7"/>
        <v>437000</v>
      </c>
      <c r="K40" s="109"/>
      <c r="L40" s="107">
        <f t="shared" si="8"/>
        <v>437000</v>
      </c>
      <c r="M40" s="109"/>
      <c r="N40" s="107">
        <f t="shared" si="9"/>
        <v>437000</v>
      </c>
      <c r="O40" s="109">
        <v>0</v>
      </c>
      <c r="P40" s="107">
        <f t="shared" si="12"/>
        <v>437000</v>
      </c>
      <c r="Q40" s="109">
        <v>0</v>
      </c>
      <c r="R40" s="107">
        <f t="shared" si="13"/>
        <v>437000</v>
      </c>
      <c r="S40" s="109">
        <v>0</v>
      </c>
      <c r="T40" s="107">
        <f t="shared" si="14"/>
        <v>437000</v>
      </c>
      <c r="U40" s="109">
        <v>-3000</v>
      </c>
      <c r="V40" s="107">
        <f t="shared" si="15"/>
        <v>434000</v>
      </c>
      <c r="W40" s="109">
        <v>0</v>
      </c>
      <c r="X40" s="107">
        <f t="shared" si="16"/>
        <v>434000</v>
      </c>
    </row>
    <row r="41" spans="1:24" s="27" customFormat="1" ht="45">
      <c r="A41" s="81"/>
      <c r="B41" s="81"/>
      <c r="C41" s="83">
        <v>2030</v>
      </c>
      <c r="D41" s="92" t="s">
        <v>386</v>
      </c>
      <c r="E41" s="109">
        <v>571900</v>
      </c>
      <c r="F41" s="109"/>
      <c r="G41" s="109"/>
      <c r="H41" s="107">
        <f t="shared" si="17"/>
        <v>571900</v>
      </c>
      <c r="I41" s="109">
        <v>-6200</v>
      </c>
      <c r="J41" s="107">
        <f t="shared" si="7"/>
        <v>565700</v>
      </c>
      <c r="K41" s="109"/>
      <c r="L41" s="107">
        <f t="shared" si="8"/>
        <v>565700</v>
      </c>
      <c r="M41" s="109">
        <v>0</v>
      </c>
      <c r="N41" s="107">
        <f t="shared" si="9"/>
        <v>565700</v>
      </c>
      <c r="O41" s="109">
        <v>0</v>
      </c>
      <c r="P41" s="107">
        <f t="shared" si="12"/>
        <v>565700</v>
      </c>
      <c r="Q41" s="109">
        <v>40648</v>
      </c>
      <c r="R41" s="107">
        <f t="shared" si="13"/>
        <v>606348</v>
      </c>
      <c r="S41" s="109">
        <v>0</v>
      </c>
      <c r="T41" s="107">
        <f t="shared" si="14"/>
        <v>606348</v>
      </c>
      <c r="U41" s="109">
        <v>0</v>
      </c>
      <c r="V41" s="107">
        <f t="shared" si="15"/>
        <v>606348</v>
      </c>
      <c r="W41" s="109">
        <v>0</v>
      </c>
      <c r="X41" s="107">
        <f t="shared" si="16"/>
        <v>606348</v>
      </c>
    </row>
    <row r="42" spans="1:24" s="27" customFormat="1" ht="23.25" customHeight="1">
      <c r="A42" s="81"/>
      <c r="B42" s="81" t="s">
        <v>292</v>
      </c>
      <c r="C42" s="82"/>
      <c r="D42" s="45" t="s">
        <v>180</v>
      </c>
      <c r="E42" s="109">
        <f>E43</f>
        <v>338400</v>
      </c>
      <c r="F42" s="109">
        <f>F43</f>
        <v>0</v>
      </c>
      <c r="G42" s="109">
        <f>G43</f>
        <v>0</v>
      </c>
      <c r="H42" s="107">
        <f t="shared" si="17"/>
        <v>338400</v>
      </c>
      <c r="I42" s="109">
        <f>I43</f>
        <v>0</v>
      </c>
      <c r="J42" s="107">
        <f t="shared" si="7"/>
        <v>338400</v>
      </c>
      <c r="K42" s="109">
        <f>K43</f>
        <v>0</v>
      </c>
      <c r="L42" s="107">
        <f t="shared" si="8"/>
        <v>338400</v>
      </c>
      <c r="M42" s="109">
        <f>M43</f>
        <v>0</v>
      </c>
      <c r="N42" s="107">
        <f t="shared" si="9"/>
        <v>338400</v>
      </c>
      <c r="O42" s="109">
        <f>O43</f>
        <v>0</v>
      </c>
      <c r="P42" s="107">
        <f t="shared" si="12"/>
        <v>338400</v>
      </c>
      <c r="Q42" s="109">
        <f>Q43</f>
        <v>0</v>
      </c>
      <c r="R42" s="107">
        <f t="shared" si="13"/>
        <v>338400</v>
      </c>
      <c r="S42" s="109">
        <f>S43</f>
        <v>0</v>
      </c>
      <c r="T42" s="107">
        <f t="shared" si="14"/>
        <v>338400</v>
      </c>
      <c r="U42" s="109">
        <f>U43</f>
        <v>0</v>
      </c>
      <c r="V42" s="107">
        <f t="shared" si="15"/>
        <v>338400</v>
      </c>
      <c r="W42" s="109">
        <f>W43</f>
        <v>0</v>
      </c>
      <c r="X42" s="107">
        <f t="shared" si="16"/>
        <v>338400</v>
      </c>
    </row>
    <row r="43" spans="1:24" s="27" customFormat="1" ht="45" customHeight="1">
      <c r="A43" s="81"/>
      <c r="B43" s="81"/>
      <c r="C43" s="83">
        <v>2030</v>
      </c>
      <c r="D43" s="92" t="s">
        <v>362</v>
      </c>
      <c r="E43" s="109">
        <v>338400</v>
      </c>
      <c r="F43" s="109"/>
      <c r="G43" s="109"/>
      <c r="H43" s="107">
        <f t="shared" si="17"/>
        <v>338400</v>
      </c>
      <c r="I43" s="109">
        <v>0</v>
      </c>
      <c r="J43" s="107">
        <f t="shared" si="7"/>
        <v>338400</v>
      </c>
      <c r="K43" s="109">
        <v>0</v>
      </c>
      <c r="L43" s="107">
        <f t="shared" si="8"/>
        <v>338400</v>
      </c>
      <c r="M43" s="109">
        <v>0</v>
      </c>
      <c r="N43" s="107">
        <f t="shared" si="9"/>
        <v>338400</v>
      </c>
      <c r="O43" s="109">
        <v>0</v>
      </c>
      <c r="P43" s="107">
        <f t="shared" si="12"/>
        <v>338400</v>
      </c>
      <c r="Q43" s="109">
        <v>0</v>
      </c>
      <c r="R43" s="107">
        <f t="shared" si="13"/>
        <v>338400</v>
      </c>
      <c r="S43" s="109">
        <v>0</v>
      </c>
      <c r="T43" s="107">
        <f t="shared" si="14"/>
        <v>338400</v>
      </c>
      <c r="U43" s="109">
        <v>0</v>
      </c>
      <c r="V43" s="107">
        <f t="shared" si="15"/>
        <v>338400</v>
      </c>
      <c r="W43" s="109">
        <v>0</v>
      </c>
      <c r="X43" s="107">
        <f t="shared" si="16"/>
        <v>338400</v>
      </c>
    </row>
    <row r="44" spans="1:24" s="27" customFormat="1" ht="24" customHeight="1">
      <c r="A44" s="81"/>
      <c r="B44" s="81">
        <v>85295</v>
      </c>
      <c r="C44" s="83"/>
      <c r="D44" s="92" t="s">
        <v>118</v>
      </c>
      <c r="E44" s="109">
        <f>SUM(E45)</f>
        <v>328200</v>
      </c>
      <c r="F44" s="109">
        <f>SUM(F45)</f>
        <v>0</v>
      </c>
      <c r="G44" s="109">
        <f>SUM(G45)</f>
        <v>0</v>
      </c>
      <c r="H44" s="107">
        <f t="shared" si="17"/>
        <v>328200</v>
      </c>
      <c r="I44" s="109">
        <f>SUM(I45)</f>
        <v>0</v>
      </c>
      <c r="J44" s="107">
        <f t="shared" si="7"/>
        <v>328200</v>
      </c>
      <c r="K44" s="109">
        <f>SUM(K45)</f>
        <v>0</v>
      </c>
      <c r="L44" s="107">
        <f t="shared" si="8"/>
        <v>328200</v>
      </c>
      <c r="M44" s="109">
        <f>SUM(M45)</f>
        <v>234778</v>
      </c>
      <c r="N44" s="107">
        <f t="shared" si="9"/>
        <v>562978</v>
      </c>
      <c r="O44" s="109">
        <f>SUM(O45)</f>
        <v>0</v>
      </c>
      <c r="P44" s="107">
        <f t="shared" si="12"/>
        <v>562978</v>
      </c>
      <c r="Q44" s="109">
        <f>SUM(Q45)</f>
        <v>0</v>
      </c>
      <c r="R44" s="107">
        <f t="shared" si="13"/>
        <v>562978</v>
      </c>
      <c r="S44" s="109">
        <f>SUM(S45)</f>
        <v>0</v>
      </c>
      <c r="T44" s="107">
        <f t="shared" si="14"/>
        <v>562978</v>
      </c>
      <c r="U44" s="109">
        <f>SUM(U45)</f>
        <v>160521</v>
      </c>
      <c r="V44" s="107">
        <f t="shared" si="15"/>
        <v>723499</v>
      </c>
      <c r="W44" s="109">
        <f>SUM(W45)</f>
        <v>0</v>
      </c>
      <c r="X44" s="107">
        <f t="shared" si="16"/>
        <v>723499</v>
      </c>
    </row>
    <row r="45" spans="1:24" s="27" customFormat="1" ht="45">
      <c r="A45" s="81"/>
      <c r="B45" s="81"/>
      <c r="C45" s="83">
        <v>2030</v>
      </c>
      <c r="D45" s="92" t="s">
        <v>362</v>
      </c>
      <c r="E45" s="109">
        <v>328200</v>
      </c>
      <c r="F45" s="109"/>
      <c r="G45" s="109"/>
      <c r="H45" s="107">
        <f t="shared" si="17"/>
        <v>328200</v>
      </c>
      <c r="I45" s="109">
        <v>0</v>
      </c>
      <c r="J45" s="107">
        <f t="shared" si="7"/>
        <v>328200</v>
      </c>
      <c r="K45" s="109">
        <v>0</v>
      </c>
      <c r="L45" s="107">
        <f t="shared" si="8"/>
        <v>328200</v>
      </c>
      <c r="M45" s="109">
        <v>234778</v>
      </c>
      <c r="N45" s="107">
        <f t="shared" si="9"/>
        <v>562978</v>
      </c>
      <c r="O45" s="109">
        <v>0</v>
      </c>
      <c r="P45" s="107">
        <f t="shared" si="12"/>
        <v>562978</v>
      </c>
      <c r="Q45" s="109">
        <v>0</v>
      </c>
      <c r="R45" s="107">
        <f t="shared" si="13"/>
        <v>562978</v>
      </c>
      <c r="S45" s="109">
        <v>0</v>
      </c>
      <c r="T45" s="107">
        <f t="shared" si="14"/>
        <v>562978</v>
      </c>
      <c r="U45" s="109">
        <f>160521</f>
        <v>160521</v>
      </c>
      <c r="V45" s="107">
        <f t="shared" si="15"/>
        <v>723499</v>
      </c>
      <c r="W45" s="109">
        <v>0</v>
      </c>
      <c r="X45" s="107">
        <f t="shared" si="16"/>
        <v>723499</v>
      </c>
    </row>
    <row r="46" spans="1:24" s="8" customFormat="1" ht="24">
      <c r="A46" s="34">
        <v>854</v>
      </c>
      <c r="B46" s="37"/>
      <c r="C46" s="38"/>
      <c r="D46" s="35" t="s">
        <v>181</v>
      </c>
      <c r="E46" s="251"/>
      <c r="F46" s="251"/>
      <c r="G46" s="251"/>
      <c r="H46" s="252"/>
      <c r="I46" s="251"/>
      <c r="J46" s="77">
        <f aca="true" t="shared" si="18" ref="J46:X47">SUM(J47)</f>
        <v>0</v>
      </c>
      <c r="K46" s="77">
        <f t="shared" si="18"/>
        <v>252197</v>
      </c>
      <c r="L46" s="77">
        <f t="shared" si="18"/>
        <v>252197</v>
      </c>
      <c r="M46" s="77">
        <f t="shared" si="18"/>
        <v>0</v>
      </c>
      <c r="N46" s="77">
        <f t="shared" si="18"/>
        <v>252197</v>
      </c>
      <c r="O46" s="77">
        <f t="shared" si="18"/>
        <v>0</v>
      </c>
      <c r="P46" s="77">
        <f t="shared" si="18"/>
        <v>252197</v>
      </c>
      <c r="Q46" s="77">
        <f t="shared" si="18"/>
        <v>0</v>
      </c>
      <c r="R46" s="77">
        <f t="shared" si="18"/>
        <v>252197</v>
      </c>
      <c r="S46" s="77">
        <f t="shared" si="18"/>
        <v>0</v>
      </c>
      <c r="T46" s="77">
        <f t="shared" si="18"/>
        <v>252197</v>
      </c>
      <c r="U46" s="77">
        <f t="shared" si="18"/>
        <v>56396</v>
      </c>
      <c r="V46" s="77">
        <f t="shared" si="18"/>
        <v>308593</v>
      </c>
      <c r="W46" s="77">
        <f t="shared" si="18"/>
        <v>21980</v>
      </c>
      <c r="X46" s="77">
        <f t="shared" si="18"/>
        <v>330573</v>
      </c>
    </row>
    <row r="47" spans="1:24" s="27" customFormat="1" ht="20.25" customHeight="1">
      <c r="A47" s="86"/>
      <c r="B47" s="87">
        <v>85415</v>
      </c>
      <c r="C47" s="88"/>
      <c r="D47" s="92" t="s">
        <v>653</v>
      </c>
      <c r="E47" s="109"/>
      <c r="F47" s="109"/>
      <c r="G47" s="109"/>
      <c r="H47" s="107"/>
      <c r="I47" s="109"/>
      <c r="J47" s="107">
        <f t="shared" si="18"/>
        <v>0</v>
      </c>
      <c r="K47" s="107">
        <f t="shared" si="18"/>
        <v>252197</v>
      </c>
      <c r="L47" s="107">
        <f t="shared" si="18"/>
        <v>252197</v>
      </c>
      <c r="M47" s="107">
        <f t="shared" si="18"/>
        <v>0</v>
      </c>
      <c r="N47" s="107">
        <f t="shared" si="18"/>
        <v>252197</v>
      </c>
      <c r="O47" s="107">
        <f t="shared" si="18"/>
        <v>0</v>
      </c>
      <c r="P47" s="107">
        <f t="shared" si="18"/>
        <v>252197</v>
      </c>
      <c r="Q47" s="107">
        <f t="shared" si="18"/>
        <v>0</v>
      </c>
      <c r="R47" s="107">
        <f t="shared" si="18"/>
        <v>252197</v>
      </c>
      <c r="S47" s="107">
        <f t="shared" si="18"/>
        <v>0</v>
      </c>
      <c r="T47" s="107">
        <f t="shared" si="18"/>
        <v>252197</v>
      </c>
      <c r="U47" s="107">
        <f t="shared" si="18"/>
        <v>56396</v>
      </c>
      <c r="V47" s="107">
        <f t="shared" si="18"/>
        <v>308593</v>
      </c>
      <c r="W47" s="107">
        <f t="shared" si="18"/>
        <v>21980</v>
      </c>
      <c r="X47" s="107">
        <f t="shared" si="18"/>
        <v>330573</v>
      </c>
    </row>
    <row r="48" spans="1:24" s="27" customFormat="1" ht="45">
      <c r="A48" s="86"/>
      <c r="B48" s="87"/>
      <c r="C48" s="88">
        <v>2030</v>
      </c>
      <c r="D48" s="92" t="s">
        <v>362</v>
      </c>
      <c r="E48" s="109"/>
      <c r="F48" s="109"/>
      <c r="G48" s="109"/>
      <c r="H48" s="107"/>
      <c r="I48" s="109"/>
      <c r="J48" s="107">
        <v>0</v>
      </c>
      <c r="K48" s="255">
        <v>252197</v>
      </c>
      <c r="L48" s="107">
        <f>SUM(J48:K48)</f>
        <v>252197</v>
      </c>
      <c r="M48" s="255">
        <v>0</v>
      </c>
      <c r="N48" s="107">
        <f aca="true" t="shared" si="19" ref="N48:N60">SUM(L48:M48)</f>
        <v>252197</v>
      </c>
      <c r="O48" s="255">
        <v>0</v>
      </c>
      <c r="P48" s="107">
        <f aca="true" t="shared" si="20" ref="P48:P61">SUM(N48:O48)</f>
        <v>252197</v>
      </c>
      <c r="Q48" s="255">
        <v>0</v>
      </c>
      <c r="R48" s="107">
        <f aca="true" t="shared" si="21" ref="R48:R58">SUM(P48:Q48)</f>
        <v>252197</v>
      </c>
      <c r="S48" s="255">
        <v>0</v>
      </c>
      <c r="T48" s="107">
        <f>SUM(R48:S48)</f>
        <v>252197</v>
      </c>
      <c r="U48" s="255">
        <v>56396</v>
      </c>
      <c r="V48" s="107">
        <f>SUM(T48:U48)</f>
        <v>308593</v>
      </c>
      <c r="W48" s="255">
        <v>21980</v>
      </c>
      <c r="X48" s="107">
        <f>SUM(V48:W48)</f>
        <v>330573</v>
      </c>
    </row>
    <row r="49" spans="1:24" s="8" customFormat="1" ht="32.25" customHeight="1">
      <c r="A49" s="40" t="s">
        <v>185</v>
      </c>
      <c r="B49" s="31"/>
      <c r="C49" s="68"/>
      <c r="D49" s="43" t="s">
        <v>191</v>
      </c>
      <c r="E49" s="77">
        <f>SUM(E54)</f>
        <v>45000</v>
      </c>
      <c r="F49" s="77">
        <f>SUM(F54)</f>
        <v>900</v>
      </c>
      <c r="G49" s="77">
        <f>SUM(G54)</f>
        <v>0</v>
      </c>
      <c r="H49" s="77">
        <f>SUM(H52,H54,H56,)</f>
        <v>45900</v>
      </c>
      <c r="I49" s="77">
        <f>SUM(I52,I54,I56,)</f>
        <v>11500</v>
      </c>
      <c r="J49" s="77">
        <f t="shared" si="7"/>
        <v>57400</v>
      </c>
      <c r="K49" s="77">
        <f>SUM(K52,K54,K56,)</f>
        <v>0</v>
      </c>
      <c r="L49" s="77">
        <f t="shared" si="8"/>
        <v>57400</v>
      </c>
      <c r="M49" s="77">
        <f>SUM(M52,M54,M56,)</f>
        <v>0</v>
      </c>
      <c r="N49" s="77">
        <f t="shared" si="19"/>
        <v>57400</v>
      </c>
      <c r="O49" s="77">
        <f>SUM(O52,O54,O56,)</f>
        <v>0</v>
      </c>
      <c r="P49" s="77">
        <f t="shared" si="20"/>
        <v>57400</v>
      </c>
      <c r="Q49" s="77">
        <f>SUM(Q52,Q54,Q56,Q50)</f>
        <v>-2800</v>
      </c>
      <c r="R49" s="77">
        <f t="shared" si="21"/>
        <v>54600</v>
      </c>
      <c r="S49" s="77">
        <f>SUM(S52,S54,S56,S50)</f>
        <v>0</v>
      </c>
      <c r="T49" s="77">
        <f>SUM(R49:S49)</f>
        <v>54600</v>
      </c>
      <c r="U49" s="77">
        <f>SUM(U52,U54,U56,U50)</f>
        <v>0</v>
      </c>
      <c r="V49" s="77">
        <f>SUM(T49:U49)</f>
        <v>54600</v>
      </c>
      <c r="W49" s="77">
        <f>SUM(W52,W54,W56,W50)</f>
        <v>0</v>
      </c>
      <c r="X49" s="77">
        <f>SUM(V49:W49)</f>
        <v>54600</v>
      </c>
    </row>
    <row r="50" spans="1:24" s="27" customFormat="1" ht="21.75" customHeight="1">
      <c r="A50" s="81"/>
      <c r="B50" s="102">
        <v>92105</v>
      </c>
      <c r="C50" s="82"/>
      <c r="D50" s="80" t="s">
        <v>705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f aca="true" t="shared" si="22" ref="P50:X50">SUM(P51)</f>
        <v>0</v>
      </c>
      <c r="Q50" s="107">
        <f t="shared" si="22"/>
        <v>8700</v>
      </c>
      <c r="R50" s="107">
        <f t="shared" si="22"/>
        <v>8700</v>
      </c>
      <c r="S50" s="107">
        <f t="shared" si="22"/>
        <v>0</v>
      </c>
      <c r="T50" s="107">
        <f t="shared" si="22"/>
        <v>8700</v>
      </c>
      <c r="U50" s="107">
        <f t="shared" si="22"/>
        <v>0</v>
      </c>
      <c r="V50" s="107">
        <f t="shared" si="22"/>
        <v>8700</v>
      </c>
      <c r="W50" s="107">
        <f t="shared" si="22"/>
        <v>0</v>
      </c>
      <c r="X50" s="107">
        <f t="shared" si="22"/>
        <v>8700</v>
      </c>
    </row>
    <row r="51" spans="1:24" s="27" customFormat="1" ht="56.25">
      <c r="A51" s="104"/>
      <c r="B51" s="102"/>
      <c r="C51" s="82">
        <v>2320</v>
      </c>
      <c r="D51" s="92" t="s">
        <v>665</v>
      </c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107">
        <v>0</v>
      </c>
      <c r="Q51" s="107">
        <f>300+300+300+300+500+1000+500+3500+500+1500</f>
        <v>8700</v>
      </c>
      <c r="R51" s="107">
        <f t="shared" si="21"/>
        <v>8700</v>
      </c>
      <c r="S51" s="107">
        <v>0</v>
      </c>
      <c r="T51" s="107">
        <f aca="true" t="shared" si="23" ref="T51:T58">SUM(R51:S51)</f>
        <v>8700</v>
      </c>
      <c r="U51" s="107">
        <v>0</v>
      </c>
      <c r="V51" s="107">
        <f aca="true" t="shared" si="24" ref="V51:V58">SUM(T51:U51)</f>
        <v>8700</v>
      </c>
      <c r="W51" s="107">
        <v>0</v>
      </c>
      <c r="X51" s="107">
        <f aca="true" t="shared" si="25" ref="X51:X58">SUM(V51:W51)</f>
        <v>8700</v>
      </c>
    </row>
    <row r="52" spans="1:24" s="27" customFormat="1" ht="20.25" customHeight="1" hidden="1">
      <c r="A52" s="81"/>
      <c r="B52" s="61">
        <v>92109</v>
      </c>
      <c r="C52" s="95"/>
      <c r="D52" s="92" t="s">
        <v>286</v>
      </c>
      <c r="E52" s="107"/>
      <c r="F52" s="107"/>
      <c r="G52" s="107"/>
      <c r="H52" s="107">
        <f>SUM(H53)</f>
        <v>0</v>
      </c>
      <c r="I52" s="107">
        <f>SUM(I53)</f>
        <v>9500</v>
      </c>
      <c r="J52" s="107">
        <f t="shared" si="7"/>
        <v>9500</v>
      </c>
      <c r="K52" s="107">
        <f>SUM(K53)</f>
        <v>0</v>
      </c>
      <c r="L52" s="107">
        <f t="shared" si="8"/>
        <v>9500</v>
      </c>
      <c r="M52" s="107">
        <f>SUM(M53)</f>
        <v>0</v>
      </c>
      <c r="N52" s="107">
        <f t="shared" si="19"/>
        <v>9500</v>
      </c>
      <c r="O52" s="107">
        <f>SUM(O53)</f>
        <v>0</v>
      </c>
      <c r="P52" s="107">
        <f t="shared" si="20"/>
        <v>9500</v>
      </c>
      <c r="Q52" s="107">
        <f>SUM(Q53)</f>
        <v>-9500</v>
      </c>
      <c r="R52" s="107">
        <f t="shared" si="21"/>
        <v>0</v>
      </c>
      <c r="S52" s="107">
        <f>SUM(S53)</f>
        <v>0</v>
      </c>
      <c r="T52" s="107">
        <f t="shared" si="23"/>
        <v>0</v>
      </c>
      <c r="U52" s="107">
        <f>SUM(U53)</f>
        <v>0</v>
      </c>
      <c r="V52" s="107">
        <f t="shared" si="24"/>
        <v>0</v>
      </c>
      <c r="W52" s="107">
        <f>SUM(W53)</f>
        <v>0</v>
      </c>
      <c r="X52" s="107">
        <f t="shared" si="25"/>
        <v>0</v>
      </c>
    </row>
    <row r="53" spans="1:24" s="27" customFormat="1" ht="56.25" hidden="1">
      <c r="A53" s="81"/>
      <c r="B53" s="4"/>
      <c r="C53" s="95">
        <v>2320</v>
      </c>
      <c r="D53" s="92" t="s">
        <v>665</v>
      </c>
      <c r="E53" s="107"/>
      <c r="F53" s="107"/>
      <c r="G53" s="107"/>
      <c r="H53" s="107">
        <v>0</v>
      </c>
      <c r="I53" s="107">
        <f>1500+500+3500+1500+1000+1500</f>
        <v>9500</v>
      </c>
      <c r="J53" s="107">
        <f t="shared" si="7"/>
        <v>9500</v>
      </c>
      <c r="K53" s="107"/>
      <c r="L53" s="107">
        <f t="shared" si="8"/>
        <v>9500</v>
      </c>
      <c r="M53" s="107">
        <v>0</v>
      </c>
      <c r="N53" s="107">
        <f t="shared" si="19"/>
        <v>9500</v>
      </c>
      <c r="O53" s="107">
        <v>0</v>
      </c>
      <c r="P53" s="107">
        <f t="shared" si="20"/>
        <v>9500</v>
      </c>
      <c r="Q53" s="107">
        <f>-1500-3500-500-1500-1000-1500</f>
        <v>-9500</v>
      </c>
      <c r="R53" s="107">
        <f t="shared" si="21"/>
        <v>0</v>
      </c>
      <c r="S53" s="107">
        <v>0</v>
      </c>
      <c r="T53" s="107">
        <f t="shared" si="23"/>
        <v>0</v>
      </c>
      <c r="U53" s="107">
        <v>0</v>
      </c>
      <c r="V53" s="107">
        <f t="shared" si="24"/>
        <v>0</v>
      </c>
      <c r="W53" s="107">
        <v>0</v>
      </c>
      <c r="X53" s="107">
        <f t="shared" si="25"/>
        <v>0</v>
      </c>
    </row>
    <row r="54" spans="1:24" s="27" customFormat="1" ht="21.75" customHeight="1">
      <c r="A54" s="81"/>
      <c r="B54" s="81" t="s">
        <v>186</v>
      </c>
      <c r="C54" s="82"/>
      <c r="D54" s="45" t="s">
        <v>187</v>
      </c>
      <c r="E54" s="109">
        <f>E55</f>
        <v>45000</v>
      </c>
      <c r="F54" s="109">
        <f>F55</f>
        <v>900</v>
      </c>
      <c r="G54" s="109">
        <f>G55</f>
        <v>0</v>
      </c>
      <c r="H54" s="107">
        <f>SUM(E54+F54-G54)</f>
        <v>45900</v>
      </c>
      <c r="I54" s="109">
        <f>I55</f>
        <v>0</v>
      </c>
      <c r="J54" s="107">
        <f t="shared" si="7"/>
        <v>45900</v>
      </c>
      <c r="K54" s="109">
        <f>K55</f>
        <v>0</v>
      </c>
      <c r="L54" s="107">
        <f t="shared" si="8"/>
        <v>45900</v>
      </c>
      <c r="M54" s="109">
        <f>M55</f>
        <v>0</v>
      </c>
      <c r="N54" s="107">
        <f t="shared" si="19"/>
        <v>45900</v>
      </c>
      <c r="O54" s="109">
        <f>O55</f>
        <v>0</v>
      </c>
      <c r="P54" s="107">
        <f t="shared" si="20"/>
        <v>45900</v>
      </c>
      <c r="Q54" s="109">
        <f>Q55</f>
        <v>0</v>
      </c>
      <c r="R54" s="107">
        <f t="shared" si="21"/>
        <v>45900</v>
      </c>
      <c r="S54" s="109">
        <f>S55</f>
        <v>0</v>
      </c>
      <c r="T54" s="107">
        <f t="shared" si="23"/>
        <v>45900</v>
      </c>
      <c r="U54" s="109">
        <f>U55</f>
        <v>0</v>
      </c>
      <c r="V54" s="107">
        <f t="shared" si="24"/>
        <v>45900</v>
      </c>
      <c r="W54" s="109">
        <f>W55</f>
        <v>0</v>
      </c>
      <c r="X54" s="107">
        <f t="shared" si="25"/>
        <v>45900</v>
      </c>
    </row>
    <row r="55" spans="1:24" s="27" customFormat="1" ht="56.25">
      <c r="A55" s="81"/>
      <c r="B55" s="81"/>
      <c r="C55" s="83">
        <v>2320</v>
      </c>
      <c r="D55" s="45" t="s">
        <v>665</v>
      </c>
      <c r="E55" s="109">
        <v>45000</v>
      </c>
      <c r="F55" s="109">
        <v>900</v>
      </c>
      <c r="G55" s="109"/>
      <c r="H55" s="107">
        <f>SUM(E55+F55-G55)</f>
        <v>45900</v>
      </c>
      <c r="I55" s="109">
        <v>0</v>
      </c>
      <c r="J55" s="107">
        <f t="shared" si="7"/>
        <v>45900</v>
      </c>
      <c r="K55" s="109">
        <v>0</v>
      </c>
      <c r="L55" s="107">
        <f t="shared" si="8"/>
        <v>45900</v>
      </c>
      <c r="M55" s="109">
        <v>0</v>
      </c>
      <c r="N55" s="107">
        <f t="shared" si="19"/>
        <v>45900</v>
      </c>
      <c r="O55" s="109">
        <v>0</v>
      </c>
      <c r="P55" s="107">
        <f t="shared" si="20"/>
        <v>45900</v>
      </c>
      <c r="Q55" s="109">
        <v>0</v>
      </c>
      <c r="R55" s="107">
        <f t="shared" si="21"/>
        <v>45900</v>
      </c>
      <c r="S55" s="109">
        <v>0</v>
      </c>
      <c r="T55" s="107">
        <f t="shared" si="23"/>
        <v>45900</v>
      </c>
      <c r="U55" s="109">
        <v>0</v>
      </c>
      <c r="V55" s="107">
        <f t="shared" si="24"/>
        <v>45900</v>
      </c>
      <c r="W55" s="109">
        <v>0</v>
      </c>
      <c r="X55" s="107">
        <f t="shared" si="25"/>
        <v>45900</v>
      </c>
    </row>
    <row r="56" spans="1:24" s="27" customFormat="1" ht="21" customHeight="1" hidden="1">
      <c r="A56" s="81"/>
      <c r="B56" s="87">
        <v>92118</v>
      </c>
      <c r="C56" s="88"/>
      <c r="D56" s="92" t="s">
        <v>268</v>
      </c>
      <c r="E56" s="109"/>
      <c r="F56" s="109"/>
      <c r="G56" s="109"/>
      <c r="H56" s="107">
        <f>SUM(H57)</f>
        <v>0</v>
      </c>
      <c r="I56" s="107">
        <f>SUM(I57)</f>
        <v>2000</v>
      </c>
      <c r="J56" s="107">
        <f t="shared" si="7"/>
        <v>2000</v>
      </c>
      <c r="K56" s="107">
        <f>SUM(K57)</f>
        <v>0</v>
      </c>
      <c r="L56" s="107">
        <f t="shared" si="8"/>
        <v>2000</v>
      </c>
      <c r="M56" s="107">
        <f>SUM(M57)</f>
        <v>0</v>
      </c>
      <c r="N56" s="107">
        <f t="shared" si="19"/>
        <v>2000</v>
      </c>
      <c r="O56" s="107">
        <f>SUM(O57)</f>
        <v>0</v>
      </c>
      <c r="P56" s="107">
        <f t="shared" si="20"/>
        <v>2000</v>
      </c>
      <c r="Q56" s="107">
        <f>SUM(Q57)</f>
        <v>-2000</v>
      </c>
      <c r="R56" s="107">
        <f t="shared" si="21"/>
        <v>0</v>
      </c>
      <c r="S56" s="107">
        <f>SUM(S57)</f>
        <v>0</v>
      </c>
      <c r="T56" s="107">
        <f t="shared" si="23"/>
        <v>0</v>
      </c>
      <c r="U56" s="107">
        <f>SUM(U57)</f>
        <v>0</v>
      </c>
      <c r="V56" s="107">
        <f t="shared" si="24"/>
        <v>0</v>
      </c>
      <c r="W56" s="107">
        <f>SUM(W57)</f>
        <v>0</v>
      </c>
      <c r="X56" s="107">
        <f t="shared" si="25"/>
        <v>0</v>
      </c>
    </row>
    <row r="57" spans="1:24" s="27" customFormat="1" ht="56.25" hidden="1">
      <c r="A57" s="81"/>
      <c r="B57" s="87"/>
      <c r="C57" s="88">
        <v>2320</v>
      </c>
      <c r="D57" s="92" t="s">
        <v>665</v>
      </c>
      <c r="E57" s="109"/>
      <c r="F57" s="109"/>
      <c r="G57" s="109"/>
      <c r="H57" s="107">
        <v>0</v>
      </c>
      <c r="I57" s="109">
        <f>500+1000+500</f>
        <v>2000</v>
      </c>
      <c r="J57" s="107">
        <f t="shared" si="7"/>
        <v>2000</v>
      </c>
      <c r="K57" s="109"/>
      <c r="L57" s="107">
        <f t="shared" si="8"/>
        <v>2000</v>
      </c>
      <c r="M57" s="109">
        <v>0</v>
      </c>
      <c r="N57" s="107">
        <f t="shared" si="19"/>
        <v>2000</v>
      </c>
      <c r="O57" s="109">
        <v>0</v>
      </c>
      <c r="P57" s="107">
        <f t="shared" si="20"/>
        <v>2000</v>
      </c>
      <c r="Q57" s="109">
        <f>-1000-500-500</f>
        <v>-2000</v>
      </c>
      <c r="R57" s="107">
        <f t="shared" si="21"/>
        <v>0</v>
      </c>
      <c r="S57" s="109">
        <v>0</v>
      </c>
      <c r="T57" s="107">
        <f t="shared" si="23"/>
        <v>0</v>
      </c>
      <c r="U57" s="109">
        <v>0</v>
      </c>
      <c r="V57" s="107">
        <f t="shared" si="24"/>
        <v>0</v>
      </c>
      <c r="W57" s="109">
        <v>0</v>
      </c>
      <c r="X57" s="107">
        <f t="shared" si="25"/>
        <v>0</v>
      </c>
    </row>
    <row r="58" spans="1:24" s="48" customFormat="1" ht="22.5" customHeight="1">
      <c r="A58" s="37">
        <v>926</v>
      </c>
      <c r="B58" s="37"/>
      <c r="C58" s="37"/>
      <c r="D58" s="35" t="s">
        <v>188</v>
      </c>
      <c r="E58" s="117"/>
      <c r="F58" s="117"/>
      <c r="G58" s="117"/>
      <c r="H58" s="77">
        <f>SUM(H59)</f>
        <v>0</v>
      </c>
      <c r="I58" s="77">
        <f>SUM(I59)</f>
        <v>600</v>
      </c>
      <c r="J58" s="77">
        <f t="shared" si="7"/>
        <v>600</v>
      </c>
      <c r="K58" s="77">
        <f>SUM(K59)</f>
        <v>0</v>
      </c>
      <c r="L58" s="77">
        <f t="shared" si="8"/>
        <v>600</v>
      </c>
      <c r="M58" s="77">
        <f>SUM(M59)</f>
        <v>0</v>
      </c>
      <c r="N58" s="77">
        <f t="shared" si="19"/>
        <v>600</v>
      </c>
      <c r="O58" s="77">
        <f>SUM(O59)</f>
        <v>30000</v>
      </c>
      <c r="P58" s="77">
        <f t="shared" si="20"/>
        <v>30600</v>
      </c>
      <c r="Q58" s="77">
        <f>SUM(Q59)</f>
        <v>4400</v>
      </c>
      <c r="R58" s="77">
        <f t="shared" si="21"/>
        <v>35000</v>
      </c>
      <c r="S58" s="77">
        <f>SUM(S59)</f>
        <v>0</v>
      </c>
      <c r="T58" s="77">
        <f t="shared" si="23"/>
        <v>35000</v>
      </c>
      <c r="U58" s="77">
        <f>SUM(U59)</f>
        <v>0</v>
      </c>
      <c r="V58" s="77">
        <f t="shared" si="24"/>
        <v>35000</v>
      </c>
      <c r="W58" s="77">
        <f>SUM(W59)</f>
        <v>0</v>
      </c>
      <c r="X58" s="77">
        <f t="shared" si="25"/>
        <v>35000</v>
      </c>
    </row>
    <row r="59" spans="1:24" s="27" customFormat="1" ht="22.5">
      <c r="A59" s="87"/>
      <c r="B59" s="87">
        <v>92605</v>
      </c>
      <c r="C59" s="87"/>
      <c r="D59" s="92" t="s">
        <v>189</v>
      </c>
      <c r="E59" s="109"/>
      <c r="F59" s="109"/>
      <c r="G59" s="109"/>
      <c r="H59" s="107">
        <f>SUM(H60)</f>
        <v>0</v>
      </c>
      <c r="I59" s="107">
        <f>SUM(I60)</f>
        <v>600</v>
      </c>
      <c r="J59" s="107">
        <f t="shared" si="7"/>
        <v>600</v>
      </c>
      <c r="K59" s="107">
        <f>SUM(K60)</f>
        <v>0</v>
      </c>
      <c r="L59" s="107">
        <f t="shared" si="8"/>
        <v>600</v>
      </c>
      <c r="M59" s="107">
        <f>SUM(M60)</f>
        <v>0</v>
      </c>
      <c r="N59" s="107">
        <f aca="true" t="shared" si="26" ref="N59:T59">SUM(N60:N61)</f>
        <v>600</v>
      </c>
      <c r="O59" s="107">
        <f t="shared" si="26"/>
        <v>30000</v>
      </c>
      <c r="P59" s="107">
        <f t="shared" si="26"/>
        <v>30600</v>
      </c>
      <c r="Q59" s="107">
        <f t="shared" si="26"/>
        <v>4400</v>
      </c>
      <c r="R59" s="107">
        <f t="shared" si="26"/>
        <v>35000</v>
      </c>
      <c r="S59" s="107">
        <f t="shared" si="26"/>
        <v>0</v>
      </c>
      <c r="T59" s="107">
        <f t="shared" si="26"/>
        <v>35000</v>
      </c>
      <c r="U59" s="107">
        <f>SUM(U60:U61)</f>
        <v>0</v>
      </c>
      <c r="V59" s="107">
        <f>SUM(V60:V61)</f>
        <v>35000</v>
      </c>
      <c r="W59" s="107">
        <f>SUM(W60:W61)</f>
        <v>0</v>
      </c>
      <c r="X59" s="107">
        <f>SUM(X60:X61)</f>
        <v>35000</v>
      </c>
    </row>
    <row r="60" spans="1:24" s="27" customFormat="1" ht="56.25">
      <c r="A60" s="87"/>
      <c r="B60" s="87"/>
      <c r="C60" s="87">
        <v>2320</v>
      </c>
      <c r="D60" s="92" t="s">
        <v>665</v>
      </c>
      <c r="E60" s="109"/>
      <c r="F60" s="109"/>
      <c r="G60" s="109"/>
      <c r="H60" s="107">
        <v>0</v>
      </c>
      <c r="I60" s="109">
        <f>600</f>
        <v>600</v>
      </c>
      <c r="J60" s="107">
        <f t="shared" si="7"/>
        <v>600</v>
      </c>
      <c r="K60" s="109"/>
      <c r="L60" s="107">
        <f t="shared" si="8"/>
        <v>600</v>
      </c>
      <c r="M60" s="109">
        <v>0</v>
      </c>
      <c r="N60" s="107">
        <f t="shared" si="19"/>
        <v>600</v>
      </c>
      <c r="O60" s="109">
        <v>0</v>
      </c>
      <c r="P60" s="107">
        <f t="shared" si="20"/>
        <v>600</v>
      </c>
      <c r="Q60" s="109">
        <f>1500+200+1000+1500+200</f>
        <v>4400</v>
      </c>
      <c r="R60" s="107">
        <f>SUM(P60:Q60)</f>
        <v>5000</v>
      </c>
      <c r="S60" s="109">
        <v>0</v>
      </c>
      <c r="T60" s="107">
        <f>SUM(R60:S60)</f>
        <v>5000</v>
      </c>
      <c r="U60" s="109">
        <v>0</v>
      </c>
      <c r="V60" s="107">
        <f>SUM(T60:U60)</f>
        <v>5000</v>
      </c>
      <c r="W60" s="109">
        <v>0</v>
      </c>
      <c r="X60" s="107">
        <f>SUM(V60:W60)</f>
        <v>5000</v>
      </c>
    </row>
    <row r="61" spans="1:24" s="27" customFormat="1" ht="45">
      <c r="A61" s="87"/>
      <c r="B61" s="87"/>
      <c r="C61" s="87">
        <v>2440</v>
      </c>
      <c r="D61" s="92" t="s">
        <v>327</v>
      </c>
      <c r="E61" s="109"/>
      <c r="F61" s="109"/>
      <c r="G61" s="109"/>
      <c r="H61" s="107"/>
      <c r="I61" s="109"/>
      <c r="J61" s="107"/>
      <c r="K61" s="109"/>
      <c r="L61" s="107"/>
      <c r="M61" s="109"/>
      <c r="N61" s="107">
        <v>0</v>
      </c>
      <c r="O61" s="109">
        <v>30000</v>
      </c>
      <c r="P61" s="107">
        <f t="shared" si="20"/>
        <v>30000</v>
      </c>
      <c r="Q61" s="109">
        <v>0</v>
      </c>
      <c r="R61" s="107">
        <f>SUM(P61:Q61)</f>
        <v>30000</v>
      </c>
      <c r="S61" s="109">
        <v>0</v>
      </c>
      <c r="T61" s="107">
        <f>SUM(R61:S61)</f>
        <v>30000</v>
      </c>
      <c r="U61" s="109">
        <v>0</v>
      </c>
      <c r="V61" s="107">
        <f>SUM(T61:U61)</f>
        <v>30000</v>
      </c>
      <c r="W61" s="109">
        <v>0</v>
      </c>
      <c r="X61" s="107">
        <f>SUM(V61:W61)</f>
        <v>30000</v>
      </c>
    </row>
    <row r="62" spans="1:24" s="27" customFormat="1" ht="25.5" customHeight="1">
      <c r="A62" s="134"/>
      <c r="B62" s="135"/>
      <c r="C62" s="136"/>
      <c r="D62" s="114" t="s">
        <v>190</v>
      </c>
      <c r="E62" s="117">
        <f>SUM(E49,E32,E19,E14,E11,E23)</f>
        <v>10007666</v>
      </c>
      <c r="F62" s="117">
        <f>SUM(F49,F32,F19,F14,F11,F23)</f>
        <v>229617</v>
      </c>
      <c r="G62" s="117">
        <f>SUM(G49,G32,G19,G14,G11,G23)</f>
        <v>228717</v>
      </c>
      <c r="H62" s="77">
        <f>SUM(H58,H49,H32,H23,H19,H14,H11,)</f>
        <v>10008566</v>
      </c>
      <c r="I62" s="77">
        <f>SUM(I58,I49,I32,I23,I19,I14,I11,)</f>
        <v>-8300</v>
      </c>
      <c r="J62" s="77">
        <f>SUM(J58,J49,J46,J32,J23,J19,J14,J11,)</f>
        <v>10000266</v>
      </c>
      <c r="K62" s="77">
        <f>SUM(K58,K49,K46,K32,K23,K19,K14,K11,)</f>
        <v>252197</v>
      </c>
      <c r="L62" s="77">
        <f aca="true" t="shared" si="27" ref="L62:R62">SUM(L58,L49,L46,L32,L23,L19,L14,L11,L8)</f>
        <v>10252463</v>
      </c>
      <c r="M62" s="77">
        <f t="shared" si="27"/>
        <v>366151</v>
      </c>
      <c r="N62" s="77">
        <f t="shared" si="27"/>
        <v>10618614</v>
      </c>
      <c r="O62" s="77">
        <f t="shared" si="27"/>
        <v>30000</v>
      </c>
      <c r="P62" s="77">
        <f t="shared" si="27"/>
        <v>10648614</v>
      </c>
      <c r="Q62" s="77">
        <f t="shared" si="27"/>
        <v>40648</v>
      </c>
      <c r="R62" s="77">
        <f t="shared" si="27"/>
        <v>10689262</v>
      </c>
      <c r="S62" s="77">
        <f aca="true" t="shared" si="28" ref="S62:X62">SUM(S58,S49,S46,S32,S23,S19,S14,S11,S8)</f>
        <v>40107</v>
      </c>
      <c r="T62" s="77">
        <f t="shared" si="28"/>
        <v>10729369</v>
      </c>
      <c r="U62" s="77">
        <f t="shared" si="28"/>
        <v>13917</v>
      </c>
      <c r="V62" s="77">
        <f t="shared" si="28"/>
        <v>10743286</v>
      </c>
      <c r="W62" s="77">
        <f t="shared" si="28"/>
        <v>13712</v>
      </c>
      <c r="X62" s="77">
        <f t="shared" si="28"/>
        <v>10756998</v>
      </c>
    </row>
    <row r="63" spans="1:3" ht="12.75">
      <c r="A63" s="69"/>
      <c r="B63" s="69"/>
      <c r="C63" s="69"/>
    </row>
    <row r="64" spans="1:3" ht="12.75">
      <c r="A64" s="69"/>
      <c r="B64" s="69"/>
      <c r="C64" s="69"/>
    </row>
    <row r="66" spans="9:23" ht="12.75">
      <c r="I66" s="29">
        <v>13700</v>
      </c>
      <c r="J66" s="8" t="s">
        <v>544</v>
      </c>
      <c r="K66" s="29"/>
      <c r="M66" s="29"/>
      <c r="O66" s="29"/>
      <c r="Q66" s="29">
        <v>40648</v>
      </c>
      <c r="S66" s="29"/>
      <c r="U66" s="29"/>
      <c r="W66" s="29"/>
    </row>
    <row r="67" spans="5:24" ht="12.75">
      <c r="E67" s="120"/>
      <c r="F67" s="120"/>
      <c r="G67" s="120"/>
      <c r="H67" s="120"/>
      <c r="I67" s="29"/>
      <c r="J67" s="120"/>
      <c r="K67" s="29"/>
      <c r="L67" s="120"/>
      <c r="M67" s="29"/>
      <c r="N67" s="120"/>
      <c r="O67" s="29"/>
      <c r="P67" s="120"/>
      <c r="Q67" s="29"/>
      <c r="R67" s="120"/>
      <c r="S67" s="29"/>
      <c r="T67" s="120"/>
      <c r="U67" s="29"/>
      <c r="V67" s="120"/>
      <c r="W67" s="29"/>
      <c r="X67" s="120"/>
    </row>
    <row r="68" spans="9:23" ht="12.75">
      <c r="I68" s="29"/>
      <c r="K68" s="29"/>
      <c r="M68" s="29"/>
      <c r="O68" s="29"/>
      <c r="Q68" s="29"/>
      <c r="S68" s="29"/>
      <c r="U68" s="29"/>
      <c r="W68" s="29"/>
    </row>
    <row r="69" spans="9:23" ht="12.75">
      <c r="I69" s="29"/>
      <c r="K69" s="29"/>
      <c r="M69" s="29"/>
      <c r="O69" s="29"/>
      <c r="Q69" s="29"/>
      <c r="S69" s="29"/>
      <c r="U69" s="29"/>
      <c r="W69" s="46"/>
    </row>
    <row r="70" spans="9:23" ht="12.75">
      <c r="I70" s="29"/>
      <c r="K70" s="29"/>
      <c r="M70" s="29"/>
      <c r="O70" s="29"/>
      <c r="Q70" s="29"/>
      <c r="S70" s="29"/>
      <c r="U70" s="29"/>
      <c r="W70" s="29"/>
    </row>
    <row r="71" spans="9:23" ht="12.75">
      <c r="I71" s="46"/>
      <c r="K71" s="46"/>
      <c r="M71" s="46"/>
      <c r="O71" s="46"/>
      <c r="Q71" s="46"/>
      <c r="S71" s="46"/>
      <c r="U71" s="46"/>
      <c r="W71" s="46"/>
    </row>
    <row r="73" ht="12.75">
      <c r="W73" s="46"/>
    </row>
  </sheetData>
  <sheetProtection/>
  <mergeCells count="1">
    <mergeCell ref="A6:V6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="80" zoomScaleNormal="80" zoomScalePageLayoutView="0" workbookViewId="0" topLeftCell="A1">
      <selection activeCell="S60" sqref="S60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7.00390625" style="8" customWidth="1"/>
    <col min="4" max="4" width="40.25390625" style="8" customWidth="1"/>
    <col min="5" max="5" width="28.25390625" style="8" customWidth="1"/>
    <col min="6" max="7" width="0.12890625" style="8" hidden="1" customWidth="1"/>
    <col min="8" max="8" width="43.625" style="8" hidden="1" customWidth="1"/>
    <col min="9" max="9" width="13.75390625" style="8" hidden="1" customWidth="1"/>
    <col min="10" max="10" width="17.375" style="8" hidden="1" customWidth="1"/>
    <col min="11" max="11" width="13.00390625" style="8" hidden="1" customWidth="1"/>
    <col min="12" max="12" width="16.25390625" style="8" hidden="1" customWidth="1"/>
    <col min="13" max="13" width="14.625" style="8" hidden="1" customWidth="1"/>
    <col min="14" max="14" width="16.25390625" style="8" customWidth="1"/>
    <col min="15" max="15" width="14.625" style="8" customWidth="1"/>
    <col min="16" max="16" width="16.25390625" style="8" customWidth="1"/>
  </cols>
  <sheetData>
    <row r="1" spans="5:15" ht="19.5" customHeight="1">
      <c r="E1" s="123"/>
      <c r="F1" s="123" t="s">
        <v>588</v>
      </c>
      <c r="G1" s="123"/>
      <c r="H1" s="70" t="s">
        <v>652</v>
      </c>
      <c r="I1" s="123"/>
      <c r="J1" s="70" t="s">
        <v>696</v>
      </c>
      <c r="K1" s="70"/>
      <c r="L1" s="70" t="s">
        <v>77</v>
      </c>
      <c r="M1" s="70"/>
      <c r="N1" s="70" t="s">
        <v>383</v>
      </c>
      <c r="O1" s="70"/>
    </row>
    <row r="2" spans="5:15" ht="19.5" customHeight="1">
      <c r="E2" s="123"/>
      <c r="F2" s="123" t="s">
        <v>532</v>
      </c>
      <c r="G2" s="123"/>
      <c r="H2" s="70" t="s">
        <v>637</v>
      </c>
      <c r="I2" s="123"/>
      <c r="J2" s="70" t="s">
        <v>693</v>
      </c>
      <c r="K2" s="70"/>
      <c r="L2" s="70" t="s">
        <v>74</v>
      </c>
      <c r="M2" s="70"/>
      <c r="N2" s="70" t="s">
        <v>381</v>
      </c>
      <c r="O2" s="70"/>
    </row>
    <row r="3" spans="5:15" ht="19.5" customHeight="1">
      <c r="E3" s="123"/>
      <c r="F3" s="123" t="s">
        <v>566</v>
      </c>
      <c r="G3" s="123"/>
      <c r="H3" s="70" t="s">
        <v>588</v>
      </c>
      <c r="I3" s="123"/>
      <c r="J3" s="70" t="s">
        <v>652</v>
      </c>
      <c r="K3" s="70"/>
      <c r="L3" s="70" t="s">
        <v>696</v>
      </c>
      <c r="M3" s="70"/>
      <c r="N3" s="70" t="s">
        <v>77</v>
      </c>
      <c r="O3" s="70"/>
    </row>
    <row r="4" spans="5:15" ht="19.5" customHeight="1">
      <c r="E4" s="123"/>
      <c r="F4" s="123" t="s">
        <v>534</v>
      </c>
      <c r="G4" s="123"/>
      <c r="H4" s="70" t="s">
        <v>595</v>
      </c>
      <c r="I4" s="123"/>
      <c r="J4" s="70" t="s">
        <v>668</v>
      </c>
      <c r="K4" s="70"/>
      <c r="L4" s="70" t="s">
        <v>700</v>
      </c>
      <c r="M4" s="70"/>
      <c r="N4" s="70" t="s">
        <v>101</v>
      </c>
      <c r="O4" s="70"/>
    </row>
    <row r="5" spans="1:16" ht="72.75" customHeight="1">
      <c r="A5" s="366" t="s">
        <v>690</v>
      </c>
      <c r="B5" s="366"/>
      <c r="C5" s="366"/>
      <c r="D5" s="366"/>
      <c r="E5" s="366"/>
      <c r="F5" s="366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21.75" customHeight="1">
      <c r="A6" s="370" t="s">
        <v>639</v>
      </c>
      <c r="B6" s="370"/>
      <c r="C6" s="370"/>
      <c r="D6" s="370"/>
      <c r="E6" s="370"/>
      <c r="F6" s="243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6" ht="22.5" customHeight="1">
      <c r="A7" s="234" t="s">
        <v>477</v>
      </c>
      <c r="B7" s="235"/>
      <c r="C7" s="235"/>
      <c r="D7" s="235"/>
      <c r="E7" s="235"/>
      <c r="F7" s="235"/>
      <c r="G7" s="235"/>
      <c r="H7" s="236"/>
      <c r="I7" s="235"/>
      <c r="J7" s="236"/>
      <c r="K7" s="235"/>
      <c r="L7" s="236"/>
      <c r="M7" s="235"/>
      <c r="N7" s="236"/>
      <c r="O7" s="235"/>
      <c r="P7" s="236"/>
    </row>
    <row r="8" spans="1:16" s="147" customFormat="1" ht="29.25" customHeight="1">
      <c r="A8" s="5" t="s">
        <v>112</v>
      </c>
      <c r="B8" s="5" t="s">
        <v>113</v>
      </c>
      <c r="C8" s="5" t="s">
        <v>114</v>
      </c>
      <c r="D8" s="5" t="s">
        <v>478</v>
      </c>
      <c r="E8" s="5" t="s">
        <v>479</v>
      </c>
      <c r="F8" s="174" t="s">
        <v>558</v>
      </c>
      <c r="G8" s="174" t="s">
        <v>557</v>
      </c>
      <c r="H8" s="174" t="s">
        <v>558</v>
      </c>
      <c r="I8" s="174" t="s">
        <v>351</v>
      </c>
      <c r="J8" s="174" t="s">
        <v>671</v>
      </c>
      <c r="K8" s="174" t="s">
        <v>557</v>
      </c>
      <c r="L8" s="174" t="s">
        <v>558</v>
      </c>
      <c r="M8" s="174" t="s">
        <v>557</v>
      </c>
      <c r="N8" s="174" t="s">
        <v>558</v>
      </c>
      <c r="O8" s="174" t="s">
        <v>557</v>
      </c>
      <c r="P8" s="174" t="s">
        <v>559</v>
      </c>
    </row>
    <row r="9" spans="1:16" s="201" customFormat="1" ht="30" customHeight="1">
      <c r="A9" s="199" t="s">
        <v>480</v>
      </c>
      <c r="B9" s="200"/>
      <c r="C9" s="200"/>
      <c r="D9" s="200"/>
      <c r="E9" s="200"/>
      <c r="F9" s="18">
        <f aca="true" t="shared" si="0" ref="F9:L9">SUM(F10:F11)</f>
        <v>2633797</v>
      </c>
      <c r="G9" s="18">
        <f t="shared" si="0"/>
        <v>0</v>
      </c>
      <c r="H9" s="18">
        <f t="shared" si="0"/>
        <v>2633797</v>
      </c>
      <c r="I9" s="18">
        <f t="shared" si="0"/>
        <v>500</v>
      </c>
      <c r="J9" s="18">
        <f t="shared" si="0"/>
        <v>2634297</v>
      </c>
      <c r="K9" s="18">
        <f t="shared" si="0"/>
        <v>0</v>
      </c>
      <c r="L9" s="18">
        <f t="shared" si="0"/>
        <v>2634297</v>
      </c>
      <c r="M9" s="18">
        <f>SUM(M10:M11)</f>
        <v>86839</v>
      </c>
      <c r="N9" s="18">
        <f>SUM(N10:N11)</f>
        <v>2721136</v>
      </c>
      <c r="O9" s="18">
        <f>SUM(O10:O11)</f>
        <v>0</v>
      </c>
      <c r="P9" s="18">
        <f>SUM(P10:P11)</f>
        <v>2721136</v>
      </c>
    </row>
    <row r="10" spans="1:16" s="202" customFormat="1" ht="21.75" customHeight="1">
      <c r="A10" s="87">
        <v>801</v>
      </c>
      <c r="B10" s="61">
        <v>80104</v>
      </c>
      <c r="C10" s="89">
        <v>2510</v>
      </c>
      <c r="D10" s="14" t="s">
        <v>481</v>
      </c>
      <c r="E10" s="14" t="s">
        <v>482</v>
      </c>
      <c r="F10" s="101">
        <v>2624508</v>
      </c>
      <c r="G10" s="101"/>
      <c r="H10" s="101">
        <v>2624508</v>
      </c>
      <c r="I10" s="101">
        <v>500</v>
      </c>
      <c r="J10" s="101">
        <f>SUM(H10:I10)</f>
        <v>2625008</v>
      </c>
      <c r="K10" s="101">
        <v>0</v>
      </c>
      <c r="L10" s="101">
        <f>SUM(J10:K10)</f>
        <v>2625008</v>
      </c>
      <c r="M10" s="101">
        <v>86839</v>
      </c>
      <c r="N10" s="101">
        <f>SUM(L10:M10)</f>
        <v>2711847</v>
      </c>
      <c r="O10" s="101">
        <v>0</v>
      </c>
      <c r="P10" s="101">
        <f>SUM(N10:O10)</f>
        <v>2711847</v>
      </c>
    </row>
    <row r="11" spans="1:16" s="202" customFormat="1" ht="22.5">
      <c r="A11" s="87">
        <v>801</v>
      </c>
      <c r="B11" s="87">
        <v>80146</v>
      </c>
      <c r="C11" s="61">
        <v>2510</v>
      </c>
      <c r="D11" s="227" t="s">
        <v>481</v>
      </c>
      <c r="E11" s="227" t="s">
        <v>483</v>
      </c>
      <c r="F11" s="203">
        <v>9289</v>
      </c>
      <c r="G11" s="203"/>
      <c r="H11" s="203">
        <v>9289</v>
      </c>
      <c r="I11" s="203"/>
      <c r="J11" s="203">
        <v>9289</v>
      </c>
      <c r="K11" s="203">
        <v>0</v>
      </c>
      <c r="L11" s="203">
        <v>9289</v>
      </c>
      <c r="M11" s="203">
        <v>0</v>
      </c>
      <c r="N11" s="203">
        <v>9289</v>
      </c>
      <c r="O11" s="203">
        <v>0</v>
      </c>
      <c r="P11" s="203">
        <v>9289</v>
      </c>
    </row>
    <row r="12" spans="1:16" s="201" customFormat="1" ht="30" customHeight="1">
      <c r="A12" s="199" t="s">
        <v>484</v>
      </c>
      <c r="B12" s="200"/>
      <c r="C12" s="200"/>
      <c r="D12" s="200"/>
      <c r="E12" s="200"/>
      <c r="F12" s="18">
        <f aca="true" t="shared" si="1" ref="F12:L12">SUM(F13:F14)</f>
        <v>329691</v>
      </c>
      <c r="G12" s="18">
        <f t="shared" si="1"/>
        <v>0</v>
      </c>
      <c r="H12" s="18">
        <f t="shared" si="1"/>
        <v>329691</v>
      </c>
      <c r="I12" s="18">
        <f t="shared" si="1"/>
        <v>0</v>
      </c>
      <c r="J12" s="18">
        <f t="shared" si="1"/>
        <v>329691</v>
      </c>
      <c r="K12" s="18">
        <f t="shared" si="1"/>
        <v>0</v>
      </c>
      <c r="L12" s="18">
        <f t="shared" si="1"/>
        <v>329691</v>
      </c>
      <c r="M12" s="18">
        <f>SUM(M13:M14)</f>
        <v>22222</v>
      </c>
      <c r="N12" s="18">
        <f>SUM(N13:N14)</f>
        <v>351913</v>
      </c>
      <c r="O12" s="18">
        <f>SUM(O13:O14)</f>
        <v>0</v>
      </c>
      <c r="P12" s="18">
        <f>SUM(P13:P14)</f>
        <v>351913</v>
      </c>
    </row>
    <row r="13" spans="1:16" s="202" customFormat="1" ht="22.5">
      <c r="A13" s="87">
        <v>801</v>
      </c>
      <c r="B13" s="61">
        <v>80101</v>
      </c>
      <c r="C13" s="89">
        <v>2540</v>
      </c>
      <c r="D13" s="14" t="s">
        <v>485</v>
      </c>
      <c r="E13" s="14" t="s">
        <v>486</v>
      </c>
      <c r="F13" s="101">
        <v>262446</v>
      </c>
      <c r="G13" s="101"/>
      <c r="H13" s="101">
        <v>262446</v>
      </c>
      <c r="I13" s="101"/>
      <c r="J13" s="101">
        <v>262446</v>
      </c>
      <c r="K13" s="101">
        <v>0</v>
      </c>
      <c r="L13" s="101">
        <v>262446</v>
      </c>
      <c r="M13" s="101">
        <v>22222</v>
      </c>
      <c r="N13" s="101">
        <f>SUM(L13:M13)</f>
        <v>284668</v>
      </c>
      <c r="O13" s="101">
        <v>0</v>
      </c>
      <c r="P13" s="101">
        <f>SUM(N13:O13)</f>
        <v>284668</v>
      </c>
    </row>
    <row r="14" spans="1:16" s="202" customFormat="1" ht="22.5">
      <c r="A14" s="87">
        <v>801</v>
      </c>
      <c r="B14" s="86">
        <v>80103</v>
      </c>
      <c r="C14" s="61">
        <v>2540</v>
      </c>
      <c r="D14" s="228" t="s">
        <v>487</v>
      </c>
      <c r="E14" s="14" t="s">
        <v>488</v>
      </c>
      <c r="F14" s="101">
        <v>67245</v>
      </c>
      <c r="G14" s="101"/>
      <c r="H14" s="101">
        <v>67245</v>
      </c>
      <c r="I14" s="101"/>
      <c r="J14" s="101">
        <v>67245</v>
      </c>
      <c r="K14" s="101">
        <v>0</v>
      </c>
      <c r="L14" s="101">
        <v>67245</v>
      </c>
      <c r="M14" s="101">
        <v>0</v>
      </c>
      <c r="N14" s="101">
        <f>SUM(L14:M14)</f>
        <v>67245</v>
      </c>
      <c r="O14" s="101">
        <v>0</v>
      </c>
      <c r="P14" s="101">
        <f>SUM(N14:O14)</f>
        <v>67245</v>
      </c>
    </row>
    <row r="15" spans="1:16" s="201" customFormat="1" ht="30" customHeight="1">
      <c r="A15" s="199" t="s">
        <v>489</v>
      </c>
      <c r="B15" s="200"/>
      <c r="C15" s="200"/>
      <c r="D15" s="200"/>
      <c r="E15" s="200"/>
      <c r="F15" s="18">
        <f aca="true" t="shared" si="2" ref="F15:L15">SUM(F16:F21)</f>
        <v>1819960</v>
      </c>
      <c r="G15" s="18">
        <f t="shared" si="2"/>
        <v>11500</v>
      </c>
      <c r="H15" s="18">
        <f t="shared" si="2"/>
        <v>1831460</v>
      </c>
      <c r="I15" s="18">
        <f t="shared" si="2"/>
        <v>0</v>
      </c>
      <c r="J15" s="18">
        <f t="shared" si="2"/>
        <v>1831460</v>
      </c>
      <c r="K15" s="18">
        <f t="shared" si="2"/>
        <v>0</v>
      </c>
      <c r="L15" s="18">
        <f t="shared" si="2"/>
        <v>1831460</v>
      </c>
      <c r="M15" s="18">
        <f>SUM(M16:M21)</f>
        <v>20000</v>
      </c>
      <c r="N15" s="18">
        <f>SUM(N16:N21)</f>
        <v>1851460</v>
      </c>
      <c r="O15" s="18">
        <f>SUM(O16:O21)</f>
        <v>0</v>
      </c>
      <c r="P15" s="18">
        <f>SUM(P16:P21)</f>
        <v>1851460</v>
      </c>
    </row>
    <row r="16" spans="1:16" s="202" customFormat="1" ht="23.25" customHeight="1">
      <c r="A16" s="87" t="s">
        <v>185</v>
      </c>
      <c r="B16" s="61">
        <v>92109</v>
      </c>
      <c r="C16" s="95">
        <v>2480</v>
      </c>
      <c r="D16" s="14" t="s">
        <v>490</v>
      </c>
      <c r="E16" s="14" t="s">
        <v>491</v>
      </c>
      <c r="F16" s="101">
        <f>450590+76000</f>
        <v>526590</v>
      </c>
      <c r="G16" s="101"/>
      <c r="H16" s="101">
        <f>SUM(F16:G16)</f>
        <v>526590</v>
      </c>
      <c r="I16" s="101"/>
      <c r="J16" s="101">
        <f>SUM(H16:I16)</f>
        <v>526590</v>
      </c>
      <c r="K16" s="101">
        <v>0</v>
      </c>
      <c r="L16" s="101">
        <f>SUM(J16:K16)</f>
        <v>526590</v>
      </c>
      <c r="M16" s="101">
        <v>20000</v>
      </c>
      <c r="N16" s="101">
        <f>SUM(L16:M16)</f>
        <v>546590</v>
      </c>
      <c r="O16" s="101">
        <v>0</v>
      </c>
      <c r="P16" s="101">
        <f>SUM(N16:O16)</f>
        <v>546590</v>
      </c>
    </row>
    <row r="17" spans="1:16" s="202" customFormat="1" ht="23.25" customHeight="1">
      <c r="A17" s="87">
        <v>921</v>
      </c>
      <c r="B17" s="61">
        <v>92109</v>
      </c>
      <c r="C17" s="95">
        <v>2480</v>
      </c>
      <c r="D17" s="14" t="s">
        <v>490</v>
      </c>
      <c r="E17" s="14" t="s">
        <v>493</v>
      </c>
      <c r="F17" s="101">
        <v>0</v>
      </c>
      <c r="G17" s="101">
        <v>9500</v>
      </c>
      <c r="H17" s="101">
        <f aca="true" t="shared" si="3" ref="H17:H22">SUM(F17:G17)</f>
        <v>9500</v>
      </c>
      <c r="I17" s="101"/>
      <c r="J17" s="101">
        <f aca="true" t="shared" si="4" ref="J17:J22">SUM(H17:I17)</f>
        <v>9500</v>
      </c>
      <c r="K17" s="101">
        <v>0</v>
      </c>
      <c r="L17" s="101">
        <f aca="true" t="shared" si="5" ref="L17:L22">SUM(J17:K17)</f>
        <v>9500</v>
      </c>
      <c r="M17" s="101">
        <v>0</v>
      </c>
      <c r="N17" s="101">
        <f aca="true" t="shared" si="6" ref="N17:N22">SUM(L17:M17)</f>
        <v>9500</v>
      </c>
      <c r="O17" s="101">
        <v>0</v>
      </c>
      <c r="P17" s="101">
        <f aca="true" t="shared" si="7" ref="P17:P22">SUM(N17:O17)</f>
        <v>9500</v>
      </c>
    </row>
    <row r="18" spans="1:16" s="202" customFormat="1" ht="26.25" customHeight="1">
      <c r="A18" s="87">
        <v>921</v>
      </c>
      <c r="B18" s="87" t="s">
        <v>186</v>
      </c>
      <c r="C18" s="95">
        <v>2480</v>
      </c>
      <c r="D18" s="14" t="s">
        <v>492</v>
      </c>
      <c r="E18" s="14" t="s">
        <v>491</v>
      </c>
      <c r="F18" s="101">
        <v>871000</v>
      </c>
      <c r="G18" s="101"/>
      <c r="H18" s="101">
        <f t="shared" si="3"/>
        <v>871000</v>
      </c>
      <c r="I18" s="101"/>
      <c r="J18" s="101">
        <f t="shared" si="4"/>
        <v>871000</v>
      </c>
      <c r="K18" s="101">
        <v>0</v>
      </c>
      <c r="L18" s="101">
        <f t="shared" si="5"/>
        <v>871000</v>
      </c>
      <c r="M18" s="101">
        <v>0</v>
      </c>
      <c r="N18" s="101">
        <f t="shared" si="6"/>
        <v>871000</v>
      </c>
      <c r="O18" s="101">
        <v>0</v>
      </c>
      <c r="P18" s="101">
        <f t="shared" si="7"/>
        <v>871000</v>
      </c>
    </row>
    <row r="19" spans="1:16" s="202" customFormat="1" ht="26.25" customHeight="1">
      <c r="A19" s="87">
        <v>921</v>
      </c>
      <c r="B19" s="87" t="s">
        <v>186</v>
      </c>
      <c r="C19" s="95">
        <v>2480</v>
      </c>
      <c r="D19" s="14" t="s">
        <v>492</v>
      </c>
      <c r="E19" s="14" t="s">
        <v>493</v>
      </c>
      <c r="F19" s="203">
        <f>45000+900</f>
        <v>45900</v>
      </c>
      <c r="G19" s="203"/>
      <c r="H19" s="101">
        <f t="shared" si="3"/>
        <v>45900</v>
      </c>
      <c r="I19" s="203"/>
      <c r="J19" s="101">
        <f t="shared" si="4"/>
        <v>45900</v>
      </c>
      <c r="K19" s="203">
        <v>0</v>
      </c>
      <c r="L19" s="101">
        <f t="shared" si="5"/>
        <v>45900</v>
      </c>
      <c r="M19" s="203">
        <v>0</v>
      </c>
      <c r="N19" s="101">
        <f t="shared" si="6"/>
        <v>45900</v>
      </c>
      <c r="O19" s="203">
        <v>0</v>
      </c>
      <c r="P19" s="101">
        <f t="shared" si="7"/>
        <v>45900</v>
      </c>
    </row>
    <row r="20" spans="1:16" s="202" customFormat="1" ht="26.25" customHeight="1">
      <c r="A20" s="87">
        <v>921</v>
      </c>
      <c r="B20" s="87" t="s">
        <v>267</v>
      </c>
      <c r="C20" s="61">
        <v>2480</v>
      </c>
      <c r="D20" s="92" t="s">
        <v>494</v>
      </c>
      <c r="E20" s="14" t="s">
        <v>491</v>
      </c>
      <c r="F20" s="101">
        <v>376470</v>
      </c>
      <c r="G20" s="101"/>
      <c r="H20" s="101">
        <f t="shared" si="3"/>
        <v>376470</v>
      </c>
      <c r="I20" s="101"/>
      <c r="J20" s="101">
        <f t="shared" si="4"/>
        <v>376470</v>
      </c>
      <c r="K20" s="101">
        <v>0</v>
      </c>
      <c r="L20" s="101">
        <f t="shared" si="5"/>
        <v>376470</v>
      </c>
      <c r="M20" s="101">
        <v>0</v>
      </c>
      <c r="N20" s="101">
        <f t="shared" si="6"/>
        <v>376470</v>
      </c>
      <c r="O20" s="101">
        <v>0</v>
      </c>
      <c r="P20" s="101">
        <f t="shared" si="7"/>
        <v>376470</v>
      </c>
    </row>
    <row r="21" spans="1:16" s="202" customFormat="1" ht="27" customHeight="1">
      <c r="A21" s="87">
        <v>921</v>
      </c>
      <c r="B21" s="87">
        <v>92118</v>
      </c>
      <c r="C21" s="61">
        <v>2480</v>
      </c>
      <c r="D21" s="92" t="s">
        <v>494</v>
      </c>
      <c r="E21" s="14" t="s">
        <v>493</v>
      </c>
      <c r="F21" s="101">
        <v>0</v>
      </c>
      <c r="G21" s="101">
        <v>2000</v>
      </c>
      <c r="H21" s="101">
        <f t="shared" si="3"/>
        <v>2000</v>
      </c>
      <c r="I21" s="101"/>
      <c r="J21" s="101">
        <f t="shared" si="4"/>
        <v>2000</v>
      </c>
      <c r="K21" s="101">
        <v>0</v>
      </c>
      <c r="L21" s="101">
        <f t="shared" si="5"/>
        <v>2000</v>
      </c>
      <c r="M21" s="101">
        <v>0</v>
      </c>
      <c r="N21" s="101">
        <f t="shared" si="6"/>
        <v>2000</v>
      </c>
      <c r="O21" s="101">
        <v>0</v>
      </c>
      <c r="P21" s="101">
        <f t="shared" si="7"/>
        <v>2000</v>
      </c>
    </row>
    <row r="22" spans="1:16" s="28" customFormat="1" ht="16.5" customHeight="1">
      <c r="A22" s="367" t="s">
        <v>688</v>
      </c>
      <c r="B22" s="368"/>
      <c r="C22" s="368"/>
      <c r="D22" s="368"/>
      <c r="E22" s="369"/>
      <c r="F22" s="21">
        <f>SUM(F15,F12,F9,)</f>
        <v>4783448</v>
      </c>
      <c r="G22" s="21">
        <f>SUM(G15,G12,G9,)</f>
        <v>11500</v>
      </c>
      <c r="H22" s="101">
        <f t="shared" si="3"/>
        <v>4794948</v>
      </c>
      <c r="I22" s="21">
        <f>SUM(I15,I12,I9,)</f>
        <v>500</v>
      </c>
      <c r="J22" s="101">
        <f t="shared" si="4"/>
        <v>4795448</v>
      </c>
      <c r="K22" s="21">
        <f>SUM(K15,K12,K9,)</f>
        <v>0</v>
      </c>
      <c r="L22" s="101">
        <f t="shared" si="5"/>
        <v>4795448</v>
      </c>
      <c r="M22" s="21">
        <f>SUM(M15,M12,M9,)</f>
        <v>129061</v>
      </c>
      <c r="N22" s="101">
        <f t="shared" si="6"/>
        <v>4924509</v>
      </c>
      <c r="O22" s="21">
        <f>SUM(O15,O12,O9,)</f>
        <v>0</v>
      </c>
      <c r="P22" s="101">
        <f t="shared" si="7"/>
        <v>4924509</v>
      </c>
    </row>
    <row r="23" spans="1:16" s="206" customFormat="1" ht="23.25" customHeight="1">
      <c r="A23" s="231" t="s">
        <v>578</v>
      </c>
      <c r="B23" s="232"/>
      <c r="C23" s="232"/>
      <c r="D23" s="232"/>
      <c r="E23" s="232"/>
      <c r="F23" s="232"/>
      <c r="G23" s="232"/>
      <c r="H23" s="233"/>
      <c r="I23" s="232"/>
      <c r="J23" s="233"/>
      <c r="K23" s="232"/>
      <c r="L23" s="233"/>
      <c r="M23" s="232"/>
      <c r="N23" s="233"/>
      <c r="O23" s="232"/>
      <c r="P23" s="233"/>
    </row>
    <row r="24" spans="1:16" s="147" customFormat="1" ht="29.25" customHeight="1">
      <c r="A24" s="5" t="s">
        <v>112</v>
      </c>
      <c r="B24" s="5" t="s">
        <v>113</v>
      </c>
      <c r="C24" s="5" t="s">
        <v>114</v>
      </c>
      <c r="D24" s="5" t="s">
        <v>478</v>
      </c>
      <c r="E24" s="5" t="s">
        <v>479</v>
      </c>
      <c r="F24" s="174" t="s">
        <v>558</v>
      </c>
      <c r="G24" s="174" t="s">
        <v>557</v>
      </c>
      <c r="H24" s="174" t="s">
        <v>559</v>
      </c>
      <c r="I24" s="174" t="s">
        <v>351</v>
      </c>
      <c r="J24" s="174" t="s">
        <v>613</v>
      </c>
      <c r="K24" s="174" t="s">
        <v>557</v>
      </c>
      <c r="L24" s="174" t="s">
        <v>559</v>
      </c>
      <c r="M24" s="174" t="s">
        <v>557</v>
      </c>
      <c r="N24" s="174" t="s">
        <v>559</v>
      </c>
      <c r="O24" s="174" t="s">
        <v>557</v>
      </c>
      <c r="P24" s="174" t="s">
        <v>559</v>
      </c>
    </row>
    <row r="25" spans="1:16" s="201" customFormat="1" ht="21.75" customHeight="1">
      <c r="A25" s="199" t="s">
        <v>577</v>
      </c>
      <c r="B25" s="200"/>
      <c r="C25" s="200"/>
      <c r="D25" s="200"/>
      <c r="E25" s="200"/>
      <c r="F25" s="18">
        <f aca="true" t="shared" si="8" ref="F25:L25">SUM(F26:F64)</f>
        <v>352000</v>
      </c>
      <c r="G25" s="18">
        <f t="shared" si="8"/>
        <v>0</v>
      </c>
      <c r="H25" s="18">
        <f t="shared" si="8"/>
        <v>352000</v>
      </c>
      <c r="I25" s="18">
        <f t="shared" si="8"/>
        <v>-18900</v>
      </c>
      <c r="J25" s="18">
        <f t="shared" si="8"/>
        <v>333100</v>
      </c>
      <c r="K25" s="18">
        <f t="shared" si="8"/>
        <v>-2000</v>
      </c>
      <c r="L25" s="18">
        <f t="shared" si="8"/>
        <v>331100</v>
      </c>
      <c r="M25" s="18">
        <f>SUM(M26:M64)</f>
        <v>70000</v>
      </c>
      <c r="N25" s="18">
        <f>SUM(N26:N64)</f>
        <v>401100</v>
      </c>
      <c r="O25" s="18">
        <f>SUM(O26:O64)</f>
        <v>-5000</v>
      </c>
      <c r="P25" s="18">
        <f>SUM(P26:P64)</f>
        <v>396100</v>
      </c>
    </row>
    <row r="26" spans="1:16" s="201" customFormat="1" ht="26.25" customHeight="1">
      <c r="A26" s="97">
        <v>851</v>
      </c>
      <c r="B26" s="97">
        <v>85154</v>
      </c>
      <c r="C26" s="97">
        <v>2630</v>
      </c>
      <c r="D26" s="229" t="s">
        <v>495</v>
      </c>
      <c r="E26" s="228" t="s">
        <v>496</v>
      </c>
      <c r="F26" s="101">
        <v>56000</v>
      </c>
      <c r="G26" s="101">
        <f>-31147-7953</f>
        <v>-39100</v>
      </c>
      <c r="H26" s="101">
        <f>SUM(F26:G26)</f>
        <v>16900</v>
      </c>
      <c r="I26" s="101">
        <v>-16900</v>
      </c>
      <c r="J26" s="101">
        <f>SUM(H26:I26)</f>
        <v>0</v>
      </c>
      <c r="K26" s="101">
        <v>0</v>
      </c>
      <c r="L26" s="101">
        <f>SUM(J26:K26)</f>
        <v>0</v>
      </c>
      <c r="M26" s="101">
        <v>0</v>
      </c>
      <c r="N26" s="101">
        <f>SUM(L26:M26)</f>
        <v>0</v>
      </c>
      <c r="O26" s="101">
        <v>0</v>
      </c>
      <c r="P26" s="101">
        <f>SUM(N26:O26)</f>
        <v>0</v>
      </c>
    </row>
    <row r="27" spans="1:16" s="201" customFormat="1" ht="26.25" customHeight="1">
      <c r="A27" s="97">
        <v>851</v>
      </c>
      <c r="B27" s="97">
        <v>85154</v>
      </c>
      <c r="C27" s="97">
        <v>2830</v>
      </c>
      <c r="D27" s="14" t="s">
        <v>498</v>
      </c>
      <c r="E27" s="228" t="s">
        <v>496</v>
      </c>
      <c r="F27" s="101">
        <v>0</v>
      </c>
      <c r="G27" s="101">
        <v>31147</v>
      </c>
      <c r="H27" s="101">
        <f aca="true" t="shared" si="9" ref="H27:H65">SUM(F27:G27)</f>
        <v>31147</v>
      </c>
      <c r="I27" s="101"/>
      <c r="J27" s="101">
        <f aca="true" t="shared" si="10" ref="J27:J65">SUM(H27:I27)</f>
        <v>31147</v>
      </c>
      <c r="K27" s="101">
        <v>0</v>
      </c>
      <c r="L27" s="101">
        <f aca="true" t="shared" si="11" ref="L27:L65">SUM(J27:K27)</f>
        <v>31147</v>
      </c>
      <c r="M27" s="101">
        <v>0</v>
      </c>
      <c r="N27" s="101">
        <f aca="true" t="shared" si="12" ref="N27:N65">SUM(L27:M27)</f>
        <v>31147</v>
      </c>
      <c r="O27" s="101">
        <v>0</v>
      </c>
      <c r="P27" s="101">
        <f aca="true" t="shared" si="13" ref="P27:P65">SUM(N27:O27)</f>
        <v>31147</v>
      </c>
    </row>
    <row r="28" spans="1:16" s="201" customFormat="1" ht="26.25" customHeight="1">
      <c r="A28" s="97">
        <v>851</v>
      </c>
      <c r="B28" s="97">
        <v>85154</v>
      </c>
      <c r="C28" s="97">
        <v>2820</v>
      </c>
      <c r="D28" s="14" t="s">
        <v>499</v>
      </c>
      <c r="E28" s="228" t="s">
        <v>496</v>
      </c>
      <c r="F28" s="101">
        <v>0</v>
      </c>
      <c r="G28" s="101">
        <v>7953</v>
      </c>
      <c r="H28" s="101">
        <f t="shared" si="9"/>
        <v>7953</v>
      </c>
      <c r="I28" s="101"/>
      <c r="J28" s="101">
        <f t="shared" si="10"/>
        <v>7953</v>
      </c>
      <c r="K28" s="101">
        <v>0</v>
      </c>
      <c r="L28" s="101">
        <f t="shared" si="11"/>
        <v>7953</v>
      </c>
      <c r="M28" s="101">
        <v>0</v>
      </c>
      <c r="N28" s="101">
        <f t="shared" si="12"/>
        <v>7953</v>
      </c>
      <c r="O28" s="101">
        <v>0</v>
      </c>
      <c r="P28" s="101">
        <f t="shared" si="13"/>
        <v>7953</v>
      </c>
    </row>
    <row r="29" spans="1:16" s="201" customFormat="1" ht="34.5" customHeight="1">
      <c r="A29" s="97">
        <v>851</v>
      </c>
      <c r="B29" s="97">
        <v>85154</v>
      </c>
      <c r="C29" s="97">
        <v>2630</v>
      </c>
      <c r="D29" s="229" t="s">
        <v>495</v>
      </c>
      <c r="E29" s="228" t="s">
        <v>497</v>
      </c>
      <c r="F29" s="101">
        <v>10000</v>
      </c>
      <c r="G29" s="101">
        <v>-8000</v>
      </c>
      <c r="H29" s="101">
        <f t="shared" si="9"/>
        <v>2000</v>
      </c>
      <c r="I29" s="101">
        <v>-2000</v>
      </c>
      <c r="J29" s="101">
        <f t="shared" si="10"/>
        <v>0</v>
      </c>
      <c r="K29" s="101">
        <v>0</v>
      </c>
      <c r="L29" s="101">
        <f t="shared" si="11"/>
        <v>0</v>
      </c>
      <c r="M29" s="101">
        <v>0</v>
      </c>
      <c r="N29" s="101">
        <f t="shared" si="12"/>
        <v>0</v>
      </c>
      <c r="O29" s="101">
        <v>0</v>
      </c>
      <c r="P29" s="101">
        <f t="shared" si="13"/>
        <v>0</v>
      </c>
    </row>
    <row r="30" spans="1:16" s="202" customFormat="1" ht="22.5" hidden="1">
      <c r="A30" s="97">
        <v>851</v>
      </c>
      <c r="B30" s="97">
        <v>85154</v>
      </c>
      <c r="C30" s="97">
        <v>2630</v>
      </c>
      <c r="D30" s="14" t="s">
        <v>498</v>
      </c>
      <c r="E30" s="228" t="s">
        <v>497</v>
      </c>
      <c r="F30" s="208"/>
      <c r="G30" s="208"/>
      <c r="H30" s="101">
        <f t="shared" si="9"/>
        <v>0</v>
      </c>
      <c r="I30" s="208"/>
      <c r="J30" s="101">
        <f t="shared" si="10"/>
        <v>0</v>
      </c>
      <c r="K30" s="208"/>
      <c r="L30" s="101">
        <f t="shared" si="11"/>
        <v>0</v>
      </c>
      <c r="M30" s="208"/>
      <c r="N30" s="101">
        <f t="shared" si="12"/>
        <v>0</v>
      </c>
      <c r="O30" s="208"/>
      <c r="P30" s="101">
        <f t="shared" si="13"/>
        <v>0</v>
      </c>
    </row>
    <row r="31" spans="1:16" s="202" customFormat="1" ht="22.5" hidden="1">
      <c r="A31" s="97">
        <v>851</v>
      </c>
      <c r="B31" s="97">
        <v>85154</v>
      </c>
      <c r="C31" s="97">
        <v>2630</v>
      </c>
      <c r="D31" s="14" t="s">
        <v>498</v>
      </c>
      <c r="E31" s="228" t="s">
        <v>497</v>
      </c>
      <c r="F31" s="208"/>
      <c r="G31" s="208"/>
      <c r="H31" s="101">
        <f t="shared" si="9"/>
        <v>0</v>
      </c>
      <c r="I31" s="208"/>
      <c r="J31" s="101">
        <f t="shared" si="10"/>
        <v>0</v>
      </c>
      <c r="K31" s="208"/>
      <c r="L31" s="101">
        <f t="shared" si="11"/>
        <v>0</v>
      </c>
      <c r="M31" s="208"/>
      <c r="N31" s="101">
        <f t="shared" si="12"/>
        <v>0</v>
      </c>
      <c r="O31" s="208"/>
      <c r="P31" s="101">
        <f t="shared" si="13"/>
        <v>0</v>
      </c>
    </row>
    <row r="32" spans="1:16" s="209" customFormat="1" ht="22.5" hidden="1">
      <c r="A32" s="97">
        <v>851</v>
      </c>
      <c r="B32" s="97">
        <v>85154</v>
      </c>
      <c r="C32" s="97">
        <v>2630</v>
      </c>
      <c r="D32" s="14" t="s">
        <v>499</v>
      </c>
      <c r="E32" s="228" t="s">
        <v>497</v>
      </c>
      <c r="F32" s="208"/>
      <c r="G32" s="208"/>
      <c r="H32" s="101">
        <f t="shared" si="9"/>
        <v>0</v>
      </c>
      <c r="I32" s="208"/>
      <c r="J32" s="101">
        <f t="shared" si="10"/>
        <v>0</v>
      </c>
      <c r="K32" s="208"/>
      <c r="L32" s="101">
        <f t="shared" si="11"/>
        <v>0</v>
      </c>
      <c r="M32" s="208"/>
      <c r="N32" s="101">
        <f t="shared" si="12"/>
        <v>0</v>
      </c>
      <c r="O32" s="208"/>
      <c r="P32" s="101">
        <f t="shared" si="13"/>
        <v>0</v>
      </c>
    </row>
    <row r="33" spans="1:16" s="209" customFormat="1" ht="22.5" hidden="1">
      <c r="A33" s="97">
        <v>851</v>
      </c>
      <c r="B33" s="97">
        <v>85154</v>
      </c>
      <c r="C33" s="97">
        <v>2630</v>
      </c>
      <c r="D33" s="14" t="s">
        <v>500</v>
      </c>
      <c r="E33" s="228" t="s">
        <v>497</v>
      </c>
      <c r="F33" s="208"/>
      <c r="G33" s="208"/>
      <c r="H33" s="101">
        <f t="shared" si="9"/>
        <v>0</v>
      </c>
      <c r="I33" s="208"/>
      <c r="J33" s="101">
        <f t="shared" si="10"/>
        <v>0</v>
      </c>
      <c r="K33" s="208"/>
      <c r="L33" s="101">
        <f t="shared" si="11"/>
        <v>0</v>
      </c>
      <c r="M33" s="208"/>
      <c r="N33" s="101">
        <f t="shared" si="12"/>
        <v>0</v>
      </c>
      <c r="O33" s="208"/>
      <c r="P33" s="101">
        <f t="shared" si="13"/>
        <v>0</v>
      </c>
    </row>
    <row r="34" spans="1:16" s="209" customFormat="1" ht="22.5" hidden="1">
      <c r="A34" s="97">
        <v>851</v>
      </c>
      <c r="B34" s="97">
        <v>85154</v>
      </c>
      <c r="C34" s="97">
        <v>2630</v>
      </c>
      <c r="D34" s="14" t="s">
        <v>501</v>
      </c>
      <c r="E34" s="228" t="s">
        <v>497</v>
      </c>
      <c r="F34" s="208"/>
      <c r="G34" s="208"/>
      <c r="H34" s="101">
        <f t="shared" si="9"/>
        <v>0</v>
      </c>
      <c r="I34" s="208"/>
      <c r="J34" s="101">
        <f t="shared" si="10"/>
        <v>0</v>
      </c>
      <c r="K34" s="208"/>
      <c r="L34" s="101">
        <f t="shared" si="11"/>
        <v>0</v>
      </c>
      <c r="M34" s="208"/>
      <c r="N34" s="101">
        <f t="shared" si="12"/>
        <v>0</v>
      </c>
      <c r="O34" s="208"/>
      <c r="P34" s="101">
        <f t="shared" si="13"/>
        <v>0</v>
      </c>
    </row>
    <row r="35" spans="1:16" s="209" customFormat="1" ht="33" customHeight="1">
      <c r="A35" s="97">
        <v>851</v>
      </c>
      <c r="B35" s="97">
        <v>85154</v>
      </c>
      <c r="C35" s="97">
        <v>2830</v>
      </c>
      <c r="D35" s="14" t="s">
        <v>498</v>
      </c>
      <c r="E35" s="228" t="s">
        <v>497</v>
      </c>
      <c r="F35" s="210">
        <v>0</v>
      </c>
      <c r="G35" s="210">
        <v>8000</v>
      </c>
      <c r="H35" s="101">
        <f t="shared" si="9"/>
        <v>8000</v>
      </c>
      <c r="I35" s="210"/>
      <c r="J35" s="101">
        <f t="shared" si="10"/>
        <v>8000</v>
      </c>
      <c r="K35" s="210">
        <v>0</v>
      </c>
      <c r="L35" s="101">
        <f t="shared" si="11"/>
        <v>8000</v>
      </c>
      <c r="M35" s="210">
        <v>0</v>
      </c>
      <c r="N35" s="101">
        <f t="shared" si="12"/>
        <v>8000</v>
      </c>
      <c r="O35" s="210">
        <v>0</v>
      </c>
      <c r="P35" s="101">
        <f t="shared" si="13"/>
        <v>8000</v>
      </c>
    </row>
    <row r="36" spans="1:16" s="209" customFormat="1" ht="24" customHeight="1">
      <c r="A36" s="97">
        <v>854</v>
      </c>
      <c r="B36" s="97">
        <v>85412</v>
      </c>
      <c r="C36" s="97">
        <v>2630</v>
      </c>
      <c r="D36" s="229" t="s">
        <v>495</v>
      </c>
      <c r="E36" s="228" t="s">
        <v>502</v>
      </c>
      <c r="F36" s="210">
        <v>36000</v>
      </c>
      <c r="G36" s="210">
        <v>0</v>
      </c>
      <c r="H36" s="101">
        <f t="shared" si="9"/>
        <v>36000</v>
      </c>
      <c r="I36" s="210"/>
      <c r="J36" s="101">
        <f t="shared" si="10"/>
        <v>36000</v>
      </c>
      <c r="K36" s="210">
        <v>0</v>
      </c>
      <c r="L36" s="101">
        <f t="shared" si="11"/>
        <v>36000</v>
      </c>
      <c r="M36" s="210">
        <v>-36000</v>
      </c>
      <c r="N36" s="101">
        <f t="shared" si="12"/>
        <v>0</v>
      </c>
      <c r="O36" s="210">
        <v>0</v>
      </c>
      <c r="P36" s="101">
        <f t="shared" si="13"/>
        <v>0</v>
      </c>
    </row>
    <row r="37" spans="1:16" s="209" customFormat="1" ht="24" customHeight="1">
      <c r="A37" s="97">
        <v>854</v>
      </c>
      <c r="B37" s="97">
        <v>85412</v>
      </c>
      <c r="C37" s="97">
        <v>2820</v>
      </c>
      <c r="D37" s="14" t="s">
        <v>499</v>
      </c>
      <c r="E37" s="228" t="s">
        <v>502</v>
      </c>
      <c r="F37" s="210"/>
      <c r="G37" s="210"/>
      <c r="H37" s="101"/>
      <c r="I37" s="210"/>
      <c r="J37" s="101"/>
      <c r="K37" s="210"/>
      <c r="L37" s="101">
        <v>0</v>
      </c>
      <c r="M37" s="210">
        <v>5680</v>
      </c>
      <c r="N37" s="101">
        <f t="shared" si="12"/>
        <v>5680</v>
      </c>
      <c r="O37" s="210">
        <v>0</v>
      </c>
      <c r="P37" s="101">
        <f t="shared" si="13"/>
        <v>5680</v>
      </c>
    </row>
    <row r="38" spans="1:16" s="209" customFormat="1" ht="24" customHeight="1">
      <c r="A38" s="97">
        <v>854</v>
      </c>
      <c r="B38" s="97">
        <v>85412</v>
      </c>
      <c r="C38" s="97">
        <v>2820</v>
      </c>
      <c r="D38" s="175" t="s">
        <v>511</v>
      </c>
      <c r="E38" s="228" t="s">
        <v>502</v>
      </c>
      <c r="F38" s="210"/>
      <c r="G38" s="210"/>
      <c r="H38" s="101"/>
      <c r="I38" s="210"/>
      <c r="J38" s="101"/>
      <c r="K38" s="210"/>
      <c r="L38" s="101">
        <v>0</v>
      </c>
      <c r="M38" s="210">
        <v>3610</v>
      </c>
      <c r="N38" s="101">
        <f t="shared" si="12"/>
        <v>3610</v>
      </c>
      <c r="O38" s="210">
        <v>0</v>
      </c>
      <c r="P38" s="101">
        <f t="shared" si="13"/>
        <v>3610</v>
      </c>
    </row>
    <row r="39" spans="1:16" s="209" customFormat="1" ht="24" customHeight="1">
      <c r="A39" s="97">
        <v>854</v>
      </c>
      <c r="B39" s="97">
        <v>85412</v>
      </c>
      <c r="C39" s="97">
        <v>2830</v>
      </c>
      <c r="D39" s="14" t="s">
        <v>498</v>
      </c>
      <c r="E39" s="228" t="s">
        <v>502</v>
      </c>
      <c r="F39" s="210"/>
      <c r="G39" s="210"/>
      <c r="H39" s="101"/>
      <c r="I39" s="210"/>
      <c r="J39" s="101"/>
      <c r="K39" s="210"/>
      <c r="L39" s="101">
        <v>0</v>
      </c>
      <c r="M39" s="210">
        <v>26710</v>
      </c>
      <c r="N39" s="101">
        <f t="shared" si="12"/>
        <v>26710</v>
      </c>
      <c r="O39" s="210">
        <v>0</v>
      </c>
      <c r="P39" s="101">
        <f t="shared" si="13"/>
        <v>26710</v>
      </c>
    </row>
    <row r="40" spans="1:16" s="209" customFormat="1" ht="22.5">
      <c r="A40" s="97">
        <v>926</v>
      </c>
      <c r="B40" s="97">
        <v>92605</v>
      </c>
      <c r="C40" s="97">
        <v>2630</v>
      </c>
      <c r="D40" s="229" t="s">
        <v>495</v>
      </c>
      <c r="E40" s="228" t="s">
        <v>189</v>
      </c>
      <c r="F40" s="210">
        <v>250000</v>
      </c>
      <c r="G40" s="210">
        <v>-247500</v>
      </c>
      <c r="H40" s="101">
        <f t="shared" si="9"/>
        <v>2500</v>
      </c>
      <c r="I40" s="210"/>
      <c r="J40" s="101">
        <f t="shared" si="10"/>
        <v>2500</v>
      </c>
      <c r="K40" s="210">
        <v>-2000</v>
      </c>
      <c r="L40" s="101">
        <f t="shared" si="11"/>
        <v>500</v>
      </c>
      <c r="M40" s="210">
        <v>70000</v>
      </c>
      <c r="N40" s="101">
        <f t="shared" si="12"/>
        <v>70500</v>
      </c>
      <c r="O40" s="210">
        <f>-65500-5000</f>
        <v>-70500</v>
      </c>
      <c r="P40" s="101">
        <f t="shared" si="13"/>
        <v>0</v>
      </c>
    </row>
    <row r="41" spans="1:16" s="212" customFormat="1" ht="22.5" hidden="1">
      <c r="A41" s="97">
        <v>926</v>
      </c>
      <c r="B41" s="97">
        <v>92605</v>
      </c>
      <c r="C41" s="207">
        <v>2630</v>
      </c>
      <c r="D41" s="175" t="s">
        <v>503</v>
      </c>
      <c r="E41" s="228" t="s">
        <v>189</v>
      </c>
      <c r="F41" s="211"/>
      <c r="G41" s="211"/>
      <c r="H41" s="101">
        <f t="shared" si="9"/>
        <v>0</v>
      </c>
      <c r="I41" s="211"/>
      <c r="J41" s="101">
        <f t="shared" si="10"/>
        <v>0</v>
      </c>
      <c r="K41" s="211"/>
      <c r="L41" s="101">
        <f t="shared" si="11"/>
        <v>0</v>
      </c>
      <c r="M41" s="211"/>
      <c r="N41" s="101">
        <f t="shared" si="12"/>
        <v>0</v>
      </c>
      <c r="O41" s="211"/>
      <c r="P41" s="101">
        <f t="shared" si="13"/>
        <v>0</v>
      </c>
    </row>
    <row r="42" spans="1:16" s="212" customFormat="1" ht="22.5" hidden="1">
      <c r="A42" s="97">
        <v>926</v>
      </c>
      <c r="B42" s="97">
        <v>92605</v>
      </c>
      <c r="C42" s="207">
        <v>2630</v>
      </c>
      <c r="D42" s="175" t="s">
        <v>504</v>
      </c>
      <c r="E42" s="228" t="s">
        <v>189</v>
      </c>
      <c r="F42" s="211"/>
      <c r="G42" s="211"/>
      <c r="H42" s="101">
        <f t="shared" si="9"/>
        <v>0</v>
      </c>
      <c r="I42" s="211"/>
      <c r="J42" s="101">
        <f t="shared" si="10"/>
        <v>0</v>
      </c>
      <c r="K42" s="211"/>
      <c r="L42" s="101">
        <f t="shared" si="11"/>
        <v>0</v>
      </c>
      <c r="M42" s="211"/>
      <c r="N42" s="101">
        <f t="shared" si="12"/>
        <v>0</v>
      </c>
      <c r="O42" s="211"/>
      <c r="P42" s="101">
        <f t="shared" si="13"/>
        <v>0</v>
      </c>
    </row>
    <row r="43" spans="1:16" s="212" customFormat="1" ht="22.5" hidden="1">
      <c r="A43" s="97">
        <v>926</v>
      </c>
      <c r="B43" s="97">
        <v>92605</v>
      </c>
      <c r="C43" s="207">
        <v>2630</v>
      </c>
      <c r="D43" s="175" t="s">
        <v>505</v>
      </c>
      <c r="E43" s="228" t="s">
        <v>189</v>
      </c>
      <c r="F43" s="211"/>
      <c r="G43" s="211"/>
      <c r="H43" s="101">
        <f t="shared" si="9"/>
        <v>0</v>
      </c>
      <c r="I43" s="211"/>
      <c r="J43" s="101">
        <f t="shared" si="10"/>
        <v>0</v>
      </c>
      <c r="K43" s="211"/>
      <c r="L43" s="101">
        <f t="shared" si="11"/>
        <v>0</v>
      </c>
      <c r="M43" s="211"/>
      <c r="N43" s="101">
        <f t="shared" si="12"/>
        <v>0</v>
      </c>
      <c r="O43" s="211"/>
      <c r="P43" s="101">
        <f t="shared" si="13"/>
        <v>0</v>
      </c>
    </row>
    <row r="44" spans="1:16" s="212" customFormat="1" ht="22.5" hidden="1">
      <c r="A44" s="97">
        <v>926</v>
      </c>
      <c r="B44" s="97">
        <v>92605</v>
      </c>
      <c r="C44" s="207">
        <v>2630</v>
      </c>
      <c r="D44" s="175" t="s">
        <v>506</v>
      </c>
      <c r="E44" s="228" t="s">
        <v>189</v>
      </c>
      <c r="F44" s="211"/>
      <c r="G44" s="211"/>
      <c r="H44" s="101">
        <f t="shared" si="9"/>
        <v>0</v>
      </c>
      <c r="I44" s="211"/>
      <c r="J44" s="101">
        <f t="shared" si="10"/>
        <v>0</v>
      </c>
      <c r="K44" s="211"/>
      <c r="L44" s="101">
        <f t="shared" si="11"/>
        <v>0</v>
      </c>
      <c r="M44" s="211"/>
      <c r="N44" s="101">
        <f t="shared" si="12"/>
        <v>0</v>
      </c>
      <c r="O44" s="211"/>
      <c r="P44" s="101">
        <f t="shared" si="13"/>
        <v>0</v>
      </c>
    </row>
    <row r="45" spans="1:16" s="212" customFormat="1" ht="22.5" hidden="1">
      <c r="A45" s="97">
        <v>926</v>
      </c>
      <c r="B45" s="97">
        <v>92605</v>
      </c>
      <c r="C45" s="207">
        <v>2630</v>
      </c>
      <c r="D45" s="175" t="s">
        <v>507</v>
      </c>
      <c r="E45" s="228" t="s">
        <v>189</v>
      </c>
      <c r="F45" s="211"/>
      <c r="G45" s="211"/>
      <c r="H45" s="101">
        <f t="shared" si="9"/>
        <v>0</v>
      </c>
      <c r="I45" s="211"/>
      <c r="J45" s="101">
        <f t="shared" si="10"/>
        <v>0</v>
      </c>
      <c r="K45" s="211"/>
      <c r="L45" s="101">
        <f t="shared" si="11"/>
        <v>0</v>
      </c>
      <c r="M45" s="211"/>
      <c r="N45" s="101">
        <f t="shared" si="12"/>
        <v>0</v>
      </c>
      <c r="O45" s="211"/>
      <c r="P45" s="101">
        <f t="shared" si="13"/>
        <v>0</v>
      </c>
    </row>
    <row r="46" spans="1:16" s="212" customFormat="1" ht="22.5" hidden="1">
      <c r="A46" s="97">
        <v>926</v>
      </c>
      <c r="B46" s="97">
        <v>92605</v>
      </c>
      <c r="C46" s="207">
        <v>2630</v>
      </c>
      <c r="D46" s="175" t="s">
        <v>508</v>
      </c>
      <c r="E46" s="228" t="s">
        <v>189</v>
      </c>
      <c r="F46" s="211"/>
      <c r="G46" s="211"/>
      <c r="H46" s="101">
        <f t="shared" si="9"/>
        <v>0</v>
      </c>
      <c r="I46" s="211"/>
      <c r="J46" s="101">
        <f t="shared" si="10"/>
        <v>0</v>
      </c>
      <c r="K46" s="211"/>
      <c r="L46" s="101">
        <f t="shared" si="11"/>
        <v>0</v>
      </c>
      <c r="M46" s="211"/>
      <c r="N46" s="101">
        <f t="shared" si="12"/>
        <v>0</v>
      </c>
      <c r="O46" s="211"/>
      <c r="P46" s="101">
        <f t="shared" si="13"/>
        <v>0</v>
      </c>
    </row>
    <row r="47" spans="1:16" s="212" customFormat="1" ht="22.5" hidden="1">
      <c r="A47" s="97">
        <v>926</v>
      </c>
      <c r="B47" s="97">
        <v>92605</v>
      </c>
      <c r="C47" s="207">
        <v>2630</v>
      </c>
      <c r="D47" s="175" t="s">
        <v>509</v>
      </c>
      <c r="E47" s="228" t="s">
        <v>189</v>
      </c>
      <c r="F47" s="211"/>
      <c r="G47" s="211"/>
      <c r="H47" s="101">
        <f t="shared" si="9"/>
        <v>0</v>
      </c>
      <c r="I47" s="211"/>
      <c r="J47" s="101">
        <f t="shared" si="10"/>
        <v>0</v>
      </c>
      <c r="K47" s="211"/>
      <c r="L47" s="101">
        <f t="shared" si="11"/>
        <v>0</v>
      </c>
      <c r="M47" s="211"/>
      <c r="N47" s="101">
        <f t="shared" si="12"/>
        <v>0</v>
      </c>
      <c r="O47" s="211"/>
      <c r="P47" s="101">
        <f t="shared" si="13"/>
        <v>0</v>
      </c>
    </row>
    <row r="48" spans="1:16" s="212" customFormat="1" ht="22.5" hidden="1">
      <c r="A48" s="97">
        <v>926</v>
      </c>
      <c r="B48" s="97">
        <v>92605</v>
      </c>
      <c r="C48" s="207">
        <v>2630</v>
      </c>
      <c r="D48" s="175" t="s">
        <v>510</v>
      </c>
      <c r="E48" s="228" t="s">
        <v>189</v>
      </c>
      <c r="F48" s="211"/>
      <c r="G48" s="211"/>
      <c r="H48" s="101">
        <f t="shared" si="9"/>
        <v>0</v>
      </c>
      <c r="I48" s="211"/>
      <c r="J48" s="101">
        <f t="shared" si="10"/>
        <v>0</v>
      </c>
      <c r="K48" s="211"/>
      <c r="L48" s="101">
        <f t="shared" si="11"/>
        <v>0</v>
      </c>
      <c r="M48" s="211"/>
      <c r="N48" s="101">
        <f t="shared" si="12"/>
        <v>0</v>
      </c>
      <c r="O48" s="211"/>
      <c r="P48" s="101">
        <f t="shared" si="13"/>
        <v>0</v>
      </c>
    </row>
    <row r="49" spans="1:16" s="212" customFormat="1" ht="22.5" hidden="1">
      <c r="A49" s="97">
        <v>926</v>
      </c>
      <c r="B49" s="97">
        <v>92605</v>
      </c>
      <c r="C49" s="207">
        <v>2630</v>
      </c>
      <c r="D49" s="175" t="s">
        <v>511</v>
      </c>
      <c r="E49" s="228" t="s">
        <v>189</v>
      </c>
      <c r="F49" s="211"/>
      <c r="G49" s="211"/>
      <c r="H49" s="101">
        <f t="shared" si="9"/>
        <v>0</v>
      </c>
      <c r="I49" s="211"/>
      <c r="J49" s="101">
        <f t="shared" si="10"/>
        <v>0</v>
      </c>
      <c r="K49" s="211"/>
      <c r="L49" s="101">
        <f t="shared" si="11"/>
        <v>0</v>
      </c>
      <c r="M49" s="211"/>
      <c r="N49" s="101">
        <f t="shared" si="12"/>
        <v>0</v>
      </c>
      <c r="O49" s="211"/>
      <c r="P49" s="101">
        <f t="shared" si="13"/>
        <v>0</v>
      </c>
    </row>
    <row r="50" spans="1:16" s="212" customFormat="1" ht="22.5" hidden="1">
      <c r="A50" s="97">
        <v>926</v>
      </c>
      <c r="B50" s="97">
        <v>92605</v>
      </c>
      <c r="C50" s="207">
        <v>2630</v>
      </c>
      <c r="D50" s="175" t="s">
        <v>512</v>
      </c>
      <c r="E50" s="228" t="s">
        <v>189</v>
      </c>
      <c r="F50" s="211"/>
      <c r="G50" s="211"/>
      <c r="H50" s="101">
        <f t="shared" si="9"/>
        <v>0</v>
      </c>
      <c r="I50" s="211"/>
      <c r="J50" s="101">
        <f t="shared" si="10"/>
        <v>0</v>
      </c>
      <c r="K50" s="211"/>
      <c r="L50" s="101">
        <f t="shared" si="11"/>
        <v>0</v>
      </c>
      <c r="M50" s="211"/>
      <c r="N50" s="101">
        <f t="shared" si="12"/>
        <v>0</v>
      </c>
      <c r="O50" s="211"/>
      <c r="P50" s="101">
        <f t="shared" si="13"/>
        <v>0</v>
      </c>
    </row>
    <row r="51" spans="1:16" s="212" customFormat="1" ht="22.5" hidden="1">
      <c r="A51" s="97">
        <v>926</v>
      </c>
      <c r="B51" s="97">
        <v>92605</v>
      </c>
      <c r="C51" s="207">
        <v>2630</v>
      </c>
      <c r="D51" s="175" t="s">
        <v>513</v>
      </c>
      <c r="E51" s="228" t="s">
        <v>189</v>
      </c>
      <c r="F51" s="211"/>
      <c r="G51" s="211"/>
      <c r="H51" s="101">
        <f t="shared" si="9"/>
        <v>0</v>
      </c>
      <c r="I51" s="211"/>
      <c r="J51" s="101">
        <f t="shared" si="10"/>
        <v>0</v>
      </c>
      <c r="K51" s="211"/>
      <c r="L51" s="101">
        <f t="shared" si="11"/>
        <v>0</v>
      </c>
      <c r="M51" s="211"/>
      <c r="N51" s="101">
        <f t="shared" si="12"/>
        <v>0</v>
      </c>
      <c r="O51" s="211"/>
      <c r="P51" s="101">
        <f t="shared" si="13"/>
        <v>0</v>
      </c>
    </row>
    <row r="52" spans="1:16" s="212" customFormat="1" ht="26.25" customHeight="1">
      <c r="A52" s="97">
        <v>926</v>
      </c>
      <c r="B52" s="97">
        <v>92605</v>
      </c>
      <c r="C52" s="97">
        <v>2820</v>
      </c>
      <c r="D52" s="175" t="s">
        <v>567</v>
      </c>
      <c r="E52" s="228" t="s">
        <v>189</v>
      </c>
      <c r="F52" s="211">
        <v>0</v>
      </c>
      <c r="G52" s="211">
        <v>131400</v>
      </c>
      <c r="H52" s="101">
        <f t="shared" si="9"/>
        <v>131400</v>
      </c>
      <c r="I52" s="211"/>
      <c r="J52" s="101">
        <f t="shared" si="10"/>
        <v>131400</v>
      </c>
      <c r="K52" s="211">
        <v>0</v>
      </c>
      <c r="L52" s="101">
        <f t="shared" si="11"/>
        <v>131400</v>
      </c>
      <c r="M52" s="211">
        <v>0</v>
      </c>
      <c r="N52" s="101">
        <f t="shared" si="12"/>
        <v>131400</v>
      </c>
      <c r="O52" s="211">
        <v>25000</v>
      </c>
      <c r="P52" s="101">
        <f t="shared" si="13"/>
        <v>156400</v>
      </c>
    </row>
    <row r="53" spans="1:16" s="212" customFormat="1" ht="26.25" customHeight="1">
      <c r="A53" s="97">
        <v>926</v>
      </c>
      <c r="B53" s="97">
        <v>92605</v>
      </c>
      <c r="C53" s="97">
        <v>2820</v>
      </c>
      <c r="D53" s="175" t="s">
        <v>504</v>
      </c>
      <c r="E53" s="228" t="s">
        <v>189</v>
      </c>
      <c r="F53" s="211">
        <v>0</v>
      </c>
      <c r="G53" s="211">
        <v>62000</v>
      </c>
      <c r="H53" s="101">
        <f t="shared" si="9"/>
        <v>62000</v>
      </c>
      <c r="I53" s="211"/>
      <c r="J53" s="101">
        <f t="shared" si="10"/>
        <v>62000</v>
      </c>
      <c r="K53" s="211">
        <v>0</v>
      </c>
      <c r="L53" s="101">
        <f t="shared" si="11"/>
        <v>62000</v>
      </c>
      <c r="M53" s="211">
        <v>0</v>
      </c>
      <c r="N53" s="101">
        <f t="shared" si="12"/>
        <v>62000</v>
      </c>
      <c r="O53" s="211">
        <v>20000</v>
      </c>
      <c r="P53" s="101">
        <f t="shared" si="13"/>
        <v>82000</v>
      </c>
    </row>
    <row r="54" spans="1:16" s="212" customFormat="1" ht="26.25" customHeight="1">
      <c r="A54" s="97">
        <v>926</v>
      </c>
      <c r="B54" s="97">
        <v>92605</v>
      </c>
      <c r="C54" s="97">
        <v>2820</v>
      </c>
      <c r="D54" s="175" t="s">
        <v>568</v>
      </c>
      <c r="E54" s="228" t="s">
        <v>189</v>
      </c>
      <c r="F54" s="211">
        <v>0</v>
      </c>
      <c r="G54" s="211">
        <v>4000</v>
      </c>
      <c r="H54" s="101">
        <f t="shared" si="9"/>
        <v>4000</v>
      </c>
      <c r="I54" s="211"/>
      <c r="J54" s="101">
        <f t="shared" si="10"/>
        <v>4000</v>
      </c>
      <c r="K54" s="211">
        <v>0</v>
      </c>
      <c r="L54" s="101">
        <f t="shared" si="11"/>
        <v>4000</v>
      </c>
      <c r="M54" s="211">
        <v>0</v>
      </c>
      <c r="N54" s="101">
        <f t="shared" si="12"/>
        <v>4000</v>
      </c>
      <c r="O54" s="211">
        <v>0</v>
      </c>
      <c r="P54" s="101">
        <f t="shared" si="13"/>
        <v>4000</v>
      </c>
    </row>
    <row r="55" spans="1:16" s="212" customFormat="1" ht="26.25" customHeight="1">
      <c r="A55" s="97">
        <v>926</v>
      </c>
      <c r="B55" s="97">
        <v>92605</v>
      </c>
      <c r="C55" s="97">
        <v>2820</v>
      </c>
      <c r="D55" s="175" t="s">
        <v>569</v>
      </c>
      <c r="E55" s="228" t="s">
        <v>189</v>
      </c>
      <c r="F55" s="211">
        <v>0</v>
      </c>
      <c r="G55" s="211">
        <v>5000</v>
      </c>
      <c r="H55" s="101">
        <f t="shared" si="9"/>
        <v>5000</v>
      </c>
      <c r="I55" s="211"/>
      <c r="J55" s="101">
        <f t="shared" si="10"/>
        <v>5000</v>
      </c>
      <c r="K55" s="211">
        <v>0</v>
      </c>
      <c r="L55" s="101">
        <f t="shared" si="11"/>
        <v>5000</v>
      </c>
      <c r="M55" s="211">
        <v>0</v>
      </c>
      <c r="N55" s="101">
        <f t="shared" si="12"/>
        <v>5000</v>
      </c>
      <c r="O55" s="211">
        <v>3500</v>
      </c>
      <c r="P55" s="101">
        <f t="shared" si="13"/>
        <v>8500</v>
      </c>
    </row>
    <row r="56" spans="1:16" s="212" customFormat="1" ht="26.25" customHeight="1">
      <c r="A56" s="97">
        <v>926</v>
      </c>
      <c r="B56" s="97">
        <v>92605</v>
      </c>
      <c r="C56" s="97">
        <v>2820</v>
      </c>
      <c r="D56" s="175" t="s">
        <v>570</v>
      </c>
      <c r="E56" s="228" t="s">
        <v>189</v>
      </c>
      <c r="F56" s="211">
        <v>0</v>
      </c>
      <c r="G56" s="211">
        <v>3500</v>
      </c>
      <c r="H56" s="101">
        <f t="shared" si="9"/>
        <v>3500</v>
      </c>
      <c r="I56" s="211"/>
      <c r="J56" s="101">
        <f t="shared" si="10"/>
        <v>3500</v>
      </c>
      <c r="K56" s="211">
        <v>0</v>
      </c>
      <c r="L56" s="101">
        <f t="shared" si="11"/>
        <v>3500</v>
      </c>
      <c r="M56" s="211">
        <v>0</v>
      </c>
      <c r="N56" s="101">
        <f t="shared" si="12"/>
        <v>3500</v>
      </c>
      <c r="O56" s="211">
        <v>2500</v>
      </c>
      <c r="P56" s="101">
        <f t="shared" si="13"/>
        <v>6000</v>
      </c>
    </row>
    <row r="57" spans="1:16" s="212" customFormat="1" ht="26.25" customHeight="1">
      <c r="A57" s="97">
        <v>926</v>
      </c>
      <c r="B57" s="97">
        <v>92605</v>
      </c>
      <c r="C57" s="97">
        <v>2820</v>
      </c>
      <c r="D57" s="175" t="s">
        <v>571</v>
      </c>
      <c r="E57" s="228" t="s">
        <v>189</v>
      </c>
      <c r="F57" s="211">
        <v>0</v>
      </c>
      <c r="G57" s="211">
        <v>8000</v>
      </c>
      <c r="H57" s="101">
        <f t="shared" si="9"/>
        <v>8000</v>
      </c>
      <c r="I57" s="211"/>
      <c r="J57" s="101">
        <f t="shared" si="10"/>
        <v>8000</v>
      </c>
      <c r="K57" s="211">
        <v>0</v>
      </c>
      <c r="L57" s="101">
        <f t="shared" si="11"/>
        <v>8000</v>
      </c>
      <c r="M57" s="211">
        <v>0</v>
      </c>
      <c r="N57" s="101">
        <f t="shared" si="12"/>
        <v>8000</v>
      </c>
      <c r="O57" s="211">
        <v>3500</v>
      </c>
      <c r="P57" s="101">
        <f t="shared" si="13"/>
        <v>11500</v>
      </c>
    </row>
    <row r="58" spans="1:16" s="212" customFormat="1" ht="26.25" customHeight="1">
      <c r="A58" s="97">
        <v>926</v>
      </c>
      <c r="B58" s="97">
        <v>92605</v>
      </c>
      <c r="C58" s="97">
        <v>2820</v>
      </c>
      <c r="D58" s="175" t="s">
        <v>572</v>
      </c>
      <c r="E58" s="228" t="s">
        <v>189</v>
      </c>
      <c r="F58" s="211">
        <v>0</v>
      </c>
      <c r="G58" s="211">
        <v>2500</v>
      </c>
      <c r="H58" s="101">
        <f t="shared" si="9"/>
        <v>2500</v>
      </c>
      <c r="I58" s="211"/>
      <c r="J58" s="101">
        <f t="shared" si="10"/>
        <v>2500</v>
      </c>
      <c r="K58" s="211">
        <v>0</v>
      </c>
      <c r="L58" s="101">
        <f t="shared" si="11"/>
        <v>2500</v>
      </c>
      <c r="M58" s="211">
        <v>0</v>
      </c>
      <c r="N58" s="101">
        <f t="shared" si="12"/>
        <v>2500</v>
      </c>
      <c r="O58" s="211">
        <v>2500</v>
      </c>
      <c r="P58" s="101">
        <f t="shared" si="13"/>
        <v>5000</v>
      </c>
    </row>
    <row r="59" spans="1:16" s="212" customFormat="1" ht="26.25" customHeight="1">
      <c r="A59" s="97">
        <v>926</v>
      </c>
      <c r="B59" s="97">
        <v>92605</v>
      </c>
      <c r="C59" s="97">
        <v>2820</v>
      </c>
      <c r="D59" s="175" t="s">
        <v>573</v>
      </c>
      <c r="E59" s="228" t="s">
        <v>189</v>
      </c>
      <c r="F59" s="211">
        <v>0</v>
      </c>
      <c r="G59" s="211">
        <v>7000</v>
      </c>
      <c r="H59" s="101">
        <f t="shared" si="9"/>
        <v>7000</v>
      </c>
      <c r="I59" s="211"/>
      <c r="J59" s="101">
        <f t="shared" si="10"/>
        <v>7000</v>
      </c>
      <c r="K59" s="211">
        <v>0</v>
      </c>
      <c r="L59" s="101">
        <f t="shared" si="11"/>
        <v>7000</v>
      </c>
      <c r="M59" s="211">
        <v>0</v>
      </c>
      <c r="N59" s="101">
        <f t="shared" si="12"/>
        <v>7000</v>
      </c>
      <c r="O59" s="211">
        <v>0</v>
      </c>
      <c r="P59" s="101">
        <f t="shared" si="13"/>
        <v>7000</v>
      </c>
    </row>
    <row r="60" spans="1:16" s="212" customFormat="1" ht="26.25" customHeight="1">
      <c r="A60" s="97">
        <v>926</v>
      </c>
      <c r="B60" s="97">
        <v>92605</v>
      </c>
      <c r="C60" s="97">
        <v>2820</v>
      </c>
      <c r="D60" s="175" t="s">
        <v>574</v>
      </c>
      <c r="E60" s="228" t="s">
        <v>189</v>
      </c>
      <c r="F60" s="211">
        <v>0</v>
      </c>
      <c r="G60" s="211">
        <v>14000</v>
      </c>
      <c r="H60" s="101">
        <f t="shared" si="9"/>
        <v>14000</v>
      </c>
      <c r="I60" s="211"/>
      <c r="J60" s="101">
        <f t="shared" si="10"/>
        <v>14000</v>
      </c>
      <c r="K60" s="211">
        <v>0</v>
      </c>
      <c r="L60" s="101">
        <f t="shared" si="11"/>
        <v>14000</v>
      </c>
      <c r="M60" s="211">
        <v>0</v>
      </c>
      <c r="N60" s="101">
        <f t="shared" si="12"/>
        <v>14000</v>
      </c>
      <c r="O60" s="211">
        <v>6000</v>
      </c>
      <c r="P60" s="101">
        <f t="shared" si="13"/>
        <v>20000</v>
      </c>
    </row>
    <row r="61" spans="1:16" s="212" customFormat="1" ht="26.25" customHeight="1">
      <c r="A61" s="97">
        <v>926</v>
      </c>
      <c r="B61" s="97">
        <v>92605</v>
      </c>
      <c r="C61" s="97">
        <v>2820</v>
      </c>
      <c r="D61" s="175" t="s">
        <v>575</v>
      </c>
      <c r="E61" s="228" t="s">
        <v>189</v>
      </c>
      <c r="F61" s="211">
        <v>0</v>
      </c>
      <c r="G61" s="211">
        <v>6000</v>
      </c>
      <c r="H61" s="101">
        <f t="shared" si="9"/>
        <v>6000</v>
      </c>
      <c r="I61" s="211"/>
      <c r="J61" s="101">
        <f t="shared" si="10"/>
        <v>6000</v>
      </c>
      <c r="K61" s="211">
        <v>0</v>
      </c>
      <c r="L61" s="101">
        <f t="shared" si="11"/>
        <v>6000</v>
      </c>
      <c r="M61" s="211">
        <v>0</v>
      </c>
      <c r="N61" s="101">
        <f t="shared" si="12"/>
        <v>6000</v>
      </c>
      <c r="O61" s="211">
        <v>2500</v>
      </c>
      <c r="P61" s="101">
        <f t="shared" si="13"/>
        <v>8500</v>
      </c>
    </row>
    <row r="62" spans="1:16" s="212" customFormat="1" ht="26.25" customHeight="1">
      <c r="A62" s="97">
        <v>926</v>
      </c>
      <c r="B62" s="97">
        <v>92605</v>
      </c>
      <c r="C62" s="97">
        <v>2820</v>
      </c>
      <c r="D62" s="175" t="s">
        <v>499</v>
      </c>
      <c r="E62" s="228" t="s">
        <v>189</v>
      </c>
      <c r="F62" s="211">
        <v>0</v>
      </c>
      <c r="G62" s="211">
        <v>1500</v>
      </c>
      <c r="H62" s="101">
        <f t="shared" si="9"/>
        <v>1500</v>
      </c>
      <c r="I62" s="211"/>
      <c r="J62" s="101">
        <f t="shared" si="10"/>
        <v>1500</v>
      </c>
      <c r="K62" s="211">
        <v>0</v>
      </c>
      <c r="L62" s="101">
        <f t="shared" si="11"/>
        <v>1500</v>
      </c>
      <c r="M62" s="211">
        <v>0</v>
      </c>
      <c r="N62" s="101">
        <f t="shared" si="12"/>
        <v>1500</v>
      </c>
      <c r="O62" s="211">
        <v>0</v>
      </c>
      <c r="P62" s="101">
        <f t="shared" si="13"/>
        <v>1500</v>
      </c>
    </row>
    <row r="63" spans="1:16" s="212" customFormat="1" ht="26.25" customHeight="1">
      <c r="A63" s="97">
        <v>926</v>
      </c>
      <c r="B63" s="97">
        <v>92605</v>
      </c>
      <c r="C63" s="97">
        <v>2820</v>
      </c>
      <c r="D63" s="175" t="s">
        <v>511</v>
      </c>
      <c r="E63" s="228" t="s">
        <v>189</v>
      </c>
      <c r="F63" s="211">
        <v>0</v>
      </c>
      <c r="G63" s="211">
        <v>2000</v>
      </c>
      <c r="H63" s="101">
        <f t="shared" si="9"/>
        <v>2000</v>
      </c>
      <c r="I63" s="211"/>
      <c r="J63" s="101">
        <f t="shared" si="10"/>
        <v>2000</v>
      </c>
      <c r="K63" s="211">
        <v>0</v>
      </c>
      <c r="L63" s="101">
        <f t="shared" si="11"/>
        <v>2000</v>
      </c>
      <c r="M63" s="211">
        <v>0</v>
      </c>
      <c r="N63" s="101">
        <f t="shared" si="12"/>
        <v>2000</v>
      </c>
      <c r="O63" s="211">
        <v>0</v>
      </c>
      <c r="P63" s="101">
        <f t="shared" si="13"/>
        <v>2000</v>
      </c>
    </row>
    <row r="64" spans="1:16" s="212" customFormat="1" ht="26.25" customHeight="1">
      <c r="A64" s="97">
        <v>926</v>
      </c>
      <c r="B64" s="97">
        <v>92605</v>
      </c>
      <c r="C64" s="97">
        <v>2830</v>
      </c>
      <c r="D64" s="175" t="s">
        <v>576</v>
      </c>
      <c r="E64" s="228" t="s">
        <v>189</v>
      </c>
      <c r="F64" s="211">
        <v>0</v>
      </c>
      <c r="G64" s="211">
        <v>600</v>
      </c>
      <c r="H64" s="101">
        <f t="shared" si="9"/>
        <v>600</v>
      </c>
      <c r="I64" s="211"/>
      <c r="J64" s="101">
        <f t="shared" si="10"/>
        <v>600</v>
      </c>
      <c r="K64" s="211">
        <v>0</v>
      </c>
      <c r="L64" s="101">
        <f t="shared" si="11"/>
        <v>600</v>
      </c>
      <c r="M64" s="211">
        <v>0</v>
      </c>
      <c r="N64" s="101">
        <f t="shared" si="12"/>
        <v>600</v>
      </c>
      <c r="O64" s="211">
        <v>0</v>
      </c>
      <c r="P64" s="101">
        <f t="shared" si="13"/>
        <v>600</v>
      </c>
    </row>
    <row r="65" spans="1:16" s="28" customFormat="1" ht="23.25" customHeight="1">
      <c r="A65" s="367" t="s">
        <v>190</v>
      </c>
      <c r="B65" s="368"/>
      <c r="C65" s="368"/>
      <c r="D65" s="368"/>
      <c r="E65" s="369"/>
      <c r="F65" s="49">
        <f>SUM(F25)</f>
        <v>352000</v>
      </c>
      <c r="G65" s="49">
        <f>SUM(G25)</f>
        <v>0</v>
      </c>
      <c r="H65" s="18">
        <f t="shared" si="9"/>
        <v>352000</v>
      </c>
      <c r="I65" s="49">
        <f>SUM(I25)</f>
        <v>-18900</v>
      </c>
      <c r="J65" s="18">
        <f t="shared" si="10"/>
        <v>333100</v>
      </c>
      <c r="K65" s="49">
        <f>SUM(K25)</f>
        <v>-2000</v>
      </c>
      <c r="L65" s="18">
        <f t="shared" si="11"/>
        <v>331100</v>
      </c>
      <c r="M65" s="49">
        <f>SUM(M25)</f>
        <v>70000</v>
      </c>
      <c r="N65" s="18">
        <f t="shared" si="12"/>
        <v>401100</v>
      </c>
      <c r="O65" s="49">
        <f>SUM(O25)</f>
        <v>-5000</v>
      </c>
      <c r="P65" s="18">
        <f t="shared" si="13"/>
        <v>396100</v>
      </c>
    </row>
    <row r="66" spans="1:16" s="28" customFormat="1" ht="24" customHeight="1">
      <c r="A66" s="231" t="s">
        <v>514</v>
      </c>
      <c r="B66" s="232"/>
      <c r="C66" s="232"/>
      <c r="D66" s="232"/>
      <c r="E66" s="232"/>
      <c r="F66" s="232"/>
      <c r="G66" s="232"/>
      <c r="H66" s="233"/>
      <c r="I66" s="232"/>
      <c r="J66" s="233"/>
      <c r="K66" s="232"/>
      <c r="L66" s="233"/>
      <c r="M66" s="232"/>
      <c r="N66" s="233"/>
      <c r="O66" s="232"/>
      <c r="P66" s="233"/>
    </row>
    <row r="67" spans="1:16" s="147" customFormat="1" ht="29.25" customHeight="1">
      <c r="A67" s="5" t="s">
        <v>112</v>
      </c>
      <c r="B67" s="5" t="s">
        <v>113</v>
      </c>
      <c r="C67" s="5" t="s">
        <v>114</v>
      </c>
      <c r="D67" s="5" t="s">
        <v>478</v>
      </c>
      <c r="E67" s="5" t="s">
        <v>479</v>
      </c>
      <c r="F67" s="174" t="s">
        <v>558</v>
      </c>
      <c r="G67" s="174" t="s">
        <v>557</v>
      </c>
      <c r="H67" s="174" t="s">
        <v>559</v>
      </c>
      <c r="I67" s="174" t="s">
        <v>557</v>
      </c>
      <c r="J67" s="174" t="s">
        <v>671</v>
      </c>
      <c r="K67" s="174" t="s">
        <v>557</v>
      </c>
      <c r="L67" s="174" t="s">
        <v>559</v>
      </c>
      <c r="M67" s="174" t="s">
        <v>557</v>
      </c>
      <c r="N67" s="174" t="s">
        <v>559</v>
      </c>
      <c r="O67" s="174" t="s">
        <v>557</v>
      </c>
      <c r="P67" s="174" t="s">
        <v>559</v>
      </c>
    </row>
    <row r="68" spans="1:16" s="202" customFormat="1" ht="33.75">
      <c r="A68" s="97">
        <v>854</v>
      </c>
      <c r="B68" s="97">
        <v>85495</v>
      </c>
      <c r="C68" s="97">
        <v>2320</v>
      </c>
      <c r="D68" s="14" t="s">
        <v>515</v>
      </c>
      <c r="E68" s="230" t="s">
        <v>516</v>
      </c>
      <c r="F68" s="210">
        <v>200000</v>
      </c>
      <c r="G68" s="210"/>
      <c r="H68" s="210">
        <v>200000</v>
      </c>
      <c r="I68" s="210"/>
      <c r="J68" s="210">
        <f>SUM(H68:I68)</f>
        <v>200000</v>
      </c>
      <c r="K68" s="210">
        <v>0</v>
      </c>
      <c r="L68" s="210">
        <f>SUM(J68:K68)</f>
        <v>200000</v>
      </c>
      <c r="M68" s="210">
        <v>0</v>
      </c>
      <c r="N68" s="210">
        <f>SUM(L68:M68)</f>
        <v>200000</v>
      </c>
      <c r="O68" s="210">
        <v>0</v>
      </c>
      <c r="P68" s="210">
        <f>SUM(N68:O68)</f>
        <v>200000</v>
      </c>
    </row>
    <row r="69" spans="1:16" s="213" customFormat="1" ht="19.5" customHeight="1">
      <c r="A69" s="97">
        <v>854</v>
      </c>
      <c r="B69" s="97">
        <v>85495</v>
      </c>
      <c r="C69" s="97">
        <v>2320</v>
      </c>
      <c r="D69" s="14" t="s">
        <v>517</v>
      </c>
      <c r="E69" s="14" t="s">
        <v>518</v>
      </c>
      <c r="F69" s="67">
        <v>26650</v>
      </c>
      <c r="G69" s="67"/>
      <c r="H69" s="67">
        <v>26650</v>
      </c>
      <c r="I69" s="67"/>
      <c r="J69" s="210">
        <f>SUM(H69:I69)</f>
        <v>26650</v>
      </c>
      <c r="K69" s="67">
        <v>0</v>
      </c>
      <c r="L69" s="210">
        <f>SUM(J69:K69)</f>
        <v>26650</v>
      </c>
      <c r="M69" s="67">
        <v>0</v>
      </c>
      <c r="N69" s="210">
        <f>SUM(L69:M69)</f>
        <v>26650</v>
      </c>
      <c r="O69" s="67">
        <v>0</v>
      </c>
      <c r="P69" s="210">
        <f>SUM(N69:O69)</f>
        <v>26650</v>
      </c>
    </row>
    <row r="70" spans="1:16" s="213" customFormat="1" ht="40.5" customHeight="1">
      <c r="A70" s="97">
        <v>854</v>
      </c>
      <c r="B70" s="97">
        <v>85407</v>
      </c>
      <c r="C70" s="97">
        <v>2320</v>
      </c>
      <c r="D70" s="14" t="s">
        <v>517</v>
      </c>
      <c r="E70" s="228" t="s">
        <v>662</v>
      </c>
      <c r="F70" s="67"/>
      <c r="G70" s="67"/>
      <c r="H70" s="67"/>
      <c r="I70" s="67"/>
      <c r="J70" s="210"/>
      <c r="K70" s="67"/>
      <c r="L70" s="210"/>
      <c r="M70" s="67"/>
      <c r="N70" s="210">
        <v>0</v>
      </c>
      <c r="O70" s="67">
        <v>3000</v>
      </c>
      <c r="P70" s="210">
        <f>SUM(N70:O70)</f>
        <v>3000</v>
      </c>
    </row>
    <row r="71" spans="1:16" s="213" customFormat="1" ht="26.25" customHeight="1">
      <c r="A71" s="97">
        <v>926</v>
      </c>
      <c r="B71" s="97">
        <v>92605</v>
      </c>
      <c r="C71" s="97">
        <v>2320</v>
      </c>
      <c r="D71" s="14" t="s">
        <v>517</v>
      </c>
      <c r="E71" s="228" t="s">
        <v>689</v>
      </c>
      <c r="F71" s="67"/>
      <c r="G71" s="67"/>
      <c r="H71" s="67">
        <v>0</v>
      </c>
      <c r="I71" s="67"/>
      <c r="J71" s="210">
        <f>SUM(H71:I71)</f>
        <v>0</v>
      </c>
      <c r="K71" s="67">
        <v>7000</v>
      </c>
      <c r="L71" s="210">
        <f>SUM(J71:K71)</f>
        <v>7000</v>
      </c>
      <c r="M71" s="67">
        <v>0</v>
      </c>
      <c r="N71" s="210">
        <f>SUM(L71:M71)</f>
        <v>7000</v>
      </c>
      <c r="O71" s="67">
        <v>-3000</v>
      </c>
      <c r="P71" s="210">
        <f>SUM(N71:O71)</f>
        <v>4000</v>
      </c>
    </row>
    <row r="72" spans="1:16" s="176" customFormat="1" ht="22.5" customHeight="1">
      <c r="A72" s="367" t="s">
        <v>190</v>
      </c>
      <c r="B72" s="368"/>
      <c r="C72" s="368"/>
      <c r="D72" s="368"/>
      <c r="E72" s="369"/>
      <c r="F72" s="49">
        <f>SUM(F68:F69)</f>
        <v>226650</v>
      </c>
      <c r="G72" s="49">
        <f>SUM(G68:G69)</f>
        <v>0</v>
      </c>
      <c r="H72" s="49">
        <f>SUM(H68:H71)</f>
        <v>226650</v>
      </c>
      <c r="I72" s="49">
        <f>SUM(I68:I71)</f>
        <v>0</v>
      </c>
      <c r="J72" s="210">
        <f>SUM(J68:J71)</f>
        <v>226650</v>
      </c>
      <c r="K72" s="210">
        <f>SUM(K68:K71)</f>
        <v>7000</v>
      </c>
      <c r="L72" s="210">
        <f>SUM(J72:K72)</f>
        <v>233650</v>
      </c>
      <c r="M72" s="210">
        <f>SUM(M68:M71)</f>
        <v>0</v>
      </c>
      <c r="N72" s="210">
        <f>SUM(L72:M72)</f>
        <v>233650</v>
      </c>
      <c r="O72" s="210">
        <f>SUM(O68:O71)</f>
        <v>0</v>
      </c>
      <c r="P72" s="210">
        <f>SUM(N72:O72)</f>
        <v>233650</v>
      </c>
    </row>
    <row r="73" spans="1:16" s="176" customFormat="1" ht="24" customHeight="1">
      <c r="A73" s="231" t="s">
        <v>601</v>
      </c>
      <c r="B73" s="232"/>
      <c r="C73" s="232"/>
      <c r="D73" s="232"/>
      <c r="E73" s="232"/>
      <c r="F73" s="232"/>
      <c r="G73" s="232"/>
      <c r="H73" s="233"/>
      <c r="I73" s="232"/>
      <c r="J73" s="233"/>
      <c r="K73" s="232"/>
      <c r="L73" s="233"/>
      <c r="M73" s="232"/>
      <c r="N73" s="233"/>
      <c r="O73" s="232"/>
      <c r="P73" s="233"/>
    </row>
    <row r="74" spans="1:16" s="176" customFormat="1" ht="25.5" customHeight="1">
      <c r="A74" s="5" t="s">
        <v>112</v>
      </c>
      <c r="B74" s="5" t="s">
        <v>113</v>
      </c>
      <c r="C74" s="5" t="s">
        <v>114</v>
      </c>
      <c r="D74" s="5" t="s">
        <v>478</v>
      </c>
      <c r="E74" s="5" t="s">
        <v>479</v>
      </c>
      <c r="F74" s="174" t="s">
        <v>558</v>
      </c>
      <c r="G74" s="174" t="s">
        <v>557</v>
      </c>
      <c r="H74" s="174" t="s">
        <v>559</v>
      </c>
      <c r="I74" s="174" t="s">
        <v>351</v>
      </c>
      <c r="J74" s="174" t="s">
        <v>671</v>
      </c>
      <c r="K74" s="174" t="s">
        <v>557</v>
      </c>
      <c r="L74" s="174" t="s">
        <v>559</v>
      </c>
      <c r="M74" s="174" t="s">
        <v>557</v>
      </c>
      <c r="N74" s="174" t="s">
        <v>559</v>
      </c>
      <c r="O74" s="174" t="s">
        <v>557</v>
      </c>
      <c r="P74" s="174" t="s">
        <v>559</v>
      </c>
    </row>
    <row r="75" spans="1:16" s="176" customFormat="1" ht="51.75" customHeight="1">
      <c r="A75" s="178">
        <v>851</v>
      </c>
      <c r="B75" s="178">
        <v>85154</v>
      </c>
      <c r="C75" s="178">
        <v>2710</v>
      </c>
      <c r="D75" s="239" t="s">
        <v>618</v>
      </c>
      <c r="E75" s="238" t="s">
        <v>619</v>
      </c>
      <c r="F75" s="237">
        <v>0</v>
      </c>
      <c r="G75" s="237"/>
      <c r="H75" s="237">
        <f>SUM(F75:G75)</f>
        <v>0</v>
      </c>
      <c r="I75" s="237">
        <v>11551</v>
      </c>
      <c r="J75" s="237">
        <f>SUM(H75:I75)</f>
        <v>11551</v>
      </c>
      <c r="K75" s="237">
        <v>0</v>
      </c>
      <c r="L75" s="237">
        <f>SUM(J75:K75)</f>
        <v>11551</v>
      </c>
      <c r="M75" s="237">
        <v>0</v>
      </c>
      <c r="N75" s="237">
        <f>SUM(L75:M75)</f>
        <v>11551</v>
      </c>
      <c r="O75" s="237">
        <v>0</v>
      </c>
      <c r="P75" s="237">
        <f>SUM(N75:O75)</f>
        <v>11551</v>
      </c>
    </row>
    <row r="76" spans="1:16" s="176" customFormat="1" ht="51.75" customHeight="1">
      <c r="A76" s="178">
        <v>853</v>
      </c>
      <c r="B76" s="178">
        <v>85311</v>
      </c>
      <c r="C76" s="178">
        <v>2710</v>
      </c>
      <c r="D76" s="239" t="s">
        <v>711</v>
      </c>
      <c r="E76" s="238" t="s">
        <v>712</v>
      </c>
      <c r="F76" s="237"/>
      <c r="G76" s="237"/>
      <c r="H76" s="237"/>
      <c r="I76" s="237"/>
      <c r="J76" s="237"/>
      <c r="K76" s="237"/>
      <c r="L76" s="237">
        <v>0</v>
      </c>
      <c r="M76" s="237">
        <v>5352</v>
      </c>
      <c r="N76" s="237">
        <f>SUM(L76:M76)</f>
        <v>5352</v>
      </c>
      <c r="O76" s="237">
        <v>0</v>
      </c>
      <c r="P76" s="237">
        <f>SUM(N76:O76)</f>
        <v>5352</v>
      </c>
    </row>
    <row r="77" spans="1:16" s="176" customFormat="1" ht="21.75" customHeight="1">
      <c r="A77" s="372" t="s">
        <v>190</v>
      </c>
      <c r="B77" s="373"/>
      <c r="C77" s="373"/>
      <c r="D77" s="373"/>
      <c r="E77" s="374"/>
      <c r="F77" s="237">
        <f>SUM(F75:F75)</f>
        <v>0</v>
      </c>
      <c r="G77" s="237">
        <f>SUM(G75:G75)</f>
        <v>0</v>
      </c>
      <c r="H77" s="237">
        <f>SUM(F77:G77)</f>
        <v>0</v>
      </c>
      <c r="I77" s="237">
        <f>SUM(I75:I75)</f>
        <v>11551</v>
      </c>
      <c r="J77" s="237">
        <f>SUM(H77:I77)</f>
        <v>11551</v>
      </c>
      <c r="K77" s="237">
        <f>SUM(K75:K75)</f>
        <v>0</v>
      </c>
      <c r="L77" s="237">
        <f>SUM(J77:K77)</f>
        <v>11551</v>
      </c>
      <c r="M77" s="237">
        <f>SUM(M75:M76)</f>
        <v>5352</v>
      </c>
      <c r="N77" s="237">
        <f>SUM(L77:M77)</f>
        <v>16903</v>
      </c>
      <c r="O77" s="237">
        <f>SUM(O75:O76)</f>
        <v>0</v>
      </c>
      <c r="P77" s="237">
        <f>SUM(N77:O77)</f>
        <v>16903</v>
      </c>
    </row>
    <row r="78" spans="1:16" s="28" customFormat="1" ht="24" customHeight="1">
      <c r="A78" s="205" t="s">
        <v>642</v>
      </c>
      <c r="B78" s="214"/>
      <c r="C78" s="214"/>
      <c r="D78" s="214"/>
      <c r="E78" s="214"/>
      <c r="F78" s="215">
        <f aca="true" t="shared" si="14" ref="F78:L78">SUM(F22,F65,F72,F77)</f>
        <v>5362098</v>
      </c>
      <c r="G78" s="215">
        <f t="shared" si="14"/>
        <v>11500</v>
      </c>
      <c r="H78" s="215">
        <f t="shared" si="14"/>
        <v>5373598</v>
      </c>
      <c r="I78" s="215">
        <f t="shared" si="14"/>
        <v>-6849</v>
      </c>
      <c r="J78" s="215">
        <f t="shared" si="14"/>
        <v>5366749</v>
      </c>
      <c r="K78" s="215">
        <f t="shared" si="14"/>
        <v>5000</v>
      </c>
      <c r="L78" s="215">
        <f t="shared" si="14"/>
        <v>5371749</v>
      </c>
      <c r="M78" s="215">
        <f>SUM(M22,M65,M72,M77)</f>
        <v>204413</v>
      </c>
      <c r="N78" s="215">
        <f>SUM(N22,N65,N72,N77)</f>
        <v>5576162</v>
      </c>
      <c r="O78" s="215">
        <f>SUM(O22,O65,O72,O77)</f>
        <v>-5000</v>
      </c>
      <c r="P78" s="215">
        <f>SUM(P22,P65,P72,P77)</f>
        <v>5571162</v>
      </c>
    </row>
    <row r="79" spans="1:5" ht="24" customHeight="1">
      <c r="A79" s="375" t="s">
        <v>640</v>
      </c>
      <c r="B79" s="375"/>
      <c r="C79" s="375"/>
      <c r="D79" s="375"/>
      <c r="E79" s="375"/>
    </row>
    <row r="80" spans="1:16" ht="20.25" customHeight="1">
      <c r="A80" s="231" t="s">
        <v>641</v>
      </c>
      <c r="B80" s="232"/>
      <c r="C80" s="232"/>
      <c r="D80" s="232"/>
      <c r="E80" s="232"/>
      <c r="F80" s="232"/>
      <c r="G80" s="232"/>
      <c r="H80" s="233"/>
      <c r="I80" s="232"/>
      <c r="J80" s="233"/>
      <c r="K80" s="232"/>
      <c r="L80" s="233"/>
      <c r="M80" s="232"/>
      <c r="N80" s="233"/>
      <c r="O80" s="232"/>
      <c r="P80" s="233"/>
    </row>
    <row r="81" spans="1:16" ht="27.75" customHeight="1">
      <c r="A81" s="5" t="s">
        <v>112</v>
      </c>
      <c r="B81" s="5" t="s">
        <v>113</v>
      </c>
      <c r="C81" s="5" t="s">
        <v>114</v>
      </c>
      <c r="D81" s="5" t="s">
        <v>478</v>
      </c>
      <c r="E81" s="5" t="s">
        <v>479</v>
      </c>
      <c r="F81" s="174" t="s">
        <v>558</v>
      </c>
      <c r="G81" s="174" t="s">
        <v>557</v>
      </c>
      <c r="H81" s="174" t="s">
        <v>559</v>
      </c>
      <c r="I81" s="174" t="s">
        <v>351</v>
      </c>
      <c r="J81" s="174" t="s">
        <v>671</v>
      </c>
      <c r="K81" s="174" t="s">
        <v>557</v>
      </c>
      <c r="L81" s="174" t="s">
        <v>559</v>
      </c>
      <c r="M81" s="174" t="s">
        <v>557</v>
      </c>
      <c r="N81" s="174" t="s">
        <v>559</v>
      </c>
      <c r="O81" s="174" t="s">
        <v>557</v>
      </c>
      <c r="P81" s="174" t="s">
        <v>559</v>
      </c>
    </row>
    <row r="82" spans="1:16" ht="78.75">
      <c r="A82" s="178">
        <v>600</v>
      </c>
      <c r="B82" s="178">
        <v>60013</v>
      </c>
      <c r="C82" s="178">
        <v>6300</v>
      </c>
      <c r="D82" s="239" t="s">
        <v>620</v>
      </c>
      <c r="E82" s="238" t="s">
        <v>621</v>
      </c>
      <c r="F82" s="237">
        <v>0</v>
      </c>
      <c r="G82" s="237"/>
      <c r="H82" s="237">
        <f>SUM(F82:G82)</f>
        <v>0</v>
      </c>
      <c r="I82" s="237">
        <v>30000</v>
      </c>
      <c r="J82" s="237">
        <f>SUM(H82:I82)</f>
        <v>30000</v>
      </c>
      <c r="K82" s="237">
        <v>0</v>
      </c>
      <c r="L82" s="237">
        <f>SUM(J82:K82)</f>
        <v>30000</v>
      </c>
      <c r="M82" s="237">
        <v>0</v>
      </c>
      <c r="N82" s="237">
        <f>SUM(L82:M82)</f>
        <v>30000</v>
      </c>
      <c r="O82" s="237">
        <v>0</v>
      </c>
      <c r="P82" s="237">
        <f>SUM(N82:O82)</f>
        <v>30000</v>
      </c>
    </row>
    <row r="83" spans="1:16" ht="23.25" customHeight="1">
      <c r="A83" s="372" t="s">
        <v>190</v>
      </c>
      <c r="B83" s="373"/>
      <c r="C83" s="373"/>
      <c r="D83" s="373"/>
      <c r="E83" s="374"/>
      <c r="F83" s="237">
        <f>SUM(F82:F82)</f>
        <v>0</v>
      </c>
      <c r="G83" s="237">
        <f>SUM(G82:G82)</f>
        <v>0</v>
      </c>
      <c r="H83" s="237">
        <f>SUM(F83:G83)</f>
        <v>0</v>
      </c>
      <c r="I83" s="237">
        <f>SUM(I82:I82)</f>
        <v>30000</v>
      </c>
      <c r="J83" s="237">
        <f>SUM(H83:I83)</f>
        <v>30000</v>
      </c>
      <c r="K83" s="237">
        <f>SUM(K82:K82)</f>
        <v>0</v>
      </c>
      <c r="L83" s="237">
        <f>SUM(J83:K83)</f>
        <v>30000</v>
      </c>
      <c r="M83" s="237">
        <f>SUM(M82:M82)</f>
        <v>0</v>
      </c>
      <c r="N83" s="237">
        <f>SUM(L83:M83)</f>
        <v>30000</v>
      </c>
      <c r="O83" s="237">
        <f>SUM(O82:O82)</f>
        <v>0</v>
      </c>
      <c r="P83" s="237">
        <f>SUM(N83:O83)</f>
        <v>30000</v>
      </c>
    </row>
    <row r="84" spans="1:16" ht="22.5" customHeight="1">
      <c r="A84" s="231" t="s">
        <v>86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3"/>
      <c r="O84" s="232"/>
      <c r="P84" s="233"/>
    </row>
    <row r="85" spans="1:16" ht="64.5" customHeight="1">
      <c r="A85" s="225">
        <v>754</v>
      </c>
      <c r="B85" s="225">
        <v>75411</v>
      </c>
      <c r="C85" s="225">
        <v>6220</v>
      </c>
      <c r="D85" s="337" t="s">
        <v>85</v>
      </c>
      <c r="E85" s="338" t="s">
        <v>110</v>
      </c>
      <c r="F85" s="339"/>
      <c r="G85" s="339"/>
      <c r="H85" s="339"/>
      <c r="I85" s="339"/>
      <c r="J85" s="339"/>
      <c r="K85" s="339"/>
      <c r="L85" s="339">
        <v>0</v>
      </c>
      <c r="M85" s="339">
        <v>25000</v>
      </c>
      <c r="N85" s="339">
        <f>SUM(L85:M85)</f>
        <v>25000</v>
      </c>
      <c r="O85" s="339">
        <v>-25000</v>
      </c>
      <c r="P85" s="339">
        <f>SUM(N85:O85)</f>
        <v>0</v>
      </c>
    </row>
    <row r="86" spans="1:16" ht="64.5" customHeight="1">
      <c r="A86" s="225">
        <v>754</v>
      </c>
      <c r="B86" s="225">
        <v>75411</v>
      </c>
      <c r="C86" s="225">
        <v>6620</v>
      </c>
      <c r="D86" s="337" t="s">
        <v>711</v>
      </c>
      <c r="E86" s="338" t="s">
        <v>110</v>
      </c>
      <c r="F86" s="339"/>
      <c r="G86" s="339"/>
      <c r="H86" s="339"/>
      <c r="I86" s="339"/>
      <c r="J86" s="339"/>
      <c r="K86" s="339"/>
      <c r="L86" s="339">
        <v>0</v>
      </c>
      <c r="M86" s="339"/>
      <c r="N86" s="339">
        <f>SUM(L86:M86)</f>
        <v>0</v>
      </c>
      <c r="O86" s="339">
        <v>25000</v>
      </c>
      <c r="P86" s="339">
        <f>SUM(N86:O86)</f>
        <v>25000</v>
      </c>
    </row>
    <row r="87" spans="1:16" ht="23.25" customHeight="1">
      <c r="A87" s="376" t="s">
        <v>190</v>
      </c>
      <c r="B87" s="377"/>
      <c r="C87" s="377"/>
      <c r="D87" s="377"/>
      <c r="E87" s="378"/>
      <c r="F87" s="339"/>
      <c r="G87" s="339"/>
      <c r="H87" s="339"/>
      <c r="I87" s="339"/>
      <c r="J87" s="339"/>
      <c r="K87" s="339"/>
      <c r="L87" s="339">
        <f>SUM(L85:L86)</f>
        <v>0</v>
      </c>
      <c r="M87" s="339">
        <f>SUM(M85:M86)</f>
        <v>25000</v>
      </c>
      <c r="N87" s="339">
        <f>SUM(N85:N86)</f>
        <v>25000</v>
      </c>
      <c r="O87" s="339">
        <f>SUM(O85:O86)</f>
        <v>0</v>
      </c>
      <c r="P87" s="339">
        <f>SUM(P85:P86)</f>
        <v>25000</v>
      </c>
    </row>
    <row r="88" spans="1:16" s="244" customFormat="1" ht="21.75" customHeight="1">
      <c r="A88" s="245" t="s">
        <v>643</v>
      </c>
      <c r="B88" s="246"/>
      <c r="C88" s="246"/>
      <c r="D88" s="246"/>
      <c r="E88" s="246"/>
      <c r="F88" s="246"/>
      <c r="G88" s="246"/>
      <c r="H88" s="247">
        <f>SUM(H83)</f>
        <v>0</v>
      </c>
      <c r="I88" s="247">
        <f>SUM(I83)</f>
        <v>30000</v>
      </c>
      <c r="J88" s="247">
        <f>SUM(J83)</f>
        <v>30000</v>
      </c>
      <c r="K88" s="247">
        <f>SUM(K83)</f>
        <v>0</v>
      </c>
      <c r="L88" s="247">
        <f>SUM(L83,L87)</f>
        <v>30000</v>
      </c>
      <c r="M88" s="247">
        <f>SUM(M83,M87)</f>
        <v>25000</v>
      </c>
      <c r="N88" s="247">
        <f>SUM(N83,N87)</f>
        <v>55000</v>
      </c>
      <c r="O88" s="247">
        <f>SUM(O83,O87)</f>
        <v>0</v>
      </c>
      <c r="P88" s="247">
        <f>SUM(P83,P87)</f>
        <v>55000</v>
      </c>
    </row>
    <row r="89" spans="1:16" ht="20.25">
      <c r="A89" s="371" t="s">
        <v>645</v>
      </c>
      <c r="B89" s="371"/>
      <c r="C89" s="371"/>
      <c r="D89" s="371"/>
      <c r="E89" s="371"/>
      <c r="H89" s="248">
        <f aca="true" t="shared" si="15" ref="H89:M89">SUM(H88,H78)</f>
        <v>5373598</v>
      </c>
      <c r="I89" s="248">
        <f t="shared" si="15"/>
        <v>23151</v>
      </c>
      <c r="J89" s="248">
        <f t="shared" si="15"/>
        <v>5396749</v>
      </c>
      <c r="K89" s="248">
        <f t="shared" si="15"/>
        <v>5000</v>
      </c>
      <c r="L89" s="248">
        <f t="shared" si="15"/>
        <v>5401749</v>
      </c>
      <c r="M89" s="248">
        <f t="shared" si="15"/>
        <v>229413</v>
      </c>
      <c r="N89" s="248">
        <f>SUM(L89:M89)</f>
        <v>5631162</v>
      </c>
      <c r="O89" s="248">
        <f>SUM(O88,O78)</f>
        <v>-5000</v>
      </c>
      <c r="P89" s="248">
        <f>SUM(N89:O89)</f>
        <v>5626162</v>
      </c>
    </row>
  </sheetData>
  <sheetProtection/>
  <mergeCells count="10">
    <mergeCell ref="A5:F5"/>
    <mergeCell ref="A22:E22"/>
    <mergeCell ref="A65:E65"/>
    <mergeCell ref="A72:E72"/>
    <mergeCell ref="A6:E6"/>
    <mergeCell ref="A89:E89"/>
    <mergeCell ref="A83:E83"/>
    <mergeCell ref="A79:E79"/>
    <mergeCell ref="A77:E77"/>
    <mergeCell ref="A87:E87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F86"/>
  <sheetViews>
    <sheetView zoomScalePageLayoutView="0" workbookViewId="0" topLeftCell="A60">
      <selection activeCell="U20" sqref="U20"/>
    </sheetView>
  </sheetViews>
  <sheetFormatPr defaultColWidth="9.00390625" defaultRowHeight="12.75"/>
  <cols>
    <col min="1" max="1" width="4.875" style="8" customWidth="1"/>
    <col min="2" max="2" width="7.375" style="8" customWidth="1"/>
    <col min="3" max="3" width="5.75390625" style="8" customWidth="1"/>
    <col min="4" max="4" width="34.625" style="8" customWidth="1"/>
    <col min="5" max="5" width="11.25390625" style="0" hidden="1" customWidth="1"/>
    <col min="6" max="6" width="39.75390625" style="0" hidden="1" customWidth="1"/>
    <col min="7" max="7" width="10.00390625" style="0" hidden="1" customWidth="1"/>
    <col min="8" max="8" width="37.625" style="0" hidden="1" customWidth="1"/>
    <col min="9" max="9" width="10.00390625" style="0" hidden="1" customWidth="1"/>
    <col min="10" max="10" width="12.875" style="0" hidden="1" customWidth="1"/>
    <col min="11" max="11" width="12.00390625" style="0" hidden="1" customWidth="1"/>
    <col min="12" max="12" width="14.625" style="0" hidden="1" customWidth="1"/>
    <col min="13" max="13" width="13.00390625" style="0" hidden="1" customWidth="1"/>
    <col min="14" max="14" width="12.625" style="0" hidden="1" customWidth="1"/>
    <col min="15" max="15" width="10.375" style="0" hidden="1" customWidth="1"/>
    <col min="16" max="18" width="12.625" style="0" customWidth="1"/>
  </cols>
  <sheetData>
    <row r="1" spans="5:18" ht="12.75">
      <c r="E1" s="70"/>
      <c r="F1" s="70" t="s">
        <v>542</v>
      </c>
      <c r="G1" s="70"/>
      <c r="H1" s="123" t="s">
        <v>676</v>
      </c>
      <c r="I1" s="70"/>
      <c r="J1" s="123" t="s">
        <v>698</v>
      </c>
      <c r="K1" s="70"/>
      <c r="L1" s="123" t="s">
        <v>78</v>
      </c>
      <c r="M1" s="123"/>
      <c r="N1" s="123"/>
      <c r="O1" s="123"/>
      <c r="P1" s="123" t="s">
        <v>384</v>
      </c>
      <c r="Q1" s="123"/>
      <c r="R1" s="70"/>
    </row>
    <row r="2" spans="4:18" ht="12.75">
      <c r="D2" s="8" t="s">
        <v>376</v>
      </c>
      <c r="E2" s="70"/>
      <c r="F2" s="70" t="s">
        <v>532</v>
      </c>
      <c r="G2" s="70"/>
      <c r="H2" s="123" t="s">
        <v>672</v>
      </c>
      <c r="I2" s="70"/>
      <c r="J2" s="123" t="s">
        <v>693</v>
      </c>
      <c r="K2" s="70"/>
      <c r="L2" s="123" t="s">
        <v>74</v>
      </c>
      <c r="M2" s="123"/>
      <c r="N2" s="123"/>
      <c r="O2" s="123"/>
      <c r="P2" s="123" t="s">
        <v>381</v>
      </c>
      <c r="Q2" s="123"/>
      <c r="R2" s="70"/>
    </row>
    <row r="3" spans="4:18" ht="12.75">
      <c r="D3" s="8" t="s">
        <v>374</v>
      </c>
      <c r="E3" s="70"/>
      <c r="F3" s="70" t="s">
        <v>543</v>
      </c>
      <c r="G3" s="70"/>
      <c r="H3" s="123" t="s">
        <v>678</v>
      </c>
      <c r="I3" s="70"/>
      <c r="J3" s="123" t="s">
        <v>676</v>
      </c>
      <c r="K3" s="70"/>
      <c r="L3" s="123" t="s">
        <v>698</v>
      </c>
      <c r="M3" s="123"/>
      <c r="N3" s="123"/>
      <c r="O3" s="123"/>
      <c r="P3" s="123" t="s">
        <v>52</v>
      </c>
      <c r="Q3" s="123"/>
      <c r="R3" s="70"/>
    </row>
    <row r="4" spans="5:18" ht="12.75">
      <c r="E4" s="70"/>
      <c r="F4" s="70" t="s">
        <v>541</v>
      </c>
      <c r="G4" s="70"/>
      <c r="H4" s="123" t="s">
        <v>541</v>
      </c>
      <c r="I4" s="70"/>
      <c r="J4" s="123" t="s">
        <v>682</v>
      </c>
      <c r="K4" s="70"/>
      <c r="L4" s="123" t="s">
        <v>701</v>
      </c>
      <c r="M4" s="123"/>
      <c r="N4" s="123"/>
      <c r="O4" s="123"/>
      <c r="P4" s="123" t="s">
        <v>26</v>
      </c>
      <c r="Q4" s="123"/>
      <c r="R4" s="70"/>
    </row>
    <row r="6" spans="1:18" s="244" customFormat="1" ht="36.75" customHeight="1">
      <c r="A6" s="379" t="s">
        <v>540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s="8" customFormat="1" ht="24.75" customHeight="1">
      <c r="A7" s="12" t="s">
        <v>112</v>
      </c>
      <c r="B7" s="12" t="s">
        <v>113</v>
      </c>
      <c r="C7" s="12" t="s">
        <v>114</v>
      </c>
      <c r="D7" s="17" t="s">
        <v>115</v>
      </c>
      <c r="E7" s="124" t="s">
        <v>270</v>
      </c>
      <c r="F7" s="124" t="s">
        <v>537</v>
      </c>
      <c r="G7" s="124" t="s">
        <v>347</v>
      </c>
      <c r="H7" s="124" t="s">
        <v>671</v>
      </c>
      <c r="I7" s="124" t="s">
        <v>351</v>
      </c>
      <c r="J7" s="124" t="s">
        <v>671</v>
      </c>
      <c r="K7" s="124" t="s">
        <v>557</v>
      </c>
      <c r="L7" s="124" t="s">
        <v>671</v>
      </c>
      <c r="M7" s="124" t="s">
        <v>557</v>
      </c>
      <c r="N7" s="124" t="s">
        <v>558</v>
      </c>
      <c r="O7" s="124" t="s">
        <v>557</v>
      </c>
      <c r="P7" s="124" t="s">
        <v>679</v>
      </c>
      <c r="Q7" s="124" t="s">
        <v>557</v>
      </c>
      <c r="R7" s="124" t="s">
        <v>679</v>
      </c>
    </row>
    <row r="8" spans="1:18" s="8" customFormat="1" ht="24.75" customHeight="1">
      <c r="A8" s="40" t="s">
        <v>116</v>
      </c>
      <c r="B8" s="74"/>
      <c r="C8" s="112"/>
      <c r="D8" s="43" t="s">
        <v>117</v>
      </c>
      <c r="E8" s="124"/>
      <c r="F8" s="124"/>
      <c r="G8" s="124"/>
      <c r="H8" s="157">
        <f aca="true" t="shared" si="0" ref="H8:R8">SUM(H9)</f>
        <v>0</v>
      </c>
      <c r="I8" s="157">
        <f t="shared" si="0"/>
        <v>98263</v>
      </c>
      <c r="J8" s="157">
        <f t="shared" si="0"/>
        <v>98263</v>
      </c>
      <c r="K8" s="157">
        <f t="shared" si="0"/>
        <v>0</v>
      </c>
      <c r="L8" s="157">
        <f t="shared" si="0"/>
        <v>98263</v>
      </c>
      <c r="M8" s="157">
        <f t="shared" si="0"/>
        <v>0</v>
      </c>
      <c r="N8" s="157">
        <f t="shared" si="0"/>
        <v>98263</v>
      </c>
      <c r="O8" s="157">
        <f t="shared" si="0"/>
        <v>0</v>
      </c>
      <c r="P8" s="157">
        <f t="shared" si="0"/>
        <v>98263</v>
      </c>
      <c r="Q8" s="157">
        <f t="shared" si="0"/>
        <v>0</v>
      </c>
      <c r="R8" s="157">
        <f t="shared" si="0"/>
        <v>98263</v>
      </c>
    </row>
    <row r="9" spans="1:18" s="8" customFormat="1" ht="24.75" customHeight="1">
      <c r="A9" s="84"/>
      <c r="B9" s="81" t="s">
        <v>622</v>
      </c>
      <c r="C9" s="258"/>
      <c r="D9" s="45" t="s">
        <v>118</v>
      </c>
      <c r="E9" s="124"/>
      <c r="F9" s="124"/>
      <c r="G9" s="124"/>
      <c r="H9" s="158">
        <f aca="true" t="shared" si="1" ref="H9:N9">SUM(H10:H12)</f>
        <v>0</v>
      </c>
      <c r="I9" s="158">
        <f t="shared" si="1"/>
        <v>98263</v>
      </c>
      <c r="J9" s="158">
        <f t="shared" si="1"/>
        <v>98263</v>
      </c>
      <c r="K9" s="158">
        <f t="shared" si="1"/>
        <v>0</v>
      </c>
      <c r="L9" s="158">
        <f t="shared" si="1"/>
        <v>98263</v>
      </c>
      <c r="M9" s="158">
        <f t="shared" si="1"/>
        <v>0</v>
      </c>
      <c r="N9" s="158">
        <f t="shared" si="1"/>
        <v>98263</v>
      </c>
      <c r="O9" s="158">
        <f>SUM(O10:O12)</f>
        <v>0</v>
      </c>
      <c r="P9" s="158">
        <f>SUM(P10:P12)</f>
        <v>98263</v>
      </c>
      <c r="Q9" s="158">
        <f>SUM(Q10:Q12)</f>
        <v>0</v>
      </c>
      <c r="R9" s="158">
        <f>SUM(R10:R12)</f>
        <v>98263</v>
      </c>
    </row>
    <row r="10" spans="1:18" s="27" customFormat="1" ht="24.75" customHeight="1">
      <c r="A10" s="84"/>
      <c r="B10" s="81"/>
      <c r="C10" s="258">
        <v>4300</v>
      </c>
      <c r="D10" s="14" t="s">
        <v>201</v>
      </c>
      <c r="E10" s="260"/>
      <c r="F10" s="260"/>
      <c r="G10" s="260"/>
      <c r="H10" s="218">
        <v>0</v>
      </c>
      <c r="I10" s="218">
        <v>1500</v>
      </c>
      <c r="J10" s="218">
        <f>SUM(H10:I10)</f>
        <v>1500</v>
      </c>
      <c r="K10" s="218">
        <v>0</v>
      </c>
      <c r="L10" s="218">
        <f>SUM(J10:K10)</f>
        <v>1500</v>
      </c>
      <c r="M10" s="218">
        <v>0</v>
      </c>
      <c r="N10" s="218">
        <f>SUM(L10:M10)</f>
        <v>1500</v>
      </c>
      <c r="O10" s="218">
        <v>0</v>
      </c>
      <c r="P10" s="218">
        <f>SUM(N10:O10)</f>
        <v>1500</v>
      </c>
      <c r="Q10" s="218">
        <v>0</v>
      </c>
      <c r="R10" s="218">
        <f>SUM(P10:Q10)</f>
        <v>1500</v>
      </c>
    </row>
    <row r="11" spans="1:18" s="27" customFormat="1" ht="24.75" customHeight="1">
      <c r="A11" s="97"/>
      <c r="B11" s="97"/>
      <c r="C11" s="89">
        <v>4430</v>
      </c>
      <c r="D11" s="45" t="s">
        <v>216</v>
      </c>
      <c r="E11" s="260"/>
      <c r="F11" s="260"/>
      <c r="G11" s="260"/>
      <c r="H11" s="218">
        <v>0</v>
      </c>
      <c r="I11" s="218">
        <v>96336</v>
      </c>
      <c r="J11" s="218">
        <f>SUM(H11:I11)</f>
        <v>96336</v>
      </c>
      <c r="K11" s="218">
        <v>0</v>
      </c>
      <c r="L11" s="218">
        <f>SUM(J11:K11)</f>
        <v>96336</v>
      </c>
      <c r="M11" s="218">
        <v>0</v>
      </c>
      <c r="N11" s="218">
        <f>SUM(L11:M11)</f>
        <v>96336</v>
      </c>
      <c r="O11" s="218">
        <v>0</v>
      </c>
      <c r="P11" s="218">
        <f>SUM(N11:O11)</f>
        <v>96336</v>
      </c>
      <c r="Q11" s="218">
        <v>0</v>
      </c>
      <c r="R11" s="218">
        <f>SUM(P11:Q11)</f>
        <v>96336</v>
      </c>
    </row>
    <row r="12" spans="1:18" s="27" customFormat="1" ht="26.25" customHeight="1">
      <c r="A12" s="97"/>
      <c r="B12" s="97"/>
      <c r="C12" s="61">
        <v>4740</v>
      </c>
      <c r="D12" s="14" t="s">
        <v>48</v>
      </c>
      <c r="E12" s="260"/>
      <c r="F12" s="260"/>
      <c r="G12" s="260"/>
      <c r="H12" s="218">
        <v>0</v>
      </c>
      <c r="I12" s="218">
        <v>427</v>
      </c>
      <c r="J12" s="218">
        <f>SUM(H12:I12)</f>
        <v>427</v>
      </c>
      <c r="K12" s="218">
        <v>0</v>
      </c>
      <c r="L12" s="218">
        <f>SUM(J12:K12)</f>
        <v>427</v>
      </c>
      <c r="M12" s="218">
        <v>0</v>
      </c>
      <c r="N12" s="218">
        <f>SUM(L12:M12)</f>
        <v>427</v>
      </c>
      <c r="O12" s="218">
        <v>0</v>
      </c>
      <c r="P12" s="218">
        <f>SUM(N12:O12)</f>
        <v>427</v>
      </c>
      <c r="Q12" s="218">
        <v>0</v>
      </c>
      <c r="R12" s="218">
        <f>SUM(P12:Q12)</f>
        <v>427</v>
      </c>
    </row>
    <row r="13" spans="1:18" s="27" customFormat="1" ht="24.75" customHeight="1">
      <c r="A13" s="37" t="s">
        <v>130</v>
      </c>
      <c r="B13" s="5"/>
      <c r="C13" s="23"/>
      <c r="D13" s="35" t="s">
        <v>131</v>
      </c>
      <c r="E13" s="49">
        <f>SUM(E14)</f>
        <v>144800</v>
      </c>
      <c r="F13" s="49">
        <f>SUM(F14)</f>
        <v>0</v>
      </c>
      <c r="G13" s="49">
        <f>SUM(G14)</f>
        <v>0</v>
      </c>
      <c r="H13" s="49">
        <f>E13+F13-G13</f>
        <v>144800</v>
      </c>
      <c r="I13" s="49">
        <f>SUM(I14)</f>
        <v>0</v>
      </c>
      <c r="J13" s="49">
        <f>H13+I13</f>
        <v>144800</v>
      </c>
      <c r="K13" s="49">
        <f>SUM(K14)</f>
        <v>0</v>
      </c>
      <c r="L13" s="49">
        <f>J13+K13</f>
        <v>144800</v>
      </c>
      <c r="M13" s="49">
        <f>SUM(M14)</f>
        <v>0</v>
      </c>
      <c r="N13" s="49">
        <f>L13+M13</f>
        <v>144800</v>
      </c>
      <c r="O13" s="49">
        <f>SUM(O14)</f>
        <v>0</v>
      </c>
      <c r="P13" s="49">
        <f>N13+O13</f>
        <v>144800</v>
      </c>
      <c r="Q13" s="49">
        <f>SUM(Q14)</f>
        <v>0</v>
      </c>
      <c r="R13" s="49">
        <f>P13+Q13</f>
        <v>144800</v>
      </c>
    </row>
    <row r="14" spans="1:18" s="27" customFormat="1" ht="24.75" customHeight="1">
      <c r="A14" s="87"/>
      <c r="B14" s="87">
        <v>75011</v>
      </c>
      <c r="C14" s="95"/>
      <c r="D14" s="92" t="s">
        <v>132</v>
      </c>
      <c r="E14" s="108">
        <f>SUM(E15:E19)</f>
        <v>144800</v>
      </c>
      <c r="F14" s="108">
        <f>SUM(F15:F19)</f>
        <v>0</v>
      </c>
      <c r="G14" s="108">
        <f>SUM(G15:G19)</f>
        <v>0</v>
      </c>
      <c r="H14" s="108">
        <f aca="true" t="shared" si="2" ref="H14:H67">E14+F14-G14</f>
        <v>144800</v>
      </c>
      <c r="I14" s="108">
        <f>SUM(I15:I19)</f>
        <v>0</v>
      </c>
      <c r="J14" s="108">
        <f>H14+I14</f>
        <v>144800</v>
      </c>
      <c r="K14" s="108">
        <f>SUM(K15:K19)</f>
        <v>0</v>
      </c>
      <c r="L14" s="108">
        <f>J14+K14</f>
        <v>144800</v>
      </c>
      <c r="M14" s="108">
        <f>SUM(M15:M19)</f>
        <v>0</v>
      </c>
      <c r="N14" s="108">
        <f>L14+M14</f>
        <v>144800</v>
      </c>
      <c r="O14" s="108">
        <f>SUM(O15:O19)</f>
        <v>0</v>
      </c>
      <c r="P14" s="108">
        <f>N14+O14</f>
        <v>144800</v>
      </c>
      <c r="Q14" s="108">
        <f>SUM(Q15:Q19)</f>
        <v>0</v>
      </c>
      <c r="R14" s="108">
        <f>P14+Q14</f>
        <v>144800</v>
      </c>
    </row>
    <row r="15" spans="1:18" s="27" customFormat="1" ht="21.75" customHeight="1">
      <c r="A15" s="87"/>
      <c r="B15" s="61"/>
      <c r="C15" s="88">
        <v>4010</v>
      </c>
      <c r="D15" s="92" t="s">
        <v>206</v>
      </c>
      <c r="E15" s="108">
        <v>98200</v>
      </c>
      <c r="F15" s="108"/>
      <c r="G15" s="108"/>
      <c r="H15" s="108">
        <f t="shared" si="2"/>
        <v>98200</v>
      </c>
      <c r="I15" s="108">
        <v>0</v>
      </c>
      <c r="J15" s="108">
        <f aca="true" t="shared" si="3" ref="J15:J67">H15+I15</f>
        <v>98200</v>
      </c>
      <c r="K15" s="108">
        <v>0</v>
      </c>
      <c r="L15" s="108">
        <f aca="true" t="shared" si="4" ref="L15:L67">J15+K15</f>
        <v>98200</v>
      </c>
      <c r="M15" s="108">
        <v>0</v>
      </c>
      <c r="N15" s="108">
        <f aca="true" t="shared" si="5" ref="N15:N67">L15+M15</f>
        <v>98200</v>
      </c>
      <c r="O15" s="108">
        <v>0</v>
      </c>
      <c r="P15" s="108">
        <f aca="true" t="shared" si="6" ref="P15:P67">N15+O15</f>
        <v>98200</v>
      </c>
      <c r="Q15" s="108">
        <v>0</v>
      </c>
      <c r="R15" s="108">
        <f aca="true" t="shared" si="7" ref="R15:R67">P15+Q15</f>
        <v>98200</v>
      </c>
    </row>
    <row r="16" spans="1:18" s="27" customFormat="1" ht="21.75" customHeight="1">
      <c r="A16" s="87"/>
      <c r="B16" s="61"/>
      <c r="C16" s="88">
        <v>4040</v>
      </c>
      <c r="D16" s="92" t="s">
        <v>207</v>
      </c>
      <c r="E16" s="108">
        <v>16500</v>
      </c>
      <c r="F16" s="108"/>
      <c r="G16" s="108"/>
      <c r="H16" s="108">
        <f t="shared" si="2"/>
        <v>16500</v>
      </c>
      <c r="I16" s="108">
        <v>0</v>
      </c>
      <c r="J16" s="108">
        <f t="shared" si="3"/>
        <v>16500</v>
      </c>
      <c r="K16" s="108">
        <v>0</v>
      </c>
      <c r="L16" s="108">
        <f t="shared" si="4"/>
        <v>16500</v>
      </c>
      <c r="M16" s="108">
        <v>0</v>
      </c>
      <c r="N16" s="108">
        <f t="shared" si="5"/>
        <v>16500</v>
      </c>
      <c r="O16" s="108">
        <v>0</v>
      </c>
      <c r="P16" s="108">
        <f t="shared" si="6"/>
        <v>16500</v>
      </c>
      <c r="Q16" s="108">
        <v>0</v>
      </c>
      <c r="R16" s="108">
        <f t="shared" si="7"/>
        <v>16500</v>
      </c>
    </row>
    <row r="17" spans="1:18" s="27" customFormat="1" ht="21.75" customHeight="1">
      <c r="A17" s="87"/>
      <c r="B17" s="61"/>
      <c r="C17" s="88">
        <v>4110</v>
      </c>
      <c r="D17" s="92" t="s">
        <v>208</v>
      </c>
      <c r="E17" s="108">
        <v>19950</v>
      </c>
      <c r="F17" s="108"/>
      <c r="G17" s="108"/>
      <c r="H17" s="108">
        <f t="shared" si="2"/>
        <v>19950</v>
      </c>
      <c r="I17" s="108">
        <v>0</v>
      </c>
      <c r="J17" s="108">
        <f t="shared" si="3"/>
        <v>19950</v>
      </c>
      <c r="K17" s="108">
        <v>0</v>
      </c>
      <c r="L17" s="108">
        <f t="shared" si="4"/>
        <v>19950</v>
      </c>
      <c r="M17" s="108">
        <v>0</v>
      </c>
      <c r="N17" s="108">
        <f t="shared" si="5"/>
        <v>19950</v>
      </c>
      <c r="O17" s="108">
        <v>0</v>
      </c>
      <c r="P17" s="108">
        <f t="shared" si="6"/>
        <v>19950</v>
      </c>
      <c r="Q17" s="108">
        <v>0</v>
      </c>
      <c r="R17" s="108">
        <f t="shared" si="7"/>
        <v>19950</v>
      </c>
    </row>
    <row r="18" spans="1:18" s="27" customFormat="1" ht="21.75" customHeight="1">
      <c r="A18" s="87"/>
      <c r="B18" s="61"/>
      <c r="C18" s="88">
        <v>4120</v>
      </c>
      <c r="D18" s="92" t="s">
        <v>209</v>
      </c>
      <c r="E18" s="108">
        <v>2800</v>
      </c>
      <c r="F18" s="108"/>
      <c r="G18" s="108"/>
      <c r="H18" s="108">
        <f t="shared" si="2"/>
        <v>2800</v>
      </c>
      <c r="I18" s="108">
        <v>0</v>
      </c>
      <c r="J18" s="108">
        <f t="shared" si="3"/>
        <v>2800</v>
      </c>
      <c r="K18" s="108">
        <v>0</v>
      </c>
      <c r="L18" s="108">
        <f t="shared" si="4"/>
        <v>2800</v>
      </c>
      <c r="M18" s="108">
        <v>0</v>
      </c>
      <c r="N18" s="108">
        <f t="shared" si="5"/>
        <v>2800</v>
      </c>
      <c r="O18" s="108">
        <v>0</v>
      </c>
      <c r="P18" s="108">
        <f t="shared" si="6"/>
        <v>2800</v>
      </c>
      <c r="Q18" s="108">
        <v>0</v>
      </c>
      <c r="R18" s="108">
        <f t="shared" si="7"/>
        <v>2800</v>
      </c>
    </row>
    <row r="19" spans="1:18" s="27" customFormat="1" ht="21.75" customHeight="1">
      <c r="A19" s="87"/>
      <c r="B19" s="61"/>
      <c r="C19" s="89">
        <v>4440</v>
      </c>
      <c r="D19" s="92" t="s">
        <v>210</v>
      </c>
      <c r="E19" s="108">
        <v>7350</v>
      </c>
      <c r="F19" s="108"/>
      <c r="G19" s="108"/>
      <c r="H19" s="108">
        <f t="shared" si="2"/>
        <v>7350</v>
      </c>
      <c r="I19" s="108">
        <v>0</v>
      </c>
      <c r="J19" s="108">
        <f t="shared" si="3"/>
        <v>7350</v>
      </c>
      <c r="K19" s="108">
        <v>0</v>
      </c>
      <c r="L19" s="108">
        <f t="shared" si="4"/>
        <v>7350</v>
      </c>
      <c r="M19" s="108">
        <v>0</v>
      </c>
      <c r="N19" s="108">
        <f t="shared" si="5"/>
        <v>7350</v>
      </c>
      <c r="O19" s="108">
        <v>0</v>
      </c>
      <c r="P19" s="108">
        <f t="shared" si="6"/>
        <v>7350</v>
      </c>
      <c r="Q19" s="108">
        <v>0</v>
      </c>
      <c r="R19" s="108">
        <f t="shared" si="7"/>
        <v>7350</v>
      </c>
    </row>
    <row r="20" spans="1:18" s="27" customFormat="1" ht="41.25" customHeight="1">
      <c r="A20" s="37">
        <v>751</v>
      </c>
      <c r="B20" s="5"/>
      <c r="C20" s="23"/>
      <c r="D20" s="35" t="s">
        <v>135</v>
      </c>
      <c r="E20" s="49">
        <f>E21</f>
        <v>3809</v>
      </c>
      <c r="F20" s="49">
        <f>F21</f>
        <v>0</v>
      </c>
      <c r="G20" s="49">
        <f>G21</f>
        <v>0</v>
      </c>
      <c r="H20" s="49">
        <f t="shared" si="2"/>
        <v>3809</v>
      </c>
      <c r="I20" s="49">
        <f>I21</f>
        <v>0</v>
      </c>
      <c r="J20" s="49">
        <f t="shared" si="3"/>
        <v>3809</v>
      </c>
      <c r="K20" s="49">
        <f>K21</f>
        <v>0</v>
      </c>
      <c r="L20" s="49">
        <f t="shared" si="4"/>
        <v>3809</v>
      </c>
      <c r="M20" s="49">
        <f>M21</f>
        <v>0</v>
      </c>
      <c r="N20" s="49">
        <f t="shared" si="5"/>
        <v>3809</v>
      </c>
      <c r="O20" s="49">
        <f>O21</f>
        <v>0</v>
      </c>
      <c r="P20" s="49">
        <f>SUM(P21,P25,)</f>
        <v>3809</v>
      </c>
      <c r="Q20" s="49">
        <f>SUM(Q21,Q25,)</f>
        <v>6644</v>
      </c>
      <c r="R20" s="49">
        <f>SUM(R21,R25,)</f>
        <v>10453</v>
      </c>
    </row>
    <row r="21" spans="1:18" s="27" customFormat="1" ht="22.5">
      <c r="A21" s="61"/>
      <c r="B21" s="87">
        <v>75101</v>
      </c>
      <c r="C21" s="95"/>
      <c r="D21" s="92" t="s">
        <v>136</v>
      </c>
      <c r="E21" s="108">
        <f>SUM(E22:E24)</f>
        <v>3809</v>
      </c>
      <c r="F21" s="108">
        <f>SUM(F22:F24)</f>
        <v>0</v>
      </c>
      <c r="G21" s="108">
        <f>SUM(G22:G24)</f>
        <v>0</v>
      </c>
      <c r="H21" s="108">
        <f t="shared" si="2"/>
        <v>3809</v>
      </c>
      <c r="I21" s="108">
        <f>SUM(I22:I24)</f>
        <v>0</v>
      </c>
      <c r="J21" s="108">
        <f t="shared" si="3"/>
        <v>3809</v>
      </c>
      <c r="K21" s="108">
        <f>SUM(K22:K24)</f>
        <v>0</v>
      </c>
      <c r="L21" s="108">
        <f t="shared" si="4"/>
        <v>3809</v>
      </c>
      <c r="M21" s="108">
        <f>SUM(M22:M24)</f>
        <v>0</v>
      </c>
      <c r="N21" s="108">
        <f t="shared" si="5"/>
        <v>3809</v>
      </c>
      <c r="O21" s="108">
        <f>SUM(O22:O24)</f>
        <v>0</v>
      </c>
      <c r="P21" s="108">
        <f t="shared" si="6"/>
        <v>3809</v>
      </c>
      <c r="Q21" s="108">
        <f>SUM(Q22:Q24)</f>
        <v>0</v>
      </c>
      <c r="R21" s="108">
        <f t="shared" si="7"/>
        <v>3809</v>
      </c>
    </row>
    <row r="22" spans="1:18" s="27" customFormat="1" ht="21.75" customHeight="1">
      <c r="A22" s="61"/>
      <c r="B22" s="87"/>
      <c r="C22" s="88">
        <v>4210</v>
      </c>
      <c r="D22" s="92" t="s">
        <v>214</v>
      </c>
      <c r="E22" s="108">
        <v>1009</v>
      </c>
      <c r="F22" s="108"/>
      <c r="G22" s="108"/>
      <c r="H22" s="108">
        <f t="shared" si="2"/>
        <v>1009</v>
      </c>
      <c r="I22" s="108">
        <v>0</v>
      </c>
      <c r="J22" s="108">
        <f t="shared" si="3"/>
        <v>1009</v>
      </c>
      <c r="K22" s="108">
        <v>0</v>
      </c>
      <c r="L22" s="108">
        <f t="shared" si="4"/>
        <v>1009</v>
      </c>
      <c r="M22" s="108">
        <v>800</v>
      </c>
      <c r="N22" s="108">
        <f t="shared" si="5"/>
        <v>1809</v>
      </c>
      <c r="O22" s="108">
        <v>0</v>
      </c>
      <c r="P22" s="108">
        <f t="shared" si="6"/>
        <v>1809</v>
      </c>
      <c r="Q22" s="108">
        <v>0</v>
      </c>
      <c r="R22" s="108">
        <f t="shared" si="7"/>
        <v>1809</v>
      </c>
    </row>
    <row r="23" spans="1:18" s="27" customFormat="1" ht="22.5">
      <c r="A23" s="61"/>
      <c r="B23" s="87"/>
      <c r="C23" s="88">
        <v>4700</v>
      </c>
      <c r="D23" s="45" t="s">
        <v>412</v>
      </c>
      <c r="E23" s="108">
        <v>1600</v>
      </c>
      <c r="F23" s="108"/>
      <c r="G23" s="108"/>
      <c r="H23" s="108">
        <f t="shared" si="2"/>
        <v>1600</v>
      </c>
      <c r="I23" s="108">
        <v>0</v>
      </c>
      <c r="J23" s="108">
        <f t="shared" si="3"/>
        <v>1600</v>
      </c>
      <c r="K23" s="108">
        <v>0</v>
      </c>
      <c r="L23" s="108">
        <f t="shared" si="4"/>
        <v>1600</v>
      </c>
      <c r="M23" s="108">
        <v>-800</v>
      </c>
      <c r="N23" s="108">
        <f t="shared" si="5"/>
        <v>800</v>
      </c>
      <c r="O23" s="108">
        <v>0</v>
      </c>
      <c r="P23" s="108">
        <f t="shared" si="6"/>
        <v>800</v>
      </c>
      <c r="Q23" s="108">
        <v>0</v>
      </c>
      <c r="R23" s="108">
        <f t="shared" si="7"/>
        <v>800</v>
      </c>
    </row>
    <row r="24" spans="1:18" s="27" customFormat="1" ht="22.5">
      <c r="A24" s="61"/>
      <c r="B24" s="87"/>
      <c r="C24" s="88">
        <v>4740</v>
      </c>
      <c r="D24" s="45" t="s">
        <v>411</v>
      </c>
      <c r="E24" s="108">
        <v>1200</v>
      </c>
      <c r="F24" s="108"/>
      <c r="G24" s="108"/>
      <c r="H24" s="108">
        <f t="shared" si="2"/>
        <v>1200</v>
      </c>
      <c r="I24" s="108">
        <v>0</v>
      </c>
      <c r="J24" s="108">
        <f t="shared" si="3"/>
        <v>1200</v>
      </c>
      <c r="K24" s="108">
        <v>0</v>
      </c>
      <c r="L24" s="108">
        <f t="shared" si="4"/>
        <v>1200</v>
      </c>
      <c r="M24" s="108">
        <v>0</v>
      </c>
      <c r="N24" s="108">
        <f t="shared" si="5"/>
        <v>1200</v>
      </c>
      <c r="O24" s="108">
        <v>0</v>
      </c>
      <c r="P24" s="108">
        <f t="shared" si="6"/>
        <v>1200</v>
      </c>
      <c r="Q24" s="108">
        <v>0</v>
      </c>
      <c r="R24" s="108">
        <f t="shared" si="7"/>
        <v>1200</v>
      </c>
    </row>
    <row r="25" spans="1:18" s="27" customFormat="1" ht="20.25" customHeight="1">
      <c r="A25" s="61"/>
      <c r="B25" s="87">
        <v>75108</v>
      </c>
      <c r="C25" s="88"/>
      <c r="D25" s="80" t="s">
        <v>440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>
        <f>SUM(P26:P27)</f>
        <v>0</v>
      </c>
      <c r="Q25" s="108">
        <f>SUM(Q26:Q27)</f>
        <v>6644</v>
      </c>
      <c r="R25" s="108">
        <f>SUM(R26:R27)</f>
        <v>6644</v>
      </c>
    </row>
    <row r="26" spans="1:18" s="27" customFormat="1" ht="21" customHeight="1">
      <c r="A26" s="61"/>
      <c r="B26" s="87"/>
      <c r="C26" s="88">
        <v>4210</v>
      </c>
      <c r="D26" s="92" t="s">
        <v>214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>
        <v>0</v>
      </c>
      <c r="Q26" s="108">
        <v>6000</v>
      </c>
      <c r="R26" s="108">
        <f>SUM(P26:Q26)</f>
        <v>6000</v>
      </c>
    </row>
    <row r="27" spans="1:18" s="27" customFormat="1" ht="21.75" customHeight="1">
      <c r="A27" s="61"/>
      <c r="B27" s="87"/>
      <c r="C27" s="88">
        <v>4300</v>
      </c>
      <c r="D27" s="14" t="s">
        <v>201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>
        <v>0</v>
      </c>
      <c r="Q27" s="108">
        <v>644</v>
      </c>
      <c r="R27" s="108">
        <f>SUM(P27:Q27)</f>
        <v>644</v>
      </c>
    </row>
    <row r="28" spans="1:214" s="27" customFormat="1" ht="26.25" customHeight="1">
      <c r="A28" s="37">
        <v>852</v>
      </c>
      <c r="B28" s="5"/>
      <c r="C28" s="23"/>
      <c r="D28" s="35" t="s">
        <v>331</v>
      </c>
      <c r="E28" s="49">
        <f>SUM(E42,E63,E65,)</f>
        <v>8343900</v>
      </c>
      <c r="F28" s="49">
        <f>SUM(F42,F63,F65,)</f>
        <v>7900</v>
      </c>
      <c r="G28" s="49">
        <f>SUM(G42,G63,G65,)</f>
        <v>23700</v>
      </c>
      <c r="H28" s="49">
        <f t="shared" si="2"/>
        <v>8328100</v>
      </c>
      <c r="I28" s="49">
        <f>SUM(I42,I63,I65,)</f>
        <v>0</v>
      </c>
      <c r="J28" s="49">
        <f t="shared" si="3"/>
        <v>8328100</v>
      </c>
      <c r="K28" s="49">
        <f>SUM(K42,K63,K65,)</f>
        <v>0</v>
      </c>
      <c r="L28" s="49">
        <f t="shared" si="4"/>
        <v>8328100</v>
      </c>
      <c r="M28" s="49">
        <f>SUM(M42,M63,M65,)</f>
        <v>0</v>
      </c>
      <c r="N28" s="49">
        <f t="shared" si="5"/>
        <v>8328100</v>
      </c>
      <c r="O28" s="49">
        <f>SUM(O42,O63,O65,)</f>
        <v>-203000</v>
      </c>
      <c r="P28" s="49">
        <f t="shared" si="6"/>
        <v>8125100</v>
      </c>
      <c r="Q28" s="49">
        <f>SUM(Q42,Q63,Q65,)</f>
        <v>-50000</v>
      </c>
      <c r="R28" s="49">
        <f t="shared" si="7"/>
        <v>8075100</v>
      </c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</row>
    <row r="29" spans="1:214" s="27" customFormat="1" ht="33.75" hidden="1">
      <c r="A29" s="113"/>
      <c r="B29" s="61">
        <v>85212</v>
      </c>
      <c r="C29" s="94"/>
      <c r="D29" s="92" t="s">
        <v>356</v>
      </c>
      <c r="E29" s="101">
        <f>SUM(E30:E41)</f>
        <v>5507000</v>
      </c>
      <c r="F29" s="101">
        <f>SUM(F30:F41)</f>
        <v>5507000</v>
      </c>
      <c r="G29" s="101">
        <f>SUM(G30:G41)</f>
        <v>5507000</v>
      </c>
      <c r="H29" s="108">
        <f t="shared" si="2"/>
        <v>5507000</v>
      </c>
      <c r="I29" s="101">
        <f>SUM(I30:I41)</f>
        <v>5507000</v>
      </c>
      <c r="J29" s="49">
        <f t="shared" si="3"/>
        <v>11014000</v>
      </c>
      <c r="K29" s="101">
        <f>SUM(K30:K41)</f>
        <v>5507000</v>
      </c>
      <c r="L29" s="49">
        <f t="shared" si="4"/>
        <v>16521000</v>
      </c>
      <c r="M29" s="101">
        <f>SUM(M30:M41)</f>
        <v>5507000</v>
      </c>
      <c r="N29" s="49">
        <f t="shared" si="5"/>
        <v>22028000</v>
      </c>
      <c r="O29" s="101">
        <f>SUM(O30:O41)</f>
        <v>5507000</v>
      </c>
      <c r="P29" s="49">
        <f t="shared" si="6"/>
        <v>27535000</v>
      </c>
      <c r="Q29" s="101">
        <f>SUM(Q30:Q41)</f>
        <v>5507000</v>
      </c>
      <c r="R29" s="49">
        <f t="shared" si="7"/>
        <v>33042000</v>
      </c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</row>
    <row r="30" spans="1:214" s="27" customFormat="1" ht="22.5" hidden="1">
      <c r="A30" s="113"/>
      <c r="B30" s="61"/>
      <c r="C30" s="94">
        <v>3020</v>
      </c>
      <c r="D30" s="45" t="s">
        <v>377</v>
      </c>
      <c r="E30" s="108">
        <v>2000</v>
      </c>
      <c r="F30" s="108">
        <v>2000</v>
      </c>
      <c r="G30" s="108">
        <v>2000</v>
      </c>
      <c r="H30" s="108">
        <f t="shared" si="2"/>
        <v>2000</v>
      </c>
      <c r="I30" s="108">
        <v>2000</v>
      </c>
      <c r="J30" s="49">
        <f t="shared" si="3"/>
        <v>4000</v>
      </c>
      <c r="K30" s="108">
        <v>2000</v>
      </c>
      <c r="L30" s="49">
        <f t="shared" si="4"/>
        <v>6000</v>
      </c>
      <c r="M30" s="108">
        <v>2000</v>
      </c>
      <c r="N30" s="49">
        <f t="shared" si="5"/>
        <v>8000</v>
      </c>
      <c r="O30" s="108">
        <v>2000</v>
      </c>
      <c r="P30" s="49">
        <f t="shared" si="6"/>
        <v>10000</v>
      </c>
      <c r="Q30" s="108">
        <v>2000</v>
      </c>
      <c r="R30" s="49">
        <f t="shared" si="7"/>
        <v>12000</v>
      </c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</row>
    <row r="31" spans="1:214" s="27" customFormat="1" ht="12" hidden="1">
      <c r="A31" s="113"/>
      <c r="B31" s="61"/>
      <c r="C31" s="94">
        <v>3110</v>
      </c>
      <c r="D31" s="92" t="s">
        <v>236</v>
      </c>
      <c r="E31" s="108">
        <f>5346602-4812-23800</f>
        <v>5317990</v>
      </c>
      <c r="F31" s="108">
        <f>5346602-4812-23800</f>
        <v>5317990</v>
      </c>
      <c r="G31" s="108">
        <f>5346602-4812-23800</f>
        <v>5317990</v>
      </c>
      <c r="H31" s="108">
        <f t="shared" si="2"/>
        <v>5317990</v>
      </c>
      <c r="I31" s="108">
        <f>5346602-4812-23800</f>
        <v>5317990</v>
      </c>
      <c r="J31" s="49">
        <f t="shared" si="3"/>
        <v>10635980</v>
      </c>
      <c r="K31" s="108">
        <f>5346602-4812-23800</f>
        <v>5317990</v>
      </c>
      <c r="L31" s="49">
        <f t="shared" si="4"/>
        <v>15953970</v>
      </c>
      <c r="M31" s="108">
        <f>5346602-4812-23800</f>
        <v>5317990</v>
      </c>
      <c r="N31" s="49">
        <f t="shared" si="5"/>
        <v>21271960</v>
      </c>
      <c r="O31" s="108">
        <f>5346602-4812-23800</f>
        <v>5317990</v>
      </c>
      <c r="P31" s="49">
        <f t="shared" si="6"/>
        <v>26589950</v>
      </c>
      <c r="Q31" s="108">
        <f>5346602-4812-23800</f>
        <v>5317990</v>
      </c>
      <c r="R31" s="49">
        <f t="shared" si="7"/>
        <v>31907940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</row>
    <row r="32" spans="1:214" s="27" customFormat="1" ht="12" hidden="1">
      <c r="A32" s="113"/>
      <c r="B32" s="61"/>
      <c r="C32" s="61">
        <v>4010</v>
      </c>
      <c r="D32" s="14" t="s">
        <v>206</v>
      </c>
      <c r="E32" s="108">
        <v>86691</v>
      </c>
      <c r="F32" s="108">
        <v>86691</v>
      </c>
      <c r="G32" s="108">
        <v>86691</v>
      </c>
      <c r="H32" s="108">
        <f t="shared" si="2"/>
        <v>86691</v>
      </c>
      <c r="I32" s="108">
        <v>86691</v>
      </c>
      <c r="J32" s="49">
        <f t="shared" si="3"/>
        <v>173382</v>
      </c>
      <c r="K32" s="108">
        <v>86691</v>
      </c>
      <c r="L32" s="49">
        <f t="shared" si="4"/>
        <v>260073</v>
      </c>
      <c r="M32" s="108">
        <v>86691</v>
      </c>
      <c r="N32" s="49">
        <f t="shared" si="5"/>
        <v>346764</v>
      </c>
      <c r="O32" s="108">
        <v>86691</v>
      </c>
      <c r="P32" s="49">
        <f t="shared" si="6"/>
        <v>433455</v>
      </c>
      <c r="Q32" s="108">
        <v>86691</v>
      </c>
      <c r="R32" s="49">
        <f t="shared" si="7"/>
        <v>520146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</row>
    <row r="33" spans="1:214" s="27" customFormat="1" ht="12" hidden="1">
      <c r="A33" s="113"/>
      <c r="B33" s="61"/>
      <c r="C33" s="61">
        <v>4040</v>
      </c>
      <c r="D33" s="14" t="s">
        <v>207</v>
      </c>
      <c r="E33" s="108">
        <v>7500</v>
      </c>
      <c r="F33" s="108">
        <v>7500</v>
      </c>
      <c r="G33" s="108">
        <v>7500</v>
      </c>
      <c r="H33" s="108">
        <f t="shared" si="2"/>
        <v>7500</v>
      </c>
      <c r="I33" s="108">
        <v>7500</v>
      </c>
      <c r="J33" s="49">
        <f t="shared" si="3"/>
        <v>15000</v>
      </c>
      <c r="K33" s="108">
        <v>7500</v>
      </c>
      <c r="L33" s="49">
        <f t="shared" si="4"/>
        <v>22500</v>
      </c>
      <c r="M33" s="108">
        <v>7500</v>
      </c>
      <c r="N33" s="49">
        <f t="shared" si="5"/>
        <v>30000</v>
      </c>
      <c r="O33" s="108">
        <v>7500</v>
      </c>
      <c r="P33" s="49">
        <f t="shared" si="6"/>
        <v>37500</v>
      </c>
      <c r="Q33" s="108">
        <v>7500</v>
      </c>
      <c r="R33" s="49">
        <f t="shared" si="7"/>
        <v>45000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</row>
    <row r="34" spans="1:214" s="27" customFormat="1" ht="12" hidden="1">
      <c r="A34" s="113"/>
      <c r="B34" s="61"/>
      <c r="C34" s="61">
        <v>4110</v>
      </c>
      <c r="D34" s="14" t="s">
        <v>208</v>
      </c>
      <c r="E34" s="108">
        <f>16800+23800</f>
        <v>40600</v>
      </c>
      <c r="F34" s="108">
        <f>16800+23800</f>
        <v>40600</v>
      </c>
      <c r="G34" s="108">
        <f>16800+23800</f>
        <v>40600</v>
      </c>
      <c r="H34" s="108">
        <f t="shared" si="2"/>
        <v>40600</v>
      </c>
      <c r="I34" s="108">
        <f>16800+23800</f>
        <v>40600</v>
      </c>
      <c r="J34" s="49">
        <f t="shared" si="3"/>
        <v>81200</v>
      </c>
      <c r="K34" s="108">
        <f>16800+23800</f>
        <v>40600</v>
      </c>
      <c r="L34" s="49">
        <f t="shared" si="4"/>
        <v>121800</v>
      </c>
      <c r="M34" s="108">
        <f>16800+23800</f>
        <v>40600</v>
      </c>
      <c r="N34" s="49">
        <f t="shared" si="5"/>
        <v>162400</v>
      </c>
      <c r="O34" s="108">
        <f>16800+23800</f>
        <v>40600</v>
      </c>
      <c r="P34" s="49">
        <f t="shared" si="6"/>
        <v>203000</v>
      </c>
      <c r="Q34" s="108">
        <f>16800+23800</f>
        <v>40600</v>
      </c>
      <c r="R34" s="49">
        <f t="shared" si="7"/>
        <v>243600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</row>
    <row r="35" spans="1:214" s="27" customFormat="1" ht="12" hidden="1">
      <c r="A35" s="113"/>
      <c r="B35" s="61"/>
      <c r="C35" s="61">
        <v>4120</v>
      </c>
      <c r="D35" s="14" t="s">
        <v>209</v>
      </c>
      <c r="E35" s="108">
        <v>2300</v>
      </c>
      <c r="F35" s="108">
        <v>2300</v>
      </c>
      <c r="G35" s="108">
        <v>2300</v>
      </c>
      <c r="H35" s="108">
        <f t="shared" si="2"/>
        <v>2300</v>
      </c>
      <c r="I35" s="108">
        <v>2300</v>
      </c>
      <c r="J35" s="49">
        <f t="shared" si="3"/>
        <v>4600</v>
      </c>
      <c r="K35" s="108">
        <v>2300</v>
      </c>
      <c r="L35" s="49">
        <f t="shared" si="4"/>
        <v>6900</v>
      </c>
      <c r="M35" s="108">
        <v>2300</v>
      </c>
      <c r="N35" s="49">
        <f t="shared" si="5"/>
        <v>9200</v>
      </c>
      <c r="O35" s="108">
        <v>2300</v>
      </c>
      <c r="P35" s="49">
        <f t="shared" si="6"/>
        <v>11500</v>
      </c>
      <c r="Q35" s="108">
        <v>2300</v>
      </c>
      <c r="R35" s="49">
        <f t="shared" si="7"/>
        <v>13800</v>
      </c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</row>
    <row r="36" spans="1:214" s="27" customFormat="1" ht="12" hidden="1">
      <c r="A36" s="113"/>
      <c r="B36" s="61"/>
      <c r="C36" s="61">
        <v>4170</v>
      </c>
      <c r="D36" s="14" t="s">
        <v>339</v>
      </c>
      <c r="E36" s="108">
        <v>3000</v>
      </c>
      <c r="F36" s="108">
        <v>3000</v>
      </c>
      <c r="G36" s="108">
        <v>3000</v>
      </c>
      <c r="H36" s="108">
        <f t="shared" si="2"/>
        <v>3000</v>
      </c>
      <c r="I36" s="108">
        <v>3000</v>
      </c>
      <c r="J36" s="49">
        <f t="shared" si="3"/>
        <v>6000</v>
      </c>
      <c r="K36" s="108">
        <v>3000</v>
      </c>
      <c r="L36" s="49">
        <f t="shared" si="4"/>
        <v>9000</v>
      </c>
      <c r="M36" s="108">
        <v>3000</v>
      </c>
      <c r="N36" s="49">
        <f t="shared" si="5"/>
        <v>12000</v>
      </c>
      <c r="O36" s="108">
        <v>3000</v>
      </c>
      <c r="P36" s="49">
        <f t="shared" si="6"/>
        <v>15000</v>
      </c>
      <c r="Q36" s="108">
        <v>3000</v>
      </c>
      <c r="R36" s="49">
        <f t="shared" si="7"/>
        <v>18000</v>
      </c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</row>
    <row r="37" spans="1:214" s="27" customFormat="1" ht="12" hidden="1">
      <c r="A37" s="113"/>
      <c r="B37" s="61"/>
      <c r="C37" s="61">
        <v>4210</v>
      </c>
      <c r="D37" s="14" t="s">
        <v>214</v>
      </c>
      <c r="E37" s="108">
        <f>9000+4812</f>
        <v>13812</v>
      </c>
      <c r="F37" s="108">
        <f>9000+4812</f>
        <v>13812</v>
      </c>
      <c r="G37" s="108">
        <f>9000+4812</f>
        <v>13812</v>
      </c>
      <c r="H37" s="108">
        <f t="shared" si="2"/>
        <v>13812</v>
      </c>
      <c r="I37" s="108">
        <f>9000+4812</f>
        <v>13812</v>
      </c>
      <c r="J37" s="49">
        <f t="shared" si="3"/>
        <v>27624</v>
      </c>
      <c r="K37" s="108">
        <f>9000+4812</f>
        <v>13812</v>
      </c>
      <c r="L37" s="49">
        <f t="shared" si="4"/>
        <v>41436</v>
      </c>
      <c r="M37" s="108">
        <f>9000+4812</f>
        <v>13812</v>
      </c>
      <c r="N37" s="49">
        <f t="shared" si="5"/>
        <v>55248</v>
      </c>
      <c r="O37" s="108">
        <f>9000+4812</f>
        <v>13812</v>
      </c>
      <c r="P37" s="49">
        <f t="shared" si="6"/>
        <v>69060</v>
      </c>
      <c r="Q37" s="108">
        <f>9000+4812</f>
        <v>13812</v>
      </c>
      <c r="R37" s="49">
        <f t="shared" si="7"/>
        <v>82872</v>
      </c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</row>
    <row r="38" spans="1:214" s="27" customFormat="1" ht="12" hidden="1">
      <c r="A38" s="113"/>
      <c r="B38" s="61"/>
      <c r="C38" s="61">
        <v>4300</v>
      </c>
      <c r="D38" s="14" t="s">
        <v>201</v>
      </c>
      <c r="E38" s="108">
        <v>24307</v>
      </c>
      <c r="F38" s="108">
        <v>24307</v>
      </c>
      <c r="G38" s="108">
        <v>24307</v>
      </c>
      <c r="H38" s="108">
        <f t="shared" si="2"/>
        <v>24307</v>
      </c>
      <c r="I38" s="108">
        <v>24307</v>
      </c>
      <c r="J38" s="49">
        <f t="shared" si="3"/>
        <v>48614</v>
      </c>
      <c r="K38" s="108">
        <v>24307</v>
      </c>
      <c r="L38" s="49">
        <f t="shared" si="4"/>
        <v>72921</v>
      </c>
      <c r="M38" s="108">
        <v>24307</v>
      </c>
      <c r="N38" s="49">
        <f t="shared" si="5"/>
        <v>97228</v>
      </c>
      <c r="O38" s="108">
        <v>24307</v>
      </c>
      <c r="P38" s="49">
        <f t="shared" si="6"/>
        <v>121535</v>
      </c>
      <c r="Q38" s="108">
        <v>24307</v>
      </c>
      <c r="R38" s="49">
        <f t="shared" si="7"/>
        <v>145842</v>
      </c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</row>
    <row r="39" spans="1:214" s="27" customFormat="1" ht="12" hidden="1">
      <c r="A39" s="113"/>
      <c r="B39" s="61"/>
      <c r="C39" s="61">
        <v>4410</v>
      </c>
      <c r="D39" s="14" t="s">
        <v>212</v>
      </c>
      <c r="E39" s="108">
        <v>3000</v>
      </c>
      <c r="F39" s="108">
        <v>3000</v>
      </c>
      <c r="G39" s="108">
        <v>3000</v>
      </c>
      <c r="H39" s="108">
        <f t="shared" si="2"/>
        <v>3000</v>
      </c>
      <c r="I39" s="108">
        <v>3000</v>
      </c>
      <c r="J39" s="49">
        <f t="shared" si="3"/>
        <v>6000</v>
      </c>
      <c r="K39" s="108">
        <v>3000</v>
      </c>
      <c r="L39" s="49">
        <f t="shared" si="4"/>
        <v>9000</v>
      </c>
      <c r="M39" s="108">
        <v>3000</v>
      </c>
      <c r="N39" s="49">
        <f t="shared" si="5"/>
        <v>12000</v>
      </c>
      <c r="O39" s="108">
        <v>3000</v>
      </c>
      <c r="P39" s="49">
        <f t="shared" si="6"/>
        <v>15000</v>
      </c>
      <c r="Q39" s="108">
        <v>3000</v>
      </c>
      <c r="R39" s="49">
        <f t="shared" si="7"/>
        <v>18000</v>
      </c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</row>
    <row r="40" spans="1:214" s="27" customFormat="1" ht="12" hidden="1">
      <c r="A40" s="113"/>
      <c r="B40" s="61"/>
      <c r="C40" s="61">
        <v>4430</v>
      </c>
      <c r="D40" s="14" t="s">
        <v>216</v>
      </c>
      <c r="E40" s="108">
        <v>2000</v>
      </c>
      <c r="F40" s="108">
        <v>2000</v>
      </c>
      <c r="G40" s="108">
        <v>2000</v>
      </c>
      <c r="H40" s="108">
        <f t="shared" si="2"/>
        <v>2000</v>
      </c>
      <c r="I40" s="108">
        <v>2000</v>
      </c>
      <c r="J40" s="49">
        <f t="shared" si="3"/>
        <v>4000</v>
      </c>
      <c r="K40" s="108">
        <v>2000</v>
      </c>
      <c r="L40" s="49">
        <f t="shared" si="4"/>
        <v>6000</v>
      </c>
      <c r="M40" s="108">
        <v>2000</v>
      </c>
      <c r="N40" s="49">
        <f t="shared" si="5"/>
        <v>8000</v>
      </c>
      <c r="O40" s="108">
        <v>2000</v>
      </c>
      <c r="P40" s="49">
        <f t="shared" si="6"/>
        <v>10000</v>
      </c>
      <c r="Q40" s="108">
        <v>2000</v>
      </c>
      <c r="R40" s="49">
        <f t="shared" si="7"/>
        <v>12000</v>
      </c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</row>
    <row r="41" spans="1:214" s="27" customFormat="1" ht="22.5" hidden="1">
      <c r="A41" s="113"/>
      <c r="B41" s="61"/>
      <c r="C41" s="61">
        <v>4440</v>
      </c>
      <c r="D41" s="14" t="s">
        <v>210</v>
      </c>
      <c r="E41" s="108">
        <v>3800</v>
      </c>
      <c r="F41" s="108">
        <v>3800</v>
      </c>
      <c r="G41" s="108">
        <v>3800</v>
      </c>
      <c r="H41" s="108">
        <f t="shared" si="2"/>
        <v>3800</v>
      </c>
      <c r="I41" s="108">
        <v>3800</v>
      </c>
      <c r="J41" s="49">
        <f t="shared" si="3"/>
        <v>7600</v>
      </c>
      <c r="K41" s="108">
        <v>3800</v>
      </c>
      <c r="L41" s="49">
        <f t="shared" si="4"/>
        <v>11400</v>
      </c>
      <c r="M41" s="108">
        <v>3800</v>
      </c>
      <c r="N41" s="49">
        <f t="shared" si="5"/>
        <v>15200</v>
      </c>
      <c r="O41" s="108">
        <v>3800</v>
      </c>
      <c r="P41" s="49">
        <f t="shared" si="6"/>
        <v>19000</v>
      </c>
      <c r="Q41" s="108">
        <v>3800</v>
      </c>
      <c r="R41" s="49">
        <f t="shared" si="7"/>
        <v>22800</v>
      </c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</row>
    <row r="42" spans="1:214" s="27" customFormat="1" ht="45">
      <c r="A42" s="113"/>
      <c r="B42" s="61">
        <v>85212</v>
      </c>
      <c r="C42" s="94"/>
      <c r="D42" s="92" t="s">
        <v>47</v>
      </c>
      <c r="E42" s="108">
        <f>SUM(E43:E62)</f>
        <v>7804800</v>
      </c>
      <c r="F42" s="108">
        <f>SUM(F43:F62)</f>
        <v>7900</v>
      </c>
      <c r="G42" s="108">
        <f>SUM(G43:G62)</f>
        <v>0</v>
      </c>
      <c r="H42" s="108">
        <f t="shared" si="2"/>
        <v>7812700</v>
      </c>
      <c r="I42" s="108">
        <f>SUM(I43:I62)</f>
        <v>0</v>
      </c>
      <c r="J42" s="108">
        <f t="shared" si="3"/>
        <v>7812700</v>
      </c>
      <c r="K42" s="108">
        <f>SUM(K43:K62)</f>
        <v>0</v>
      </c>
      <c r="L42" s="108">
        <f t="shared" si="4"/>
        <v>7812700</v>
      </c>
      <c r="M42" s="108">
        <f>SUM(M43:M62)</f>
        <v>0</v>
      </c>
      <c r="N42" s="108">
        <f t="shared" si="5"/>
        <v>7812700</v>
      </c>
      <c r="O42" s="108">
        <f>SUM(O43:O62)</f>
        <v>-200000</v>
      </c>
      <c r="P42" s="108">
        <f t="shared" si="6"/>
        <v>7612700</v>
      </c>
      <c r="Q42" s="108">
        <f>SUM(Q43:Q62)</f>
        <v>-50000</v>
      </c>
      <c r="R42" s="108">
        <f t="shared" si="7"/>
        <v>7562700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</row>
    <row r="43" spans="1:214" s="27" customFormat="1" ht="24" customHeight="1">
      <c r="A43" s="113"/>
      <c r="B43" s="61"/>
      <c r="C43" s="94">
        <v>3020</v>
      </c>
      <c r="D43" s="45" t="s">
        <v>335</v>
      </c>
      <c r="E43" s="85">
        <v>1000</v>
      </c>
      <c r="F43" s="85"/>
      <c r="G43" s="85"/>
      <c r="H43" s="108">
        <f t="shared" si="2"/>
        <v>1000</v>
      </c>
      <c r="I43" s="85">
        <v>0</v>
      </c>
      <c r="J43" s="108">
        <f t="shared" si="3"/>
        <v>1000</v>
      </c>
      <c r="K43" s="85">
        <v>0</v>
      </c>
      <c r="L43" s="108">
        <f t="shared" si="4"/>
        <v>1000</v>
      </c>
      <c r="M43" s="85">
        <v>0</v>
      </c>
      <c r="N43" s="108">
        <f t="shared" si="5"/>
        <v>1000</v>
      </c>
      <c r="O43" s="85">
        <v>0</v>
      </c>
      <c r="P43" s="108">
        <f t="shared" si="6"/>
        <v>1000</v>
      </c>
      <c r="Q43" s="85">
        <v>0</v>
      </c>
      <c r="R43" s="108">
        <f t="shared" si="7"/>
        <v>1000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</row>
    <row r="44" spans="1:214" s="27" customFormat="1" ht="24" customHeight="1">
      <c r="A44" s="113"/>
      <c r="B44" s="61"/>
      <c r="C44" s="94">
        <v>3110</v>
      </c>
      <c r="D44" s="92" t="s">
        <v>236</v>
      </c>
      <c r="E44" s="85">
        <v>7510656</v>
      </c>
      <c r="F44" s="85"/>
      <c r="G44" s="85"/>
      <c r="H44" s="108">
        <f t="shared" si="2"/>
        <v>7510656</v>
      </c>
      <c r="I44" s="85">
        <v>0</v>
      </c>
      <c r="J44" s="108">
        <f t="shared" si="3"/>
        <v>7510656</v>
      </c>
      <c r="K44" s="85">
        <v>7663</v>
      </c>
      <c r="L44" s="108">
        <f t="shared" si="4"/>
        <v>7518319</v>
      </c>
      <c r="M44" s="85"/>
      <c r="N44" s="108">
        <f t="shared" si="5"/>
        <v>7518319</v>
      </c>
      <c r="O44" s="85">
        <v>-194000</v>
      </c>
      <c r="P44" s="108">
        <f t="shared" si="6"/>
        <v>7324319</v>
      </c>
      <c r="Q44" s="85">
        <v>-48500</v>
      </c>
      <c r="R44" s="108">
        <f t="shared" si="7"/>
        <v>7275819</v>
      </c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</row>
    <row r="45" spans="1:214" s="27" customFormat="1" ht="24" customHeight="1">
      <c r="A45" s="113"/>
      <c r="B45" s="61"/>
      <c r="C45" s="61">
        <v>4010</v>
      </c>
      <c r="D45" s="14" t="s">
        <v>206</v>
      </c>
      <c r="E45" s="85">
        <v>123700</v>
      </c>
      <c r="F45" s="85"/>
      <c r="G45" s="85"/>
      <c r="H45" s="108">
        <f t="shared" si="2"/>
        <v>123700</v>
      </c>
      <c r="I45" s="85">
        <v>0</v>
      </c>
      <c r="J45" s="108">
        <f t="shared" si="3"/>
        <v>123700</v>
      </c>
      <c r="K45" s="85">
        <v>0</v>
      </c>
      <c r="L45" s="108">
        <f t="shared" si="4"/>
        <v>123700</v>
      </c>
      <c r="M45" s="85">
        <v>0</v>
      </c>
      <c r="N45" s="108">
        <f t="shared" si="5"/>
        <v>123700</v>
      </c>
      <c r="O45" s="85">
        <v>0</v>
      </c>
      <c r="P45" s="108">
        <f t="shared" si="6"/>
        <v>123700</v>
      </c>
      <c r="Q45" s="85">
        <v>0</v>
      </c>
      <c r="R45" s="108">
        <f t="shared" si="7"/>
        <v>123700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</row>
    <row r="46" spans="1:214" s="27" customFormat="1" ht="24" customHeight="1">
      <c r="A46" s="113"/>
      <c r="B46" s="61"/>
      <c r="C46" s="61">
        <v>4040</v>
      </c>
      <c r="D46" s="14" t="s">
        <v>207</v>
      </c>
      <c r="E46" s="85">
        <v>11000</v>
      </c>
      <c r="F46" s="85"/>
      <c r="G46" s="85"/>
      <c r="H46" s="108">
        <f t="shared" si="2"/>
        <v>11000</v>
      </c>
      <c r="I46" s="85">
        <v>0</v>
      </c>
      <c r="J46" s="108">
        <f t="shared" si="3"/>
        <v>11000</v>
      </c>
      <c r="K46" s="85">
        <v>0</v>
      </c>
      <c r="L46" s="108">
        <f t="shared" si="4"/>
        <v>11000</v>
      </c>
      <c r="M46" s="85">
        <v>0</v>
      </c>
      <c r="N46" s="108">
        <f t="shared" si="5"/>
        <v>11000</v>
      </c>
      <c r="O46" s="85">
        <v>0</v>
      </c>
      <c r="P46" s="108">
        <f t="shared" si="6"/>
        <v>11000</v>
      </c>
      <c r="Q46" s="85">
        <v>0</v>
      </c>
      <c r="R46" s="108">
        <f t="shared" si="7"/>
        <v>11000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</row>
    <row r="47" spans="1:214" s="27" customFormat="1" ht="24" customHeight="1">
      <c r="A47" s="113"/>
      <c r="B47" s="61"/>
      <c r="C47" s="61">
        <v>4110</v>
      </c>
      <c r="D47" s="14" t="s">
        <v>208</v>
      </c>
      <c r="E47" s="85">
        <f>23500+60000</f>
        <v>83500</v>
      </c>
      <c r="F47" s="85"/>
      <c r="G47" s="85"/>
      <c r="H47" s="108">
        <f t="shared" si="2"/>
        <v>83500</v>
      </c>
      <c r="I47" s="85">
        <v>0</v>
      </c>
      <c r="J47" s="108">
        <f t="shared" si="3"/>
        <v>83500</v>
      </c>
      <c r="K47" s="85">
        <v>0</v>
      </c>
      <c r="L47" s="108">
        <f t="shared" si="4"/>
        <v>83500</v>
      </c>
      <c r="M47" s="85">
        <v>0</v>
      </c>
      <c r="N47" s="108">
        <f t="shared" si="5"/>
        <v>83500</v>
      </c>
      <c r="O47" s="85">
        <v>0</v>
      </c>
      <c r="P47" s="108">
        <f t="shared" si="6"/>
        <v>83500</v>
      </c>
      <c r="Q47" s="85">
        <v>0</v>
      </c>
      <c r="R47" s="108">
        <f t="shared" si="7"/>
        <v>83500</v>
      </c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</row>
    <row r="48" spans="1:214" s="27" customFormat="1" ht="24" customHeight="1">
      <c r="A48" s="113"/>
      <c r="B48" s="61"/>
      <c r="C48" s="61">
        <v>4120</v>
      </c>
      <c r="D48" s="14" t="s">
        <v>209</v>
      </c>
      <c r="E48" s="85">
        <v>3400</v>
      </c>
      <c r="F48" s="85"/>
      <c r="G48" s="85"/>
      <c r="H48" s="108">
        <f t="shared" si="2"/>
        <v>3400</v>
      </c>
      <c r="I48" s="85">
        <v>0</v>
      </c>
      <c r="J48" s="108">
        <f t="shared" si="3"/>
        <v>3400</v>
      </c>
      <c r="K48" s="85">
        <v>0</v>
      </c>
      <c r="L48" s="108">
        <f t="shared" si="4"/>
        <v>3400</v>
      </c>
      <c r="M48" s="85">
        <v>0</v>
      </c>
      <c r="N48" s="108">
        <f t="shared" si="5"/>
        <v>3400</v>
      </c>
      <c r="O48" s="85">
        <v>0</v>
      </c>
      <c r="P48" s="108">
        <f t="shared" si="6"/>
        <v>3400</v>
      </c>
      <c r="Q48" s="85">
        <v>0</v>
      </c>
      <c r="R48" s="108">
        <f t="shared" si="7"/>
        <v>3400</v>
      </c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</row>
    <row r="49" spans="1:214" s="27" customFormat="1" ht="24" customHeight="1">
      <c r="A49" s="113"/>
      <c r="B49" s="61"/>
      <c r="C49" s="61">
        <v>4170</v>
      </c>
      <c r="D49" s="45" t="s">
        <v>339</v>
      </c>
      <c r="E49" s="85">
        <v>4000</v>
      </c>
      <c r="F49" s="85"/>
      <c r="G49" s="85"/>
      <c r="H49" s="108">
        <f t="shared" si="2"/>
        <v>4000</v>
      </c>
      <c r="I49" s="85">
        <v>0</v>
      </c>
      <c r="J49" s="108">
        <f t="shared" si="3"/>
        <v>4000</v>
      </c>
      <c r="K49" s="85">
        <v>0</v>
      </c>
      <c r="L49" s="108">
        <f t="shared" si="4"/>
        <v>4000</v>
      </c>
      <c r="M49" s="85">
        <v>0</v>
      </c>
      <c r="N49" s="108">
        <f t="shared" si="5"/>
        <v>4000</v>
      </c>
      <c r="O49" s="85">
        <v>0</v>
      </c>
      <c r="P49" s="108">
        <f t="shared" si="6"/>
        <v>4000</v>
      </c>
      <c r="Q49" s="85">
        <v>0</v>
      </c>
      <c r="R49" s="108">
        <f t="shared" si="7"/>
        <v>4000</v>
      </c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</row>
    <row r="50" spans="1:214" s="27" customFormat="1" ht="24" customHeight="1">
      <c r="A50" s="113"/>
      <c r="B50" s="61"/>
      <c r="C50" s="61">
        <v>4210</v>
      </c>
      <c r="D50" s="14" t="s">
        <v>214</v>
      </c>
      <c r="E50" s="85">
        <f>8000+3410</f>
        <v>11410</v>
      </c>
      <c r="F50" s="85">
        <v>7900</v>
      </c>
      <c r="G50" s="85"/>
      <c r="H50" s="108">
        <f t="shared" si="2"/>
        <v>19310</v>
      </c>
      <c r="I50" s="85">
        <v>0</v>
      </c>
      <c r="J50" s="108">
        <f t="shared" si="3"/>
        <v>19310</v>
      </c>
      <c r="K50" s="85">
        <v>-7663</v>
      </c>
      <c r="L50" s="108">
        <f t="shared" si="4"/>
        <v>11647</v>
      </c>
      <c r="M50" s="85"/>
      <c r="N50" s="108">
        <f t="shared" si="5"/>
        <v>11647</v>
      </c>
      <c r="O50" s="85"/>
      <c r="P50" s="108">
        <f t="shared" si="6"/>
        <v>11647</v>
      </c>
      <c r="Q50" s="85">
        <v>-1200</v>
      </c>
      <c r="R50" s="108">
        <f t="shared" si="7"/>
        <v>10447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</row>
    <row r="51" spans="1:214" s="27" customFormat="1" ht="24" customHeight="1">
      <c r="A51" s="113"/>
      <c r="B51" s="61"/>
      <c r="C51" s="61">
        <v>4270</v>
      </c>
      <c r="D51" s="14" t="s">
        <v>200</v>
      </c>
      <c r="E51" s="85">
        <v>1000</v>
      </c>
      <c r="F51" s="85"/>
      <c r="G51" s="85"/>
      <c r="H51" s="108">
        <f t="shared" si="2"/>
        <v>1000</v>
      </c>
      <c r="I51" s="85">
        <v>0</v>
      </c>
      <c r="J51" s="108">
        <f t="shared" si="3"/>
        <v>1000</v>
      </c>
      <c r="K51" s="85">
        <v>0</v>
      </c>
      <c r="L51" s="108">
        <f t="shared" si="4"/>
        <v>1000</v>
      </c>
      <c r="M51" s="85">
        <v>0</v>
      </c>
      <c r="N51" s="108">
        <f t="shared" si="5"/>
        <v>1000</v>
      </c>
      <c r="O51" s="85">
        <v>0</v>
      </c>
      <c r="P51" s="108">
        <f t="shared" si="6"/>
        <v>1000</v>
      </c>
      <c r="Q51" s="85">
        <v>0</v>
      </c>
      <c r="R51" s="108">
        <f t="shared" si="7"/>
        <v>1000</v>
      </c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</row>
    <row r="52" spans="1:214" s="27" customFormat="1" ht="24" customHeight="1">
      <c r="A52" s="113"/>
      <c r="B52" s="61"/>
      <c r="C52" s="61">
        <v>4280</v>
      </c>
      <c r="D52" s="14" t="s">
        <v>392</v>
      </c>
      <c r="E52" s="85">
        <v>500</v>
      </c>
      <c r="F52" s="85"/>
      <c r="G52" s="85"/>
      <c r="H52" s="108">
        <f t="shared" si="2"/>
        <v>500</v>
      </c>
      <c r="I52" s="85">
        <v>0</v>
      </c>
      <c r="J52" s="108">
        <f t="shared" si="3"/>
        <v>500</v>
      </c>
      <c r="K52" s="85">
        <v>0</v>
      </c>
      <c r="L52" s="108">
        <f t="shared" si="4"/>
        <v>500</v>
      </c>
      <c r="M52" s="85">
        <v>0</v>
      </c>
      <c r="N52" s="108">
        <f t="shared" si="5"/>
        <v>500</v>
      </c>
      <c r="O52" s="85">
        <v>0</v>
      </c>
      <c r="P52" s="108">
        <f t="shared" si="6"/>
        <v>500</v>
      </c>
      <c r="Q52" s="85">
        <v>0</v>
      </c>
      <c r="R52" s="108">
        <f t="shared" si="7"/>
        <v>500</v>
      </c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</row>
    <row r="53" spans="1:214" s="27" customFormat="1" ht="24" customHeight="1">
      <c r="A53" s="113"/>
      <c r="B53" s="61"/>
      <c r="C53" s="61">
        <v>4300</v>
      </c>
      <c r="D53" s="14" t="s">
        <v>201</v>
      </c>
      <c r="E53" s="85">
        <f>24150+3410</f>
        <v>27560</v>
      </c>
      <c r="F53" s="85"/>
      <c r="G53" s="85"/>
      <c r="H53" s="108">
        <f t="shared" si="2"/>
        <v>27560</v>
      </c>
      <c r="I53" s="85">
        <v>0</v>
      </c>
      <c r="J53" s="108">
        <f t="shared" si="3"/>
        <v>27560</v>
      </c>
      <c r="K53" s="85">
        <v>0</v>
      </c>
      <c r="L53" s="108">
        <f t="shared" si="4"/>
        <v>27560</v>
      </c>
      <c r="M53" s="85">
        <v>0</v>
      </c>
      <c r="N53" s="108">
        <f t="shared" si="5"/>
        <v>27560</v>
      </c>
      <c r="O53" s="85">
        <v>-6000</v>
      </c>
      <c r="P53" s="108">
        <f t="shared" si="6"/>
        <v>21560</v>
      </c>
      <c r="Q53" s="85">
        <v>-1500</v>
      </c>
      <c r="R53" s="108">
        <f t="shared" si="7"/>
        <v>20060</v>
      </c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</row>
    <row r="54" spans="1:214" s="27" customFormat="1" ht="24" customHeight="1">
      <c r="A54" s="113"/>
      <c r="B54" s="61"/>
      <c r="C54" s="61">
        <v>4350</v>
      </c>
      <c r="D54" s="14" t="s">
        <v>394</v>
      </c>
      <c r="E54" s="85">
        <v>3500</v>
      </c>
      <c r="F54" s="85"/>
      <c r="G54" s="85"/>
      <c r="H54" s="108">
        <f t="shared" si="2"/>
        <v>3500</v>
      </c>
      <c r="I54" s="85">
        <v>0</v>
      </c>
      <c r="J54" s="108">
        <f t="shared" si="3"/>
        <v>3500</v>
      </c>
      <c r="K54" s="85">
        <v>0</v>
      </c>
      <c r="L54" s="108">
        <f t="shared" si="4"/>
        <v>3500</v>
      </c>
      <c r="M54" s="85">
        <v>0</v>
      </c>
      <c r="N54" s="108">
        <f t="shared" si="5"/>
        <v>3500</v>
      </c>
      <c r="O54" s="85">
        <v>0</v>
      </c>
      <c r="P54" s="108">
        <f t="shared" si="6"/>
        <v>3500</v>
      </c>
      <c r="Q54" s="85">
        <v>0</v>
      </c>
      <c r="R54" s="108">
        <f t="shared" si="7"/>
        <v>3500</v>
      </c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</row>
    <row r="55" spans="1:214" s="27" customFormat="1" ht="22.5">
      <c r="A55" s="113"/>
      <c r="B55" s="61"/>
      <c r="C55" s="61">
        <v>4360</v>
      </c>
      <c r="D55" s="14" t="s">
        <v>414</v>
      </c>
      <c r="E55" s="85">
        <v>1000</v>
      </c>
      <c r="F55" s="85"/>
      <c r="G55" s="85"/>
      <c r="H55" s="108">
        <f t="shared" si="2"/>
        <v>1000</v>
      </c>
      <c r="I55" s="85">
        <v>0</v>
      </c>
      <c r="J55" s="108">
        <f t="shared" si="3"/>
        <v>1000</v>
      </c>
      <c r="K55" s="85">
        <v>0</v>
      </c>
      <c r="L55" s="108">
        <f t="shared" si="4"/>
        <v>1000</v>
      </c>
      <c r="M55" s="85">
        <v>0</v>
      </c>
      <c r="N55" s="108">
        <f t="shared" si="5"/>
        <v>1000</v>
      </c>
      <c r="O55" s="85">
        <v>0</v>
      </c>
      <c r="P55" s="108">
        <f t="shared" si="6"/>
        <v>1000</v>
      </c>
      <c r="Q55" s="85">
        <v>0</v>
      </c>
      <c r="R55" s="108">
        <f t="shared" si="7"/>
        <v>1000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</row>
    <row r="56" spans="1:214" s="27" customFormat="1" ht="22.5">
      <c r="A56" s="113"/>
      <c r="B56" s="61"/>
      <c r="C56" s="61">
        <v>4370</v>
      </c>
      <c r="D56" s="14" t="s">
        <v>409</v>
      </c>
      <c r="E56" s="85">
        <v>4000</v>
      </c>
      <c r="F56" s="85"/>
      <c r="G56" s="85"/>
      <c r="H56" s="108">
        <f t="shared" si="2"/>
        <v>4000</v>
      </c>
      <c r="I56" s="85">
        <v>0</v>
      </c>
      <c r="J56" s="108">
        <f t="shared" si="3"/>
        <v>4000</v>
      </c>
      <c r="K56" s="85">
        <v>0</v>
      </c>
      <c r="L56" s="108">
        <f t="shared" si="4"/>
        <v>4000</v>
      </c>
      <c r="M56" s="85">
        <v>0</v>
      </c>
      <c r="N56" s="108">
        <f t="shared" si="5"/>
        <v>4000</v>
      </c>
      <c r="O56" s="85">
        <v>0</v>
      </c>
      <c r="P56" s="108">
        <f t="shared" si="6"/>
        <v>4000</v>
      </c>
      <c r="Q56" s="85">
        <v>0</v>
      </c>
      <c r="R56" s="108">
        <f t="shared" si="7"/>
        <v>4000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</row>
    <row r="57" spans="1:214" s="27" customFormat="1" ht="24" customHeight="1">
      <c r="A57" s="113"/>
      <c r="B57" s="61"/>
      <c r="C57" s="61">
        <v>4410</v>
      </c>
      <c r="D57" s="14" t="s">
        <v>212</v>
      </c>
      <c r="E57" s="85">
        <v>2500</v>
      </c>
      <c r="F57" s="85"/>
      <c r="G57" s="85"/>
      <c r="H57" s="108">
        <f t="shared" si="2"/>
        <v>2500</v>
      </c>
      <c r="I57" s="85">
        <v>0</v>
      </c>
      <c r="J57" s="108">
        <f t="shared" si="3"/>
        <v>2500</v>
      </c>
      <c r="K57" s="85">
        <v>0</v>
      </c>
      <c r="L57" s="108">
        <f t="shared" si="4"/>
        <v>2500</v>
      </c>
      <c r="M57" s="85">
        <v>0</v>
      </c>
      <c r="N57" s="108">
        <f t="shared" si="5"/>
        <v>2500</v>
      </c>
      <c r="O57" s="85">
        <v>0</v>
      </c>
      <c r="P57" s="108">
        <f t="shared" si="6"/>
        <v>2500</v>
      </c>
      <c r="Q57" s="85">
        <v>0</v>
      </c>
      <c r="R57" s="108">
        <f t="shared" si="7"/>
        <v>2500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</row>
    <row r="58" spans="1:214" s="27" customFormat="1" ht="24" customHeight="1">
      <c r="A58" s="113"/>
      <c r="B58" s="61"/>
      <c r="C58" s="61">
        <v>4430</v>
      </c>
      <c r="D58" s="45" t="s">
        <v>216</v>
      </c>
      <c r="E58" s="85">
        <v>2000</v>
      </c>
      <c r="F58" s="85"/>
      <c r="G58" s="85"/>
      <c r="H58" s="108">
        <f t="shared" si="2"/>
        <v>2000</v>
      </c>
      <c r="I58" s="85">
        <v>0</v>
      </c>
      <c r="J58" s="108">
        <f t="shared" si="3"/>
        <v>2000</v>
      </c>
      <c r="K58" s="85">
        <v>0</v>
      </c>
      <c r="L58" s="108">
        <f t="shared" si="4"/>
        <v>2000</v>
      </c>
      <c r="M58" s="85">
        <v>0</v>
      </c>
      <c r="N58" s="108">
        <f t="shared" si="5"/>
        <v>2000</v>
      </c>
      <c r="O58" s="85">
        <v>0</v>
      </c>
      <c r="P58" s="108">
        <f t="shared" si="6"/>
        <v>2000</v>
      </c>
      <c r="Q58" s="85">
        <v>1200</v>
      </c>
      <c r="R58" s="108">
        <f t="shared" si="7"/>
        <v>3200</v>
      </c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</row>
    <row r="59" spans="1:214" s="27" customFormat="1" ht="24" customHeight="1">
      <c r="A59" s="113"/>
      <c r="B59" s="61"/>
      <c r="C59" s="61">
        <v>4440</v>
      </c>
      <c r="D59" s="14" t="s">
        <v>210</v>
      </c>
      <c r="E59" s="85">
        <v>4000</v>
      </c>
      <c r="F59" s="85"/>
      <c r="G59" s="85"/>
      <c r="H59" s="108">
        <f t="shared" si="2"/>
        <v>4000</v>
      </c>
      <c r="I59" s="85">
        <v>0</v>
      </c>
      <c r="J59" s="108">
        <f t="shared" si="3"/>
        <v>4000</v>
      </c>
      <c r="K59" s="85">
        <v>0</v>
      </c>
      <c r="L59" s="108">
        <f t="shared" si="4"/>
        <v>4000</v>
      </c>
      <c r="M59" s="85">
        <v>0</v>
      </c>
      <c r="N59" s="108">
        <f t="shared" si="5"/>
        <v>4000</v>
      </c>
      <c r="O59" s="85">
        <v>0</v>
      </c>
      <c r="P59" s="108">
        <f t="shared" si="6"/>
        <v>4000</v>
      </c>
      <c r="Q59" s="85">
        <v>0</v>
      </c>
      <c r="R59" s="108">
        <f t="shared" si="7"/>
        <v>4000</v>
      </c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</row>
    <row r="60" spans="1:214" s="27" customFormat="1" ht="22.5">
      <c r="A60" s="113"/>
      <c r="B60" s="61"/>
      <c r="C60" s="61">
        <v>4700</v>
      </c>
      <c r="D60" s="14" t="s">
        <v>412</v>
      </c>
      <c r="E60" s="85">
        <v>3000</v>
      </c>
      <c r="F60" s="85"/>
      <c r="G60" s="85"/>
      <c r="H60" s="108">
        <f t="shared" si="2"/>
        <v>3000</v>
      </c>
      <c r="I60" s="85">
        <v>0</v>
      </c>
      <c r="J60" s="108">
        <f t="shared" si="3"/>
        <v>3000</v>
      </c>
      <c r="K60" s="85">
        <v>0</v>
      </c>
      <c r="L60" s="108">
        <f t="shared" si="4"/>
        <v>3000</v>
      </c>
      <c r="M60" s="85">
        <v>0</v>
      </c>
      <c r="N60" s="108">
        <f t="shared" si="5"/>
        <v>3000</v>
      </c>
      <c r="O60" s="85">
        <v>0</v>
      </c>
      <c r="P60" s="108">
        <f t="shared" si="6"/>
        <v>3000</v>
      </c>
      <c r="Q60" s="85">
        <v>0</v>
      </c>
      <c r="R60" s="108">
        <f t="shared" si="7"/>
        <v>3000</v>
      </c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</row>
    <row r="61" spans="1:214" s="27" customFormat="1" ht="22.5">
      <c r="A61" s="113"/>
      <c r="B61" s="61"/>
      <c r="C61" s="61">
        <v>4740</v>
      </c>
      <c r="D61" s="14" t="s">
        <v>48</v>
      </c>
      <c r="E61" s="85">
        <v>4000</v>
      </c>
      <c r="F61" s="85"/>
      <c r="G61" s="85"/>
      <c r="H61" s="108">
        <f t="shared" si="2"/>
        <v>4000</v>
      </c>
      <c r="I61" s="85">
        <v>0</v>
      </c>
      <c r="J61" s="108">
        <f t="shared" si="3"/>
        <v>4000</v>
      </c>
      <c r="K61" s="85">
        <v>0</v>
      </c>
      <c r="L61" s="108">
        <f t="shared" si="4"/>
        <v>4000</v>
      </c>
      <c r="M61" s="85">
        <v>0</v>
      </c>
      <c r="N61" s="108">
        <f t="shared" si="5"/>
        <v>4000</v>
      </c>
      <c r="O61" s="85">
        <v>0</v>
      </c>
      <c r="P61" s="108">
        <f t="shared" si="6"/>
        <v>4000</v>
      </c>
      <c r="Q61" s="85">
        <v>0</v>
      </c>
      <c r="R61" s="108">
        <f t="shared" si="7"/>
        <v>4000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</row>
    <row r="62" spans="1:214" s="27" customFormat="1" ht="24.75" customHeight="1">
      <c r="A62" s="113"/>
      <c r="B62" s="61"/>
      <c r="C62" s="61">
        <v>4750</v>
      </c>
      <c r="D62" s="14" t="s">
        <v>413</v>
      </c>
      <c r="E62" s="85">
        <v>3074</v>
      </c>
      <c r="F62" s="85"/>
      <c r="G62" s="85"/>
      <c r="H62" s="108">
        <f t="shared" si="2"/>
        <v>3074</v>
      </c>
      <c r="I62" s="85">
        <v>0</v>
      </c>
      <c r="J62" s="108">
        <f t="shared" si="3"/>
        <v>3074</v>
      </c>
      <c r="K62" s="85">
        <v>0</v>
      </c>
      <c r="L62" s="108">
        <f t="shared" si="4"/>
        <v>3074</v>
      </c>
      <c r="M62" s="85">
        <v>0</v>
      </c>
      <c r="N62" s="108">
        <f t="shared" si="5"/>
        <v>3074</v>
      </c>
      <c r="O62" s="85">
        <v>0</v>
      </c>
      <c r="P62" s="108">
        <f t="shared" si="6"/>
        <v>3074</v>
      </c>
      <c r="Q62" s="85">
        <v>0</v>
      </c>
      <c r="R62" s="108">
        <f t="shared" si="7"/>
        <v>3074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</row>
    <row r="63" spans="1:214" s="27" customFormat="1" ht="56.25">
      <c r="A63" s="87"/>
      <c r="B63" s="61">
        <v>85213</v>
      </c>
      <c r="C63" s="95"/>
      <c r="D63" s="92" t="s">
        <v>46</v>
      </c>
      <c r="E63" s="108">
        <f>SUM(E64)</f>
        <v>99900</v>
      </c>
      <c r="F63" s="108">
        <f>SUM(F64)</f>
        <v>0</v>
      </c>
      <c r="G63" s="108">
        <f>SUM(G64)</f>
        <v>21500</v>
      </c>
      <c r="H63" s="108">
        <f t="shared" si="2"/>
        <v>78400</v>
      </c>
      <c r="I63" s="108">
        <f>SUM(I64)</f>
        <v>0</v>
      </c>
      <c r="J63" s="108">
        <f t="shared" si="3"/>
        <v>78400</v>
      </c>
      <c r="K63" s="108">
        <f>SUM(K64)</f>
        <v>0</v>
      </c>
      <c r="L63" s="108">
        <f t="shared" si="4"/>
        <v>78400</v>
      </c>
      <c r="M63" s="108">
        <f>SUM(M64)</f>
        <v>0</v>
      </c>
      <c r="N63" s="108">
        <f t="shared" si="5"/>
        <v>78400</v>
      </c>
      <c r="O63" s="108">
        <f>SUM(O64)</f>
        <v>0</v>
      </c>
      <c r="P63" s="108">
        <f t="shared" si="6"/>
        <v>78400</v>
      </c>
      <c r="Q63" s="108">
        <f>SUM(Q64)</f>
        <v>0</v>
      </c>
      <c r="R63" s="108">
        <f t="shared" si="7"/>
        <v>78400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</row>
    <row r="64" spans="1:214" s="27" customFormat="1" ht="24.75" customHeight="1">
      <c r="A64" s="87"/>
      <c r="B64" s="61"/>
      <c r="C64" s="95">
        <v>4130</v>
      </c>
      <c r="D64" s="92" t="s">
        <v>244</v>
      </c>
      <c r="E64" s="108">
        <v>99900</v>
      </c>
      <c r="F64" s="108"/>
      <c r="G64" s="108">
        <v>21500</v>
      </c>
      <c r="H64" s="108">
        <f t="shared" si="2"/>
        <v>78400</v>
      </c>
      <c r="I64" s="108">
        <v>0</v>
      </c>
      <c r="J64" s="108">
        <f t="shared" si="3"/>
        <v>78400</v>
      </c>
      <c r="K64" s="108">
        <v>0</v>
      </c>
      <c r="L64" s="108">
        <f t="shared" si="4"/>
        <v>78400</v>
      </c>
      <c r="M64" s="108">
        <v>0</v>
      </c>
      <c r="N64" s="108">
        <f t="shared" si="5"/>
        <v>78400</v>
      </c>
      <c r="O64" s="108">
        <v>0</v>
      </c>
      <c r="P64" s="108">
        <f t="shared" si="6"/>
        <v>78400</v>
      </c>
      <c r="Q64" s="108">
        <v>0</v>
      </c>
      <c r="R64" s="108">
        <f t="shared" si="7"/>
        <v>78400</v>
      </c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</row>
    <row r="65" spans="1:214" s="76" customFormat="1" ht="22.5">
      <c r="A65" s="81"/>
      <c r="B65" s="81">
        <v>85214</v>
      </c>
      <c r="C65" s="82"/>
      <c r="D65" s="80" t="s">
        <v>368</v>
      </c>
      <c r="E65" s="110">
        <f>SUM(E66:E67)</f>
        <v>439200</v>
      </c>
      <c r="F65" s="110">
        <f>SUM(F66:F67)</f>
        <v>0</v>
      </c>
      <c r="G65" s="110">
        <f>SUM(G66:G67)</f>
        <v>2200</v>
      </c>
      <c r="H65" s="108">
        <f t="shared" si="2"/>
        <v>437000</v>
      </c>
      <c r="I65" s="110">
        <f>SUM(I66:I67)</f>
        <v>0</v>
      </c>
      <c r="J65" s="108">
        <f t="shared" si="3"/>
        <v>437000</v>
      </c>
      <c r="K65" s="110">
        <f>SUM(K66:K67)</f>
        <v>0</v>
      </c>
      <c r="L65" s="108">
        <f t="shared" si="4"/>
        <v>437000</v>
      </c>
      <c r="M65" s="110">
        <f>SUM(M66:M67)</f>
        <v>0</v>
      </c>
      <c r="N65" s="108">
        <f t="shared" si="5"/>
        <v>437000</v>
      </c>
      <c r="O65" s="110">
        <f>SUM(O66:O67)</f>
        <v>-3000</v>
      </c>
      <c r="P65" s="108">
        <f t="shared" si="6"/>
        <v>434000</v>
      </c>
      <c r="Q65" s="110">
        <f>SUM(Q66:Q67)</f>
        <v>0</v>
      </c>
      <c r="R65" s="108">
        <f t="shared" si="7"/>
        <v>434000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</row>
    <row r="66" spans="1:214" s="76" customFormat="1" ht="21.75" customHeight="1">
      <c r="A66" s="81"/>
      <c r="B66" s="102"/>
      <c r="C66" s="82">
        <v>3110</v>
      </c>
      <c r="D66" s="80" t="s">
        <v>236</v>
      </c>
      <c r="E66" s="110">
        <f>439200-3000</f>
        <v>436200</v>
      </c>
      <c r="F66" s="110"/>
      <c r="G66" s="110">
        <v>2200</v>
      </c>
      <c r="H66" s="108">
        <f t="shared" si="2"/>
        <v>434000</v>
      </c>
      <c r="I66" s="110">
        <v>0</v>
      </c>
      <c r="J66" s="108">
        <f t="shared" si="3"/>
        <v>434000</v>
      </c>
      <c r="K66" s="110">
        <v>0</v>
      </c>
      <c r="L66" s="108">
        <f t="shared" si="4"/>
        <v>434000</v>
      </c>
      <c r="M66" s="110">
        <v>0</v>
      </c>
      <c r="N66" s="108">
        <f t="shared" si="5"/>
        <v>434000</v>
      </c>
      <c r="O66" s="110">
        <v>-3000</v>
      </c>
      <c r="P66" s="108">
        <f t="shared" si="6"/>
        <v>431000</v>
      </c>
      <c r="Q66" s="110">
        <v>0</v>
      </c>
      <c r="R66" s="108">
        <f t="shared" si="7"/>
        <v>431000</v>
      </c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</row>
    <row r="67" spans="1:214" s="76" customFormat="1" ht="21.75" customHeight="1">
      <c r="A67" s="81"/>
      <c r="B67" s="102"/>
      <c r="C67" s="102">
        <v>4110</v>
      </c>
      <c r="D67" s="14" t="s">
        <v>208</v>
      </c>
      <c r="E67" s="110">
        <v>3000</v>
      </c>
      <c r="F67" s="110"/>
      <c r="G67" s="110"/>
      <c r="H67" s="108">
        <f t="shared" si="2"/>
        <v>3000</v>
      </c>
      <c r="I67" s="110">
        <v>0</v>
      </c>
      <c r="J67" s="108">
        <f t="shared" si="3"/>
        <v>3000</v>
      </c>
      <c r="K67" s="110">
        <v>0</v>
      </c>
      <c r="L67" s="108">
        <f t="shared" si="4"/>
        <v>3000</v>
      </c>
      <c r="M67" s="110">
        <v>0</v>
      </c>
      <c r="N67" s="108">
        <f t="shared" si="5"/>
        <v>3000</v>
      </c>
      <c r="O67" s="110">
        <v>0</v>
      </c>
      <c r="P67" s="108">
        <f t="shared" si="6"/>
        <v>3000</v>
      </c>
      <c r="Q67" s="110">
        <v>0</v>
      </c>
      <c r="R67" s="108">
        <f t="shared" si="7"/>
        <v>3000</v>
      </c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</row>
    <row r="68" spans="1:214" ht="23.25" customHeight="1">
      <c r="A68" s="10"/>
      <c r="B68" s="10"/>
      <c r="C68" s="10"/>
      <c r="D68" s="17" t="s">
        <v>190</v>
      </c>
      <c r="E68" s="49">
        <f>SUM(E28,E20,E13,)</f>
        <v>8492509</v>
      </c>
      <c r="F68" s="49">
        <f>SUM(F28,F20,F13,)</f>
        <v>7900</v>
      </c>
      <c r="G68" s="49">
        <f>SUM(G28,G20,G13,)</f>
        <v>23700</v>
      </c>
      <c r="H68" s="49">
        <f aca="true" t="shared" si="8" ref="H68:N68">SUM(H28,H20,H13,H8,)</f>
        <v>8476709</v>
      </c>
      <c r="I68" s="49">
        <f t="shared" si="8"/>
        <v>98263</v>
      </c>
      <c r="J68" s="49">
        <f t="shared" si="8"/>
        <v>8574972</v>
      </c>
      <c r="K68" s="49">
        <f t="shared" si="8"/>
        <v>0</v>
      </c>
      <c r="L68" s="49">
        <f t="shared" si="8"/>
        <v>8574972</v>
      </c>
      <c r="M68" s="49">
        <f t="shared" si="8"/>
        <v>0</v>
      </c>
      <c r="N68" s="49">
        <f t="shared" si="8"/>
        <v>8574972</v>
      </c>
      <c r="O68" s="49">
        <f>SUM(O28,O20,O13,O8,)</f>
        <v>-203000</v>
      </c>
      <c r="P68" s="49">
        <f>SUM(P28,P20,P13,P8,)</f>
        <v>8371972</v>
      </c>
      <c r="Q68" s="49">
        <f>SUM(Q28,Q20,Q13,Q8,)</f>
        <v>-43356</v>
      </c>
      <c r="R68" s="49">
        <f>SUM(R28,R20,R13,R8,)</f>
        <v>8328616</v>
      </c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</row>
    <row r="70" spans="5:18" ht="12.7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5:18" ht="12.75"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5:18" ht="12.75">
      <c r="E72" s="27"/>
      <c r="F72" s="27"/>
      <c r="G72" s="150">
        <f>SUM(F68-G68)</f>
        <v>-15800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5:18" ht="12.75"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</row>
    <row r="74" spans="5:18" ht="12.7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5:18" ht="12.75"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5:18" ht="12.7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5:18" ht="12.75"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</row>
    <row r="78" spans="5:18" ht="12.75"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5:18" ht="12.7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5:18" ht="12.7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5:18" ht="12.75"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</row>
    <row r="82" spans="5:18" ht="12.7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5:18" ht="12.7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5:18" ht="12.7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5:18" ht="12.7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5:18" ht="12.7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</sheetData>
  <sheetProtection/>
  <mergeCells count="1">
    <mergeCell ref="A6:R6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D149" sqref="D149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5.625" style="8" customWidth="1"/>
    <col min="4" max="4" width="31.125" style="8" customWidth="1"/>
    <col min="5" max="5" width="11.25390625" style="0" hidden="1" customWidth="1"/>
    <col min="6" max="6" width="15.25390625" style="0" hidden="1" customWidth="1"/>
    <col min="7" max="7" width="12.25390625" style="0" hidden="1" customWidth="1"/>
    <col min="8" max="8" width="16.75390625" style="0" hidden="1" customWidth="1"/>
    <col min="9" max="9" width="17.875" style="0" hidden="1" customWidth="1"/>
    <col min="10" max="10" width="17.25390625" style="0" hidden="1" customWidth="1"/>
    <col min="11" max="11" width="17.375" style="0" hidden="1" customWidth="1"/>
    <col min="12" max="12" width="19.75390625" style="0" hidden="1" customWidth="1"/>
    <col min="13" max="13" width="17.125" style="0" hidden="1" customWidth="1"/>
    <col min="14" max="14" width="19.375" style="0" hidden="1" customWidth="1"/>
    <col min="15" max="15" width="14.875" style="0" hidden="1" customWidth="1"/>
    <col min="16" max="16" width="12.875" style="0" customWidth="1"/>
    <col min="17" max="17" width="12.75390625" style="0" customWidth="1"/>
    <col min="18" max="18" width="12.875" style="0" customWidth="1"/>
  </cols>
  <sheetData>
    <row r="1" spans="5:18" ht="12.75">
      <c r="E1" s="70"/>
      <c r="F1" s="70" t="s">
        <v>449</v>
      </c>
      <c r="G1" s="70"/>
      <c r="H1" s="123" t="s">
        <v>590</v>
      </c>
      <c r="I1" s="123"/>
      <c r="J1" s="123" t="s">
        <v>658</v>
      </c>
      <c r="K1" s="123"/>
      <c r="L1" s="123" t="s">
        <v>697</v>
      </c>
      <c r="M1" s="123"/>
      <c r="N1" s="123" t="s">
        <v>79</v>
      </c>
      <c r="O1" s="123"/>
      <c r="P1" s="123" t="s">
        <v>385</v>
      </c>
      <c r="Q1" s="123"/>
      <c r="R1" s="70"/>
    </row>
    <row r="2" spans="5:18" ht="12.75">
      <c r="E2" s="70" t="s">
        <v>349</v>
      </c>
      <c r="F2" s="123" t="s">
        <v>527</v>
      </c>
      <c r="G2" s="70"/>
      <c r="H2" s="123" t="s">
        <v>532</v>
      </c>
      <c r="I2" s="123"/>
      <c r="J2" s="123" t="s">
        <v>637</v>
      </c>
      <c r="K2" s="123"/>
      <c r="L2" s="123" t="s">
        <v>693</v>
      </c>
      <c r="M2" s="123"/>
      <c r="N2" s="123" t="s">
        <v>74</v>
      </c>
      <c r="O2" s="123"/>
      <c r="P2" s="123" t="s">
        <v>381</v>
      </c>
      <c r="Q2" s="123"/>
      <c r="R2" s="70"/>
    </row>
    <row r="3" spans="5:18" ht="12.75">
      <c r="E3" s="70" t="s">
        <v>348</v>
      </c>
      <c r="F3" s="123" t="s">
        <v>280</v>
      </c>
      <c r="G3" s="70"/>
      <c r="H3" s="123" t="s">
        <v>562</v>
      </c>
      <c r="I3" s="123"/>
      <c r="J3" s="123" t="s">
        <v>590</v>
      </c>
      <c r="K3" s="123"/>
      <c r="L3" s="123" t="s">
        <v>658</v>
      </c>
      <c r="M3" s="123"/>
      <c r="N3" s="123" t="s">
        <v>697</v>
      </c>
      <c r="O3" s="123"/>
      <c r="P3" s="123" t="s">
        <v>79</v>
      </c>
      <c r="Q3" s="123"/>
      <c r="R3" s="70"/>
    </row>
    <row r="4" spans="5:18" ht="12.75">
      <c r="E4" s="70"/>
      <c r="F4" s="123" t="s">
        <v>522</v>
      </c>
      <c r="G4" s="70"/>
      <c r="H4" s="123" t="s">
        <v>534</v>
      </c>
      <c r="I4" s="123"/>
      <c r="J4" s="123" t="s">
        <v>595</v>
      </c>
      <c r="K4" s="123"/>
      <c r="L4" s="123" t="s">
        <v>668</v>
      </c>
      <c r="M4" s="123"/>
      <c r="N4" s="123" t="s">
        <v>700</v>
      </c>
      <c r="O4" s="123"/>
      <c r="P4" s="123" t="s">
        <v>101</v>
      </c>
      <c r="Q4" s="123"/>
      <c r="R4" s="70"/>
    </row>
    <row r="5" spans="1:16" ht="15" customHeight="1">
      <c r="A5" s="380" t="s">
        <v>561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spans="1:4" ht="12.75">
      <c r="A6" s="10"/>
      <c r="B6" s="10"/>
      <c r="C6" s="10"/>
      <c r="D6" s="39"/>
    </row>
    <row r="7" spans="1:18" s="8" customFormat="1" ht="24" customHeight="1">
      <c r="A7" s="224" t="s">
        <v>112</v>
      </c>
      <c r="B7" s="225" t="s">
        <v>113</v>
      </c>
      <c r="C7" s="226" t="s">
        <v>114</v>
      </c>
      <c r="D7" s="225" t="s">
        <v>115</v>
      </c>
      <c r="E7" s="177" t="s">
        <v>270</v>
      </c>
      <c r="F7" s="177" t="s">
        <v>346</v>
      </c>
      <c r="G7" s="177" t="s">
        <v>347</v>
      </c>
      <c r="H7" s="177" t="s">
        <v>558</v>
      </c>
      <c r="I7" s="177" t="s">
        <v>351</v>
      </c>
      <c r="J7" s="177" t="s">
        <v>558</v>
      </c>
      <c r="K7" s="177" t="s">
        <v>351</v>
      </c>
      <c r="L7" s="177" t="s">
        <v>558</v>
      </c>
      <c r="M7" s="177" t="s">
        <v>557</v>
      </c>
      <c r="N7" s="177" t="s">
        <v>558</v>
      </c>
      <c r="O7" s="177" t="s">
        <v>557</v>
      </c>
      <c r="P7" s="177" t="s">
        <v>558</v>
      </c>
      <c r="Q7" s="177" t="s">
        <v>557</v>
      </c>
      <c r="R7" s="177" t="s">
        <v>559</v>
      </c>
    </row>
    <row r="8" spans="1:18" s="7" customFormat="1" ht="24" customHeight="1">
      <c r="A8" s="34" t="s">
        <v>196</v>
      </c>
      <c r="B8" s="5"/>
      <c r="C8" s="23"/>
      <c r="D8" s="22" t="s">
        <v>197</v>
      </c>
      <c r="E8" s="47">
        <f>E15</f>
        <v>1907280</v>
      </c>
      <c r="F8" s="47">
        <f>F15</f>
        <v>40000</v>
      </c>
      <c r="G8" s="47">
        <f>G15</f>
        <v>840000</v>
      </c>
      <c r="H8" s="47">
        <f>SUM(H9,H15,H12)</f>
        <v>1107280</v>
      </c>
      <c r="I8" s="47">
        <f>SUM(I9,I15)</f>
        <v>-6000</v>
      </c>
      <c r="J8" s="47">
        <f>SUM(J9,J15)</f>
        <v>1101280</v>
      </c>
      <c r="K8" s="47">
        <f>SUM(K9,K15)</f>
        <v>0</v>
      </c>
      <c r="L8" s="47">
        <f>SUM(L9,L15)</f>
        <v>1101280</v>
      </c>
      <c r="M8" s="47">
        <f>SUM(M9,M15)</f>
        <v>-11310</v>
      </c>
      <c r="N8" s="47">
        <f>SUM(N9,N15,N12)</f>
        <v>1089970</v>
      </c>
      <c r="O8" s="47">
        <f>SUM(O9,O15,O12)</f>
        <v>1586800</v>
      </c>
      <c r="P8" s="47">
        <f>SUM(P9,P15,P12)</f>
        <v>2676770</v>
      </c>
      <c r="Q8" s="47">
        <f>SUM(Q9,Q15,Q12)</f>
        <v>107492</v>
      </c>
      <c r="R8" s="47">
        <f>SUM(R9,R15,R12)</f>
        <v>2784262</v>
      </c>
    </row>
    <row r="9" spans="1:18" s="27" customFormat="1" ht="24" customHeight="1">
      <c r="A9" s="86"/>
      <c r="B9" s="61">
        <v>60013</v>
      </c>
      <c r="C9" s="95"/>
      <c r="D9" s="14" t="s">
        <v>598</v>
      </c>
      <c r="E9" s="67">
        <f>SUM(E10)</f>
        <v>0</v>
      </c>
      <c r="F9" s="67">
        <f aca="true" t="shared" si="0" ref="F9:H10">SUM(F10)</f>
        <v>0</v>
      </c>
      <c r="G9" s="67">
        <f t="shared" si="0"/>
        <v>0</v>
      </c>
      <c r="H9" s="67">
        <f t="shared" si="0"/>
        <v>0</v>
      </c>
      <c r="I9" s="67"/>
      <c r="J9" s="67">
        <f aca="true" t="shared" si="1" ref="J9:R10">SUM(J10)</f>
        <v>0</v>
      </c>
      <c r="K9" s="67">
        <f t="shared" si="1"/>
        <v>30000</v>
      </c>
      <c r="L9" s="67">
        <f t="shared" si="1"/>
        <v>30000</v>
      </c>
      <c r="M9" s="67">
        <f t="shared" si="1"/>
        <v>0</v>
      </c>
      <c r="N9" s="67">
        <f t="shared" si="1"/>
        <v>30000</v>
      </c>
      <c r="O9" s="67">
        <f t="shared" si="1"/>
        <v>0</v>
      </c>
      <c r="P9" s="67">
        <f t="shared" si="1"/>
        <v>30000</v>
      </c>
      <c r="Q9" s="67">
        <f t="shared" si="1"/>
        <v>0</v>
      </c>
      <c r="R9" s="67">
        <f t="shared" si="1"/>
        <v>30000</v>
      </c>
    </row>
    <row r="10" spans="1:18" s="27" customFormat="1" ht="67.5">
      <c r="A10" s="86"/>
      <c r="B10" s="61"/>
      <c r="C10" s="95">
        <v>6300</v>
      </c>
      <c r="D10" s="45" t="s">
        <v>599</v>
      </c>
      <c r="E10" s="67">
        <f>SUM(E11)</f>
        <v>0</v>
      </c>
      <c r="F10" s="67">
        <f t="shared" si="0"/>
        <v>0</v>
      </c>
      <c r="G10" s="67">
        <f t="shared" si="0"/>
        <v>0</v>
      </c>
      <c r="H10" s="67">
        <f t="shared" si="0"/>
        <v>0</v>
      </c>
      <c r="I10" s="67"/>
      <c r="J10" s="67">
        <f t="shared" si="1"/>
        <v>0</v>
      </c>
      <c r="K10" s="67">
        <f t="shared" si="1"/>
        <v>30000</v>
      </c>
      <c r="L10" s="67">
        <f t="shared" si="1"/>
        <v>30000</v>
      </c>
      <c r="M10" s="67">
        <f t="shared" si="1"/>
        <v>0</v>
      </c>
      <c r="N10" s="67">
        <f>SUM(N11:N11)</f>
        <v>30000</v>
      </c>
      <c r="O10" s="67">
        <f>SUM(O11:O11)</f>
        <v>0</v>
      </c>
      <c r="P10" s="67">
        <f>SUM(P11:P11)</f>
        <v>30000</v>
      </c>
      <c r="Q10" s="67">
        <f>SUM(Q11:Q11)</f>
        <v>0</v>
      </c>
      <c r="R10" s="67">
        <f>SUM(R11:R11)</f>
        <v>30000</v>
      </c>
    </row>
    <row r="11" spans="1:18" s="30" customFormat="1" ht="78.75">
      <c r="A11" s="57"/>
      <c r="B11" s="54"/>
      <c r="C11" s="55"/>
      <c r="D11" s="59" t="s">
        <v>611</v>
      </c>
      <c r="E11" s="217">
        <v>0</v>
      </c>
      <c r="F11" s="217">
        <v>0</v>
      </c>
      <c r="G11" s="217">
        <v>0</v>
      </c>
      <c r="H11" s="217">
        <f>SUM(E11+F11-G11)</f>
        <v>0</v>
      </c>
      <c r="I11" s="217"/>
      <c r="J11" s="217">
        <v>0</v>
      </c>
      <c r="K11" s="217">
        <v>30000</v>
      </c>
      <c r="L11" s="217">
        <f>SUM(J11:K11)</f>
        <v>30000</v>
      </c>
      <c r="M11" s="217">
        <v>0</v>
      </c>
      <c r="N11" s="217">
        <f>SUM(L11:M11)</f>
        <v>30000</v>
      </c>
      <c r="O11" s="217">
        <v>0</v>
      </c>
      <c r="P11" s="217">
        <f>SUM(N11:O11)</f>
        <v>30000</v>
      </c>
      <c r="Q11" s="217">
        <v>0</v>
      </c>
      <c r="R11" s="217">
        <f aca="true" t="shared" si="2" ref="R11:R43">SUM(P11:Q11)</f>
        <v>30000</v>
      </c>
    </row>
    <row r="12" spans="1:18" s="27" customFormat="1" ht="21.75" customHeight="1">
      <c r="A12" s="86"/>
      <c r="B12" s="61">
        <v>60014</v>
      </c>
      <c r="C12" s="95"/>
      <c r="D12" s="14" t="s">
        <v>31</v>
      </c>
      <c r="E12" s="67">
        <f>SUM(E13)</f>
        <v>0</v>
      </c>
      <c r="F12" s="67">
        <f aca="true" t="shared" si="3" ref="F12:H13">SUM(F13)</f>
        <v>0</v>
      </c>
      <c r="G12" s="67">
        <f t="shared" si="3"/>
        <v>0</v>
      </c>
      <c r="H12" s="67">
        <f t="shared" si="3"/>
        <v>0</v>
      </c>
      <c r="I12" s="67"/>
      <c r="J12" s="67"/>
      <c r="K12" s="67"/>
      <c r="L12" s="67"/>
      <c r="M12" s="67"/>
      <c r="N12" s="67">
        <f>SUM(N13)</f>
        <v>0</v>
      </c>
      <c r="O12" s="67">
        <f>SUM(O13)</f>
        <v>210000</v>
      </c>
      <c r="P12" s="67">
        <f>SUM(N12:O12)</f>
        <v>210000</v>
      </c>
      <c r="Q12" s="67">
        <f>SUM(Q13)</f>
        <v>-210000</v>
      </c>
      <c r="R12" s="67">
        <f t="shared" si="2"/>
        <v>0</v>
      </c>
    </row>
    <row r="13" spans="1:18" s="27" customFormat="1" ht="26.25" customHeight="1">
      <c r="A13" s="86"/>
      <c r="B13" s="61"/>
      <c r="C13" s="95">
        <v>6800</v>
      </c>
      <c r="D13" s="14" t="s">
        <v>524</v>
      </c>
      <c r="E13" s="67">
        <f>SUM(E14)</f>
        <v>0</v>
      </c>
      <c r="F13" s="67">
        <f t="shared" si="3"/>
        <v>0</v>
      </c>
      <c r="G13" s="67">
        <f t="shared" si="3"/>
        <v>0</v>
      </c>
      <c r="H13" s="67">
        <f t="shared" si="3"/>
        <v>0</v>
      </c>
      <c r="I13" s="67"/>
      <c r="J13" s="67"/>
      <c r="K13" s="67"/>
      <c r="L13" s="67"/>
      <c r="M13" s="67"/>
      <c r="N13" s="67">
        <f>SUM(N14)</f>
        <v>0</v>
      </c>
      <c r="O13" s="67">
        <f>SUM(O14)</f>
        <v>210000</v>
      </c>
      <c r="P13" s="67">
        <f>SUM(N13:O13)</f>
        <v>210000</v>
      </c>
      <c r="Q13" s="67">
        <f>SUM(Q14)</f>
        <v>-210000</v>
      </c>
      <c r="R13" s="67">
        <f t="shared" si="2"/>
        <v>0</v>
      </c>
    </row>
    <row r="14" spans="1:18" s="30" customFormat="1" ht="45">
      <c r="A14" s="57"/>
      <c r="B14" s="54"/>
      <c r="C14" s="55"/>
      <c r="D14" s="59" t="s">
        <v>70</v>
      </c>
      <c r="E14" s="217">
        <v>0</v>
      </c>
      <c r="F14" s="217">
        <v>0</v>
      </c>
      <c r="G14" s="217">
        <v>0</v>
      </c>
      <c r="H14" s="217">
        <f>SUM(E14+F14-G14)</f>
        <v>0</v>
      </c>
      <c r="I14" s="217"/>
      <c r="J14" s="217"/>
      <c r="K14" s="217"/>
      <c r="L14" s="217"/>
      <c r="M14" s="217"/>
      <c r="N14" s="217">
        <v>0</v>
      </c>
      <c r="O14" s="217">
        <v>210000</v>
      </c>
      <c r="P14" s="217">
        <f>SUM(N14:O14)</f>
        <v>210000</v>
      </c>
      <c r="Q14" s="217">
        <v>-210000</v>
      </c>
      <c r="R14" s="217">
        <f t="shared" si="2"/>
        <v>0</v>
      </c>
    </row>
    <row r="15" spans="1:18" s="27" customFormat="1" ht="24" customHeight="1">
      <c r="A15" s="86"/>
      <c r="B15" s="87" t="s">
        <v>198</v>
      </c>
      <c r="C15" s="95"/>
      <c r="D15" s="14" t="s">
        <v>199</v>
      </c>
      <c r="E15" s="67">
        <f>SUM(E16,E44,E47)</f>
        <v>1907280</v>
      </c>
      <c r="F15" s="67">
        <f>SUM(F16,F44,F47)</f>
        <v>40000</v>
      </c>
      <c r="G15" s="67">
        <f>SUM(G16,G44,G47)</f>
        <v>840000</v>
      </c>
      <c r="H15" s="67">
        <f>SUM(H16,H44,H47)</f>
        <v>1107280</v>
      </c>
      <c r="I15" s="67">
        <f>SUM(I16,I44,I47)</f>
        <v>-6000</v>
      </c>
      <c r="J15" s="67">
        <f>SUM(H15:I15)</f>
        <v>1101280</v>
      </c>
      <c r="K15" s="67">
        <f>SUM(K16,K44,K47)</f>
        <v>-30000</v>
      </c>
      <c r="L15" s="67">
        <f>SUM(J15:K15)</f>
        <v>1071280</v>
      </c>
      <c r="M15" s="67">
        <f>SUM(M16,M44,M47)</f>
        <v>-11310</v>
      </c>
      <c r="N15" s="67">
        <f>SUM(L15:M15)</f>
        <v>1059970</v>
      </c>
      <c r="O15" s="67">
        <f>SUM(O16,O44,O47)</f>
        <v>1376800</v>
      </c>
      <c r="P15" s="67">
        <f>SUM(N15:O15)</f>
        <v>2436770</v>
      </c>
      <c r="Q15" s="67">
        <f>SUM(Q16,Q44,Q47)</f>
        <v>317492</v>
      </c>
      <c r="R15" s="67">
        <f t="shared" si="2"/>
        <v>2754262</v>
      </c>
    </row>
    <row r="16" spans="1:18" s="27" customFormat="1" ht="24" customHeight="1">
      <c r="A16" s="93"/>
      <c r="B16" s="61"/>
      <c r="C16" s="95">
        <v>6050</v>
      </c>
      <c r="D16" s="14" t="s">
        <v>195</v>
      </c>
      <c r="E16" s="67">
        <f>SUM(E17:E43)</f>
        <v>1895630</v>
      </c>
      <c r="F16" s="67">
        <f>SUM(F17:F43)</f>
        <v>0</v>
      </c>
      <c r="G16" s="67">
        <f>SUM(G17:G43)</f>
        <v>840000</v>
      </c>
      <c r="H16" s="67">
        <f>SUM(H17:H43)</f>
        <v>1055630</v>
      </c>
      <c r="I16" s="67">
        <f>SUM(I17:I31)</f>
        <v>-6000</v>
      </c>
      <c r="J16" s="67">
        <f aca="true" t="shared" si="4" ref="J16:J99">SUM(H16:I16)</f>
        <v>1049630</v>
      </c>
      <c r="K16" s="67">
        <f>SUM(K17:K31)</f>
        <v>0</v>
      </c>
      <c r="L16" s="67">
        <f aca="true" t="shared" si="5" ref="L16:L93">SUM(J16:K16)</f>
        <v>1049630</v>
      </c>
      <c r="M16" s="67">
        <f>SUM(M17:M31)</f>
        <v>-11310</v>
      </c>
      <c r="N16" s="67">
        <f>SUM(L16:M16)</f>
        <v>1038320</v>
      </c>
      <c r="O16" s="67">
        <f>SUM(O17:O43)</f>
        <v>1365800</v>
      </c>
      <c r="P16" s="67">
        <f aca="true" t="shared" si="6" ref="P16:P93">SUM(N16:O16)</f>
        <v>2404120</v>
      </c>
      <c r="Q16" s="67">
        <f>SUM(Q17:Q43)</f>
        <v>316452</v>
      </c>
      <c r="R16" s="67">
        <f t="shared" si="2"/>
        <v>2720572</v>
      </c>
    </row>
    <row r="17" spans="1:18" s="30" customFormat="1" ht="24" customHeight="1">
      <c r="A17" s="53"/>
      <c r="B17" s="54"/>
      <c r="C17" s="55"/>
      <c r="D17" s="59" t="s">
        <v>422</v>
      </c>
      <c r="E17" s="111">
        <v>150000</v>
      </c>
      <c r="F17" s="111">
        <v>0</v>
      </c>
      <c r="G17" s="111">
        <v>60000</v>
      </c>
      <c r="H17" s="217">
        <f aca="true" t="shared" si="7" ref="H17:H45">E17+F17-G17</f>
        <v>90000</v>
      </c>
      <c r="I17" s="111"/>
      <c r="J17" s="217">
        <f t="shared" si="4"/>
        <v>90000</v>
      </c>
      <c r="K17" s="111">
        <v>0</v>
      </c>
      <c r="L17" s="217">
        <f t="shared" si="5"/>
        <v>90000</v>
      </c>
      <c r="M17" s="111">
        <v>0</v>
      </c>
      <c r="N17" s="217">
        <f aca="true" t="shared" si="8" ref="N17:N93">SUM(L17:M17)</f>
        <v>90000</v>
      </c>
      <c r="O17" s="111">
        <v>0</v>
      </c>
      <c r="P17" s="217">
        <f t="shared" si="6"/>
        <v>90000</v>
      </c>
      <c r="Q17" s="111">
        <v>0</v>
      </c>
      <c r="R17" s="217">
        <f t="shared" si="2"/>
        <v>90000</v>
      </c>
    </row>
    <row r="18" spans="1:18" s="30" customFormat="1" ht="22.5">
      <c r="A18" s="53"/>
      <c r="B18" s="54"/>
      <c r="C18" s="55"/>
      <c r="D18" s="59" t="s">
        <v>531</v>
      </c>
      <c r="E18" s="111">
        <v>250000</v>
      </c>
      <c r="F18" s="111">
        <v>0</v>
      </c>
      <c r="G18" s="111">
        <v>100000</v>
      </c>
      <c r="H18" s="217">
        <f t="shared" si="7"/>
        <v>150000</v>
      </c>
      <c r="I18" s="111"/>
      <c r="J18" s="217">
        <f t="shared" si="4"/>
        <v>150000</v>
      </c>
      <c r="K18" s="111">
        <v>0</v>
      </c>
      <c r="L18" s="217">
        <f t="shared" si="5"/>
        <v>150000</v>
      </c>
      <c r="M18" s="111">
        <v>0</v>
      </c>
      <c r="N18" s="217">
        <f t="shared" si="8"/>
        <v>150000</v>
      </c>
      <c r="O18" s="111">
        <v>0</v>
      </c>
      <c r="P18" s="217">
        <f t="shared" si="6"/>
        <v>150000</v>
      </c>
      <c r="Q18" s="111">
        <v>0</v>
      </c>
      <c r="R18" s="217">
        <f t="shared" si="2"/>
        <v>150000</v>
      </c>
    </row>
    <row r="19" spans="1:18" s="30" customFormat="1" ht="24" customHeight="1">
      <c r="A19" s="53"/>
      <c r="B19" s="54"/>
      <c r="C19" s="55"/>
      <c r="D19" s="59" t="s">
        <v>423</v>
      </c>
      <c r="E19" s="111">
        <v>280000</v>
      </c>
      <c r="F19" s="111">
        <v>0</v>
      </c>
      <c r="G19" s="111"/>
      <c r="H19" s="217">
        <f t="shared" si="7"/>
        <v>280000</v>
      </c>
      <c r="I19" s="111"/>
      <c r="J19" s="217">
        <f t="shared" si="4"/>
        <v>280000</v>
      </c>
      <c r="K19" s="111">
        <v>0</v>
      </c>
      <c r="L19" s="217">
        <f t="shared" si="5"/>
        <v>280000</v>
      </c>
      <c r="M19" s="111">
        <v>0</v>
      </c>
      <c r="N19" s="217">
        <f t="shared" si="8"/>
        <v>280000</v>
      </c>
      <c r="O19" s="111">
        <v>0</v>
      </c>
      <c r="P19" s="217">
        <f t="shared" si="6"/>
        <v>280000</v>
      </c>
      <c r="Q19" s="111">
        <v>3440</v>
      </c>
      <c r="R19" s="217">
        <f t="shared" si="2"/>
        <v>283440</v>
      </c>
    </row>
    <row r="20" spans="1:18" s="30" customFormat="1" ht="22.5">
      <c r="A20" s="53"/>
      <c r="B20" s="54"/>
      <c r="C20" s="55"/>
      <c r="D20" s="59" t="s">
        <v>425</v>
      </c>
      <c r="E20" s="111">
        <v>90000</v>
      </c>
      <c r="F20" s="111">
        <v>0</v>
      </c>
      <c r="G20" s="111">
        <v>36000</v>
      </c>
      <c r="H20" s="217">
        <f t="shared" si="7"/>
        <v>54000</v>
      </c>
      <c r="I20" s="111"/>
      <c r="J20" s="217">
        <f t="shared" si="4"/>
        <v>54000</v>
      </c>
      <c r="K20" s="111">
        <v>0</v>
      </c>
      <c r="L20" s="217">
        <f t="shared" si="5"/>
        <v>54000</v>
      </c>
      <c r="M20" s="111">
        <v>0</v>
      </c>
      <c r="N20" s="217">
        <f t="shared" si="8"/>
        <v>54000</v>
      </c>
      <c r="O20" s="111">
        <v>0</v>
      </c>
      <c r="P20" s="217">
        <f t="shared" si="6"/>
        <v>54000</v>
      </c>
      <c r="Q20" s="111">
        <v>100000</v>
      </c>
      <c r="R20" s="217">
        <f t="shared" si="2"/>
        <v>154000</v>
      </c>
    </row>
    <row r="21" spans="1:18" s="30" customFormat="1" ht="24" customHeight="1">
      <c r="A21" s="53"/>
      <c r="B21" s="54"/>
      <c r="C21" s="55"/>
      <c r="D21" s="59" t="s">
        <v>424</v>
      </c>
      <c r="E21" s="111">
        <v>190000</v>
      </c>
      <c r="F21" s="111">
        <v>0</v>
      </c>
      <c r="G21" s="111">
        <v>0</v>
      </c>
      <c r="H21" s="217">
        <f t="shared" si="7"/>
        <v>190000</v>
      </c>
      <c r="I21" s="111"/>
      <c r="J21" s="217">
        <f t="shared" si="4"/>
        <v>190000</v>
      </c>
      <c r="K21" s="111">
        <v>0</v>
      </c>
      <c r="L21" s="217">
        <f t="shared" si="5"/>
        <v>190000</v>
      </c>
      <c r="M21" s="111">
        <v>0</v>
      </c>
      <c r="N21" s="217">
        <f t="shared" si="8"/>
        <v>190000</v>
      </c>
      <c r="O21" s="111">
        <v>0</v>
      </c>
      <c r="P21" s="217">
        <f t="shared" si="6"/>
        <v>190000</v>
      </c>
      <c r="Q21" s="111">
        <v>97000</v>
      </c>
      <c r="R21" s="217">
        <f t="shared" si="2"/>
        <v>287000</v>
      </c>
    </row>
    <row r="22" spans="1:18" s="30" customFormat="1" ht="24" customHeight="1">
      <c r="A22" s="53"/>
      <c r="B22" s="54"/>
      <c r="C22" s="55"/>
      <c r="D22" s="59" t="s">
        <v>426</v>
      </c>
      <c r="E22" s="111">
        <v>140000</v>
      </c>
      <c r="F22" s="111">
        <v>0</v>
      </c>
      <c r="G22" s="111">
        <v>54000</v>
      </c>
      <c r="H22" s="217">
        <f t="shared" si="7"/>
        <v>86000</v>
      </c>
      <c r="I22" s="111"/>
      <c r="J22" s="217">
        <f t="shared" si="4"/>
        <v>86000</v>
      </c>
      <c r="K22" s="111">
        <v>0</v>
      </c>
      <c r="L22" s="217">
        <f t="shared" si="5"/>
        <v>86000</v>
      </c>
      <c r="M22" s="111">
        <v>0</v>
      </c>
      <c r="N22" s="217">
        <f t="shared" si="8"/>
        <v>86000</v>
      </c>
      <c r="O22" s="111">
        <v>0</v>
      </c>
      <c r="P22" s="217">
        <f t="shared" si="6"/>
        <v>86000</v>
      </c>
      <c r="Q22" s="111">
        <v>-1480</v>
      </c>
      <c r="R22" s="217">
        <f t="shared" si="2"/>
        <v>84520</v>
      </c>
    </row>
    <row r="23" spans="1:18" s="30" customFormat="1" ht="24" customHeight="1" hidden="1">
      <c r="A23" s="53"/>
      <c r="B23" s="54"/>
      <c r="C23" s="55"/>
      <c r="D23" s="59" t="s">
        <v>427</v>
      </c>
      <c r="E23" s="111">
        <v>350000</v>
      </c>
      <c r="F23" s="111"/>
      <c r="G23" s="111">
        <v>350000</v>
      </c>
      <c r="H23" s="217">
        <f t="shared" si="7"/>
        <v>0</v>
      </c>
      <c r="I23" s="111"/>
      <c r="J23" s="217">
        <f t="shared" si="4"/>
        <v>0</v>
      </c>
      <c r="K23" s="111"/>
      <c r="L23" s="217">
        <f t="shared" si="5"/>
        <v>0</v>
      </c>
      <c r="M23" s="111"/>
      <c r="N23" s="217">
        <f t="shared" si="8"/>
        <v>0</v>
      </c>
      <c r="O23" s="111"/>
      <c r="P23" s="217">
        <f t="shared" si="6"/>
        <v>0</v>
      </c>
      <c r="Q23" s="111"/>
      <c r="R23" s="217">
        <f t="shared" si="2"/>
        <v>0</v>
      </c>
    </row>
    <row r="24" spans="1:18" s="30" customFormat="1" ht="24" customHeight="1">
      <c r="A24" s="53"/>
      <c r="B24" s="54"/>
      <c r="C24" s="55"/>
      <c r="D24" s="59" t="s">
        <v>428</v>
      </c>
      <c r="E24" s="111">
        <v>350000</v>
      </c>
      <c r="F24" s="111">
        <v>0</v>
      </c>
      <c r="G24" s="111">
        <v>240000</v>
      </c>
      <c r="H24" s="217">
        <f t="shared" si="7"/>
        <v>110000</v>
      </c>
      <c r="I24" s="111"/>
      <c r="J24" s="217">
        <f t="shared" si="4"/>
        <v>110000</v>
      </c>
      <c r="K24" s="111">
        <v>0</v>
      </c>
      <c r="L24" s="217">
        <f t="shared" si="5"/>
        <v>110000</v>
      </c>
      <c r="M24" s="111">
        <v>0</v>
      </c>
      <c r="N24" s="217">
        <f t="shared" si="8"/>
        <v>110000</v>
      </c>
      <c r="O24" s="111">
        <v>0</v>
      </c>
      <c r="P24" s="217">
        <f t="shared" si="6"/>
        <v>110000</v>
      </c>
      <c r="Q24" s="111">
        <v>0</v>
      </c>
      <c r="R24" s="217">
        <f t="shared" si="2"/>
        <v>110000</v>
      </c>
    </row>
    <row r="25" spans="1:18" s="30" customFormat="1" ht="33.75">
      <c r="A25" s="53"/>
      <c r="B25" s="54"/>
      <c r="C25" s="55"/>
      <c r="D25" s="59" t="s">
        <v>430</v>
      </c>
      <c r="E25" s="111">
        <v>35000</v>
      </c>
      <c r="F25" s="111">
        <v>0</v>
      </c>
      <c r="G25" s="111">
        <v>0</v>
      </c>
      <c r="H25" s="217">
        <f t="shared" si="7"/>
        <v>35000</v>
      </c>
      <c r="I25" s="111"/>
      <c r="J25" s="217">
        <f t="shared" si="4"/>
        <v>35000</v>
      </c>
      <c r="K25" s="111">
        <v>0</v>
      </c>
      <c r="L25" s="217">
        <f t="shared" si="5"/>
        <v>35000</v>
      </c>
      <c r="M25" s="111">
        <v>0</v>
      </c>
      <c r="N25" s="217">
        <f t="shared" si="8"/>
        <v>35000</v>
      </c>
      <c r="O25" s="111">
        <v>0</v>
      </c>
      <c r="P25" s="217">
        <f t="shared" si="6"/>
        <v>35000</v>
      </c>
      <c r="Q25" s="111">
        <v>0</v>
      </c>
      <c r="R25" s="217">
        <f t="shared" si="2"/>
        <v>35000</v>
      </c>
    </row>
    <row r="26" spans="1:18" s="30" customFormat="1" ht="24" customHeight="1">
      <c r="A26" s="53"/>
      <c r="B26" s="54"/>
      <c r="C26" s="55"/>
      <c r="D26" s="59" t="s">
        <v>354</v>
      </c>
      <c r="E26" s="111">
        <v>6300</v>
      </c>
      <c r="F26" s="111">
        <v>0</v>
      </c>
      <c r="G26" s="111">
        <v>0</v>
      </c>
      <c r="H26" s="217">
        <f t="shared" si="7"/>
        <v>6300</v>
      </c>
      <c r="I26" s="111"/>
      <c r="J26" s="217">
        <f t="shared" si="4"/>
        <v>6300</v>
      </c>
      <c r="K26" s="111">
        <v>0</v>
      </c>
      <c r="L26" s="217">
        <f t="shared" si="5"/>
        <v>6300</v>
      </c>
      <c r="M26" s="111">
        <v>0</v>
      </c>
      <c r="N26" s="217">
        <f t="shared" si="8"/>
        <v>6300</v>
      </c>
      <c r="O26" s="111">
        <v>0</v>
      </c>
      <c r="P26" s="217">
        <f t="shared" si="6"/>
        <v>6300</v>
      </c>
      <c r="Q26" s="111">
        <v>1492</v>
      </c>
      <c r="R26" s="217">
        <f t="shared" si="2"/>
        <v>7792</v>
      </c>
    </row>
    <row r="27" spans="1:18" s="30" customFormat="1" ht="24" customHeight="1">
      <c r="A27" s="53"/>
      <c r="B27" s="54"/>
      <c r="C27" s="55"/>
      <c r="D27" s="56" t="s">
        <v>395</v>
      </c>
      <c r="E27" s="111">
        <v>21000</v>
      </c>
      <c r="F27" s="111">
        <v>0</v>
      </c>
      <c r="G27" s="111">
        <v>0</v>
      </c>
      <c r="H27" s="217">
        <f t="shared" si="7"/>
        <v>21000</v>
      </c>
      <c r="I27" s="111"/>
      <c r="J27" s="217">
        <f t="shared" si="4"/>
        <v>21000</v>
      </c>
      <c r="K27" s="111">
        <v>0</v>
      </c>
      <c r="L27" s="217">
        <f t="shared" si="5"/>
        <v>21000</v>
      </c>
      <c r="M27" s="111">
        <v>0</v>
      </c>
      <c r="N27" s="217">
        <f t="shared" si="8"/>
        <v>21000</v>
      </c>
      <c r="O27" s="111">
        <v>25000</v>
      </c>
      <c r="P27" s="217">
        <f t="shared" si="6"/>
        <v>46000</v>
      </c>
      <c r="Q27" s="111">
        <v>0</v>
      </c>
      <c r="R27" s="217">
        <f t="shared" si="2"/>
        <v>46000</v>
      </c>
    </row>
    <row r="28" spans="1:18" s="30" customFormat="1" ht="24" customHeight="1">
      <c r="A28" s="53"/>
      <c r="B28" s="54"/>
      <c r="C28" s="55"/>
      <c r="D28" s="56" t="s">
        <v>431</v>
      </c>
      <c r="E28" s="111">
        <v>8700</v>
      </c>
      <c r="F28" s="111">
        <v>0</v>
      </c>
      <c r="G28" s="111">
        <v>0</v>
      </c>
      <c r="H28" s="217">
        <f t="shared" si="7"/>
        <v>8700</v>
      </c>
      <c r="I28" s="111"/>
      <c r="J28" s="217">
        <f t="shared" si="4"/>
        <v>8700</v>
      </c>
      <c r="K28" s="111">
        <v>0</v>
      </c>
      <c r="L28" s="217">
        <f t="shared" si="5"/>
        <v>8700</v>
      </c>
      <c r="M28" s="111">
        <v>0</v>
      </c>
      <c r="N28" s="217">
        <f t="shared" si="8"/>
        <v>8700</v>
      </c>
      <c r="O28" s="111">
        <v>-200</v>
      </c>
      <c r="P28" s="217">
        <f t="shared" si="6"/>
        <v>8500</v>
      </c>
      <c r="Q28" s="111">
        <v>0</v>
      </c>
      <c r="R28" s="217">
        <f t="shared" si="2"/>
        <v>8500</v>
      </c>
    </row>
    <row r="29" spans="1:18" s="30" customFormat="1" ht="24" customHeight="1">
      <c r="A29" s="53"/>
      <c r="B29" s="54"/>
      <c r="C29" s="55"/>
      <c r="D29" s="56" t="s">
        <v>432</v>
      </c>
      <c r="E29" s="111">
        <v>11820</v>
      </c>
      <c r="F29" s="111">
        <v>0</v>
      </c>
      <c r="G29" s="111">
        <v>0</v>
      </c>
      <c r="H29" s="217">
        <f t="shared" si="7"/>
        <v>11820</v>
      </c>
      <c r="I29" s="111"/>
      <c r="J29" s="217">
        <f t="shared" si="4"/>
        <v>11820</v>
      </c>
      <c r="K29" s="111">
        <v>0</v>
      </c>
      <c r="L29" s="217">
        <f t="shared" si="5"/>
        <v>11820</v>
      </c>
      <c r="M29" s="111">
        <v>-4500</v>
      </c>
      <c r="N29" s="217">
        <f t="shared" si="8"/>
        <v>7320</v>
      </c>
      <c r="O29" s="111">
        <v>0</v>
      </c>
      <c r="P29" s="217">
        <f t="shared" si="6"/>
        <v>7320</v>
      </c>
      <c r="Q29" s="111">
        <v>0</v>
      </c>
      <c r="R29" s="217">
        <f t="shared" si="2"/>
        <v>7320</v>
      </c>
    </row>
    <row r="30" spans="1:18" s="30" customFormat="1" ht="24" customHeight="1" hidden="1">
      <c r="A30" s="53"/>
      <c r="B30" s="54"/>
      <c r="C30" s="55"/>
      <c r="D30" s="56" t="s">
        <v>433</v>
      </c>
      <c r="E30" s="111">
        <v>6000</v>
      </c>
      <c r="F30" s="111"/>
      <c r="G30" s="111"/>
      <c r="H30" s="217">
        <f t="shared" si="7"/>
        <v>6000</v>
      </c>
      <c r="I30" s="111">
        <v>-6000</v>
      </c>
      <c r="J30" s="217">
        <f t="shared" si="4"/>
        <v>0</v>
      </c>
      <c r="K30" s="111">
        <v>0</v>
      </c>
      <c r="L30" s="217">
        <f t="shared" si="5"/>
        <v>0</v>
      </c>
      <c r="M30" s="111">
        <v>0</v>
      </c>
      <c r="N30" s="217">
        <f t="shared" si="8"/>
        <v>0</v>
      </c>
      <c r="O30" s="111">
        <v>0</v>
      </c>
      <c r="P30" s="217">
        <f t="shared" si="6"/>
        <v>0</v>
      </c>
      <c r="Q30" s="111">
        <v>0</v>
      </c>
      <c r="R30" s="217">
        <f t="shared" si="2"/>
        <v>0</v>
      </c>
    </row>
    <row r="31" spans="1:18" s="30" customFormat="1" ht="24" customHeight="1" hidden="1">
      <c r="A31" s="53"/>
      <c r="B31" s="54"/>
      <c r="C31" s="55"/>
      <c r="D31" s="56" t="s">
        <v>434</v>
      </c>
      <c r="E31" s="111">
        <v>6810</v>
      </c>
      <c r="F31" s="111"/>
      <c r="G31" s="111"/>
      <c r="H31" s="217">
        <f t="shared" si="7"/>
        <v>6810</v>
      </c>
      <c r="I31" s="111"/>
      <c r="J31" s="217">
        <f t="shared" si="4"/>
        <v>6810</v>
      </c>
      <c r="K31" s="111">
        <v>0</v>
      </c>
      <c r="L31" s="217">
        <f t="shared" si="5"/>
        <v>6810</v>
      </c>
      <c r="M31" s="111">
        <v>-6810</v>
      </c>
      <c r="N31" s="217">
        <f t="shared" si="8"/>
        <v>0</v>
      </c>
      <c r="O31" s="111">
        <v>0</v>
      </c>
      <c r="P31" s="217">
        <f t="shared" si="6"/>
        <v>0</v>
      </c>
      <c r="Q31" s="111">
        <v>0</v>
      </c>
      <c r="R31" s="217">
        <f t="shared" si="2"/>
        <v>0</v>
      </c>
    </row>
    <row r="32" spans="1:18" s="30" customFormat="1" ht="21.75" customHeight="1">
      <c r="A32" s="53"/>
      <c r="B32" s="54"/>
      <c r="C32" s="55"/>
      <c r="D32" s="59" t="s">
        <v>64</v>
      </c>
      <c r="E32" s="111">
        <v>0</v>
      </c>
      <c r="F32" s="111">
        <v>0</v>
      </c>
      <c r="G32" s="111">
        <v>0</v>
      </c>
      <c r="H32" s="217">
        <f t="shared" si="7"/>
        <v>0</v>
      </c>
      <c r="I32" s="111"/>
      <c r="J32" s="217"/>
      <c r="K32" s="111"/>
      <c r="L32" s="217"/>
      <c r="M32" s="111"/>
      <c r="N32" s="217">
        <v>0</v>
      </c>
      <c r="O32" s="111">
        <v>80000</v>
      </c>
      <c r="P32" s="217">
        <f t="shared" si="6"/>
        <v>80000</v>
      </c>
      <c r="Q32" s="111">
        <v>0</v>
      </c>
      <c r="R32" s="217">
        <f t="shared" si="2"/>
        <v>80000</v>
      </c>
    </row>
    <row r="33" spans="1:18" s="30" customFormat="1" ht="33" customHeight="1">
      <c r="A33" s="53"/>
      <c r="B33" s="54"/>
      <c r="C33" s="55"/>
      <c r="D33" s="59" t="s">
        <v>102</v>
      </c>
      <c r="E33" s="111">
        <v>0</v>
      </c>
      <c r="F33" s="111">
        <v>0</v>
      </c>
      <c r="G33" s="111">
        <v>0</v>
      </c>
      <c r="H33" s="217">
        <f t="shared" si="7"/>
        <v>0</v>
      </c>
      <c r="I33" s="111"/>
      <c r="J33" s="217"/>
      <c r="K33" s="111"/>
      <c r="L33" s="217"/>
      <c r="M33" s="111"/>
      <c r="N33" s="217">
        <v>0</v>
      </c>
      <c r="O33" s="111">
        <v>20000</v>
      </c>
      <c r="P33" s="217">
        <f t="shared" si="6"/>
        <v>20000</v>
      </c>
      <c r="Q33" s="111">
        <v>0</v>
      </c>
      <c r="R33" s="217">
        <f t="shared" si="2"/>
        <v>20000</v>
      </c>
    </row>
    <row r="34" spans="1:18" s="30" customFormat="1" ht="34.5" customHeight="1">
      <c r="A34" s="53"/>
      <c r="B34" s="54"/>
      <c r="C34" s="55"/>
      <c r="D34" s="59" t="s">
        <v>95</v>
      </c>
      <c r="E34" s="111">
        <v>0</v>
      </c>
      <c r="F34" s="111">
        <v>0</v>
      </c>
      <c r="G34" s="111">
        <v>0</v>
      </c>
      <c r="H34" s="217">
        <f t="shared" si="7"/>
        <v>0</v>
      </c>
      <c r="I34" s="111"/>
      <c r="J34" s="217"/>
      <c r="K34" s="111"/>
      <c r="L34" s="217"/>
      <c r="M34" s="111"/>
      <c r="N34" s="217">
        <v>0</v>
      </c>
      <c r="O34" s="111">
        <v>55000</v>
      </c>
      <c r="P34" s="217">
        <f t="shared" si="6"/>
        <v>55000</v>
      </c>
      <c r="Q34" s="111">
        <v>0</v>
      </c>
      <c r="R34" s="217">
        <f t="shared" si="2"/>
        <v>55000</v>
      </c>
    </row>
    <row r="35" spans="1:18" s="30" customFormat="1" ht="24" customHeight="1">
      <c r="A35" s="53"/>
      <c r="B35" s="54"/>
      <c r="C35" s="55"/>
      <c r="D35" s="56" t="s">
        <v>62</v>
      </c>
      <c r="E35" s="111">
        <v>0</v>
      </c>
      <c r="F35" s="111">
        <v>0</v>
      </c>
      <c r="G35" s="111">
        <v>0</v>
      </c>
      <c r="H35" s="217">
        <f t="shared" si="7"/>
        <v>0</v>
      </c>
      <c r="I35" s="111"/>
      <c r="J35" s="217"/>
      <c r="K35" s="111"/>
      <c r="L35" s="217"/>
      <c r="M35" s="111"/>
      <c r="N35" s="217">
        <v>0</v>
      </c>
      <c r="O35" s="111">
        <v>180000</v>
      </c>
      <c r="P35" s="217">
        <f t="shared" si="6"/>
        <v>180000</v>
      </c>
      <c r="Q35" s="111">
        <f>30000+20000</f>
        <v>50000</v>
      </c>
      <c r="R35" s="217">
        <f t="shared" si="2"/>
        <v>230000</v>
      </c>
    </row>
    <row r="36" spans="1:18" s="30" customFormat="1" ht="21.75" customHeight="1">
      <c r="A36" s="53"/>
      <c r="B36" s="54"/>
      <c r="C36" s="55"/>
      <c r="D36" s="59" t="s">
        <v>65</v>
      </c>
      <c r="E36" s="111">
        <v>0</v>
      </c>
      <c r="F36" s="111">
        <v>0</v>
      </c>
      <c r="G36" s="111">
        <v>0</v>
      </c>
      <c r="H36" s="217">
        <f t="shared" si="7"/>
        <v>0</v>
      </c>
      <c r="I36" s="111"/>
      <c r="J36" s="217"/>
      <c r="K36" s="111"/>
      <c r="L36" s="217"/>
      <c r="M36" s="111"/>
      <c r="N36" s="217">
        <v>0</v>
      </c>
      <c r="O36" s="111">
        <v>160000</v>
      </c>
      <c r="P36" s="217">
        <f t="shared" si="6"/>
        <v>160000</v>
      </c>
      <c r="Q36" s="111">
        <v>0</v>
      </c>
      <c r="R36" s="217">
        <f t="shared" si="2"/>
        <v>160000</v>
      </c>
    </row>
    <row r="37" spans="1:18" s="30" customFormat="1" ht="33.75">
      <c r="A37" s="53"/>
      <c r="B37" s="54"/>
      <c r="C37" s="55"/>
      <c r="D37" s="59" t="s">
        <v>539</v>
      </c>
      <c r="E37" s="111">
        <v>0</v>
      </c>
      <c r="F37" s="111">
        <v>0</v>
      </c>
      <c r="G37" s="111">
        <v>0</v>
      </c>
      <c r="H37" s="217">
        <f t="shared" si="7"/>
        <v>0</v>
      </c>
      <c r="I37" s="111"/>
      <c r="J37" s="217"/>
      <c r="K37" s="111"/>
      <c r="L37" s="217"/>
      <c r="M37" s="111"/>
      <c r="N37" s="217">
        <v>0</v>
      </c>
      <c r="O37" s="111">
        <v>200000</v>
      </c>
      <c r="P37" s="217">
        <f t="shared" si="6"/>
        <v>200000</v>
      </c>
      <c r="Q37" s="111">
        <v>40000</v>
      </c>
      <c r="R37" s="217">
        <f t="shared" si="2"/>
        <v>240000</v>
      </c>
    </row>
    <row r="38" spans="1:18" s="30" customFormat="1" ht="30" customHeight="1">
      <c r="A38" s="53"/>
      <c r="B38" s="54"/>
      <c r="C38" s="55"/>
      <c r="D38" s="59" t="s">
        <v>538</v>
      </c>
      <c r="E38" s="111">
        <v>0</v>
      </c>
      <c r="F38" s="111">
        <v>0</v>
      </c>
      <c r="G38" s="111">
        <v>0</v>
      </c>
      <c r="H38" s="217">
        <f t="shared" si="7"/>
        <v>0</v>
      </c>
      <c r="I38" s="111"/>
      <c r="J38" s="217"/>
      <c r="K38" s="111"/>
      <c r="L38" s="217"/>
      <c r="M38" s="111"/>
      <c r="N38" s="217">
        <v>0</v>
      </c>
      <c r="O38" s="111">
        <v>90000</v>
      </c>
      <c r="P38" s="217">
        <f t="shared" si="6"/>
        <v>90000</v>
      </c>
      <c r="Q38" s="111">
        <v>26000</v>
      </c>
      <c r="R38" s="217">
        <f t="shared" si="2"/>
        <v>116000</v>
      </c>
    </row>
    <row r="39" spans="1:18" s="30" customFormat="1" ht="24" customHeight="1">
      <c r="A39" s="53"/>
      <c r="B39" s="54"/>
      <c r="C39" s="55"/>
      <c r="D39" s="56" t="s">
        <v>30</v>
      </c>
      <c r="E39" s="111">
        <v>0</v>
      </c>
      <c r="F39" s="111">
        <v>0</v>
      </c>
      <c r="G39" s="111">
        <v>0</v>
      </c>
      <c r="H39" s="217">
        <f t="shared" si="7"/>
        <v>0</v>
      </c>
      <c r="I39" s="111"/>
      <c r="J39" s="217"/>
      <c r="K39" s="111"/>
      <c r="L39" s="217"/>
      <c r="M39" s="111"/>
      <c r="N39" s="217">
        <v>0</v>
      </c>
      <c r="O39" s="111">
        <v>10000</v>
      </c>
      <c r="P39" s="217">
        <f t="shared" si="6"/>
        <v>10000</v>
      </c>
      <c r="Q39" s="111">
        <v>0</v>
      </c>
      <c r="R39" s="217">
        <f t="shared" si="2"/>
        <v>10000</v>
      </c>
    </row>
    <row r="40" spans="1:18" s="30" customFormat="1" ht="38.25" customHeight="1">
      <c r="A40" s="53"/>
      <c r="B40" s="54"/>
      <c r="C40" s="55"/>
      <c r="D40" s="59" t="s">
        <v>104</v>
      </c>
      <c r="E40" s="111">
        <v>0</v>
      </c>
      <c r="F40" s="111">
        <v>0</v>
      </c>
      <c r="G40" s="111">
        <v>0</v>
      </c>
      <c r="H40" s="217">
        <f t="shared" si="7"/>
        <v>0</v>
      </c>
      <c r="I40" s="111"/>
      <c r="J40" s="217"/>
      <c r="K40" s="111"/>
      <c r="L40" s="217"/>
      <c r="M40" s="111"/>
      <c r="N40" s="217">
        <v>0</v>
      </c>
      <c r="O40" s="111">
        <v>56000</v>
      </c>
      <c r="P40" s="217">
        <f t="shared" si="6"/>
        <v>56000</v>
      </c>
      <c r="Q40" s="111">
        <v>0</v>
      </c>
      <c r="R40" s="217">
        <f t="shared" si="2"/>
        <v>56000</v>
      </c>
    </row>
    <row r="41" spans="1:18" s="30" customFormat="1" ht="35.25" customHeight="1">
      <c r="A41" s="53"/>
      <c r="B41" s="54"/>
      <c r="C41" s="55"/>
      <c r="D41" s="59" t="s">
        <v>103</v>
      </c>
      <c r="E41" s="111">
        <v>0</v>
      </c>
      <c r="F41" s="111">
        <v>0</v>
      </c>
      <c r="G41" s="111">
        <v>0</v>
      </c>
      <c r="H41" s="217">
        <f t="shared" si="7"/>
        <v>0</v>
      </c>
      <c r="I41" s="111"/>
      <c r="J41" s="217"/>
      <c r="K41" s="111"/>
      <c r="L41" s="217"/>
      <c r="M41" s="111"/>
      <c r="N41" s="217">
        <v>0</v>
      </c>
      <c r="O41" s="111">
        <v>350000</v>
      </c>
      <c r="P41" s="217">
        <f t="shared" si="6"/>
        <v>350000</v>
      </c>
      <c r="Q41" s="111">
        <v>0</v>
      </c>
      <c r="R41" s="217">
        <f t="shared" si="2"/>
        <v>350000</v>
      </c>
    </row>
    <row r="42" spans="1:18" s="30" customFormat="1" ht="30" customHeight="1">
      <c r="A42" s="53"/>
      <c r="B42" s="54"/>
      <c r="C42" s="55"/>
      <c r="D42" s="59" t="s">
        <v>63</v>
      </c>
      <c r="E42" s="111">
        <v>0</v>
      </c>
      <c r="F42" s="111">
        <v>0</v>
      </c>
      <c r="G42" s="111">
        <v>0</v>
      </c>
      <c r="H42" s="217">
        <f t="shared" si="7"/>
        <v>0</v>
      </c>
      <c r="I42" s="111"/>
      <c r="J42" s="217"/>
      <c r="K42" s="111"/>
      <c r="L42" s="217"/>
      <c r="M42" s="111"/>
      <c r="N42" s="217">
        <v>0</v>
      </c>
      <c r="O42" s="111">
        <v>30000</v>
      </c>
      <c r="P42" s="217">
        <f t="shared" si="6"/>
        <v>30000</v>
      </c>
      <c r="Q42" s="111">
        <v>0</v>
      </c>
      <c r="R42" s="217">
        <f t="shared" si="2"/>
        <v>30000</v>
      </c>
    </row>
    <row r="43" spans="1:18" s="30" customFormat="1" ht="42.75" customHeight="1">
      <c r="A43" s="53"/>
      <c r="B43" s="54"/>
      <c r="C43" s="55"/>
      <c r="D43" s="59" t="s">
        <v>106</v>
      </c>
      <c r="E43" s="111">
        <v>0</v>
      </c>
      <c r="F43" s="111">
        <v>0</v>
      </c>
      <c r="G43" s="111">
        <v>0</v>
      </c>
      <c r="H43" s="217">
        <f t="shared" si="7"/>
        <v>0</v>
      </c>
      <c r="I43" s="111"/>
      <c r="J43" s="217"/>
      <c r="K43" s="111"/>
      <c r="L43" s="217"/>
      <c r="M43" s="111"/>
      <c r="N43" s="217">
        <v>0</v>
      </c>
      <c r="O43" s="111">
        <v>110000</v>
      </c>
      <c r="P43" s="217">
        <f t="shared" si="6"/>
        <v>110000</v>
      </c>
      <c r="Q43" s="111">
        <v>0</v>
      </c>
      <c r="R43" s="217">
        <f t="shared" si="2"/>
        <v>110000</v>
      </c>
    </row>
    <row r="44" spans="1:18" s="27" customFormat="1" ht="22.5">
      <c r="A44" s="93"/>
      <c r="B44" s="61"/>
      <c r="C44" s="95">
        <v>6060</v>
      </c>
      <c r="D44" s="14" t="s">
        <v>218</v>
      </c>
      <c r="E44" s="108">
        <f>SUM(E45)</f>
        <v>11650</v>
      </c>
      <c r="F44" s="108">
        <f>SUM(F45)</f>
        <v>0</v>
      </c>
      <c r="G44" s="108">
        <f>SUM(G45)</f>
        <v>0</v>
      </c>
      <c r="H44" s="67">
        <f t="shared" si="7"/>
        <v>11650</v>
      </c>
      <c r="I44" s="108">
        <f>SUM(I45)</f>
        <v>0</v>
      </c>
      <c r="J44" s="67">
        <f t="shared" si="4"/>
        <v>11650</v>
      </c>
      <c r="K44" s="108">
        <f>SUM(K45)</f>
        <v>0</v>
      </c>
      <c r="L44" s="67">
        <f t="shared" si="5"/>
        <v>11650</v>
      </c>
      <c r="M44" s="108">
        <f>SUM(M45)</f>
        <v>0</v>
      </c>
      <c r="N44" s="67">
        <f t="shared" si="8"/>
        <v>11650</v>
      </c>
      <c r="O44" s="108">
        <f>SUM(O45:O46)</f>
        <v>11000</v>
      </c>
      <c r="P44" s="108">
        <f>SUM(P45:P46)</f>
        <v>22650</v>
      </c>
      <c r="Q44" s="108">
        <f>SUM(Q45:Q46)</f>
        <v>1040</v>
      </c>
      <c r="R44" s="108">
        <f>SUM(R45:R46)</f>
        <v>23690</v>
      </c>
    </row>
    <row r="45" spans="1:18" s="30" customFormat="1" ht="22.5">
      <c r="A45" s="53"/>
      <c r="B45" s="54"/>
      <c r="C45" s="55"/>
      <c r="D45" s="59" t="s">
        <v>429</v>
      </c>
      <c r="E45" s="111">
        <v>11650</v>
      </c>
      <c r="F45" s="111"/>
      <c r="G45" s="111"/>
      <c r="H45" s="217">
        <f t="shared" si="7"/>
        <v>11650</v>
      </c>
      <c r="I45" s="111"/>
      <c r="J45" s="217">
        <f t="shared" si="4"/>
        <v>11650</v>
      </c>
      <c r="K45" s="111">
        <v>0</v>
      </c>
      <c r="L45" s="217">
        <f t="shared" si="5"/>
        <v>11650</v>
      </c>
      <c r="M45" s="111">
        <v>0</v>
      </c>
      <c r="N45" s="217">
        <f t="shared" si="8"/>
        <v>11650</v>
      </c>
      <c r="O45" s="111">
        <v>0</v>
      </c>
      <c r="P45" s="217">
        <f t="shared" si="6"/>
        <v>11650</v>
      </c>
      <c r="Q45" s="111">
        <v>1040</v>
      </c>
      <c r="R45" s="217">
        <f>SUM(P45:Q45)</f>
        <v>12690</v>
      </c>
    </row>
    <row r="46" spans="1:18" s="30" customFormat="1" ht="22.5">
      <c r="A46" s="53"/>
      <c r="B46" s="54"/>
      <c r="C46" s="55"/>
      <c r="D46" s="59" t="s">
        <v>29</v>
      </c>
      <c r="E46" s="111"/>
      <c r="F46" s="111"/>
      <c r="G46" s="111"/>
      <c r="H46" s="217"/>
      <c r="I46" s="111"/>
      <c r="J46" s="217"/>
      <c r="K46" s="111"/>
      <c r="L46" s="217"/>
      <c r="M46" s="111"/>
      <c r="N46" s="217">
        <v>0</v>
      </c>
      <c r="O46" s="111">
        <v>11000</v>
      </c>
      <c r="P46" s="217">
        <f t="shared" si="6"/>
        <v>11000</v>
      </c>
      <c r="Q46" s="111">
        <v>0</v>
      </c>
      <c r="R46" s="217">
        <f>SUM(P46:Q46)</f>
        <v>11000</v>
      </c>
    </row>
    <row r="47" spans="1:18" s="30" customFormat="1" ht="24" customHeight="1">
      <c r="A47" s="53"/>
      <c r="B47" s="54"/>
      <c r="C47" s="95">
        <v>6800</v>
      </c>
      <c r="D47" s="14" t="s">
        <v>524</v>
      </c>
      <c r="E47" s="108">
        <f>SUM(E48)</f>
        <v>0</v>
      </c>
      <c r="F47" s="108">
        <f>SUM(F48)</f>
        <v>40000</v>
      </c>
      <c r="G47" s="108">
        <f>SUM(G48)</f>
        <v>0</v>
      </c>
      <c r="H47" s="108">
        <f>SUM(H48)</f>
        <v>40000</v>
      </c>
      <c r="I47" s="108">
        <f>SUM(I48)</f>
        <v>0</v>
      </c>
      <c r="J47" s="67">
        <f t="shared" si="4"/>
        <v>40000</v>
      </c>
      <c r="K47" s="108">
        <f>SUM(K48)</f>
        <v>-30000</v>
      </c>
      <c r="L47" s="67">
        <f t="shared" si="5"/>
        <v>10000</v>
      </c>
      <c r="M47" s="108">
        <f>SUM(M48)</f>
        <v>0</v>
      </c>
      <c r="N47" s="67">
        <f t="shared" si="8"/>
        <v>10000</v>
      </c>
      <c r="O47" s="108">
        <f>SUM(O48:O48)</f>
        <v>0</v>
      </c>
      <c r="P47" s="108">
        <f>SUM(P48:P48)</f>
        <v>10000</v>
      </c>
      <c r="Q47" s="108">
        <f>SUM(Q48:Q48)</f>
        <v>0</v>
      </c>
      <c r="R47" s="108">
        <f>SUM(R48:R48)</f>
        <v>10000</v>
      </c>
    </row>
    <row r="48" spans="1:18" s="30" customFormat="1" ht="33.75">
      <c r="A48" s="53"/>
      <c r="B48" s="54"/>
      <c r="C48" s="55"/>
      <c r="D48" s="59" t="s">
        <v>530</v>
      </c>
      <c r="E48" s="111">
        <v>0</v>
      </c>
      <c r="F48" s="111">
        <v>40000</v>
      </c>
      <c r="G48" s="111"/>
      <c r="H48" s="217">
        <f>E48+F48-G48</f>
        <v>40000</v>
      </c>
      <c r="I48" s="111"/>
      <c r="J48" s="217">
        <f t="shared" si="4"/>
        <v>40000</v>
      </c>
      <c r="K48" s="111">
        <v>-30000</v>
      </c>
      <c r="L48" s="217">
        <f t="shared" si="5"/>
        <v>10000</v>
      </c>
      <c r="M48" s="111">
        <v>0</v>
      </c>
      <c r="N48" s="217">
        <f t="shared" si="8"/>
        <v>10000</v>
      </c>
      <c r="O48" s="111">
        <v>0</v>
      </c>
      <c r="P48" s="217">
        <f t="shared" si="6"/>
        <v>10000</v>
      </c>
      <c r="Q48" s="111">
        <v>0</v>
      </c>
      <c r="R48" s="217">
        <f aca="true" t="shared" si="9" ref="R48:R59">SUM(P48:Q48)</f>
        <v>10000</v>
      </c>
    </row>
    <row r="49" spans="1:18" s="11" customFormat="1" ht="24" customHeight="1">
      <c r="A49" s="34" t="s">
        <v>123</v>
      </c>
      <c r="B49" s="5"/>
      <c r="C49" s="23"/>
      <c r="D49" s="22" t="s">
        <v>124</v>
      </c>
      <c r="E49" s="18">
        <f>SUM(E50,E53,)</f>
        <v>550000</v>
      </c>
      <c r="F49" s="18">
        <f>SUM(F50,F53,)</f>
        <v>0</v>
      </c>
      <c r="G49" s="18">
        <f>SUM(G50,G53,)</f>
        <v>100000</v>
      </c>
      <c r="H49" s="18">
        <f>SUM(H50,H53,)</f>
        <v>450000</v>
      </c>
      <c r="I49" s="18">
        <f>SUM(I50,I53,)</f>
        <v>0</v>
      </c>
      <c r="J49" s="47">
        <f t="shared" si="4"/>
        <v>450000</v>
      </c>
      <c r="K49" s="18">
        <f>SUM(K50,K53,)</f>
        <v>0</v>
      </c>
      <c r="L49" s="47">
        <f t="shared" si="5"/>
        <v>450000</v>
      </c>
      <c r="M49" s="18">
        <f>SUM(M50,M53,)</f>
        <v>0</v>
      </c>
      <c r="N49" s="47">
        <f t="shared" si="8"/>
        <v>450000</v>
      </c>
      <c r="O49" s="18">
        <f>SUM(O50,O53,)</f>
        <v>108023</v>
      </c>
      <c r="P49" s="47">
        <f t="shared" si="6"/>
        <v>558023</v>
      </c>
      <c r="Q49" s="18">
        <f>SUM(Q50,Q53,)</f>
        <v>91000</v>
      </c>
      <c r="R49" s="47">
        <f t="shared" si="9"/>
        <v>649023</v>
      </c>
    </row>
    <row r="50" spans="1:18" s="27" customFormat="1" ht="24" customHeight="1">
      <c r="A50" s="86"/>
      <c r="B50" s="61">
        <v>70021</v>
      </c>
      <c r="C50" s="88"/>
      <c r="D50" s="45" t="s">
        <v>322</v>
      </c>
      <c r="E50" s="108">
        <f aca="true" t="shared" si="10" ref="E50:G51">SUM(E51)</f>
        <v>300000</v>
      </c>
      <c r="F50" s="108">
        <f t="shared" si="10"/>
        <v>0</v>
      </c>
      <c r="G50" s="108">
        <f t="shared" si="10"/>
        <v>0</v>
      </c>
      <c r="H50" s="67">
        <f aca="true" t="shared" si="11" ref="H50:H55">E50+F50-G50</f>
        <v>300000</v>
      </c>
      <c r="I50" s="108">
        <f>SUM(I51)</f>
        <v>0</v>
      </c>
      <c r="J50" s="67">
        <f t="shared" si="4"/>
        <v>300000</v>
      </c>
      <c r="K50" s="108">
        <f>SUM(K51)</f>
        <v>0</v>
      </c>
      <c r="L50" s="67">
        <f t="shared" si="5"/>
        <v>300000</v>
      </c>
      <c r="M50" s="108">
        <f>SUM(M51)</f>
        <v>0</v>
      </c>
      <c r="N50" s="67">
        <f t="shared" si="8"/>
        <v>300000</v>
      </c>
      <c r="O50" s="108">
        <f>SUM(O51)</f>
        <v>0</v>
      </c>
      <c r="P50" s="67">
        <f t="shared" si="6"/>
        <v>300000</v>
      </c>
      <c r="Q50" s="108">
        <f>SUM(Q51)</f>
        <v>0</v>
      </c>
      <c r="R50" s="67">
        <f t="shared" si="9"/>
        <v>300000</v>
      </c>
    </row>
    <row r="51" spans="1:18" s="27" customFormat="1" ht="67.5">
      <c r="A51" s="86"/>
      <c r="B51" s="61"/>
      <c r="C51" s="88">
        <v>6010</v>
      </c>
      <c r="D51" s="45" t="s">
        <v>417</v>
      </c>
      <c r="E51" s="108">
        <f t="shared" si="10"/>
        <v>300000</v>
      </c>
      <c r="F51" s="108">
        <f t="shared" si="10"/>
        <v>0</v>
      </c>
      <c r="G51" s="108">
        <f t="shared" si="10"/>
        <v>0</v>
      </c>
      <c r="H51" s="67">
        <f t="shared" si="11"/>
        <v>300000</v>
      </c>
      <c r="I51" s="108">
        <f>SUM(I52)</f>
        <v>0</v>
      </c>
      <c r="J51" s="67">
        <f t="shared" si="4"/>
        <v>300000</v>
      </c>
      <c r="K51" s="108">
        <f>SUM(K52)</f>
        <v>0</v>
      </c>
      <c r="L51" s="67">
        <f t="shared" si="5"/>
        <v>300000</v>
      </c>
      <c r="M51" s="108">
        <f>SUM(M52)</f>
        <v>0</v>
      </c>
      <c r="N51" s="67">
        <f t="shared" si="8"/>
        <v>300000</v>
      </c>
      <c r="O51" s="108">
        <f>SUM(O52)</f>
        <v>0</v>
      </c>
      <c r="P51" s="67">
        <f t="shared" si="6"/>
        <v>300000</v>
      </c>
      <c r="Q51" s="108">
        <f>SUM(Q52)</f>
        <v>0</v>
      </c>
      <c r="R51" s="67">
        <f t="shared" si="9"/>
        <v>300000</v>
      </c>
    </row>
    <row r="52" spans="1:18" s="30" customFormat="1" ht="33.75">
      <c r="A52" s="57"/>
      <c r="B52" s="54"/>
      <c r="C52" s="126"/>
      <c r="D52" s="59" t="s">
        <v>523</v>
      </c>
      <c r="E52" s="60">
        <v>300000</v>
      </c>
      <c r="F52" s="60"/>
      <c r="G52" s="60"/>
      <c r="H52" s="217">
        <f t="shared" si="11"/>
        <v>300000</v>
      </c>
      <c r="I52" s="60"/>
      <c r="J52" s="67">
        <f t="shared" si="4"/>
        <v>300000</v>
      </c>
      <c r="K52" s="60">
        <v>0</v>
      </c>
      <c r="L52" s="67">
        <f t="shared" si="5"/>
        <v>300000</v>
      </c>
      <c r="M52" s="60">
        <v>0</v>
      </c>
      <c r="N52" s="67">
        <f t="shared" si="8"/>
        <v>300000</v>
      </c>
      <c r="O52" s="60">
        <v>0</v>
      </c>
      <c r="P52" s="67">
        <f t="shared" si="6"/>
        <v>300000</v>
      </c>
      <c r="Q52" s="60">
        <v>0</v>
      </c>
      <c r="R52" s="67">
        <f t="shared" si="9"/>
        <v>300000</v>
      </c>
    </row>
    <row r="53" spans="1:18" s="27" customFormat="1" ht="21.75" customHeight="1">
      <c r="A53" s="86"/>
      <c r="B53" s="87">
        <v>70095</v>
      </c>
      <c r="C53" s="95"/>
      <c r="D53" s="14" t="s">
        <v>118</v>
      </c>
      <c r="E53" s="108">
        <f>E54</f>
        <v>250000</v>
      </c>
      <c r="F53" s="108">
        <f>F54</f>
        <v>0</v>
      </c>
      <c r="G53" s="108">
        <f>G54</f>
        <v>100000</v>
      </c>
      <c r="H53" s="67">
        <f t="shared" si="11"/>
        <v>150000</v>
      </c>
      <c r="I53" s="108">
        <f>I54</f>
        <v>0</v>
      </c>
      <c r="J53" s="67">
        <f t="shared" si="4"/>
        <v>150000</v>
      </c>
      <c r="K53" s="108">
        <f>K54</f>
        <v>0</v>
      </c>
      <c r="L53" s="67">
        <f t="shared" si="5"/>
        <v>150000</v>
      </c>
      <c r="M53" s="108">
        <f>M54</f>
        <v>0</v>
      </c>
      <c r="N53" s="67">
        <f t="shared" si="8"/>
        <v>150000</v>
      </c>
      <c r="O53" s="108">
        <f>O54</f>
        <v>108023</v>
      </c>
      <c r="P53" s="67">
        <f t="shared" si="6"/>
        <v>258023</v>
      </c>
      <c r="Q53" s="108">
        <f>Q54</f>
        <v>91000</v>
      </c>
      <c r="R53" s="67">
        <f t="shared" si="9"/>
        <v>349023</v>
      </c>
    </row>
    <row r="54" spans="1:18" s="27" customFormat="1" ht="24" customHeight="1">
      <c r="A54" s="86"/>
      <c r="B54" s="87"/>
      <c r="C54" s="88">
        <v>6050</v>
      </c>
      <c r="D54" s="14" t="s">
        <v>195</v>
      </c>
      <c r="E54" s="101">
        <f>SUM(E55)</f>
        <v>250000</v>
      </c>
      <c r="F54" s="101">
        <f>SUM(F55)</f>
        <v>0</v>
      </c>
      <c r="G54" s="101">
        <f>SUM(G55)</f>
        <v>100000</v>
      </c>
      <c r="H54" s="67">
        <f t="shared" si="11"/>
        <v>150000</v>
      </c>
      <c r="I54" s="101">
        <f>SUM(I55)</f>
        <v>0</v>
      </c>
      <c r="J54" s="67">
        <f t="shared" si="4"/>
        <v>150000</v>
      </c>
      <c r="K54" s="101">
        <f>SUM(K55)</f>
        <v>0</v>
      </c>
      <c r="L54" s="67">
        <f t="shared" si="5"/>
        <v>150000</v>
      </c>
      <c r="M54" s="101">
        <f>SUM(M55)</f>
        <v>0</v>
      </c>
      <c r="N54" s="67">
        <f t="shared" si="8"/>
        <v>150000</v>
      </c>
      <c r="O54" s="101">
        <f>SUM(O55)</f>
        <v>108023</v>
      </c>
      <c r="P54" s="67">
        <f t="shared" si="6"/>
        <v>258023</v>
      </c>
      <c r="Q54" s="101">
        <f>SUM(Q55)</f>
        <v>91000</v>
      </c>
      <c r="R54" s="67">
        <f t="shared" si="9"/>
        <v>349023</v>
      </c>
    </row>
    <row r="55" spans="1:18" s="27" customFormat="1" ht="24" customHeight="1">
      <c r="A55" s="57"/>
      <c r="B55" s="54"/>
      <c r="C55" s="58"/>
      <c r="D55" s="59" t="s">
        <v>276</v>
      </c>
      <c r="E55" s="111">
        <v>250000</v>
      </c>
      <c r="F55" s="111"/>
      <c r="G55" s="111">
        <v>100000</v>
      </c>
      <c r="H55" s="217">
        <f t="shared" si="11"/>
        <v>150000</v>
      </c>
      <c r="I55" s="111"/>
      <c r="J55" s="217">
        <f t="shared" si="4"/>
        <v>150000</v>
      </c>
      <c r="K55" s="111">
        <v>0</v>
      </c>
      <c r="L55" s="217">
        <f t="shared" si="5"/>
        <v>150000</v>
      </c>
      <c r="M55" s="111">
        <v>0</v>
      </c>
      <c r="N55" s="217">
        <f t="shared" si="8"/>
        <v>150000</v>
      </c>
      <c r="O55" s="111">
        <f>103000+5023</f>
        <v>108023</v>
      </c>
      <c r="P55" s="217">
        <f t="shared" si="6"/>
        <v>258023</v>
      </c>
      <c r="Q55" s="111">
        <v>91000</v>
      </c>
      <c r="R55" s="217">
        <f t="shared" si="9"/>
        <v>349023</v>
      </c>
    </row>
    <row r="56" spans="1:18" s="48" customFormat="1" ht="22.5" customHeight="1">
      <c r="A56" s="34">
        <v>750</v>
      </c>
      <c r="B56" s="5"/>
      <c r="C56" s="13"/>
      <c r="D56" s="22" t="s">
        <v>205</v>
      </c>
      <c r="E56" s="49">
        <f>E57</f>
        <v>51800</v>
      </c>
      <c r="F56" s="49">
        <f>F57</f>
        <v>0</v>
      </c>
      <c r="G56" s="49">
        <f>G57</f>
        <v>0</v>
      </c>
      <c r="H56" s="49">
        <f>H57</f>
        <v>51800</v>
      </c>
      <c r="I56" s="49">
        <f>I57</f>
        <v>0</v>
      </c>
      <c r="J56" s="47">
        <f t="shared" si="4"/>
        <v>51800</v>
      </c>
      <c r="K56" s="49">
        <f>K57</f>
        <v>0</v>
      </c>
      <c r="L56" s="47">
        <f t="shared" si="5"/>
        <v>51800</v>
      </c>
      <c r="M56" s="49">
        <f>M57</f>
        <v>0</v>
      </c>
      <c r="N56" s="47">
        <f t="shared" si="8"/>
        <v>51800</v>
      </c>
      <c r="O56" s="49">
        <f>O57</f>
        <v>0</v>
      </c>
      <c r="P56" s="47">
        <f t="shared" si="6"/>
        <v>51800</v>
      </c>
      <c r="Q56" s="49">
        <f>Q57</f>
        <v>0</v>
      </c>
      <c r="R56" s="47">
        <f t="shared" si="9"/>
        <v>51800</v>
      </c>
    </row>
    <row r="57" spans="1:18" s="27" customFormat="1" ht="25.5" customHeight="1">
      <c r="A57" s="86"/>
      <c r="B57" s="98" t="s">
        <v>133</v>
      </c>
      <c r="C57" s="102"/>
      <c r="D57" s="45" t="s">
        <v>134</v>
      </c>
      <c r="E57" s="108">
        <f>E58</f>
        <v>51800</v>
      </c>
      <c r="F57" s="108">
        <f>F58</f>
        <v>0</v>
      </c>
      <c r="G57" s="108">
        <f>G58</f>
        <v>0</v>
      </c>
      <c r="H57" s="67">
        <f>E57+F57-G57</f>
        <v>51800</v>
      </c>
      <c r="I57" s="108">
        <f>I58</f>
        <v>0</v>
      </c>
      <c r="J57" s="67">
        <f t="shared" si="4"/>
        <v>51800</v>
      </c>
      <c r="K57" s="108">
        <f>K58</f>
        <v>0</v>
      </c>
      <c r="L57" s="67">
        <f t="shared" si="5"/>
        <v>51800</v>
      </c>
      <c r="M57" s="108">
        <f>M58</f>
        <v>0</v>
      </c>
      <c r="N57" s="67">
        <f t="shared" si="8"/>
        <v>51800</v>
      </c>
      <c r="O57" s="108">
        <f>O58</f>
        <v>0</v>
      </c>
      <c r="P57" s="67">
        <f t="shared" si="6"/>
        <v>51800</v>
      </c>
      <c r="Q57" s="108">
        <f>Q58</f>
        <v>0</v>
      </c>
      <c r="R57" s="67">
        <f t="shared" si="9"/>
        <v>51800</v>
      </c>
    </row>
    <row r="58" spans="1:18" s="27" customFormat="1" ht="23.25" customHeight="1">
      <c r="A58" s="86"/>
      <c r="B58" s="61"/>
      <c r="C58" s="89">
        <v>6060</v>
      </c>
      <c r="D58" s="14" t="s">
        <v>218</v>
      </c>
      <c r="E58" s="108">
        <f>SUM(E59)</f>
        <v>51800</v>
      </c>
      <c r="F58" s="108">
        <f>SUM(F59)</f>
        <v>0</v>
      </c>
      <c r="G58" s="108">
        <f>SUM(G59)</f>
        <v>0</v>
      </c>
      <c r="H58" s="67">
        <f>E58+F58-G58</f>
        <v>51800</v>
      </c>
      <c r="I58" s="108">
        <f>SUM(I59)</f>
        <v>0</v>
      </c>
      <c r="J58" s="67">
        <f t="shared" si="4"/>
        <v>51800</v>
      </c>
      <c r="K58" s="108">
        <f>SUM(K59)</f>
        <v>0</v>
      </c>
      <c r="L58" s="67">
        <f t="shared" si="5"/>
        <v>51800</v>
      </c>
      <c r="M58" s="108">
        <f>SUM(M59)</f>
        <v>0</v>
      </c>
      <c r="N58" s="67">
        <f t="shared" si="8"/>
        <v>51800</v>
      </c>
      <c r="O58" s="108">
        <f>SUM(O59)</f>
        <v>0</v>
      </c>
      <c r="P58" s="67">
        <f t="shared" si="6"/>
        <v>51800</v>
      </c>
      <c r="Q58" s="108">
        <f>SUM(Q59)</f>
        <v>0</v>
      </c>
      <c r="R58" s="67">
        <f t="shared" si="9"/>
        <v>51800</v>
      </c>
    </row>
    <row r="59" spans="1:18" s="30" customFormat="1" ht="24" customHeight="1">
      <c r="A59" s="57"/>
      <c r="B59" s="54"/>
      <c r="C59" s="58"/>
      <c r="D59" s="59" t="s">
        <v>435</v>
      </c>
      <c r="E59" s="111">
        <v>51800</v>
      </c>
      <c r="F59" s="111"/>
      <c r="G59" s="111"/>
      <c r="H59" s="217">
        <f>E59+F59-G59</f>
        <v>51800</v>
      </c>
      <c r="I59" s="111"/>
      <c r="J59" s="217">
        <f t="shared" si="4"/>
        <v>51800</v>
      </c>
      <c r="K59" s="111">
        <v>0</v>
      </c>
      <c r="L59" s="217">
        <f t="shared" si="5"/>
        <v>51800</v>
      </c>
      <c r="M59" s="111">
        <v>0</v>
      </c>
      <c r="N59" s="217">
        <f t="shared" si="8"/>
        <v>51800</v>
      </c>
      <c r="O59" s="111">
        <v>0</v>
      </c>
      <c r="P59" s="217">
        <f t="shared" si="6"/>
        <v>51800</v>
      </c>
      <c r="Q59" s="111">
        <v>0</v>
      </c>
      <c r="R59" s="217">
        <f t="shared" si="9"/>
        <v>51800</v>
      </c>
    </row>
    <row r="60" spans="1:18" s="48" customFormat="1" ht="26.25" customHeight="1">
      <c r="A60" s="34">
        <v>754</v>
      </c>
      <c r="B60" s="5"/>
      <c r="C60" s="13"/>
      <c r="D60" s="22" t="s">
        <v>138</v>
      </c>
      <c r="E60" s="49">
        <f>SUM(E66)</f>
        <v>68170</v>
      </c>
      <c r="F60" s="49">
        <f>SUM(F66)</f>
        <v>0</v>
      </c>
      <c r="G60" s="49">
        <f>SUM(G66)</f>
        <v>0</v>
      </c>
      <c r="H60" s="49">
        <f>SUM(H66)</f>
        <v>68170</v>
      </c>
      <c r="I60" s="49">
        <f>SUM(I66)</f>
        <v>0</v>
      </c>
      <c r="J60" s="47">
        <f t="shared" si="4"/>
        <v>68170</v>
      </c>
      <c r="K60" s="49">
        <f>SUM(K66)</f>
        <v>0</v>
      </c>
      <c r="L60" s="47">
        <f t="shared" si="5"/>
        <v>68170</v>
      </c>
      <c r="M60" s="49">
        <f>SUM(M66)</f>
        <v>0</v>
      </c>
      <c r="N60" s="47">
        <f>SUM(N61,N66)</f>
        <v>68170</v>
      </c>
      <c r="O60" s="47">
        <f>SUM(O61,O66)</f>
        <v>25000</v>
      </c>
      <c r="P60" s="47">
        <f>SUM(P61,P66)</f>
        <v>93170</v>
      </c>
      <c r="Q60" s="47">
        <f>SUM(Q61,Q66)</f>
        <v>0</v>
      </c>
      <c r="R60" s="47">
        <f>SUM(R61,R66)</f>
        <v>93170</v>
      </c>
    </row>
    <row r="61" spans="1:18" s="27" customFormat="1" ht="26.25" customHeight="1">
      <c r="A61" s="86"/>
      <c r="B61" s="61">
        <v>75411</v>
      </c>
      <c r="C61" s="89"/>
      <c r="D61" s="14" t="s">
        <v>83</v>
      </c>
      <c r="E61" s="108">
        <f>SUM(E62,E64,)</f>
        <v>0</v>
      </c>
      <c r="F61" s="108">
        <f aca="true" t="shared" si="12" ref="F61:R61">SUM(F62,F64,)</f>
        <v>0</v>
      </c>
      <c r="G61" s="108">
        <f t="shared" si="12"/>
        <v>0</v>
      </c>
      <c r="H61" s="108">
        <f t="shared" si="12"/>
        <v>0</v>
      </c>
      <c r="I61" s="108">
        <f t="shared" si="12"/>
        <v>0</v>
      </c>
      <c r="J61" s="108">
        <f t="shared" si="12"/>
        <v>0</v>
      </c>
      <c r="K61" s="108">
        <f t="shared" si="12"/>
        <v>0</v>
      </c>
      <c r="L61" s="108">
        <f t="shared" si="12"/>
        <v>0</v>
      </c>
      <c r="M61" s="108">
        <f t="shared" si="12"/>
        <v>0</v>
      </c>
      <c r="N61" s="108">
        <f t="shared" si="12"/>
        <v>0</v>
      </c>
      <c r="O61" s="108">
        <f t="shared" si="12"/>
        <v>25000</v>
      </c>
      <c r="P61" s="108">
        <f t="shared" si="12"/>
        <v>25000</v>
      </c>
      <c r="Q61" s="108">
        <f t="shared" si="12"/>
        <v>0</v>
      </c>
      <c r="R61" s="108">
        <f t="shared" si="12"/>
        <v>25000</v>
      </c>
    </row>
    <row r="62" spans="1:18" s="27" customFormat="1" ht="56.25">
      <c r="A62" s="86"/>
      <c r="B62" s="61"/>
      <c r="C62" s="89">
        <v>6220</v>
      </c>
      <c r="D62" s="14" t="s">
        <v>84</v>
      </c>
      <c r="E62" s="108">
        <f>SUM(E63)</f>
        <v>0</v>
      </c>
      <c r="F62" s="108"/>
      <c r="G62" s="108"/>
      <c r="H62" s="108"/>
      <c r="I62" s="108"/>
      <c r="J62" s="67"/>
      <c r="K62" s="108"/>
      <c r="L62" s="67"/>
      <c r="M62" s="108"/>
      <c r="N62" s="67">
        <f>SUM(N63)</f>
        <v>0</v>
      </c>
      <c r="O62" s="67">
        <f>SUM(O63)</f>
        <v>25000</v>
      </c>
      <c r="P62" s="67">
        <f>SUM(P63)</f>
        <v>25000</v>
      </c>
      <c r="Q62" s="67">
        <f>SUM(Q63)</f>
        <v>-25000</v>
      </c>
      <c r="R62" s="67">
        <f>SUM(R63)</f>
        <v>0</v>
      </c>
    </row>
    <row r="63" spans="1:18" s="30" customFormat="1" ht="56.25">
      <c r="A63" s="57"/>
      <c r="B63" s="54"/>
      <c r="C63" s="58"/>
      <c r="D63" s="287" t="s">
        <v>91</v>
      </c>
      <c r="E63" s="288"/>
      <c r="F63" s="288"/>
      <c r="G63" s="288"/>
      <c r="H63" s="288"/>
      <c r="I63" s="288"/>
      <c r="J63" s="267"/>
      <c r="K63" s="288"/>
      <c r="L63" s="267"/>
      <c r="M63" s="288"/>
      <c r="N63" s="267">
        <v>0</v>
      </c>
      <c r="O63" s="288">
        <v>25000</v>
      </c>
      <c r="P63" s="217">
        <f>SUM(N63:O63)</f>
        <v>25000</v>
      </c>
      <c r="Q63" s="288">
        <v>-25000</v>
      </c>
      <c r="R63" s="217">
        <f>SUM(P63:Q63)</f>
        <v>0</v>
      </c>
    </row>
    <row r="64" spans="1:18" s="27" customFormat="1" ht="56.25">
      <c r="A64" s="86"/>
      <c r="B64" s="61"/>
      <c r="C64" s="89">
        <v>6620</v>
      </c>
      <c r="D64" s="45" t="s">
        <v>664</v>
      </c>
      <c r="E64" s="335">
        <f>SUM(E65)</f>
        <v>0</v>
      </c>
      <c r="F64" s="335"/>
      <c r="G64" s="335"/>
      <c r="H64" s="335"/>
      <c r="I64" s="335"/>
      <c r="J64" s="305"/>
      <c r="K64" s="335"/>
      <c r="L64" s="305"/>
      <c r="M64" s="335"/>
      <c r="N64" s="305"/>
      <c r="O64" s="335"/>
      <c r="P64" s="67">
        <f>SUM(P65)</f>
        <v>0</v>
      </c>
      <c r="Q64" s="67">
        <f>SUM(Q65)</f>
        <v>25000</v>
      </c>
      <c r="R64" s="67">
        <f>SUM(R65)</f>
        <v>25000</v>
      </c>
    </row>
    <row r="65" spans="1:18" s="30" customFormat="1" ht="50.25" customHeight="1">
      <c r="A65" s="57"/>
      <c r="B65" s="54"/>
      <c r="C65" s="58"/>
      <c r="D65" s="287" t="s">
        <v>91</v>
      </c>
      <c r="E65" s="288"/>
      <c r="F65" s="288"/>
      <c r="G65" s="288"/>
      <c r="H65" s="288"/>
      <c r="I65" s="288"/>
      <c r="J65" s="267"/>
      <c r="K65" s="288"/>
      <c r="L65" s="267"/>
      <c r="M65" s="288"/>
      <c r="N65" s="267"/>
      <c r="O65" s="288"/>
      <c r="P65" s="217">
        <v>0</v>
      </c>
      <c r="Q65" s="288">
        <v>25000</v>
      </c>
      <c r="R65" s="217">
        <f>SUM(P65:Q65)</f>
        <v>25000</v>
      </c>
    </row>
    <row r="66" spans="1:18" s="27" customFormat="1" ht="26.25" customHeight="1">
      <c r="A66" s="86"/>
      <c r="B66" s="61">
        <v>75412</v>
      </c>
      <c r="C66" s="89"/>
      <c r="D66" s="14" t="s">
        <v>223</v>
      </c>
      <c r="E66" s="108">
        <f>E67</f>
        <v>68170</v>
      </c>
      <c r="F66" s="108">
        <f>F67</f>
        <v>0</v>
      </c>
      <c r="G66" s="108">
        <f>G67</f>
        <v>0</v>
      </c>
      <c r="H66" s="67">
        <f>E66+F66-G66</f>
        <v>68170</v>
      </c>
      <c r="I66" s="108">
        <f>I67</f>
        <v>0</v>
      </c>
      <c r="J66" s="67">
        <f t="shared" si="4"/>
        <v>68170</v>
      </c>
      <c r="K66" s="108">
        <f>K67</f>
        <v>0</v>
      </c>
      <c r="L66" s="67">
        <f t="shared" si="5"/>
        <v>68170</v>
      </c>
      <c r="M66" s="108">
        <f>M67</f>
        <v>0</v>
      </c>
      <c r="N66" s="67">
        <f t="shared" si="8"/>
        <v>68170</v>
      </c>
      <c r="O66" s="108">
        <f>O67</f>
        <v>0</v>
      </c>
      <c r="P66" s="67">
        <f t="shared" si="6"/>
        <v>68170</v>
      </c>
      <c r="Q66" s="108">
        <f>Q67</f>
        <v>0</v>
      </c>
      <c r="R66" s="67">
        <f>SUM(P66:Q66)</f>
        <v>68170</v>
      </c>
    </row>
    <row r="67" spans="1:18" s="27" customFormat="1" ht="26.25" customHeight="1">
      <c r="A67" s="57"/>
      <c r="B67" s="54"/>
      <c r="C67" s="89">
        <v>6050</v>
      </c>
      <c r="D67" s="14" t="s">
        <v>195</v>
      </c>
      <c r="E67" s="108">
        <f>SUM(E68)</f>
        <v>68170</v>
      </c>
      <c r="F67" s="108">
        <f>SUM(F68)</f>
        <v>0</v>
      </c>
      <c r="G67" s="108">
        <f>SUM(G68)</f>
        <v>0</v>
      </c>
      <c r="H67" s="67">
        <f>E67+F67-G67</f>
        <v>68170</v>
      </c>
      <c r="I67" s="108">
        <f>SUM(I68)</f>
        <v>0</v>
      </c>
      <c r="J67" s="67">
        <f t="shared" si="4"/>
        <v>68170</v>
      </c>
      <c r="K67" s="108">
        <f>SUM(K68)</f>
        <v>0</v>
      </c>
      <c r="L67" s="67">
        <f t="shared" si="5"/>
        <v>68170</v>
      </c>
      <c r="M67" s="108">
        <f>SUM(M68)</f>
        <v>0</v>
      </c>
      <c r="N67" s="67">
        <f>SUM(N68:N69)</f>
        <v>68170</v>
      </c>
      <c r="O67" s="67">
        <f>SUM(O68:O69)</f>
        <v>0</v>
      </c>
      <c r="P67" s="67">
        <f>SUM(P68:P69)</f>
        <v>68170</v>
      </c>
      <c r="Q67" s="67">
        <f>SUM(Q68:Q69)</f>
        <v>0</v>
      </c>
      <c r="R67" s="67">
        <f>SUM(R68:R69)</f>
        <v>68170</v>
      </c>
    </row>
    <row r="68" spans="1:18" s="27" customFormat="1" ht="24" customHeight="1">
      <c r="A68" s="57"/>
      <c r="B68" s="54"/>
      <c r="C68" s="58"/>
      <c r="D68" s="59" t="s">
        <v>372</v>
      </c>
      <c r="E68" s="111">
        <v>68170</v>
      </c>
      <c r="F68" s="111"/>
      <c r="G68" s="111"/>
      <c r="H68" s="217">
        <f>E68+F68-G68</f>
        <v>68170</v>
      </c>
      <c r="I68" s="111"/>
      <c r="J68" s="217">
        <f t="shared" si="4"/>
        <v>68170</v>
      </c>
      <c r="K68" s="111">
        <v>0</v>
      </c>
      <c r="L68" s="217">
        <f t="shared" si="5"/>
        <v>68170</v>
      </c>
      <c r="M68" s="111">
        <v>0</v>
      </c>
      <c r="N68" s="217">
        <f t="shared" si="8"/>
        <v>68170</v>
      </c>
      <c r="O68" s="111">
        <v>-31213</v>
      </c>
      <c r="P68" s="217">
        <f t="shared" si="6"/>
        <v>36957</v>
      </c>
      <c r="Q68" s="111">
        <v>0</v>
      </c>
      <c r="R68" s="217">
        <f aca="true" t="shared" si="13" ref="R68:R93">SUM(P68:Q68)</f>
        <v>36957</v>
      </c>
    </row>
    <row r="69" spans="1:18" s="27" customFormat="1" ht="24" customHeight="1">
      <c r="A69" s="57"/>
      <c r="B69" s="54"/>
      <c r="C69" s="58"/>
      <c r="D69" s="59" t="s">
        <v>108</v>
      </c>
      <c r="E69" s="111"/>
      <c r="F69" s="111"/>
      <c r="G69" s="111"/>
      <c r="H69" s="217"/>
      <c r="I69" s="111"/>
      <c r="J69" s="217"/>
      <c r="K69" s="111"/>
      <c r="L69" s="217"/>
      <c r="M69" s="111"/>
      <c r="N69" s="217">
        <v>0</v>
      </c>
      <c r="O69" s="111">
        <v>31213</v>
      </c>
      <c r="P69" s="217">
        <f t="shared" si="6"/>
        <v>31213</v>
      </c>
      <c r="Q69" s="111">
        <v>0</v>
      </c>
      <c r="R69" s="217">
        <f t="shared" si="13"/>
        <v>31213</v>
      </c>
    </row>
    <row r="70" spans="1:18" s="48" customFormat="1" ht="21.75" customHeight="1">
      <c r="A70" s="34">
        <v>801</v>
      </c>
      <c r="B70" s="5"/>
      <c r="C70" s="13"/>
      <c r="D70" s="22" t="s">
        <v>234</v>
      </c>
      <c r="E70" s="18">
        <f>SUM(E71,E76)</f>
        <v>144060</v>
      </c>
      <c r="F70" s="18">
        <f>SUM(F71,F76)</f>
        <v>150000</v>
      </c>
      <c r="G70" s="18">
        <f>SUM(G71,G76)</f>
        <v>0</v>
      </c>
      <c r="H70" s="18">
        <f>SUM(H71,H76)</f>
        <v>294060</v>
      </c>
      <c r="I70" s="18">
        <f>SUM(I71,I76)</f>
        <v>-150000</v>
      </c>
      <c r="J70" s="47">
        <f t="shared" si="4"/>
        <v>144060</v>
      </c>
      <c r="K70" s="18">
        <f>SUM(K71,K76)</f>
        <v>0</v>
      </c>
      <c r="L70" s="47">
        <f t="shared" si="5"/>
        <v>144060</v>
      </c>
      <c r="M70" s="18">
        <f>SUM(M71,M76)</f>
        <v>-8500</v>
      </c>
      <c r="N70" s="47">
        <f t="shared" si="8"/>
        <v>135560</v>
      </c>
      <c r="O70" s="18">
        <f>SUM(O71,O76)</f>
        <v>-10560</v>
      </c>
      <c r="P70" s="47">
        <f t="shared" si="6"/>
        <v>125000</v>
      </c>
      <c r="Q70" s="18">
        <f>SUM(Q71,Q76)</f>
        <v>-20000</v>
      </c>
      <c r="R70" s="47">
        <f t="shared" si="13"/>
        <v>105000</v>
      </c>
    </row>
    <row r="71" spans="1:18" s="27" customFormat="1" ht="21.75" customHeight="1">
      <c r="A71" s="86"/>
      <c r="B71" s="61">
        <v>80101</v>
      </c>
      <c r="C71" s="89"/>
      <c r="D71" s="14" t="s">
        <v>172</v>
      </c>
      <c r="E71" s="101">
        <f>SUM(E74,E72)</f>
        <v>34560</v>
      </c>
      <c r="F71" s="101">
        <f>SUM(F74,F72)</f>
        <v>150000</v>
      </c>
      <c r="G71" s="101">
        <f>SUM(G74,G72)</f>
        <v>0</v>
      </c>
      <c r="H71" s="101">
        <f>SUM(H74,H72)</f>
        <v>184560</v>
      </c>
      <c r="I71" s="101">
        <f>SUM(I74,I72)</f>
        <v>-150000</v>
      </c>
      <c r="J71" s="67">
        <f t="shared" si="4"/>
        <v>34560</v>
      </c>
      <c r="K71" s="101">
        <f>SUM(K74,K72)</f>
        <v>0</v>
      </c>
      <c r="L71" s="67">
        <f t="shared" si="5"/>
        <v>34560</v>
      </c>
      <c r="M71" s="101">
        <f>SUM(M74,M72)</f>
        <v>-8500</v>
      </c>
      <c r="N71" s="67">
        <f t="shared" si="8"/>
        <v>26060</v>
      </c>
      <c r="O71" s="101">
        <f>SUM(O74,O72)</f>
        <v>-10560</v>
      </c>
      <c r="P71" s="67">
        <f t="shared" si="6"/>
        <v>15500</v>
      </c>
      <c r="Q71" s="101">
        <f>SUM(Q74,Q72)</f>
        <v>-10500</v>
      </c>
      <c r="R71" s="67">
        <f t="shared" si="13"/>
        <v>5000</v>
      </c>
    </row>
    <row r="72" spans="1:18" s="27" customFormat="1" ht="27.75" customHeight="1" hidden="1">
      <c r="A72" s="86"/>
      <c r="B72" s="61"/>
      <c r="C72" s="89">
        <v>6050</v>
      </c>
      <c r="D72" s="14" t="s">
        <v>195</v>
      </c>
      <c r="E72" s="101">
        <f>SUM(E73)</f>
        <v>0</v>
      </c>
      <c r="F72" s="101">
        <f>SUM(F73)</f>
        <v>150000</v>
      </c>
      <c r="G72" s="101">
        <f>SUM(G73)</f>
        <v>0</v>
      </c>
      <c r="H72" s="67">
        <f>E72+F72-G72</f>
        <v>150000</v>
      </c>
      <c r="I72" s="101">
        <f>SUM(I73)</f>
        <v>-150000</v>
      </c>
      <c r="J72" s="67">
        <f t="shared" si="4"/>
        <v>0</v>
      </c>
      <c r="K72" s="101">
        <f>SUM(K73)</f>
        <v>0</v>
      </c>
      <c r="L72" s="67">
        <f t="shared" si="5"/>
        <v>0</v>
      </c>
      <c r="M72" s="101">
        <f>SUM(M73)</f>
        <v>0</v>
      </c>
      <c r="N72" s="67">
        <f t="shared" si="8"/>
        <v>0</v>
      </c>
      <c r="O72" s="101">
        <f>SUM(O73)</f>
        <v>0</v>
      </c>
      <c r="P72" s="67">
        <f t="shared" si="6"/>
        <v>0</v>
      </c>
      <c r="Q72" s="101">
        <f>SUM(Q73)</f>
        <v>0</v>
      </c>
      <c r="R72" s="67">
        <f t="shared" si="13"/>
        <v>0</v>
      </c>
    </row>
    <row r="73" spans="1:18" s="30" customFormat="1" ht="27" customHeight="1" hidden="1">
      <c r="A73" s="57"/>
      <c r="B73" s="54"/>
      <c r="C73" s="58"/>
      <c r="D73" s="59" t="s">
        <v>525</v>
      </c>
      <c r="E73" s="60">
        <v>0</v>
      </c>
      <c r="F73" s="60">
        <v>150000</v>
      </c>
      <c r="G73" s="60"/>
      <c r="H73" s="217">
        <f>E73+F73-G73</f>
        <v>150000</v>
      </c>
      <c r="I73" s="60">
        <v>-150000</v>
      </c>
      <c r="J73" s="217">
        <f t="shared" si="4"/>
        <v>0</v>
      </c>
      <c r="K73" s="60">
        <v>0</v>
      </c>
      <c r="L73" s="217">
        <f t="shared" si="5"/>
        <v>0</v>
      </c>
      <c r="M73" s="60">
        <v>0</v>
      </c>
      <c r="N73" s="217">
        <f t="shared" si="8"/>
        <v>0</v>
      </c>
      <c r="O73" s="60">
        <v>0</v>
      </c>
      <c r="P73" s="217">
        <f t="shared" si="6"/>
        <v>0</v>
      </c>
      <c r="Q73" s="60">
        <v>0</v>
      </c>
      <c r="R73" s="217">
        <f t="shared" si="13"/>
        <v>0</v>
      </c>
    </row>
    <row r="74" spans="1:18" s="27" customFormat="1" ht="28.5" customHeight="1">
      <c r="A74" s="86"/>
      <c r="B74" s="61"/>
      <c r="C74" s="89">
        <v>6060</v>
      </c>
      <c r="D74" s="14" t="s">
        <v>218</v>
      </c>
      <c r="E74" s="101">
        <f>SUM(E75)</f>
        <v>34560</v>
      </c>
      <c r="F74" s="101">
        <f>SUM(F75)</f>
        <v>0</v>
      </c>
      <c r="G74" s="101">
        <f>SUM(G75)</f>
        <v>0</v>
      </c>
      <c r="H74" s="67">
        <f>E74+F74-G74</f>
        <v>34560</v>
      </c>
      <c r="I74" s="101">
        <f>SUM(I75)</f>
        <v>0</v>
      </c>
      <c r="J74" s="67">
        <f t="shared" si="4"/>
        <v>34560</v>
      </c>
      <c r="K74" s="101">
        <f>SUM(K75)</f>
        <v>0</v>
      </c>
      <c r="L74" s="67">
        <f t="shared" si="5"/>
        <v>34560</v>
      </c>
      <c r="M74" s="101">
        <f>SUM(M75)</f>
        <v>-8500</v>
      </c>
      <c r="N74" s="67">
        <f t="shared" si="8"/>
        <v>26060</v>
      </c>
      <c r="O74" s="101">
        <f>SUM(O75)</f>
        <v>-10560</v>
      </c>
      <c r="P74" s="67">
        <f t="shared" si="6"/>
        <v>15500</v>
      </c>
      <c r="Q74" s="101">
        <f>SUM(Q75)</f>
        <v>-10500</v>
      </c>
      <c r="R74" s="67">
        <f t="shared" si="13"/>
        <v>5000</v>
      </c>
    </row>
    <row r="75" spans="1:18" s="30" customFormat="1" ht="27.75" customHeight="1">
      <c r="A75" s="57"/>
      <c r="B75" s="54"/>
      <c r="C75" s="58"/>
      <c r="D75" s="59" t="s">
        <v>436</v>
      </c>
      <c r="E75" s="60">
        <v>34560</v>
      </c>
      <c r="F75" s="60"/>
      <c r="G75" s="60"/>
      <c r="H75" s="217">
        <f>E75+F75-G75</f>
        <v>34560</v>
      </c>
      <c r="I75" s="60"/>
      <c r="J75" s="67">
        <f t="shared" si="4"/>
        <v>34560</v>
      </c>
      <c r="K75" s="60">
        <v>0</v>
      </c>
      <c r="L75" s="67">
        <f t="shared" si="5"/>
        <v>34560</v>
      </c>
      <c r="M75" s="60">
        <v>-8500</v>
      </c>
      <c r="N75" s="67">
        <f t="shared" si="8"/>
        <v>26060</v>
      </c>
      <c r="O75" s="60">
        <v>-10560</v>
      </c>
      <c r="P75" s="67">
        <f t="shared" si="6"/>
        <v>15500</v>
      </c>
      <c r="Q75" s="60">
        <v>-10500</v>
      </c>
      <c r="R75" s="67">
        <f t="shared" si="13"/>
        <v>5000</v>
      </c>
    </row>
    <row r="76" spans="1:18" s="27" customFormat="1" ht="24" customHeight="1">
      <c r="A76" s="86"/>
      <c r="B76" s="61">
        <v>80110</v>
      </c>
      <c r="C76" s="89"/>
      <c r="D76" s="14" t="s">
        <v>173</v>
      </c>
      <c r="E76" s="101">
        <f>SUM(E77,E79)</f>
        <v>109500</v>
      </c>
      <c r="F76" s="101">
        <f>SUM(F77,F79)</f>
        <v>0</v>
      </c>
      <c r="G76" s="101">
        <f>SUM(G77,G79)</f>
        <v>0</v>
      </c>
      <c r="H76" s="101">
        <f>SUM(H77,H79)</f>
        <v>109500</v>
      </c>
      <c r="I76" s="101">
        <f>SUM(I77,I79)</f>
        <v>0</v>
      </c>
      <c r="J76" s="67">
        <f t="shared" si="4"/>
        <v>109500</v>
      </c>
      <c r="K76" s="101">
        <f>SUM(K77,K79)</f>
        <v>0</v>
      </c>
      <c r="L76" s="67">
        <f t="shared" si="5"/>
        <v>109500</v>
      </c>
      <c r="M76" s="101">
        <f>SUM(M77,M79)</f>
        <v>0</v>
      </c>
      <c r="N76" s="67">
        <f t="shared" si="8"/>
        <v>109500</v>
      </c>
      <c r="O76" s="101">
        <f>SUM(O77,O79)</f>
        <v>0</v>
      </c>
      <c r="P76" s="67">
        <f t="shared" si="6"/>
        <v>109500</v>
      </c>
      <c r="Q76" s="101">
        <f>SUM(Q77,Q79)</f>
        <v>-9500</v>
      </c>
      <c r="R76" s="67">
        <f t="shared" si="13"/>
        <v>100000</v>
      </c>
    </row>
    <row r="77" spans="1:18" s="27" customFormat="1" ht="24.75" customHeight="1">
      <c r="A77" s="86"/>
      <c r="B77" s="61"/>
      <c r="C77" s="89">
        <v>6050</v>
      </c>
      <c r="D77" s="14" t="s">
        <v>195</v>
      </c>
      <c r="E77" s="101">
        <f>SUM(E78)</f>
        <v>100000</v>
      </c>
      <c r="F77" s="101">
        <f>SUM(F78)</f>
        <v>0</v>
      </c>
      <c r="G77" s="101">
        <f>SUM(G78)</f>
        <v>0</v>
      </c>
      <c r="H77" s="67">
        <f>E77+F77-G77</f>
        <v>100000</v>
      </c>
      <c r="I77" s="101">
        <f>SUM(I78)</f>
        <v>0</v>
      </c>
      <c r="J77" s="67">
        <f t="shared" si="4"/>
        <v>100000</v>
      </c>
      <c r="K77" s="101">
        <f>SUM(K78)</f>
        <v>0</v>
      </c>
      <c r="L77" s="67">
        <f t="shared" si="5"/>
        <v>100000</v>
      </c>
      <c r="M77" s="101">
        <f>SUM(M78)</f>
        <v>0</v>
      </c>
      <c r="N77" s="67">
        <f t="shared" si="8"/>
        <v>100000</v>
      </c>
      <c r="O77" s="101">
        <f>SUM(O78)</f>
        <v>0</v>
      </c>
      <c r="P77" s="67">
        <f t="shared" si="6"/>
        <v>100000</v>
      </c>
      <c r="Q77" s="101">
        <f>SUM(Q78)</f>
        <v>0</v>
      </c>
      <c r="R77" s="67">
        <f t="shared" si="13"/>
        <v>100000</v>
      </c>
    </row>
    <row r="78" spans="1:18" s="30" customFormat="1" ht="30.75" customHeight="1">
      <c r="A78" s="57"/>
      <c r="B78" s="54"/>
      <c r="C78" s="58"/>
      <c r="D78" s="59" t="s">
        <v>448</v>
      </c>
      <c r="E78" s="60">
        <v>100000</v>
      </c>
      <c r="F78" s="60"/>
      <c r="G78" s="60"/>
      <c r="H78" s="217">
        <f>E78+F78-G78</f>
        <v>100000</v>
      </c>
      <c r="I78" s="60"/>
      <c r="J78" s="217">
        <f t="shared" si="4"/>
        <v>100000</v>
      </c>
      <c r="K78" s="60">
        <v>0</v>
      </c>
      <c r="L78" s="217">
        <f t="shared" si="5"/>
        <v>100000</v>
      </c>
      <c r="M78" s="60">
        <v>0</v>
      </c>
      <c r="N78" s="217">
        <f t="shared" si="8"/>
        <v>100000</v>
      </c>
      <c r="O78" s="60">
        <v>0</v>
      </c>
      <c r="P78" s="217">
        <f t="shared" si="6"/>
        <v>100000</v>
      </c>
      <c r="Q78" s="60">
        <v>0</v>
      </c>
      <c r="R78" s="217">
        <f t="shared" si="13"/>
        <v>100000</v>
      </c>
    </row>
    <row r="79" spans="1:18" s="27" customFormat="1" ht="26.25" customHeight="1">
      <c r="A79" s="86"/>
      <c r="B79" s="61"/>
      <c r="C79" s="89">
        <v>6060</v>
      </c>
      <c r="D79" s="14" t="s">
        <v>218</v>
      </c>
      <c r="E79" s="101">
        <f>SUM(E80)</f>
        <v>9500</v>
      </c>
      <c r="F79" s="101">
        <f>SUM(F80)</f>
        <v>0</v>
      </c>
      <c r="G79" s="101">
        <f>SUM(G80)</f>
        <v>0</v>
      </c>
      <c r="H79" s="67">
        <f>E79+F79-G79</f>
        <v>9500</v>
      </c>
      <c r="I79" s="101">
        <f>SUM(I80)</f>
        <v>0</v>
      </c>
      <c r="J79" s="67">
        <f t="shared" si="4"/>
        <v>9500</v>
      </c>
      <c r="K79" s="101">
        <f>SUM(K80)</f>
        <v>0</v>
      </c>
      <c r="L79" s="67">
        <f t="shared" si="5"/>
        <v>9500</v>
      </c>
      <c r="M79" s="101">
        <f>SUM(M80)</f>
        <v>0</v>
      </c>
      <c r="N79" s="67">
        <f t="shared" si="8"/>
        <v>9500</v>
      </c>
      <c r="O79" s="101">
        <f>SUM(O80)</f>
        <v>0</v>
      </c>
      <c r="P79" s="67">
        <f t="shared" si="6"/>
        <v>9500</v>
      </c>
      <c r="Q79" s="101">
        <f>SUM(Q80)</f>
        <v>-9500</v>
      </c>
      <c r="R79" s="67">
        <f t="shared" si="13"/>
        <v>0</v>
      </c>
    </row>
    <row r="80" spans="1:18" s="30" customFormat="1" ht="24" customHeight="1">
      <c r="A80" s="57"/>
      <c r="B80" s="54"/>
      <c r="C80" s="58"/>
      <c r="D80" s="59" t="s">
        <v>436</v>
      </c>
      <c r="E80" s="111">
        <v>9500</v>
      </c>
      <c r="F80" s="111"/>
      <c r="G80" s="111"/>
      <c r="H80" s="217">
        <f>E80+F80-G80</f>
        <v>9500</v>
      </c>
      <c r="I80" s="111"/>
      <c r="J80" s="217">
        <f t="shared" si="4"/>
        <v>9500</v>
      </c>
      <c r="K80" s="111">
        <v>0</v>
      </c>
      <c r="L80" s="217">
        <f t="shared" si="5"/>
        <v>9500</v>
      </c>
      <c r="M80" s="111">
        <v>0</v>
      </c>
      <c r="N80" s="217">
        <f t="shared" si="8"/>
        <v>9500</v>
      </c>
      <c r="O80" s="111">
        <v>0</v>
      </c>
      <c r="P80" s="217">
        <f t="shared" si="6"/>
        <v>9500</v>
      </c>
      <c r="Q80" s="111">
        <v>-9500</v>
      </c>
      <c r="R80" s="217">
        <f t="shared" si="13"/>
        <v>0</v>
      </c>
    </row>
    <row r="81" spans="1:18" s="48" customFormat="1" ht="24" customHeight="1">
      <c r="A81" s="34">
        <v>851</v>
      </c>
      <c r="B81" s="5"/>
      <c r="C81" s="13"/>
      <c r="D81" s="22" t="s">
        <v>174</v>
      </c>
      <c r="E81" s="49">
        <f>SUM(E82)</f>
        <v>20000</v>
      </c>
      <c r="F81" s="49">
        <f>SUM(F82)</f>
        <v>0</v>
      </c>
      <c r="G81" s="49">
        <f>SUM(G82)</f>
        <v>0</v>
      </c>
      <c r="H81" s="49">
        <f>SUM(H82)</f>
        <v>20000</v>
      </c>
      <c r="I81" s="49">
        <f>SUM(I82)</f>
        <v>0</v>
      </c>
      <c r="J81" s="47">
        <f t="shared" si="4"/>
        <v>20000</v>
      </c>
      <c r="K81" s="49">
        <f>SUM(K82)</f>
        <v>0</v>
      </c>
      <c r="L81" s="47">
        <f t="shared" si="5"/>
        <v>20000</v>
      </c>
      <c r="M81" s="49">
        <f>SUM(M82)</f>
        <v>0</v>
      </c>
      <c r="N81" s="47">
        <f t="shared" si="8"/>
        <v>20000</v>
      </c>
      <c r="O81" s="49">
        <f>SUM(O82)</f>
        <v>0</v>
      </c>
      <c r="P81" s="47">
        <f t="shared" si="6"/>
        <v>20000</v>
      </c>
      <c r="Q81" s="49">
        <f>SUM(Q82)</f>
        <v>0</v>
      </c>
      <c r="R81" s="47">
        <f t="shared" si="13"/>
        <v>20000</v>
      </c>
    </row>
    <row r="82" spans="1:18" s="27" customFormat="1" ht="24" customHeight="1">
      <c r="A82" s="86"/>
      <c r="B82" s="61">
        <v>85153</v>
      </c>
      <c r="C82" s="89"/>
      <c r="D82" s="14" t="s">
        <v>404</v>
      </c>
      <c r="E82" s="108">
        <f aca="true" t="shared" si="14" ref="E82:G83">SUM(E83)</f>
        <v>20000</v>
      </c>
      <c r="F82" s="108">
        <f t="shared" si="14"/>
        <v>0</v>
      </c>
      <c r="G82" s="108">
        <f t="shared" si="14"/>
        <v>0</v>
      </c>
      <c r="H82" s="67">
        <f>E82+F82-G82</f>
        <v>20000</v>
      </c>
      <c r="I82" s="108">
        <f>SUM(I83)</f>
        <v>0</v>
      </c>
      <c r="J82" s="67">
        <f t="shared" si="4"/>
        <v>20000</v>
      </c>
      <c r="K82" s="108">
        <f>SUM(K83)</f>
        <v>0</v>
      </c>
      <c r="L82" s="67">
        <f t="shared" si="5"/>
        <v>20000</v>
      </c>
      <c r="M82" s="108">
        <f>SUM(M83)</f>
        <v>0</v>
      </c>
      <c r="N82" s="67">
        <f t="shared" si="8"/>
        <v>20000</v>
      </c>
      <c r="O82" s="108">
        <f>SUM(O83)</f>
        <v>0</v>
      </c>
      <c r="P82" s="67">
        <f t="shared" si="6"/>
        <v>20000</v>
      </c>
      <c r="Q82" s="108">
        <f>SUM(Q83)</f>
        <v>0</v>
      </c>
      <c r="R82" s="67">
        <f t="shared" si="13"/>
        <v>20000</v>
      </c>
    </row>
    <row r="83" spans="1:18" s="48" customFormat="1" ht="24" customHeight="1">
      <c r="A83" s="34"/>
      <c r="B83" s="5"/>
      <c r="C83" s="89">
        <v>6060</v>
      </c>
      <c r="D83" s="14" t="s">
        <v>218</v>
      </c>
      <c r="E83" s="108">
        <f t="shared" si="14"/>
        <v>20000</v>
      </c>
      <c r="F83" s="108">
        <f t="shared" si="14"/>
        <v>0</v>
      </c>
      <c r="G83" s="108">
        <f t="shared" si="14"/>
        <v>0</v>
      </c>
      <c r="H83" s="67">
        <f>E83+F83-G83</f>
        <v>20000</v>
      </c>
      <c r="I83" s="108">
        <f>SUM(I84)</f>
        <v>0</v>
      </c>
      <c r="J83" s="67">
        <f t="shared" si="4"/>
        <v>20000</v>
      </c>
      <c r="K83" s="108">
        <f>SUM(K84)</f>
        <v>0</v>
      </c>
      <c r="L83" s="67">
        <f t="shared" si="5"/>
        <v>20000</v>
      </c>
      <c r="M83" s="108">
        <f>SUM(M84)</f>
        <v>0</v>
      </c>
      <c r="N83" s="67">
        <f t="shared" si="8"/>
        <v>20000</v>
      </c>
      <c r="O83" s="108">
        <f>SUM(O84)</f>
        <v>0</v>
      </c>
      <c r="P83" s="67">
        <f t="shared" si="6"/>
        <v>20000</v>
      </c>
      <c r="Q83" s="108">
        <f>SUM(Q84)</f>
        <v>0</v>
      </c>
      <c r="R83" s="67">
        <f t="shared" si="13"/>
        <v>20000</v>
      </c>
    </row>
    <row r="84" spans="1:18" s="48" customFormat="1" ht="24" customHeight="1">
      <c r="A84" s="34"/>
      <c r="B84" s="5"/>
      <c r="C84" s="89"/>
      <c r="D84" s="59" t="s">
        <v>341</v>
      </c>
      <c r="E84" s="111">
        <v>20000</v>
      </c>
      <c r="F84" s="111"/>
      <c r="G84" s="111"/>
      <c r="H84" s="217">
        <f>E84+F84-G84</f>
        <v>20000</v>
      </c>
      <c r="I84" s="111"/>
      <c r="J84" s="217">
        <f t="shared" si="4"/>
        <v>20000</v>
      </c>
      <c r="K84" s="111"/>
      <c r="L84" s="217">
        <f t="shared" si="5"/>
        <v>20000</v>
      </c>
      <c r="M84" s="111">
        <v>0</v>
      </c>
      <c r="N84" s="217">
        <f t="shared" si="8"/>
        <v>20000</v>
      </c>
      <c r="O84" s="111">
        <v>0</v>
      </c>
      <c r="P84" s="217">
        <f t="shared" si="6"/>
        <v>20000</v>
      </c>
      <c r="Q84" s="111">
        <v>0</v>
      </c>
      <c r="R84" s="217">
        <f t="shared" si="13"/>
        <v>20000</v>
      </c>
    </row>
    <row r="85" spans="1:18" s="48" customFormat="1" ht="21" customHeight="1">
      <c r="A85" s="34">
        <v>852</v>
      </c>
      <c r="B85" s="5"/>
      <c r="C85" s="13"/>
      <c r="D85" s="22" t="s">
        <v>331</v>
      </c>
      <c r="E85" s="49">
        <f>SUM(E86)</f>
        <v>18550</v>
      </c>
      <c r="F85" s="49">
        <f>SUM(F86)</f>
        <v>0</v>
      </c>
      <c r="G85" s="49">
        <f>SUM(G86)</f>
        <v>0</v>
      </c>
      <c r="H85" s="49">
        <f>SUM(H86)</f>
        <v>18550</v>
      </c>
      <c r="I85" s="49">
        <f>SUM(I86)</f>
        <v>0</v>
      </c>
      <c r="J85" s="47">
        <f t="shared" si="4"/>
        <v>18550</v>
      </c>
      <c r="K85" s="49">
        <f>SUM(K86)</f>
        <v>0</v>
      </c>
      <c r="L85" s="47">
        <f t="shared" si="5"/>
        <v>18550</v>
      </c>
      <c r="M85" s="49">
        <f>SUM(M86)</f>
        <v>0</v>
      </c>
      <c r="N85" s="47">
        <f t="shared" si="8"/>
        <v>18550</v>
      </c>
      <c r="O85" s="49">
        <f>SUM(O86)</f>
        <v>0</v>
      </c>
      <c r="P85" s="47">
        <f t="shared" si="6"/>
        <v>18550</v>
      </c>
      <c r="Q85" s="49">
        <f>SUM(Q86)</f>
        <v>0</v>
      </c>
      <c r="R85" s="47">
        <f t="shared" si="13"/>
        <v>18550</v>
      </c>
    </row>
    <row r="86" spans="1:18" s="27" customFormat="1" ht="20.25" customHeight="1">
      <c r="A86" s="86"/>
      <c r="B86" s="61">
        <v>85219</v>
      </c>
      <c r="C86" s="89"/>
      <c r="D86" s="14" t="s">
        <v>180</v>
      </c>
      <c r="E86" s="108">
        <f aca="true" t="shared" si="15" ref="E86:G87">SUM(E87)</f>
        <v>18550</v>
      </c>
      <c r="F86" s="108">
        <f t="shared" si="15"/>
        <v>0</v>
      </c>
      <c r="G86" s="108">
        <f t="shared" si="15"/>
        <v>0</v>
      </c>
      <c r="H86" s="67">
        <f>E86+F86-G86</f>
        <v>18550</v>
      </c>
      <c r="I86" s="108">
        <f>SUM(I87)</f>
        <v>0</v>
      </c>
      <c r="J86" s="67">
        <f t="shared" si="4"/>
        <v>18550</v>
      </c>
      <c r="K86" s="108">
        <f>SUM(K87)</f>
        <v>0</v>
      </c>
      <c r="L86" s="67">
        <f t="shared" si="5"/>
        <v>18550</v>
      </c>
      <c r="M86" s="108">
        <f>SUM(M87)</f>
        <v>0</v>
      </c>
      <c r="N86" s="67">
        <f t="shared" si="8"/>
        <v>18550</v>
      </c>
      <c r="O86" s="108">
        <f>SUM(O87)</f>
        <v>0</v>
      </c>
      <c r="P86" s="67">
        <f t="shared" si="6"/>
        <v>18550</v>
      </c>
      <c r="Q86" s="108">
        <f>SUM(Q87)</f>
        <v>0</v>
      </c>
      <c r="R86" s="67">
        <f t="shared" si="13"/>
        <v>18550</v>
      </c>
    </row>
    <row r="87" spans="1:18" s="27" customFormat="1" ht="24.75" customHeight="1">
      <c r="A87" s="86"/>
      <c r="B87" s="61"/>
      <c r="C87" s="89">
        <v>6060</v>
      </c>
      <c r="D87" s="14" t="s">
        <v>218</v>
      </c>
      <c r="E87" s="108">
        <f t="shared" si="15"/>
        <v>18550</v>
      </c>
      <c r="F87" s="108">
        <f t="shared" si="15"/>
        <v>0</v>
      </c>
      <c r="G87" s="108">
        <f t="shared" si="15"/>
        <v>0</v>
      </c>
      <c r="H87" s="67">
        <f>E87+F87-G87</f>
        <v>18550</v>
      </c>
      <c r="I87" s="108">
        <f>SUM(I88)</f>
        <v>0</v>
      </c>
      <c r="J87" s="67">
        <f t="shared" si="4"/>
        <v>18550</v>
      </c>
      <c r="K87" s="108">
        <f>SUM(K88)</f>
        <v>0</v>
      </c>
      <c r="L87" s="67">
        <f t="shared" si="5"/>
        <v>18550</v>
      </c>
      <c r="M87" s="108">
        <f>SUM(M88)</f>
        <v>0</v>
      </c>
      <c r="N87" s="67">
        <f t="shared" si="8"/>
        <v>18550</v>
      </c>
      <c r="O87" s="108">
        <f>SUM(O88)</f>
        <v>0</v>
      </c>
      <c r="P87" s="67">
        <f t="shared" si="6"/>
        <v>18550</v>
      </c>
      <c r="Q87" s="108">
        <f>SUM(Q88)</f>
        <v>0</v>
      </c>
      <c r="R87" s="67">
        <f t="shared" si="13"/>
        <v>18550</v>
      </c>
    </row>
    <row r="88" spans="1:18" s="30" customFormat="1" ht="18" customHeight="1">
      <c r="A88" s="57"/>
      <c r="B88" s="54"/>
      <c r="C88" s="58"/>
      <c r="D88" s="59" t="s">
        <v>436</v>
      </c>
      <c r="E88" s="111">
        <v>18550</v>
      </c>
      <c r="F88" s="111"/>
      <c r="G88" s="111"/>
      <c r="H88" s="217">
        <f>E88+F88-G88</f>
        <v>18550</v>
      </c>
      <c r="I88" s="111"/>
      <c r="J88" s="217">
        <f t="shared" si="4"/>
        <v>18550</v>
      </c>
      <c r="K88" s="111">
        <v>0</v>
      </c>
      <c r="L88" s="217">
        <f t="shared" si="5"/>
        <v>18550</v>
      </c>
      <c r="M88" s="111">
        <v>0</v>
      </c>
      <c r="N88" s="217">
        <f t="shared" si="8"/>
        <v>18550</v>
      </c>
      <c r="O88" s="111">
        <v>0</v>
      </c>
      <c r="P88" s="217">
        <f t="shared" si="6"/>
        <v>18550</v>
      </c>
      <c r="Q88" s="111">
        <v>0</v>
      </c>
      <c r="R88" s="217">
        <f t="shared" si="13"/>
        <v>18550</v>
      </c>
    </row>
    <row r="89" spans="1:18" s="48" customFormat="1" ht="24.75" customHeight="1">
      <c r="A89" s="34">
        <v>854</v>
      </c>
      <c r="B89" s="5"/>
      <c r="C89" s="13"/>
      <c r="D89" s="22" t="s">
        <v>181</v>
      </c>
      <c r="E89" s="49">
        <f>SUM(E90)</f>
        <v>100000</v>
      </c>
      <c r="F89" s="49">
        <f>SUM(F90)</f>
        <v>0</v>
      </c>
      <c r="G89" s="49">
        <f>SUM(G90)</f>
        <v>70000</v>
      </c>
      <c r="H89" s="49">
        <f>SUM(H90)</f>
        <v>30000</v>
      </c>
      <c r="I89" s="49">
        <f>SUM(I90)</f>
        <v>0</v>
      </c>
      <c r="J89" s="47">
        <f t="shared" si="4"/>
        <v>30000</v>
      </c>
      <c r="K89" s="49">
        <f>SUM(K90)</f>
        <v>0</v>
      </c>
      <c r="L89" s="47">
        <f t="shared" si="5"/>
        <v>30000</v>
      </c>
      <c r="M89" s="49">
        <f>SUM(M90)</f>
        <v>0</v>
      </c>
      <c r="N89" s="47">
        <f t="shared" si="8"/>
        <v>30000</v>
      </c>
      <c r="O89" s="49">
        <f>SUM(O90)</f>
        <v>71000</v>
      </c>
      <c r="P89" s="47">
        <f t="shared" si="6"/>
        <v>101000</v>
      </c>
      <c r="Q89" s="49">
        <f>SUM(Q90)</f>
        <v>15000</v>
      </c>
      <c r="R89" s="47">
        <f t="shared" si="13"/>
        <v>116000</v>
      </c>
    </row>
    <row r="90" spans="1:18" s="27" customFormat="1" ht="41.25" customHeight="1">
      <c r="A90" s="86"/>
      <c r="B90" s="61">
        <v>85412</v>
      </c>
      <c r="C90" s="89"/>
      <c r="D90" s="45" t="s">
        <v>294</v>
      </c>
      <c r="E90" s="108">
        <f aca="true" t="shared" si="16" ref="E90:G91">SUM(E91)</f>
        <v>100000</v>
      </c>
      <c r="F90" s="108">
        <f t="shared" si="16"/>
        <v>0</v>
      </c>
      <c r="G90" s="108">
        <f t="shared" si="16"/>
        <v>70000</v>
      </c>
      <c r="H90" s="67">
        <f>E90+F90-G90</f>
        <v>30000</v>
      </c>
      <c r="I90" s="108">
        <f>SUM(I91)</f>
        <v>0</v>
      </c>
      <c r="J90" s="67">
        <f t="shared" si="4"/>
        <v>30000</v>
      </c>
      <c r="K90" s="108">
        <f>SUM(K91)</f>
        <v>0</v>
      </c>
      <c r="L90" s="67">
        <f t="shared" si="5"/>
        <v>30000</v>
      </c>
      <c r="M90" s="108">
        <f>SUM(M91)</f>
        <v>0</v>
      </c>
      <c r="N90" s="67">
        <f t="shared" si="8"/>
        <v>30000</v>
      </c>
      <c r="O90" s="108">
        <f>SUM(O91)</f>
        <v>71000</v>
      </c>
      <c r="P90" s="67">
        <f t="shared" si="6"/>
        <v>101000</v>
      </c>
      <c r="Q90" s="108">
        <f>SUM(Q91)</f>
        <v>15000</v>
      </c>
      <c r="R90" s="67">
        <f t="shared" si="13"/>
        <v>116000</v>
      </c>
    </row>
    <row r="91" spans="1:18" s="27" customFormat="1" ht="24.75" customHeight="1">
      <c r="A91" s="86"/>
      <c r="B91" s="61"/>
      <c r="C91" s="89">
        <v>6050</v>
      </c>
      <c r="D91" s="14" t="s">
        <v>195</v>
      </c>
      <c r="E91" s="108">
        <f t="shared" si="16"/>
        <v>100000</v>
      </c>
      <c r="F91" s="108">
        <f t="shared" si="16"/>
        <v>0</v>
      </c>
      <c r="G91" s="108">
        <f t="shared" si="16"/>
        <v>70000</v>
      </c>
      <c r="H91" s="67">
        <f>E91+F91-G91</f>
        <v>30000</v>
      </c>
      <c r="I91" s="108">
        <f>SUM(I92)</f>
        <v>0</v>
      </c>
      <c r="J91" s="67">
        <f t="shared" si="4"/>
        <v>30000</v>
      </c>
      <c r="K91" s="108">
        <f>SUM(K92)</f>
        <v>0</v>
      </c>
      <c r="L91" s="67">
        <f t="shared" si="5"/>
        <v>30000</v>
      </c>
      <c r="M91" s="108">
        <f>SUM(M92)</f>
        <v>0</v>
      </c>
      <c r="N91" s="67">
        <f t="shared" si="8"/>
        <v>30000</v>
      </c>
      <c r="O91" s="108">
        <f>SUM(O92)</f>
        <v>71000</v>
      </c>
      <c r="P91" s="67">
        <f t="shared" si="6"/>
        <v>101000</v>
      </c>
      <c r="Q91" s="108">
        <f>SUM(Q92)</f>
        <v>15000</v>
      </c>
      <c r="R91" s="67">
        <f t="shared" si="13"/>
        <v>116000</v>
      </c>
    </row>
    <row r="92" spans="1:18" s="30" customFormat="1" ht="18.75" customHeight="1">
      <c r="A92" s="57"/>
      <c r="B92" s="54"/>
      <c r="C92" s="58"/>
      <c r="D92" s="59" t="s">
        <v>437</v>
      </c>
      <c r="E92" s="111">
        <v>100000</v>
      </c>
      <c r="F92" s="111"/>
      <c r="G92" s="111">
        <v>70000</v>
      </c>
      <c r="H92" s="217">
        <f>E92+F92-G92</f>
        <v>30000</v>
      </c>
      <c r="I92" s="111"/>
      <c r="J92" s="217">
        <f t="shared" si="4"/>
        <v>30000</v>
      </c>
      <c r="K92" s="111">
        <v>0</v>
      </c>
      <c r="L92" s="217">
        <f t="shared" si="5"/>
        <v>30000</v>
      </c>
      <c r="M92" s="111">
        <v>0</v>
      </c>
      <c r="N92" s="267">
        <f t="shared" si="8"/>
        <v>30000</v>
      </c>
      <c r="O92" s="288">
        <f>11000+60000</f>
        <v>71000</v>
      </c>
      <c r="P92" s="267">
        <f t="shared" si="6"/>
        <v>101000</v>
      </c>
      <c r="Q92" s="288">
        <v>15000</v>
      </c>
      <c r="R92" s="267">
        <f t="shared" si="13"/>
        <v>116000</v>
      </c>
    </row>
    <row r="93" spans="1:18" s="48" customFormat="1" ht="31.5" customHeight="1">
      <c r="A93" s="34" t="s">
        <v>252</v>
      </c>
      <c r="B93" s="5"/>
      <c r="C93" s="23"/>
      <c r="D93" s="22" t="s">
        <v>183</v>
      </c>
      <c r="E93" s="18">
        <f>SUM(E94,E111)</f>
        <v>415400</v>
      </c>
      <c r="F93" s="18">
        <f>SUM(F94,F111)</f>
        <v>260000</v>
      </c>
      <c r="G93" s="18">
        <f>SUM(G94,G111)</f>
        <v>260000</v>
      </c>
      <c r="H93" s="18">
        <f>SUM(H94,H111)</f>
        <v>415400</v>
      </c>
      <c r="I93" s="18">
        <f>SUM(I94,I111)</f>
        <v>250000</v>
      </c>
      <c r="J93" s="47">
        <f t="shared" si="4"/>
        <v>665400</v>
      </c>
      <c r="K93" s="18">
        <f>SUM(K94,K111)</f>
        <v>505115</v>
      </c>
      <c r="L93" s="47">
        <f t="shared" si="5"/>
        <v>1170515</v>
      </c>
      <c r="M93" s="18">
        <f>SUM(M94,M111)</f>
        <v>14057</v>
      </c>
      <c r="N93" s="47">
        <f t="shared" si="8"/>
        <v>1184572</v>
      </c>
      <c r="O93" s="18">
        <f>SUM(O94,O111)</f>
        <v>873078</v>
      </c>
      <c r="P93" s="47">
        <f t="shared" si="6"/>
        <v>2057650</v>
      </c>
      <c r="Q93" s="18">
        <f>SUM(Q94,Q111)</f>
        <v>4000</v>
      </c>
      <c r="R93" s="47">
        <f t="shared" si="13"/>
        <v>2061650</v>
      </c>
    </row>
    <row r="94" spans="1:18" s="27" customFormat="1" ht="27" customHeight="1">
      <c r="A94" s="86"/>
      <c r="B94" s="87" t="s">
        <v>253</v>
      </c>
      <c r="C94" s="95"/>
      <c r="D94" s="14" t="s">
        <v>184</v>
      </c>
      <c r="E94" s="101">
        <f>SUM(E97)</f>
        <v>260000</v>
      </c>
      <c r="F94" s="101">
        <f>SUM(F97)</f>
        <v>260000</v>
      </c>
      <c r="G94" s="101">
        <f>SUM(G97)</f>
        <v>260000</v>
      </c>
      <c r="H94" s="67">
        <f>E94+F94-G94</f>
        <v>260000</v>
      </c>
      <c r="I94" s="101">
        <f>SUM(I97)</f>
        <v>250000</v>
      </c>
      <c r="J94" s="67">
        <f aca="true" t="shared" si="17" ref="J94:P94">SUM(J95,J97,)</f>
        <v>510000</v>
      </c>
      <c r="K94" s="67">
        <f t="shared" si="17"/>
        <v>505115</v>
      </c>
      <c r="L94" s="67">
        <f t="shared" si="17"/>
        <v>1015115</v>
      </c>
      <c r="M94" s="67">
        <f t="shared" si="17"/>
        <v>57</v>
      </c>
      <c r="N94" s="67">
        <f t="shared" si="17"/>
        <v>1015172</v>
      </c>
      <c r="O94" s="67">
        <f t="shared" si="17"/>
        <v>797078</v>
      </c>
      <c r="P94" s="67">
        <f t="shared" si="17"/>
        <v>1812250</v>
      </c>
      <c r="Q94" s="67">
        <f>SUM(Q95,Q97,)</f>
        <v>34000</v>
      </c>
      <c r="R94" s="67">
        <f>SUM(R95,R97,)</f>
        <v>1846250</v>
      </c>
    </row>
    <row r="95" spans="1:18" s="27" customFormat="1" ht="67.5">
      <c r="A95" s="86"/>
      <c r="B95" s="87"/>
      <c r="C95" s="95">
        <v>6010</v>
      </c>
      <c r="D95" s="45" t="s">
        <v>417</v>
      </c>
      <c r="E95" s="101"/>
      <c r="F95" s="101"/>
      <c r="G95" s="101"/>
      <c r="H95" s="67"/>
      <c r="I95" s="101"/>
      <c r="J95" s="67">
        <f aca="true" t="shared" si="18" ref="J95:R95">SUM(J96)</f>
        <v>0</v>
      </c>
      <c r="K95" s="67">
        <f t="shared" si="18"/>
        <v>115</v>
      </c>
      <c r="L95" s="67">
        <f t="shared" si="18"/>
        <v>115</v>
      </c>
      <c r="M95" s="67">
        <f t="shared" si="18"/>
        <v>57</v>
      </c>
      <c r="N95" s="67">
        <f t="shared" si="18"/>
        <v>172</v>
      </c>
      <c r="O95" s="67">
        <f t="shared" si="18"/>
        <v>578</v>
      </c>
      <c r="P95" s="67">
        <f t="shared" si="18"/>
        <v>750</v>
      </c>
      <c r="Q95" s="67">
        <f t="shared" si="18"/>
        <v>0</v>
      </c>
      <c r="R95" s="67">
        <f t="shared" si="18"/>
        <v>750</v>
      </c>
    </row>
    <row r="96" spans="1:18" s="27" customFormat="1" ht="27" customHeight="1">
      <c r="A96" s="86"/>
      <c r="B96" s="87"/>
      <c r="C96" s="95"/>
      <c r="D96" s="14" t="s">
        <v>612</v>
      </c>
      <c r="E96" s="101"/>
      <c r="F96" s="101"/>
      <c r="G96" s="101"/>
      <c r="H96" s="67"/>
      <c r="I96" s="101"/>
      <c r="J96" s="67">
        <v>0</v>
      </c>
      <c r="K96" s="101">
        <v>115</v>
      </c>
      <c r="L96" s="217">
        <f>SUM(J96:K96)</f>
        <v>115</v>
      </c>
      <c r="M96" s="60">
        <v>57</v>
      </c>
      <c r="N96" s="217">
        <f>SUM(L96:M96)</f>
        <v>172</v>
      </c>
      <c r="O96" s="60">
        <v>578</v>
      </c>
      <c r="P96" s="217">
        <f>SUM(N96:O96)</f>
        <v>750</v>
      </c>
      <c r="Q96" s="60">
        <v>0</v>
      </c>
      <c r="R96" s="217">
        <f>SUM(P96:Q96)</f>
        <v>750</v>
      </c>
    </row>
    <row r="97" spans="1:18" s="27" customFormat="1" ht="27.75" customHeight="1">
      <c r="A97" s="86"/>
      <c r="B97" s="87"/>
      <c r="C97" s="88">
        <v>6050</v>
      </c>
      <c r="D97" s="14" t="s">
        <v>195</v>
      </c>
      <c r="E97" s="108">
        <f>SUM(E98:E99)</f>
        <v>260000</v>
      </c>
      <c r="F97" s="108">
        <f>SUM(F98:F99)</f>
        <v>260000</v>
      </c>
      <c r="G97" s="108">
        <f>SUM(G98:G99)</f>
        <v>260000</v>
      </c>
      <c r="H97" s="67">
        <f>SUM(H98:H100)</f>
        <v>260000</v>
      </c>
      <c r="I97" s="67">
        <f>SUM(I98:I100)</f>
        <v>250000</v>
      </c>
      <c r="J97" s="67">
        <f>SUM(J98:J102)</f>
        <v>510000</v>
      </c>
      <c r="K97" s="67">
        <f>SUM(K98:K102)</f>
        <v>505000</v>
      </c>
      <c r="L97" s="67">
        <f>SUM(L98:L102)</f>
        <v>1015000</v>
      </c>
      <c r="M97" s="67">
        <f>SUM(M98:M102)</f>
        <v>0</v>
      </c>
      <c r="N97" s="67">
        <f>SUM(N98:N110)</f>
        <v>1015000</v>
      </c>
      <c r="O97" s="67">
        <f>SUM(O98:O110)</f>
        <v>796500</v>
      </c>
      <c r="P97" s="67">
        <f>SUM(P98:P110)</f>
        <v>1811500</v>
      </c>
      <c r="Q97" s="67">
        <f>SUM(Q98:Q110)</f>
        <v>34000</v>
      </c>
      <c r="R97" s="67">
        <f>SUM(R98:R110)</f>
        <v>1845500</v>
      </c>
    </row>
    <row r="98" spans="1:18" s="30" customFormat="1" ht="24" customHeight="1">
      <c r="A98" s="57"/>
      <c r="B98" s="115"/>
      <c r="C98" s="126"/>
      <c r="D98" s="62" t="s">
        <v>438</v>
      </c>
      <c r="E98" s="111">
        <v>110000</v>
      </c>
      <c r="F98" s="111">
        <v>150000</v>
      </c>
      <c r="G98" s="111">
        <v>110000</v>
      </c>
      <c r="H98" s="67">
        <f>E98+F98-G98</f>
        <v>150000</v>
      </c>
      <c r="I98" s="111"/>
      <c r="J98" s="217">
        <f t="shared" si="4"/>
        <v>150000</v>
      </c>
      <c r="K98" s="111">
        <v>0</v>
      </c>
      <c r="L98" s="217">
        <f>SUM(J98:K98)</f>
        <v>150000</v>
      </c>
      <c r="M98" s="111">
        <v>0</v>
      </c>
      <c r="N98" s="217">
        <f>SUM(L98:M98)</f>
        <v>150000</v>
      </c>
      <c r="O98" s="111">
        <v>0</v>
      </c>
      <c r="P98" s="217">
        <f aca="true" t="shared" si="19" ref="P98:P111">SUM(N98:O98)</f>
        <v>150000</v>
      </c>
      <c r="Q98" s="111">
        <v>31000</v>
      </c>
      <c r="R98" s="217">
        <f aca="true" t="shared" si="20" ref="R98:R111">SUM(P98:Q98)</f>
        <v>181000</v>
      </c>
    </row>
    <row r="99" spans="1:18" s="30" customFormat="1" ht="24" customHeight="1">
      <c r="A99" s="57"/>
      <c r="B99" s="115"/>
      <c r="C99" s="126"/>
      <c r="D99" s="62" t="s">
        <v>439</v>
      </c>
      <c r="E99" s="111">
        <v>150000</v>
      </c>
      <c r="F99" s="111">
        <v>110000</v>
      </c>
      <c r="G99" s="111">
        <v>150000</v>
      </c>
      <c r="H99" s="67">
        <f>E99+F99-G99</f>
        <v>110000</v>
      </c>
      <c r="I99" s="111"/>
      <c r="J99" s="217">
        <f t="shared" si="4"/>
        <v>110000</v>
      </c>
      <c r="K99" s="111">
        <v>0</v>
      </c>
      <c r="L99" s="217">
        <f>SUM(J99:K99)</f>
        <v>110000</v>
      </c>
      <c r="M99" s="111">
        <v>0</v>
      </c>
      <c r="N99" s="217">
        <f>SUM(L99:M99)</f>
        <v>110000</v>
      </c>
      <c r="O99" s="111">
        <v>0</v>
      </c>
      <c r="P99" s="217">
        <f t="shared" si="19"/>
        <v>110000</v>
      </c>
      <c r="Q99" s="111">
        <v>190000</v>
      </c>
      <c r="R99" s="217">
        <f t="shared" si="20"/>
        <v>300000</v>
      </c>
    </row>
    <row r="100" spans="1:18" s="30" customFormat="1" ht="67.5">
      <c r="A100" s="57"/>
      <c r="B100" s="115"/>
      <c r="C100" s="126"/>
      <c r="D100" s="62" t="s">
        <v>589</v>
      </c>
      <c r="E100" s="111"/>
      <c r="F100" s="111"/>
      <c r="G100" s="111"/>
      <c r="H100" s="67">
        <v>0</v>
      </c>
      <c r="I100" s="111">
        <v>250000</v>
      </c>
      <c r="J100" s="217">
        <f>SUM(H100:I100)</f>
        <v>250000</v>
      </c>
      <c r="K100" s="111">
        <v>0</v>
      </c>
      <c r="L100" s="217">
        <f>SUM(J100:K100)</f>
        <v>250000</v>
      </c>
      <c r="M100" s="111">
        <v>0</v>
      </c>
      <c r="N100" s="217">
        <f>SUM(L100:M100)</f>
        <v>250000</v>
      </c>
      <c r="O100" s="111">
        <v>0</v>
      </c>
      <c r="P100" s="217">
        <f t="shared" si="19"/>
        <v>250000</v>
      </c>
      <c r="Q100" s="111">
        <v>0</v>
      </c>
      <c r="R100" s="217">
        <f t="shared" si="20"/>
        <v>250000</v>
      </c>
    </row>
    <row r="101" spans="1:18" s="30" customFormat="1" ht="33.75">
      <c r="A101" s="57"/>
      <c r="B101" s="115"/>
      <c r="C101" s="126"/>
      <c r="D101" s="62" t="s">
        <v>638</v>
      </c>
      <c r="E101" s="111"/>
      <c r="F101" s="111"/>
      <c r="G101" s="111"/>
      <c r="H101" s="67"/>
      <c r="I101" s="111"/>
      <c r="J101" s="217">
        <v>0</v>
      </c>
      <c r="K101" s="111">
        <v>5000</v>
      </c>
      <c r="L101" s="217">
        <f>SUM(J101:K101)</f>
        <v>5000</v>
      </c>
      <c r="M101" s="111">
        <v>0</v>
      </c>
      <c r="N101" s="217">
        <f>SUM(L101:M101)</f>
        <v>5000</v>
      </c>
      <c r="O101" s="111">
        <v>0</v>
      </c>
      <c r="P101" s="217">
        <f t="shared" si="19"/>
        <v>5000</v>
      </c>
      <c r="Q101" s="111">
        <v>0</v>
      </c>
      <c r="R101" s="217">
        <f t="shared" si="20"/>
        <v>5000</v>
      </c>
    </row>
    <row r="102" spans="1:18" s="30" customFormat="1" ht="33.75">
      <c r="A102" s="57"/>
      <c r="B102" s="115"/>
      <c r="C102" s="126"/>
      <c r="D102" s="62" t="s">
        <v>659</v>
      </c>
      <c r="E102" s="60"/>
      <c r="F102" s="60"/>
      <c r="G102" s="60"/>
      <c r="H102" s="67"/>
      <c r="I102" s="60"/>
      <c r="J102" s="217">
        <v>0</v>
      </c>
      <c r="K102" s="60">
        <v>500000</v>
      </c>
      <c r="L102" s="217">
        <f>SUM(J102:K102)</f>
        <v>500000</v>
      </c>
      <c r="M102" s="60">
        <v>0</v>
      </c>
      <c r="N102" s="217">
        <f>SUM(L102:M102)</f>
        <v>500000</v>
      </c>
      <c r="O102" s="60">
        <v>0</v>
      </c>
      <c r="P102" s="217">
        <f t="shared" si="19"/>
        <v>500000</v>
      </c>
      <c r="Q102" s="60">
        <v>0</v>
      </c>
      <c r="R102" s="217">
        <f t="shared" si="20"/>
        <v>500000</v>
      </c>
    </row>
    <row r="103" spans="1:18" s="30" customFormat="1" ht="38.25" customHeight="1">
      <c r="A103" s="57"/>
      <c r="B103" s="115"/>
      <c r="C103" s="126"/>
      <c r="D103" s="62" t="s">
        <v>66</v>
      </c>
      <c r="E103" s="60"/>
      <c r="F103" s="60"/>
      <c r="G103" s="60"/>
      <c r="H103" s="67"/>
      <c r="I103" s="60"/>
      <c r="J103" s="217"/>
      <c r="K103" s="60"/>
      <c r="L103" s="217"/>
      <c r="M103" s="60"/>
      <c r="N103" s="217">
        <v>0</v>
      </c>
      <c r="O103" s="60">
        <v>75000</v>
      </c>
      <c r="P103" s="217">
        <f t="shared" si="19"/>
        <v>75000</v>
      </c>
      <c r="Q103" s="60">
        <v>86000</v>
      </c>
      <c r="R103" s="217">
        <f t="shared" si="20"/>
        <v>161000</v>
      </c>
    </row>
    <row r="104" spans="1:18" s="30" customFormat="1" ht="22.5">
      <c r="A104" s="57"/>
      <c r="B104" s="115"/>
      <c r="C104" s="126"/>
      <c r="D104" s="62" t="s">
        <v>32</v>
      </c>
      <c r="E104" s="60"/>
      <c r="F104" s="60"/>
      <c r="G104" s="60"/>
      <c r="H104" s="67"/>
      <c r="I104" s="60"/>
      <c r="J104" s="217"/>
      <c r="K104" s="60"/>
      <c r="L104" s="217"/>
      <c r="M104" s="60"/>
      <c r="N104" s="217">
        <v>0</v>
      </c>
      <c r="O104" s="60">
        <v>22000</v>
      </c>
      <c r="P104" s="217">
        <f t="shared" si="19"/>
        <v>22000</v>
      </c>
      <c r="Q104" s="60">
        <v>15000</v>
      </c>
      <c r="R104" s="217">
        <f t="shared" si="20"/>
        <v>37000</v>
      </c>
    </row>
    <row r="105" spans="1:18" s="30" customFormat="1" ht="22.5">
      <c r="A105" s="57"/>
      <c r="B105" s="115"/>
      <c r="C105" s="126"/>
      <c r="D105" s="62" t="s">
        <v>67</v>
      </c>
      <c r="E105" s="60"/>
      <c r="F105" s="60"/>
      <c r="G105" s="60"/>
      <c r="H105" s="67"/>
      <c r="I105" s="60"/>
      <c r="J105" s="217"/>
      <c r="K105" s="60"/>
      <c r="L105" s="217"/>
      <c r="M105" s="60"/>
      <c r="N105" s="217">
        <v>0</v>
      </c>
      <c r="O105" s="60">
        <v>95000</v>
      </c>
      <c r="P105" s="217">
        <f t="shared" si="19"/>
        <v>95000</v>
      </c>
      <c r="Q105" s="60">
        <v>-13000</v>
      </c>
      <c r="R105" s="217">
        <f t="shared" si="20"/>
        <v>82000</v>
      </c>
    </row>
    <row r="106" spans="1:18" s="30" customFormat="1" ht="23.25" customHeight="1">
      <c r="A106" s="57"/>
      <c r="B106" s="115"/>
      <c r="C106" s="126"/>
      <c r="D106" s="62" t="s">
        <v>68</v>
      </c>
      <c r="E106" s="60"/>
      <c r="F106" s="60"/>
      <c r="G106" s="60"/>
      <c r="H106" s="67"/>
      <c r="I106" s="60"/>
      <c r="J106" s="217"/>
      <c r="K106" s="60"/>
      <c r="L106" s="217"/>
      <c r="M106" s="60"/>
      <c r="N106" s="217">
        <v>0</v>
      </c>
      <c r="O106" s="60">
        <v>15000</v>
      </c>
      <c r="P106" s="217">
        <f t="shared" si="19"/>
        <v>15000</v>
      </c>
      <c r="Q106" s="60">
        <v>29000</v>
      </c>
      <c r="R106" s="217">
        <f t="shared" si="20"/>
        <v>44000</v>
      </c>
    </row>
    <row r="107" spans="1:18" s="30" customFormat="1" ht="24.75" customHeight="1">
      <c r="A107" s="57"/>
      <c r="B107" s="115"/>
      <c r="C107" s="126"/>
      <c r="D107" s="62" t="s">
        <v>33</v>
      </c>
      <c r="E107" s="60"/>
      <c r="F107" s="60"/>
      <c r="G107" s="60"/>
      <c r="H107" s="67"/>
      <c r="I107" s="60"/>
      <c r="J107" s="217"/>
      <c r="K107" s="60"/>
      <c r="L107" s="217"/>
      <c r="M107" s="60"/>
      <c r="N107" s="217">
        <v>0</v>
      </c>
      <c r="O107" s="60">
        <v>21000</v>
      </c>
      <c r="P107" s="217">
        <f t="shared" si="19"/>
        <v>21000</v>
      </c>
      <c r="Q107" s="60">
        <v>46000</v>
      </c>
      <c r="R107" s="217">
        <f t="shared" si="20"/>
        <v>67000</v>
      </c>
    </row>
    <row r="108" spans="1:18" s="30" customFormat="1" ht="24.75" customHeight="1">
      <c r="A108" s="57"/>
      <c r="B108" s="115"/>
      <c r="C108" s="126"/>
      <c r="D108" s="62" t="s">
        <v>107</v>
      </c>
      <c r="E108" s="60"/>
      <c r="F108" s="60"/>
      <c r="G108" s="60"/>
      <c r="H108" s="67"/>
      <c r="I108" s="60"/>
      <c r="J108" s="217"/>
      <c r="K108" s="60"/>
      <c r="L108" s="217"/>
      <c r="M108" s="60"/>
      <c r="N108" s="217">
        <v>0</v>
      </c>
      <c r="O108" s="289">
        <v>418500</v>
      </c>
      <c r="P108" s="217">
        <f t="shared" si="19"/>
        <v>418500</v>
      </c>
      <c r="Q108" s="289">
        <v>-418500</v>
      </c>
      <c r="R108" s="217">
        <f t="shared" si="20"/>
        <v>0</v>
      </c>
    </row>
    <row r="109" spans="1:18" s="30" customFormat="1" ht="24.75" customHeight="1">
      <c r="A109" s="57"/>
      <c r="B109" s="115"/>
      <c r="C109" s="126"/>
      <c r="D109" s="62" t="s">
        <v>109</v>
      </c>
      <c r="E109" s="60"/>
      <c r="F109" s="60"/>
      <c r="G109" s="60"/>
      <c r="H109" s="67"/>
      <c r="I109" s="60"/>
      <c r="J109" s="217"/>
      <c r="K109" s="60"/>
      <c r="L109" s="217"/>
      <c r="M109" s="60"/>
      <c r="N109" s="217">
        <v>0</v>
      </c>
      <c r="O109" s="289">
        <v>40000</v>
      </c>
      <c r="P109" s="217">
        <f t="shared" si="19"/>
        <v>40000</v>
      </c>
      <c r="Q109" s="289">
        <v>0</v>
      </c>
      <c r="R109" s="217">
        <f t="shared" si="20"/>
        <v>40000</v>
      </c>
    </row>
    <row r="110" spans="1:18" s="30" customFormat="1" ht="24.75" customHeight="1">
      <c r="A110" s="57"/>
      <c r="B110" s="115"/>
      <c r="C110" s="126"/>
      <c r="D110" s="62" t="s">
        <v>34</v>
      </c>
      <c r="E110" s="60"/>
      <c r="F110" s="60"/>
      <c r="G110" s="60"/>
      <c r="H110" s="67"/>
      <c r="I110" s="60"/>
      <c r="J110" s="217"/>
      <c r="K110" s="60"/>
      <c r="L110" s="217"/>
      <c r="M110" s="60"/>
      <c r="N110" s="217">
        <v>0</v>
      </c>
      <c r="O110" s="60">
        <v>110000</v>
      </c>
      <c r="P110" s="217">
        <f t="shared" si="19"/>
        <v>110000</v>
      </c>
      <c r="Q110" s="60">
        <v>68500</v>
      </c>
      <c r="R110" s="217">
        <f t="shared" si="20"/>
        <v>178500</v>
      </c>
    </row>
    <row r="111" spans="1:18" s="27" customFormat="1" ht="24" customHeight="1">
      <c r="A111" s="86"/>
      <c r="B111" s="87" t="s">
        <v>262</v>
      </c>
      <c r="C111" s="95"/>
      <c r="D111" s="14" t="s">
        <v>263</v>
      </c>
      <c r="E111" s="101">
        <f>SUM(E112:E112)</f>
        <v>155400</v>
      </c>
      <c r="F111" s="101">
        <f>SUM(F112:F112)</f>
        <v>0</v>
      </c>
      <c r="G111" s="101">
        <f>SUM(G112:G112)</f>
        <v>0</v>
      </c>
      <c r="H111" s="67">
        <f aca="true" t="shared" si="21" ref="H111:H118">E111+F111-G111</f>
        <v>155400</v>
      </c>
      <c r="I111" s="101">
        <f>SUM(I112:I112)</f>
        <v>0</v>
      </c>
      <c r="J111" s="67">
        <f aca="true" t="shared" si="22" ref="J111:J136">SUM(H111:I111)</f>
        <v>155400</v>
      </c>
      <c r="K111" s="101">
        <f>SUM(K112:K112)</f>
        <v>0</v>
      </c>
      <c r="L111" s="67">
        <f aca="true" t="shared" si="23" ref="L111:L136">SUM(J111:K111)</f>
        <v>155400</v>
      </c>
      <c r="M111" s="101">
        <f>SUM(M112:M112)</f>
        <v>14000</v>
      </c>
      <c r="N111" s="67">
        <f>SUM(L111:M111)</f>
        <v>169400</v>
      </c>
      <c r="O111" s="101">
        <f>SUM(O112:O112)</f>
        <v>76000</v>
      </c>
      <c r="P111" s="67">
        <f t="shared" si="19"/>
        <v>245400</v>
      </c>
      <c r="Q111" s="101">
        <f>SUM(Q112:Q112)</f>
        <v>-30000</v>
      </c>
      <c r="R111" s="67">
        <f t="shared" si="20"/>
        <v>215400</v>
      </c>
    </row>
    <row r="112" spans="1:18" s="27" customFormat="1" ht="25.5" customHeight="1">
      <c r="A112" s="86"/>
      <c r="B112" s="61"/>
      <c r="C112" s="88">
        <v>6050</v>
      </c>
      <c r="D112" s="14" t="s">
        <v>195</v>
      </c>
      <c r="E112" s="101">
        <f>SUM(E113:E118)</f>
        <v>155400</v>
      </c>
      <c r="F112" s="101">
        <f>SUM(F113:F118)</f>
        <v>0</v>
      </c>
      <c r="G112" s="101">
        <f>SUM(G113:G118)</f>
        <v>0</v>
      </c>
      <c r="H112" s="67">
        <f t="shared" si="21"/>
        <v>155400</v>
      </c>
      <c r="I112" s="101">
        <f>SUM(I113:I118)</f>
        <v>0</v>
      </c>
      <c r="J112" s="67">
        <f>SUM(J113:J118)</f>
        <v>155400</v>
      </c>
      <c r="K112" s="67">
        <f>SUM(K113:K118)</f>
        <v>0</v>
      </c>
      <c r="L112" s="67">
        <f>SUM(L113:L119)</f>
        <v>155400</v>
      </c>
      <c r="M112" s="67">
        <f>SUM(M113:M119)</f>
        <v>14000</v>
      </c>
      <c r="N112" s="67">
        <f>SUM(N113:N122)</f>
        <v>169400</v>
      </c>
      <c r="O112" s="67">
        <f>SUM(O113:O122)</f>
        <v>76000</v>
      </c>
      <c r="P112" s="67">
        <f>SUM(P113:P122)</f>
        <v>245400</v>
      </c>
      <c r="Q112" s="67">
        <f>SUM(Q113:Q122)</f>
        <v>-30000</v>
      </c>
      <c r="R112" s="67">
        <f>SUM(R113:R122)</f>
        <v>215400</v>
      </c>
    </row>
    <row r="113" spans="1:18" s="30" customFormat="1" ht="24" customHeight="1">
      <c r="A113" s="57"/>
      <c r="B113" s="54"/>
      <c r="C113" s="126"/>
      <c r="D113" s="59" t="s">
        <v>441</v>
      </c>
      <c r="E113" s="60">
        <v>85000</v>
      </c>
      <c r="F113" s="60"/>
      <c r="G113" s="60"/>
      <c r="H113" s="217">
        <f t="shared" si="21"/>
        <v>85000</v>
      </c>
      <c r="I113" s="60"/>
      <c r="J113" s="217">
        <f t="shared" si="22"/>
        <v>85000</v>
      </c>
      <c r="K113" s="60"/>
      <c r="L113" s="217">
        <f t="shared" si="23"/>
        <v>85000</v>
      </c>
      <c r="M113" s="60">
        <v>0</v>
      </c>
      <c r="N113" s="217">
        <f aca="true" t="shared" si="24" ref="N113:N136">SUM(L113:M113)</f>
        <v>85000</v>
      </c>
      <c r="O113" s="60">
        <v>0</v>
      </c>
      <c r="P113" s="217">
        <f aca="true" t="shared" si="25" ref="P113:P136">SUM(N113:O113)</f>
        <v>85000</v>
      </c>
      <c r="Q113" s="60">
        <v>0</v>
      </c>
      <c r="R113" s="217">
        <f aca="true" t="shared" si="26" ref="R113:R136">SUM(P113:Q113)</f>
        <v>85000</v>
      </c>
    </row>
    <row r="114" spans="1:18" s="30" customFormat="1" ht="39.75" customHeight="1">
      <c r="A114" s="57"/>
      <c r="B114" s="54"/>
      <c r="C114" s="126"/>
      <c r="D114" s="59" t="s">
        <v>526</v>
      </c>
      <c r="E114" s="60">
        <f>20000+4000</f>
        <v>24000</v>
      </c>
      <c r="F114" s="60"/>
      <c r="G114" s="60"/>
      <c r="H114" s="217">
        <f t="shared" si="21"/>
        <v>24000</v>
      </c>
      <c r="I114" s="60"/>
      <c r="J114" s="217">
        <f t="shared" si="22"/>
        <v>24000</v>
      </c>
      <c r="K114" s="60">
        <v>0</v>
      </c>
      <c r="L114" s="217">
        <f t="shared" si="23"/>
        <v>24000</v>
      </c>
      <c r="M114" s="60">
        <v>0</v>
      </c>
      <c r="N114" s="217">
        <f t="shared" si="24"/>
        <v>24000</v>
      </c>
      <c r="O114" s="60">
        <v>0</v>
      </c>
      <c r="P114" s="217">
        <f t="shared" si="25"/>
        <v>24000</v>
      </c>
      <c r="Q114" s="60">
        <v>0</v>
      </c>
      <c r="R114" s="217">
        <f t="shared" si="26"/>
        <v>24000</v>
      </c>
    </row>
    <row r="115" spans="1:18" s="30" customFormat="1" ht="20.25" customHeight="1">
      <c r="A115" s="57"/>
      <c r="B115" s="54"/>
      <c r="C115" s="126"/>
      <c r="D115" s="59" t="s">
        <v>442</v>
      </c>
      <c r="E115" s="60">
        <v>15000</v>
      </c>
      <c r="F115" s="60"/>
      <c r="G115" s="60"/>
      <c r="H115" s="217">
        <f t="shared" si="21"/>
        <v>15000</v>
      </c>
      <c r="I115" s="60"/>
      <c r="J115" s="217">
        <f t="shared" si="22"/>
        <v>15000</v>
      </c>
      <c r="K115" s="60">
        <v>0</v>
      </c>
      <c r="L115" s="217">
        <f t="shared" si="23"/>
        <v>15000</v>
      </c>
      <c r="M115" s="60">
        <v>0</v>
      </c>
      <c r="N115" s="217">
        <f t="shared" si="24"/>
        <v>15000</v>
      </c>
      <c r="O115" s="60">
        <v>0</v>
      </c>
      <c r="P115" s="217">
        <f t="shared" si="25"/>
        <v>15000</v>
      </c>
      <c r="Q115" s="60">
        <v>0</v>
      </c>
      <c r="R115" s="217">
        <f t="shared" si="26"/>
        <v>15000</v>
      </c>
    </row>
    <row r="116" spans="1:18" s="30" customFormat="1" ht="23.25" customHeight="1">
      <c r="A116" s="57"/>
      <c r="B116" s="54"/>
      <c r="C116" s="126"/>
      <c r="D116" s="59" t="s">
        <v>443</v>
      </c>
      <c r="E116" s="111">
        <v>1400</v>
      </c>
      <c r="F116" s="111"/>
      <c r="G116" s="111"/>
      <c r="H116" s="217">
        <f t="shared" si="21"/>
        <v>1400</v>
      </c>
      <c r="I116" s="111"/>
      <c r="J116" s="217">
        <f t="shared" si="22"/>
        <v>1400</v>
      </c>
      <c r="K116" s="111">
        <v>0</v>
      </c>
      <c r="L116" s="217">
        <f t="shared" si="23"/>
        <v>1400</v>
      </c>
      <c r="M116" s="111">
        <v>0</v>
      </c>
      <c r="N116" s="217">
        <f t="shared" si="24"/>
        <v>1400</v>
      </c>
      <c r="O116" s="288">
        <v>7000</v>
      </c>
      <c r="P116" s="217">
        <f t="shared" si="25"/>
        <v>8400</v>
      </c>
      <c r="Q116" s="288">
        <v>0</v>
      </c>
      <c r="R116" s="217">
        <f t="shared" si="26"/>
        <v>8400</v>
      </c>
    </row>
    <row r="117" spans="1:18" s="30" customFormat="1" ht="19.5" customHeight="1">
      <c r="A117" s="57"/>
      <c r="B117" s="54"/>
      <c r="C117" s="58"/>
      <c r="D117" s="59" t="s">
        <v>444</v>
      </c>
      <c r="E117" s="111">
        <v>10000</v>
      </c>
      <c r="F117" s="111"/>
      <c r="G117" s="111"/>
      <c r="H117" s="217">
        <f t="shared" si="21"/>
        <v>10000</v>
      </c>
      <c r="I117" s="111"/>
      <c r="J117" s="217">
        <f t="shared" si="22"/>
        <v>10000</v>
      </c>
      <c r="K117" s="111">
        <v>0</v>
      </c>
      <c r="L117" s="217">
        <f t="shared" si="23"/>
        <v>10000</v>
      </c>
      <c r="M117" s="111">
        <v>0</v>
      </c>
      <c r="N117" s="217">
        <f t="shared" si="24"/>
        <v>10000</v>
      </c>
      <c r="O117" s="111">
        <v>0</v>
      </c>
      <c r="P117" s="217">
        <f t="shared" si="25"/>
        <v>10000</v>
      </c>
      <c r="Q117" s="111">
        <v>0</v>
      </c>
      <c r="R117" s="217">
        <f t="shared" si="26"/>
        <v>10000</v>
      </c>
    </row>
    <row r="118" spans="1:18" s="30" customFormat="1" ht="21.75" customHeight="1">
      <c r="A118" s="57"/>
      <c r="B118" s="54"/>
      <c r="C118" s="58"/>
      <c r="D118" s="59" t="s">
        <v>445</v>
      </c>
      <c r="E118" s="111">
        <v>20000</v>
      </c>
      <c r="F118" s="111"/>
      <c r="G118" s="111"/>
      <c r="H118" s="217">
        <f t="shared" si="21"/>
        <v>20000</v>
      </c>
      <c r="I118" s="111"/>
      <c r="J118" s="217">
        <f t="shared" si="22"/>
        <v>20000</v>
      </c>
      <c r="K118" s="111">
        <v>0</v>
      </c>
      <c r="L118" s="217">
        <f t="shared" si="23"/>
        <v>20000</v>
      </c>
      <c r="M118" s="111">
        <v>0</v>
      </c>
      <c r="N118" s="217">
        <f t="shared" si="24"/>
        <v>20000</v>
      </c>
      <c r="O118" s="111">
        <v>0</v>
      </c>
      <c r="P118" s="217">
        <f t="shared" si="25"/>
        <v>20000</v>
      </c>
      <c r="Q118" s="111">
        <v>0</v>
      </c>
      <c r="R118" s="217">
        <f t="shared" si="26"/>
        <v>20000</v>
      </c>
    </row>
    <row r="119" spans="1:18" s="30" customFormat="1" ht="38.25" customHeight="1">
      <c r="A119" s="57"/>
      <c r="B119" s="54"/>
      <c r="C119" s="58"/>
      <c r="D119" s="59" t="s">
        <v>111</v>
      </c>
      <c r="E119" s="111"/>
      <c r="F119" s="111"/>
      <c r="G119" s="111"/>
      <c r="H119" s="217"/>
      <c r="I119" s="111"/>
      <c r="J119" s="217"/>
      <c r="K119" s="111"/>
      <c r="L119" s="217">
        <v>0</v>
      </c>
      <c r="M119" s="111">
        <v>14000</v>
      </c>
      <c r="N119" s="217">
        <f t="shared" si="24"/>
        <v>14000</v>
      </c>
      <c r="O119" s="111">
        <v>0</v>
      </c>
      <c r="P119" s="217">
        <f t="shared" si="25"/>
        <v>14000</v>
      </c>
      <c r="Q119" s="111">
        <v>0</v>
      </c>
      <c r="R119" s="217">
        <f t="shared" si="26"/>
        <v>14000</v>
      </c>
    </row>
    <row r="120" spans="1:18" s="30" customFormat="1" ht="24" customHeight="1">
      <c r="A120" s="57"/>
      <c r="B120" s="54"/>
      <c r="C120" s="58"/>
      <c r="D120" s="59" t="s">
        <v>59</v>
      </c>
      <c r="E120" s="111"/>
      <c r="F120" s="111"/>
      <c r="G120" s="111"/>
      <c r="H120" s="217"/>
      <c r="I120" s="111"/>
      <c r="J120" s="217"/>
      <c r="K120" s="111"/>
      <c r="L120" s="217"/>
      <c r="M120" s="111"/>
      <c r="N120" s="217">
        <v>0</v>
      </c>
      <c r="O120" s="111">
        <v>14000</v>
      </c>
      <c r="P120" s="217">
        <f t="shared" si="25"/>
        <v>14000</v>
      </c>
      <c r="Q120" s="111">
        <v>0</v>
      </c>
      <c r="R120" s="217">
        <f t="shared" si="26"/>
        <v>14000</v>
      </c>
    </row>
    <row r="121" spans="1:18" s="30" customFormat="1" ht="22.5" customHeight="1">
      <c r="A121" s="57"/>
      <c r="B121" s="54"/>
      <c r="C121" s="58"/>
      <c r="D121" s="59" t="s">
        <v>60</v>
      </c>
      <c r="E121" s="111"/>
      <c r="F121" s="111"/>
      <c r="G121" s="111"/>
      <c r="H121" s="217"/>
      <c r="I121" s="111"/>
      <c r="J121" s="217"/>
      <c r="K121" s="111"/>
      <c r="L121" s="217"/>
      <c r="M121" s="111"/>
      <c r="N121" s="217">
        <v>0</v>
      </c>
      <c r="O121" s="111">
        <v>25000</v>
      </c>
      <c r="P121" s="217">
        <f t="shared" si="25"/>
        <v>25000</v>
      </c>
      <c r="Q121" s="111">
        <v>0</v>
      </c>
      <c r="R121" s="217">
        <f t="shared" si="26"/>
        <v>25000</v>
      </c>
    </row>
    <row r="122" spans="1:18" s="30" customFormat="1" ht="24" customHeight="1">
      <c r="A122" s="57"/>
      <c r="B122" s="54"/>
      <c r="C122" s="58"/>
      <c r="D122" s="59" t="s">
        <v>61</v>
      </c>
      <c r="E122" s="111"/>
      <c r="F122" s="111"/>
      <c r="G122" s="111"/>
      <c r="H122" s="217"/>
      <c r="I122" s="111"/>
      <c r="J122" s="217"/>
      <c r="K122" s="111"/>
      <c r="L122" s="217"/>
      <c r="M122" s="111"/>
      <c r="N122" s="217">
        <v>0</v>
      </c>
      <c r="O122" s="111">
        <v>30000</v>
      </c>
      <c r="P122" s="217">
        <f t="shared" si="25"/>
        <v>30000</v>
      </c>
      <c r="Q122" s="111">
        <v>-30000</v>
      </c>
      <c r="R122" s="217">
        <f t="shared" si="26"/>
        <v>0</v>
      </c>
    </row>
    <row r="123" spans="1:18" s="30" customFormat="1" ht="24" customHeight="1">
      <c r="A123" s="34">
        <v>921</v>
      </c>
      <c r="B123" s="5"/>
      <c r="C123" s="23"/>
      <c r="D123" s="22" t="s">
        <v>265</v>
      </c>
      <c r="E123" s="18">
        <f>SUM(E124)</f>
        <v>4980</v>
      </c>
      <c r="F123" s="18">
        <f>SUM(F124)</f>
        <v>0</v>
      </c>
      <c r="G123" s="18">
        <f>SUM(G124)</f>
        <v>0</v>
      </c>
      <c r="H123" s="18">
        <f>SUM(H124)</f>
        <v>4980</v>
      </c>
      <c r="I123" s="18">
        <f>SUM(I124)</f>
        <v>0</v>
      </c>
      <c r="J123" s="47">
        <f t="shared" si="22"/>
        <v>4980</v>
      </c>
      <c r="K123" s="18">
        <f>SUM(K124)</f>
        <v>0</v>
      </c>
      <c r="L123" s="47">
        <f t="shared" si="23"/>
        <v>4980</v>
      </c>
      <c r="M123" s="18">
        <f>SUM(M124)</f>
        <v>0</v>
      </c>
      <c r="N123" s="47">
        <f t="shared" si="24"/>
        <v>4980</v>
      </c>
      <c r="O123" s="18">
        <f>SUM(O124)</f>
        <v>0</v>
      </c>
      <c r="P123" s="47">
        <f t="shared" si="25"/>
        <v>4980</v>
      </c>
      <c r="Q123" s="18">
        <f>SUM(Q124)</f>
        <v>0</v>
      </c>
      <c r="R123" s="47">
        <f t="shared" si="26"/>
        <v>4980</v>
      </c>
    </row>
    <row r="124" spans="1:18" s="30" customFormat="1" ht="24" customHeight="1">
      <c r="A124" s="86"/>
      <c r="B124" s="87">
        <v>92109</v>
      </c>
      <c r="C124" s="95"/>
      <c r="D124" s="45" t="s">
        <v>286</v>
      </c>
      <c r="E124" s="101">
        <f aca="true" t="shared" si="27" ref="E124:G125">SUM(E125)</f>
        <v>4980</v>
      </c>
      <c r="F124" s="101">
        <f t="shared" si="27"/>
        <v>0</v>
      </c>
      <c r="G124" s="101">
        <f t="shared" si="27"/>
        <v>0</v>
      </c>
      <c r="H124" s="67">
        <f>E124+F124-G124</f>
        <v>4980</v>
      </c>
      <c r="I124" s="101">
        <f>SUM(I125)</f>
        <v>0</v>
      </c>
      <c r="J124" s="67">
        <f t="shared" si="22"/>
        <v>4980</v>
      </c>
      <c r="K124" s="101">
        <f>SUM(K125)</f>
        <v>0</v>
      </c>
      <c r="L124" s="67">
        <f t="shared" si="23"/>
        <v>4980</v>
      </c>
      <c r="M124" s="101">
        <f>SUM(M125)</f>
        <v>0</v>
      </c>
      <c r="N124" s="67">
        <f t="shared" si="24"/>
        <v>4980</v>
      </c>
      <c r="O124" s="101">
        <f>SUM(O125)</f>
        <v>0</v>
      </c>
      <c r="P124" s="67">
        <f t="shared" si="25"/>
        <v>4980</v>
      </c>
      <c r="Q124" s="101">
        <f>SUM(Q125)</f>
        <v>0</v>
      </c>
      <c r="R124" s="67">
        <f t="shared" si="26"/>
        <v>4980</v>
      </c>
    </row>
    <row r="125" spans="1:18" s="30" customFormat="1" ht="24" customHeight="1">
      <c r="A125" s="86"/>
      <c r="B125" s="87"/>
      <c r="C125" s="88">
        <v>6060</v>
      </c>
      <c r="D125" s="14" t="s">
        <v>218</v>
      </c>
      <c r="E125" s="108">
        <f t="shared" si="27"/>
        <v>4980</v>
      </c>
      <c r="F125" s="108">
        <f t="shared" si="27"/>
        <v>0</v>
      </c>
      <c r="G125" s="108">
        <f t="shared" si="27"/>
        <v>0</v>
      </c>
      <c r="H125" s="67">
        <f>E125+F125-G125</f>
        <v>4980</v>
      </c>
      <c r="I125" s="108">
        <f>SUM(I126)</f>
        <v>0</v>
      </c>
      <c r="J125" s="67">
        <f t="shared" si="22"/>
        <v>4980</v>
      </c>
      <c r="K125" s="108">
        <f>SUM(K126)</f>
        <v>0</v>
      </c>
      <c r="L125" s="67">
        <f t="shared" si="23"/>
        <v>4980</v>
      </c>
      <c r="M125" s="108">
        <f>SUM(M126)</f>
        <v>0</v>
      </c>
      <c r="N125" s="67">
        <f t="shared" si="24"/>
        <v>4980</v>
      </c>
      <c r="O125" s="108">
        <f>SUM(O126)</f>
        <v>0</v>
      </c>
      <c r="P125" s="67">
        <f t="shared" si="25"/>
        <v>4980</v>
      </c>
      <c r="Q125" s="108">
        <f>SUM(Q126)</f>
        <v>0</v>
      </c>
      <c r="R125" s="67">
        <f t="shared" si="26"/>
        <v>4980</v>
      </c>
    </row>
    <row r="126" spans="1:18" s="30" customFormat="1" ht="26.25" customHeight="1">
      <c r="A126" s="57"/>
      <c r="B126" s="115"/>
      <c r="C126" s="126"/>
      <c r="D126" s="62" t="s">
        <v>446</v>
      </c>
      <c r="E126" s="111">
        <v>4980</v>
      </c>
      <c r="F126" s="111"/>
      <c r="G126" s="111"/>
      <c r="H126" s="217">
        <f>E126+F126-G126</f>
        <v>4980</v>
      </c>
      <c r="I126" s="111"/>
      <c r="J126" s="217">
        <f t="shared" si="22"/>
        <v>4980</v>
      </c>
      <c r="K126" s="111"/>
      <c r="L126" s="217">
        <f t="shared" si="23"/>
        <v>4980</v>
      </c>
      <c r="M126" s="111">
        <v>0</v>
      </c>
      <c r="N126" s="217">
        <f t="shared" si="24"/>
        <v>4980</v>
      </c>
      <c r="O126" s="111">
        <v>0</v>
      </c>
      <c r="P126" s="217">
        <f t="shared" si="25"/>
        <v>4980</v>
      </c>
      <c r="Q126" s="111">
        <v>0</v>
      </c>
      <c r="R126" s="217">
        <f t="shared" si="26"/>
        <v>4980</v>
      </c>
    </row>
    <row r="127" spans="1:18" s="30" customFormat="1" ht="21" customHeight="1">
      <c r="A127" s="34">
        <v>926</v>
      </c>
      <c r="B127" s="5"/>
      <c r="C127" s="23"/>
      <c r="D127" s="22" t="s">
        <v>188</v>
      </c>
      <c r="E127" s="18">
        <f>SUM(E128,E131)</f>
        <v>300000</v>
      </c>
      <c r="F127" s="18">
        <f>SUM(F128,F131)</f>
        <v>0</v>
      </c>
      <c r="G127" s="18">
        <f>SUM(G128,G131)</f>
        <v>200000</v>
      </c>
      <c r="H127" s="18">
        <f>SUM(H128,H131,)</f>
        <v>100000</v>
      </c>
      <c r="I127" s="18">
        <f>SUM(I128,I131)</f>
        <v>435000</v>
      </c>
      <c r="J127" s="47">
        <f t="shared" si="22"/>
        <v>535000</v>
      </c>
      <c r="K127" s="18">
        <f>SUM(K128,K131)</f>
        <v>11000</v>
      </c>
      <c r="L127" s="47">
        <f t="shared" si="23"/>
        <v>546000</v>
      </c>
      <c r="M127" s="18">
        <f>SUM(M128,M131)</f>
        <v>0</v>
      </c>
      <c r="N127" s="47">
        <f t="shared" si="24"/>
        <v>546000</v>
      </c>
      <c r="O127" s="18">
        <f>SUM(O128,O131)</f>
        <v>-89260</v>
      </c>
      <c r="P127" s="47">
        <f t="shared" si="25"/>
        <v>456740</v>
      </c>
      <c r="Q127" s="18">
        <f>SUM(Q128,Q131)</f>
        <v>6060</v>
      </c>
      <c r="R127" s="47">
        <f t="shared" si="26"/>
        <v>462800</v>
      </c>
    </row>
    <row r="128" spans="1:18" s="30" customFormat="1" ht="21" customHeight="1">
      <c r="A128" s="86"/>
      <c r="B128" s="87">
        <v>92601</v>
      </c>
      <c r="C128" s="95"/>
      <c r="D128" s="14" t="s">
        <v>421</v>
      </c>
      <c r="E128" s="101">
        <f>SUM(E129)</f>
        <v>100000</v>
      </c>
      <c r="F128" s="101">
        <f>SUM(F129)</f>
        <v>0</v>
      </c>
      <c r="G128" s="101">
        <f>SUM(G129)</f>
        <v>0</v>
      </c>
      <c r="H128" s="67">
        <f>E128+F128-G128</f>
        <v>100000</v>
      </c>
      <c r="I128" s="101">
        <f>SUM(I129)</f>
        <v>0</v>
      </c>
      <c r="J128" s="67">
        <f t="shared" si="22"/>
        <v>100000</v>
      </c>
      <c r="K128" s="101">
        <f>SUM(K129)</f>
        <v>0</v>
      </c>
      <c r="L128" s="67">
        <f t="shared" si="23"/>
        <v>100000</v>
      </c>
      <c r="M128" s="101">
        <f>SUM(M129)</f>
        <v>0</v>
      </c>
      <c r="N128" s="67">
        <f t="shared" si="24"/>
        <v>100000</v>
      </c>
      <c r="O128" s="101">
        <f>SUM(O129)</f>
        <v>0</v>
      </c>
      <c r="P128" s="67">
        <f t="shared" si="25"/>
        <v>100000</v>
      </c>
      <c r="Q128" s="101">
        <f>SUM(Q129)</f>
        <v>0</v>
      </c>
      <c r="R128" s="67">
        <f t="shared" si="26"/>
        <v>100000</v>
      </c>
    </row>
    <row r="129" spans="1:18" s="30" customFormat="1" ht="24" customHeight="1">
      <c r="A129" s="86"/>
      <c r="B129" s="87"/>
      <c r="C129" s="88">
        <v>6050</v>
      </c>
      <c r="D129" s="14" t="s">
        <v>195</v>
      </c>
      <c r="E129" s="108">
        <f>SUM(E130:E130)</f>
        <v>100000</v>
      </c>
      <c r="F129" s="108">
        <f>SUM(F130:F130)</f>
        <v>0</v>
      </c>
      <c r="G129" s="108">
        <f>SUM(G130:G130)</f>
        <v>0</v>
      </c>
      <c r="H129" s="67">
        <f>E129+F129-G129</f>
        <v>100000</v>
      </c>
      <c r="I129" s="108">
        <f>SUM(I130:I130)</f>
        <v>0</v>
      </c>
      <c r="J129" s="67">
        <f t="shared" si="22"/>
        <v>100000</v>
      </c>
      <c r="K129" s="108">
        <f>SUM(K130:K130)</f>
        <v>0</v>
      </c>
      <c r="L129" s="67">
        <f t="shared" si="23"/>
        <v>100000</v>
      </c>
      <c r="M129" s="108">
        <f>SUM(M130:M130)</f>
        <v>0</v>
      </c>
      <c r="N129" s="67">
        <f t="shared" si="24"/>
        <v>100000</v>
      </c>
      <c r="O129" s="108">
        <f>SUM(O130:O130)</f>
        <v>0</v>
      </c>
      <c r="P129" s="67">
        <f t="shared" si="25"/>
        <v>100000</v>
      </c>
      <c r="Q129" s="108">
        <f>SUM(Q130:Q130)</f>
        <v>0</v>
      </c>
      <c r="R129" s="67">
        <f t="shared" si="26"/>
        <v>100000</v>
      </c>
    </row>
    <row r="130" spans="1:18" s="170" customFormat="1" ht="21.75" customHeight="1">
      <c r="A130" s="57"/>
      <c r="B130" s="115"/>
      <c r="C130" s="126"/>
      <c r="D130" s="62" t="s">
        <v>447</v>
      </c>
      <c r="E130" s="60">
        <v>100000</v>
      </c>
      <c r="F130" s="60"/>
      <c r="G130" s="60"/>
      <c r="H130" s="217">
        <f>E130+F130-G130</f>
        <v>100000</v>
      </c>
      <c r="I130" s="60"/>
      <c r="J130" s="217">
        <f t="shared" si="22"/>
        <v>100000</v>
      </c>
      <c r="K130" s="60">
        <v>0</v>
      </c>
      <c r="L130" s="217">
        <f t="shared" si="23"/>
        <v>100000</v>
      </c>
      <c r="M130" s="60">
        <v>0</v>
      </c>
      <c r="N130" s="217">
        <f t="shared" si="24"/>
        <v>100000</v>
      </c>
      <c r="O130" s="60">
        <v>0</v>
      </c>
      <c r="P130" s="217">
        <f t="shared" si="25"/>
        <v>100000</v>
      </c>
      <c r="Q130" s="60">
        <v>0</v>
      </c>
      <c r="R130" s="217">
        <f t="shared" si="26"/>
        <v>100000</v>
      </c>
    </row>
    <row r="131" spans="1:18" s="27" customFormat="1" ht="29.25" customHeight="1">
      <c r="A131" s="87"/>
      <c r="B131" s="87">
        <v>92605</v>
      </c>
      <c r="C131" s="87"/>
      <c r="D131" s="166" t="s">
        <v>189</v>
      </c>
      <c r="E131" s="167">
        <f>SUM(E132)</f>
        <v>200000</v>
      </c>
      <c r="F131" s="167">
        <f>SUM(F132)</f>
        <v>0</v>
      </c>
      <c r="G131" s="167">
        <f>SUM(G132)</f>
        <v>200000</v>
      </c>
      <c r="H131" s="167">
        <f>SUM(H132)</f>
        <v>0</v>
      </c>
      <c r="I131" s="167">
        <f>SUM(I132)</f>
        <v>435000</v>
      </c>
      <c r="J131" s="67">
        <f t="shared" si="22"/>
        <v>435000</v>
      </c>
      <c r="K131" s="167">
        <f>SUM(K132)</f>
        <v>11000</v>
      </c>
      <c r="L131" s="67">
        <f t="shared" si="23"/>
        <v>446000</v>
      </c>
      <c r="M131" s="167">
        <f>SUM(M132)</f>
        <v>0</v>
      </c>
      <c r="N131" s="67">
        <f t="shared" si="24"/>
        <v>446000</v>
      </c>
      <c r="O131" s="167">
        <f>SUM(O132)</f>
        <v>-89260</v>
      </c>
      <c r="P131" s="67">
        <f t="shared" si="25"/>
        <v>356740</v>
      </c>
      <c r="Q131" s="167">
        <f>SUM(Q132)</f>
        <v>6060</v>
      </c>
      <c r="R131" s="67">
        <f t="shared" si="26"/>
        <v>362800</v>
      </c>
    </row>
    <row r="132" spans="1:18" s="27" customFormat="1" ht="29.25" customHeight="1">
      <c r="A132" s="87"/>
      <c r="B132" s="87"/>
      <c r="C132" s="87">
        <v>6050</v>
      </c>
      <c r="D132" s="14" t="s">
        <v>195</v>
      </c>
      <c r="E132" s="167">
        <f>SUM(E133)</f>
        <v>200000</v>
      </c>
      <c r="F132" s="167">
        <f>SUM(F133)</f>
        <v>0</v>
      </c>
      <c r="G132" s="167">
        <f>SUM(G133)</f>
        <v>200000</v>
      </c>
      <c r="H132" s="167">
        <f>SUM(H133:H134)</f>
        <v>0</v>
      </c>
      <c r="I132" s="167">
        <f>SUM(I133:I134)</f>
        <v>435000</v>
      </c>
      <c r="J132" s="67">
        <f t="shared" si="22"/>
        <v>435000</v>
      </c>
      <c r="K132" s="167">
        <f>SUM(K133:K134)</f>
        <v>11000</v>
      </c>
      <c r="L132" s="67">
        <f t="shared" si="23"/>
        <v>446000</v>
      </c>
      <c r="M132" s="167">
        <f>SUM(M133:M134)</f>
        <v>0</v>
      </c>
      <c r="N132" s="67">
        <f t="shared" si="24"/>
        <v>446000</v>
      </c>
      <c r="O132" s="167">
        <f>SUM(O133:O134)</f>
        <v>-89260</v>
      </c>
      <c r="P132" s="67">
        <f>SUM(P133:P135)</f>
        <v>356740</v>
      </c>
      <c r="Q132" s="67">
        <f>SUM(Q133:Q135)</f>
        <v>6060</v>
      </c>
      <c r="R132" s="67">
        <f>SUM(R133:R135)</f>
        <v>362800</v>
      </c>
    </row>
    <row r="133" spans="1:18" s="30" customFormat="1" ht="27.75" customHeight="1">
      <c r="A133" s="115"/>
      <c r="B133" s="115"/>
      <c r="C133" s="115"/>
      <c r="D133" s="168" t="s">
        <v>580</v>
      </c>
      <c r="E133" s="169">
        <v>200000</v>
      </c>
      <c r="F133" s="169"/>
      <c r="G133" s="169">
        <v>200000</v>
      </c>
      <c r="H133" s="217">
        <f>E133+F133-G133</f>
        <v>0</v>
      </c>
      <c r="I133" s="169">
        <v>260000</v>
      </c>
      <c r="J133" s="217">
        <f t="shared" si="22"/>
        <v>260000</v>
      </c>
      <c r="K133" s="169">
        <v>0</v>
      </c>
      <c r="L133" s="217">
        <f t="shared" si="23"/>
        <v>260000</v>
      </c>
      <c r="M133" s="169">
        <v>0</v>
      </c>
      <c r="N133" s="217">
        <f t="shared" si="24"/>
        <v>260000</v>
      </c>
      <c r="O133" s="169">
        <v>-239260</v>
      </c>
      <c r="P133" s="217">
        <f t="shared" si="25"/>
        <v>20740</v>
      </c>
      <c r="Q133" s="169">
        <v>0</v>
      </c>
      <c r="R133" s="217">
        <f t="shared" si="26"/>
        <v>20740</v>
      </c>
    </row>
    <row r="134" spans="1:18" s="30" customFormat="1" ht="29.25" customHeight="1">
      <c r="A134" s="115"/>
      <c r="B134" s="115"/>
      <c r="C134" s="115"/>
      <c r="D134" s="168" t="s">
        <v>579</v>
      </c>
      <c r="E134" s="169"/>
      <c r="F134" s="169"/>
      <c r="G134" s="169"/>
      <c r="H134" s="223">
        <v>0</v>
      </c>
      <c r="I134" s="169">
        <v>175000</v>
      </c>
      <c r="J134" s="217">
        <f t="shared" si="22"/>
        <v>175000</v>
      </c>
      <c r="K134" s="256">
        <v>11000</v>
      </c>
      <c r="L134" s="217">
        <f t="shared" si="23"/>
        <v>186000</v>
      </c>
      <c r="M134" s="256">
        <v>0</v>
      </c>
      <c r="N134" s="217">
        <f t="shared" si="24"/>
        <v>186000</v>
      </c>
      <c r="O134" s="290">
        <v>150000</v>
      </c>
      <c r="P134" s="217">
        <f t="shared" si="25"/>
        <v>336000</v>
      </c>
      <c r="Q134" s="290">
        <v>0</v>
      </c>
      <c r="R134" s="217">
        <f t="shared" si="26"/>
        <v>336000</v>
      </c>
    </row>
    <row r="135" spans="1:18" s="30" customFormat="1" ht="21.75" customHeight="1">
      <c r="A135" s="115"/>
      <c r="B135" s="115"/>
      <c r="C135" s="115"/>
      <c r="D135" s="168" t="s">
        <v>105</v>
      </c>
      <c r="E135" s="169"/>
      <c r="F135" s="169"/>
      <c r="G135" s="169"/>
      <c r="H135" s="223"/>
      <c r="I135" s="169"/>
      <c r="J135" s="217"/>
      <c r="K135" s="256"/>
      <c r="L135" s="217"/>
      <c r="M135" s="256"/>
      <c r="N135" s="217"/>
      <c r="O135" s="290"/>
      <c r="P135" s="217">
        <v>0</v>
      </c>
      <c r="Q135" s="290">
        <v>6060</v>
      </c>
      <c r="R135" s="217">
        <f t="shared" si="26"/>
        <v>6060</v>
      </c>
    </row>
    <row r="136" spans="1:18" s="8" customFormat="1" ht="23.25" customHeight="1">
      <c r="A136" s="10"/>
      <c r="B136" s="10"/>
      <c r="C136" s="10"/>
      <c r="D136" s="138" t="s">
        <v>190</v>
      </c>
      <c r="E136" s="65">
        <f>SUM(E127,E123,E93,E89,E85,E81,E70,E60,E56,E49,E8,)</f>
        <v>3580240</v>
      </c>
      <c r="F136" s="65">
        <f>SUM(F127,F123,F93,F89,F85,F81,F70,F60,F56,F49,F8,)</f>
        <v>450000</v>
      </c>
      <c r="G136" s="65">
        <f>SUM(G127,G123,G93,G89,G85,G81,G70,G60,G56,G49,G8,)</f>
        <v>1470000</v>
      </c>
      <c r="H136" s="65">
        <f>SUM(H127,H123,H93,H89,H85,H81,H70,H60,H56,H49,H8,)</f>
        <v>2560240</v>
      </c>
      <c r="I136" s="65">
        <f>SUM(I127,I123,I93,I89,I85,I81,I70,I60,I56,I49,I8,)</f>
        <v>529000</v>
      </c>
      <c r="J136" s="47">
        <f t="shared" si="22"/>
        <v>3089240</v>
      </c>
      <c r="K136" s="65">
        <f>SUM(K127,K123,K93,K89,K85,K81,K70,K60,K56,K49,K8,)</f>
        <v>516115</v>
      </c>
      <c r="L136" s="47">
        <f t="shared" si="23"/>
        <v>3605355</v>
      </c>
      <c r="M136" s="65">
        <f>SUM(M127,M123,M93,M89,M85,M81,M70,M60,M56,M49,M8,)</f>
        <v>-5753</v>
      </c>
      <c r="N136" s="47">
        <f t="shared" si="24"/>
        <v>3599602</v>
      </c>
      <c r="O136" s="65">
        <f>SUM(O127,O123,O93,O89,O85,O81,O70,O60,O56,O49,O8,)</f>
        <v>2564081</v>
      </c>
      <c r="P136" s="47">
        <f t="shared" si="25"/>
        <v>6163683</v>
      </c>
      <c r="Q136" s="65">
        <f>SUM(Q127,Q123,Q93,Q89,Q85,Q81,Q70,Q60,Q56,Q49,Q8,)</f>
        <v>203552</v>
      </c>
      <c r="R136" s="47">
        <f t="shared" si="26"/>
        <v>6367235</v>
      </c>
    </row>
    <row r="139" spans="5:18" ht="12.75"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ht="12.75">
      <c r="G140" s="63"/>
    </row>
    <row r="141" spans="11:17" ht="12.75">
      <c r="K141" s="63"/>
      <c r="M141" s="63"/>
      <c r="O141" s="63"/>
      <c r="Q141" s="63"/>
    </row>
    <row r="142" spans="11:17" ht="12.75">
      <c r="K142" s="63"/>
      <c r="M142" s="63"/>
      <c r="O142" s="63"/>
      <c r="Q142" s="63"/>
    </row>
    <row r="143" spans="11:17" ht="12.75">
      <c r="K143" s="63"/>
      <c r="M143" s="63"/>
      <c r="O143" s="63"/>
      <c r="Q143" s="63"/>
    </row>
    <row r="144" spans="11:17" ht="12.75">
      <c r="K144" s="63"/>
      <c r="M144" s="63"/>
      <c r="O144" s="63"/>
      <c r="Q144" s="63"/>
    </row>
    <row r="145" spans="11:17" ht="12.75">
      <c r="K145" s="63"/>
      <c r="M145" s="257"/>
      <c r="O145" s="257"/>
      <c r="Q145" s="257"/>
    </row>
    <row r="146" spans="11:17" ht="12.75">
      <c r="K146" s="63">
        <v>5000</v>
      </c>
      <c r="M146" s="63"/>
      <c r="O146" s="63"/>
      <c r="Q146" s="63"/>
    </row>
    <row r="147" spans="11:17" ht="12.75">
      <c r="K147" s="63">
        <v>500000</v>
      </c>
      <c r="M147" s="63"/>
      <c r="O147" s="63"/>
      <c r="Q147" s="63"/>
    </row>
    <row r="148" spans="11:17" ht="12.75">
      <c r="K148" s="257">
        <f>SUM(K141:K147)</f>
        <v>505000</v>
      </c>
      <c r="M148" s="257"/>
      <c r="O148" s="257"/>
      <c r="Q148" s="257"/>
    </row>
    <row r="150" spans="5:18" ht="12.75">
      <c r="E150" t="s">
        <v>374</v>
      </c>
      <c r="F150" t="s">
        <v>374</v>
      </c>
      <c r="G150" t="s">
        <v>374</v>
      </c>
      <c r="H150" t="s">
        <v>374</v>
      </c>
      <c r="I150" t="s">
        <v>374</v>
      </c>
      <c r="J150" t="s">
        <v>374</v>
      </c>
      <c r="K150" t="s">
        <v>374</v>
      </c>
      <c r="L150" t="s">
        <v>374</v>
      </c>
      <c r="M150" t="s">
        <v>374</v>
      </c>
      <c r="N150" t="s">
        <v>374</v>
      </c>
      <c r="O150" t="s">
        <v>374</v>
      </c>
      <c r="P150" t="s">
        <v>374</v>
      </c>
      <c r="Q150" t="s">
        <v>374</v>
      </c>
      <c r="R150" t="s">
        <v>374</v>
      </c>
    </row>
    <row r="151" spans="5:18" ht="12.75">
      <c r="E151" t="s">
        <v>375</v>
      </c>
      <c r="F151" t="s">
        <v>375</v>
      </c>
      <c r="G151" t="s">
        <v>375</v>
      </c>
      <c r="H151" t="s">
        <v>375</v>
      </c>
      <c r="I151" t="s">
        <v>375</v>
      </c>
      <c r="J151" t="s">
        <v>375</v>
      </c>
      <c r="K151" t="s">
        <v>375</v>
      </c>
      <c r="L151" t="s">
        <v>375</v>
      </c>
      <c r="M151" t="s">
        <v>375</v>
      </c>
      <c r="N151" t="s">
        <v>375</v>
      </c>
      <c r="O151" t="s">
        <v>375</v>
      </c>
      <c r="P151" t="s">
        <v>375</v>
      </c>
      <c r="Q151" t="s">
        <v>375</v>
      </c>
      <c r="R151" t="s">
        <v>375</v>
      </c>
    </row>
  </sheetData>
  <sheetProtection/>
  <mergeCells count="1">
    <mergeCell ref="A5:P5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53">
      <selection activeCell="P48" sqref="P48"/>
    </sheetView>
  </sheetViews>
  <sheetFormatPr defaultColWidth="9.00390625" defaultRowHeight="12.75"/>
  <cols>
    <col min="1" max="1" width="5.375" style="8" customWidth="1"/>
    <col min="2" max="2" width="7.375" style="8" customWidth="1"/>
    <col min="3" max="3" width="5.00390625" style="8" customWidth="1"/>
    <col min="4" max="4" width="33.375" style="8" customWidth="1"/>
    <col min="5" max="5" width="13.875" style="0" hidden="1" customWidth="1"/>
    <col min="6" max="6" width="8.375" style="0" hidden="1" customWidth="1"/>
    <col min="7" max="7" width="34.875" style="0" hidden="1" customWidth="1"/>
    <col min="8" max="8" width="8.375" style="0" hidden="1" customWidth="1"/>
    <col min="9" max="9" width="13.625" style="0" hidden="1" customWidth="1"/>
    <col min="10" max="10" width="13.375" style="0" hidden="1" customWidth="1"/>
    <col min="11" max="11" width="13.625" style="0" customWidth="1"/>
    <col min="12" max="12" width="13.375" style="0" customWidth="1"/>
    <col min="13" max="13" width="13.625" style="0" customWidth="1"/>
  </cols>
  <sheetData>
    <row r="1" spans="5:13" ht="12.75">
      <c r="E1" s="123" t="s">
        <v>591</v>
      </c>
      <c r="F1" s="123"/>
      <c r="G1" s="123" t="s">
        <v>651</v>
      </c>
      <c r="H1" s="123"/>
      <c r="I1" s="123" t="s">
        <v>80</v>
      </c>
      <c r="J1" s="123"/>
      <c r="K1" s="123" t="s">
        <v>36</v>
      </c>
      <c r="L1" s="123"/>
      <c r="M1" s="70"/>
    </row>
    <row r="2" spans="5:13" ht="12.75">
      <c r="E2" s="123" t="s">
        <v>532</v>
      </c>
      <c r="F2" s="123"/>
      <c r="G2" s="123" t="s">
        <v>637</v>
      </c>
      <c r="H2" s="123"/>
      <c r="I2" s="123" t="s">
        <v>74</v>
      </c>
      <c r="J2" s="123"/>
      <c r="K2" s="123" t="s">
        <v>381</v>
      </c>
      <c r="L2" s="123"/>
      <c r="M2" s="70"/>
    </row>
    <row r="3" spans="5:13" ht="12.75">
      <c r="E3" s="123" t="s">
        <v>582</v>
      </c>
      <c r="F3" s="123"/>
      <c r="G3" s="123" t="s">
        <v>591</v>
      </c>
      <c r="H3" s="123"/>
      <c r="I3" s="123" t="s">
        <v>651</v>
      </c>
      <c r="J3" s="123"/>
      <c r="K3" s="123" t="s">
        <v>80</v>
      </c>
      <c r="L3" s="123"/>
      <c r="M3" s="70"/>
    </row>
    <row r="4" spans="5:13" ht="12.75">
      <c r="E4" s="123" t="s">
        <v>534</v>
      </c>
      <c r="F4" s="123"/>
      <c r="G4" s="123" t="s">
        <v>595</v>
      </c>
      <c r="H4" s="123"/>
      <c r="I4" s="123" t="s">
        <v>670</v>
      </c>
      <c r="J4" s="123"/>
      <c r="K4" s="123" t="s">
        <v>709</v>
      </c>
      <c r="L4" s="123"/>
      <c r="M4" s="70"/>
    </row>
    <row r="5" spans="1:4" ht="66.75" customHeight="1">
      <c r="A5" s="381" t="s">
        <v>563</v>
      </c>
      <c r="B5" s="381"/>
      <c r="C5" s="381"/>
      <c r="D5" s="381"/>
    </row>
    <row r="6" spans="1:4" ht="14.25" customHeight="1">
      <c r="A6" s="139"/>
      <c r="B6" s="139"/>
      <c r="C6" s="139"/>
      <c r="D6" s="139"/>
    </row>
    <row r="7" spans="1:4" ht="32.25" customHeight="1">
      <c r="A7" s="382" t="s">
        <v>399</v>
      </c>
      <c r="B7" s="382"/>
      <c r="C7" s="382"/>
      <c r="D7" s="382"/>
    </row>
    <row r="8" spans="1:13" s="140" customFormat="1" ht="24.75" customHeight="1">
      <c r="A8" s="2" t="s">
        <v>112</v>
      </c>
      <c r="B8" s="2" t="s">
        <v>113</v>
      </c>
      <c r="C8" s="2" t="s">
        <v>114</v>
      </c>
      <c r="D8" s="2" t="s">
        <v>115</v>
      </c>
      <c r="E8" s="124" t="s">
        <v>558</v>
      </c>
      <c r="F8" s="124" t="s">
        <v>351</v>
      </c>
      <c r="G8" s="124" t="s">
        <v>613</v>
      </c>
      <c r="H8" s="124" t="s">
        <v>351</v>
      </c>
      <c r="I8" s="124" t="s">
        <v>702</v>
      </c>
      <c r="J8" s="124" t="s">
        <v>557</v>
      </c>
      <c r="K8" s="124" t="s">
        <v>708</v>
      </c>
      <c r="L8" s="124" t="s">
        <v>557</v>
      </c>
      <c r="M8" s="124" t="s">
        <v>703</v>
      </c>
    </row>
    <row r="9" spans="1:13" s="28" customFormat="1" ht="36">
      <c r="A9" s="2">
        <v>756</v>
      </c>
      <c r="B9" s="2"/>
      <c r="C9" s="2"/>
      <c r="D9" s="51" t="s">
        <v>143</v>
      </c>
      <c r="E9" s="36">
        <f>SUM(E10)</f>
        <v>290000</v>
      </c>
      <c r="F9" s="36">
        <f>SUM(F10)</f>
        <v>0</v>
      </c>
      <c r="G9" s="36">
        <f>SUM(E9:F9)</f>
        <v>290000</v>
      </c>
      <c r="H9" s="36">
        <f>SUM(H10)</f>
        <v>0</v>
      </c>
      <c r="I9" s="36">
        <f>SUM(G9:H9)</f>
        <v>290000</v>
      </c>
      <c r="J9" s="36">
        <f>SUM(J10)</f>
        <v>0</v>
      </c>
      <c r="K9" s="36">
        <f>SUM(I9:J9)</f>
        <v>290000</v>
      </c>
      <c r="L9" s="36">
        <f>SUM(L10)</f>
        <v>0</v>
      </c>
      <c r="M9" s="36">
        <f>SUM(K9:L9)</f>
        <v>290000</v>
      </c>
    </row>
    <row r="10" spans="1:13" s="144" customFormat="1" ht="33.75">
      <c r="A10" s="66"/>
      <c r="B10" s="61">
        <v>75618</v>
      </c>
      <c r="C10" s="66"/>
      <c r="D10" s="52" t="s">
        <v>278</v>
      </c>
      <c r="E10" s="129">
        <f>SUM(E11)</f>
        <v>290000</v>
      </c>
      <c r="F10" s="129">
        <f>SUM(F11)</f>
        <v>0</v>
      </c>
      <c r="G10" s="129">
        <f>SUM(E10:F10)</f>
        <v>290000</v>
      </c>
      <c r="H10" s="129">
        <f>SUM(H11)</f>
        <v>0</v>
      </c>
      <c r="I10" s="129">
        <f>SUM(G10:H10)</f>
        <v>290000</v>
      </c>
      <c r="J10" s="129">
        <f>SUM(J11)</f>
        <v>0</v>
      </c>
      <c r="K10" s="129">
        <f>SUM(I10:J10)</f>
        <v>290000</v>
      </c>
      <c r="L10" s="129">
        <f>SUM(L11)</f>
        <v>0</v>
      </c>
      <c r="M10" s="129">
        <f>SUM(K10:L10)</f>
        <v>290000</v>
      </c>
    </row>
    <row r="11" spans="1:13" s="144" customFormat="1" ht="28.5" customHeight="1">
      <c r="A11" s="66"/>
      <c r="B11" s="66"/>
      <c r="C11" s="145" t="s">
        <v>318</v>
      </c>
      <c r="D11" s="52" t="s">
        <v>176</v>
      </c>
      <c r="E11" s="129">
        <v>290000</v>
      </c>
      <c r="F11" s="129">
        <v>0</v>
      </c>
      <c r="G11" s="129">
        <f>SUM(E11:F11)</f>
        <v>290000</v>
      </c>
      <c r="H11" s="129">
        <v>0</v>
      </c>
      <c r="I11" s="129">
        <f>SUM(G11:H11)</f>
        <v>290000</v>
      </c>
      <c r="J11" s="129">
        <v>0</v>
      </c>
      <c r="K11" s="129">
        <f>SUM(I11:J11)</f>
        <v>290000</v>
      </c>
      <c r="L11" s="129">
        <v>0</v>
      </c>
      <c r="M11" s="129">
        <f>SUM(K11:L11)</f>
        <v>290000</v>
      </c>
    </row>
    <row r="12" spans="1:13" s="1" customFormat="1" ht="21" customHeight="1">
      <c r="A12" s="50"/>
      <c r="B12" s="50"/>
      <c r="C12" s="50"/>
      <c r="D12" s="2" t="s">
        <v>190</v>
      </c>
      <c r="E12" s="36">
        <f>SUM(E9)</f>
        <v>290000</v>
      </c>
      <c r="F12" s="36">
        <f>SUM(F9)</f>
        <v>0</v>
      </c>
      <c r="G12" s="36">
        <f>SUM(E12:F12)</f>
        <v>290000</v>
      </c>
      <c r="H12" s="36">
        <f>SUM(H9)</f>
        <v>0</v>
      </c>
      <c r="I12" s="36">
        <f>SUM(G12:H12)</f>
        <v>290000</v>
      </c>
      <c r="J12" s="36">
        <f>SUM(J9)</f>
        <v>0</v>
      </c>
      <c r="K12" s="36">
        <f>SUM(I12:J12)</f>
        <v>290000</v>
      </c>
      <c r="L12" s="36">
        <f>SUM(L9)</f>
        <v>0</v>
      </c>
      <c r="M12" s="36">
        <f>SUM(K12:L12)</f>
        <v>290000</v>
      </c>
    </row>
    <row r="13" spans="1:13" s="1" customFormat="1" ht="22.5" customHeight="1">
      <c r="A13" s="141"/>
      <c r="B13" s="141"/>
      <c r="C13" s="141"/>
      <c r="D13" s="142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4" ht="44.25" customHeight="1">
      <c r="A14" s="383" t="s">
        <v>400</v>
      </c>
      <c r="B14" s="383"/>
      <c r="C14" s="383"/>
      <c r="D14" s="383"/>
    </row>
    <row r="15" spans="1:13" s="147" customFormat="1" ht="23.25" customHeight="1">
      <c r="A15" s="2" t="s">
        <v>112</v>
      </c>
      <c r="B15" s="2" t="s">
        <v>113</v>
      </c>
      <c r="C15" s="2" t="s">
        <v>114</v>
      </c>
      <c r="D15" s="2" t="s">
        <v>115</v>
      </c>
      <c r="E15" s="124" t="s">
        <v>558</v>
      </c>
      <c r="F15" s="124" t="s">
        <v>557</v>
      </c>
      <c r="G15" s="124" t="s">
        <v>558</v>
      </c>
      <c r="H15" s="124" t="s">
        <v>557</v>
      </c>
      <c r="I15" s="124" t="s">
        <v>702</v>
      </c>
      <c r="J15" s="124" t="s">
        <v>557</v>
      </c>
      <c r="K15" s="124" t="s">
        <v>703</v>
      </c>
      <c r="L15" s="124" t="s">
        <v>557</v>
      </c>
      <c r="M15" s="124" t="s">
        <v>703</v>
      </c>
    </row>
    <row r="16" spans="1:13" s="147" customFormat="1" ht="23.25" customHeight="1">
      <c r="A16" s="2">
        <v>750</v>
      </c>
      <c r="B16" s="2"/>
      <c r="C16" s="2"/>
      <c r="D16" s="159" t="s">
        <v>131</v>
      </c>
      <c r="E16" s="124"/>
      <c r="F16" s="124"/>
      <c r="G16" s="124"/>
      <c r="H16" s="124"/>
      <c r="I16" s="264">
        <f>SUM(I17)</f>
        <v>0</v>
      </c>
      <c r="J16" s="157">
        <f>SUM(J17)</f>
        <v>3542</v>
      </c>
      <c r="K16" s="157">
        <f>SUM(K17)</f>
        <v>3542</v>
      </c>
      <c r="L16" s="157">
        <f>SUM(L17)</f>
        <v>0</v>
      </c>
      <c r="M16" s="157">
        <f>SUM(M17)</f>
        <v>3542</v>
      </c>
    </row>
    <row r="17" spans="1:13" s="263" customFormat="1" ht="23.25" customHeight="1">
      <c r="A17" s="66"/>
      <c r="B17" s="66">
        <v>75023</v>
      </c>
      <c r="C17" s="66"/>
      <c r="D17" s="45" t="s">
        <v>134</v>
      </c>
      <c r="E17" s="260"/>
      <c r="F17" s="260"/>
      <c r="G17" s="260"/>
      <c r="H17" s="260"/>
      <c r="I17" s="265">
        <f>SUM(I18:I18)</f>
        <v>0</v>
      </c>
      <c r="J17" s="218">
        <f>SUM(J18:J18)</f>
        <v>3542</v>
      </c>
      <c r="K17" s="218">
        <f>SUM(K18:K18)</f>
        <v>3542</v>
      </c>
      <c r="L17" s="218">
        <f>SUM(L18:L18)</f>
        <v>0</v>
      </c>
      <c r="M17" s="218">
        <f>SUM(M18:M18)</f>
        <v>3542</v>
      </c>
    </row>
    <row r="18" spans="1:13" s="263" customFormat="1" ht="23.25" customHeight="1">
      <c r="A18" s="66"/>
      <c r="B18" s="66"/>
      <c r="C18" s="66">
        <v>4010</v>
      </c>
      <c r="D18" s="45" t="s">
        <v>206</v>
      </c>
      <c r="E18" s="260"/>
      <c r="F18" s="260"/>
      <c r="G18" s="260"/>
      <c r="H18" s="260"/>
      <c r="I18" s="265">
        <v>0</v>
      </c>
      <c r="J18" s="218">
        <v>3542</v>
      </c>
      <c r="K18" s="218">
        <f>SUM(I18:J18)</f>
        <v>3542</v>
      </c>
      <c r="L18" s="218">
        <v>0</v>
      </c>
      <c r="M18" s="218">
        <f>SUM(K18:L18)</f>
        <v>3542</v>
      </c>
    </row>
    <row r="19" spans="1:13" s="151" customFormat="1" ht="23.25" customHeight="1">
      <c r="A19" s="2">
        <v>851</v>
      </c>
      <c r="B19" s="2"/>
      <c r="C19" s="2"/>
      <c r="D19" s="152" t="s">
        <v>396</v>
      </c>
      <c r="E19" s="153">
        <f>E22+E20</f>
        <v>118720</v>
      </c>
      <c r="F19" s="153">
        <f>F22+F20</f>
        <v>0</v>
      </c>
      <c r="G19" s="153">
        <f>SUM(E19:F19)</f>
        <v>118720</v>
      </c>
      <c r="H19" s="153">
        <f>H22+H20</f>
        <v>0</v>
      </c>
      <c r="I19" s="153">
        <f>SUM(G19:H19)</f>
        <v>118720</v>
      </c>
      <c r="J19" s="153">
        <f>J22+J20</f>
        <v>0</v>
      </c>
      <c r="K19" s="153">
        <f>SUM(I19:J19)</f>
        <v>118720</v>
      </c>
      <c r="L19" s="153">
        <f>L22+L20</f>
        <v>0</v>
      </c>
      <c r="M19" s="153">
        <f>SUM(K19:L19)</f>
        <v>118720</v>
      </c>
    </row>
    <row r="20" spans="1:13" s="151" customFormat="1" ht="23.25" customHeight="1">
      <c r="A20" s="2"/>
      <c r="B20" s="66">
        <v>85153</v>
      </c>
      <c r="C20" s="2"/>
      <c r="D20" s="64" t="s">
        <v>405</v>
      </c>
      <c r="E20" s="155">
        <f>SUM(E21:E21)</f>
        <v>20000</v>
      </c>
      <c r="F20" s="155">
        <f>SUM(F21:F21)</f>
        <v>0</v>
      </c>
      <c r="G20" s="222">
        <f aca="true" t="shared" si="0" ref="G20:G65">SUM(E20:F20)</f>
        <v>20000</v>
      </c>
      <c r="H20" s="155">
        <f>SUM(H21:H21)</f>
        <v>0</v>
      </c>
      <c r="I20" s="222">
        <f aca="true" t="shared" si="1" ref="I20:I65">SUM(G20:H20)</f>
        <v>20000</v>
      </c>
      <c r="J20" s="155">
        <f>SUM(J21:J21)</f>
        <v>0</v>
      </c>
      <c r="K20" s="222">
        <f>SUM(I20:J20)</f>
        <v>20000</v>
      </c>
      <c r="L20" s="155">
        <f>SUM(L21:L21)</f>
        <v>0</v>
      </c>
      <c r="M20" s="222">
        <f>SUM(K20:L20)</f>
        <v>20000</v>
      </c>
    </row>
    <row r="21" spans="1:13" s="151" customFormat="1" ht="23.25" customHeight="1">
      <c r="A21" s="2"/>
      <c r="B21" s="2"/>
      <c r="C21" s="61">
        <v>6060</v>
      </c>
      <c r="D21" s="45" t="s">
        <v>218</v>
      </c>
      <c r="E21" s="222">
        <v>20000</v>
      </c>
      <c r="F21" s="155">
        <v>0</v>
      </c>
      <c r="G21" s="222">
        <f t="shared" si="0"/>
        <v>20000</v>
      </c>
      <c r="H21" s="155">
        <v>0</v>
      </c>
      <c r="I21" s="222">
        <f t="shared" si="1"/>
        <v>20000</v>
      </c>
      <c r="J21" s="155">
        <v>0</v>
      </c>
      <c r="K21" s="222">
        <f>SUM(I21:J21)</f>
        <v>20000</v>
      </c>
      <c r="L21" s="155">
        <v>0</v>
      </c>
      <c r="M21" s="222">
        <f>SUM(K21:L21)</f>
        <v>20000</v>
      </c>
    </row>
    <row r="22" spans="1:13" s="27" customFormat="1" ht="21.75" customHeight="1">
      <c r="A22" s="87"/>
      <c r="B22" s="87" t="s">
        <v>243</v>
      </c>
      <c r="C22" s="61"/>
      <c r="D22" s="14" t="s">
        <v>175</v>
      </c>
      <c r="E22" s="101">
        <f>SUM(E23:E30)</f>
        <v>98720</v>
      </c>
      <c r="F22" s="101">
        <f>SUM(F23:F30)</f>
        <v>0</v>
      </c>
      <c r="G22" s="222">
        <f aca="true" t="shared" si="2" ref="G22:M22">SUM(G23:G33)</f>
        <v>98720</v>
      </c>
      <c r="H22" s="222">
        <f t="shared" si="2"/>
        <v>0</v>
      </c>
      <c r="I22" s="222">
        <f t="shared" si="2"/>
        <v>98720</v>
      </c>
      <c r="J22" s="222">
        <f t="shared" si="2"/>
        <v>0</v>
      </c>
      <c r="K22" s="222">
        <f t="shared" si="2"/>
        <v>98720</v>
      </c>
      <c r="L22" s="222">
        <f t="shared" si="2"/>
        <v>0</v>
      </c>
      <c r="M22" s="222">
        <f t="shared" si="2"/>
        <v>98720</v>
      </c>
    </row>
    <row r="23" spans="1:13" s="27" customFormat="1" ht="33.75">
      <c r="A23" s="87"/>
      <c r="B23" s="87"/>
      <c r="C23" s="61">
        <v>2630</v>
      </c>
      <c r="D23" s="14" t="s">
        <v>416</v>
      </c>
      <c r="E23" s="101">
        <f>10000+16000+40000</f>
        <v>66000</v>
      </c>
      <c r="F23" s="101">
        <v>-47100</v>
      </c>
      <c r="G23" s="222">
        <f t="shared" si="0"/>
        <v>18900</v>
      </c>
      <c r="H23" s="101">
        <v>-18900</v>
      </c>
      <c r="I23" s="222">
        <f t="shared" si="1"/>
        <v>0</v>
      </c>
      <c r="J23" s="101">
        <v>0</v>
      </c>
      <c r="K23" s="222">
        <f aca="true" t="shared" si="3" ref="K23:K30">SUM(I23:J23)</f>
        <v>0</v>
      </c>
      <c r="L23" s="101">
        <v>0</v>
      </c>
      <c r="M23" s="222">
        <f aca="true" t="shared" si="4" ref="M23:M30">SUM(K23:L23)</f>
        <v>0</v>
      </c>
    </row>
    <row r="24" spans="1:13" s="27" customFormat="1" ht="45">
      <c r="A24" s="87"/>
      <c r="B24" s="87"/>
      <c r="C24" s="61">
        <v>2710</v>
      </c>
      <c r="D24" s="45" t="s">
        <v>616</v>
      </c>
      <c r="E24" s="101"/>
      <c r="F24" s="101"/>
      <c r="G24" s="222">
        <v>0</v>
      </c>
      <c r="H24" s="101">
        <v>11551</v>
      </c>
      <c r="I24" s="222">
        <f t="shared" si="1"/>
        <v>11551</v>
      </c>
      <c r="J24" s="101">
        <v>0</v>
      </c>
      <c r="K24" s="222">
        <f t="shared" si="3"/>
        <v>11551</v>
      </c>
      <c r="L24" s="101">
        <v>0</v>
      </c>
      <c r="M24" s="222">
        <f t="shared" si="4"/>
        <v>11551</v>
      </c>
    </row>
    <row r="25" spans="1:13" s="27" customFormat="1" ht="33.75">
      <c r="A25" s="87"/>
      <c r="B25" s="87"/>
      <c r="C25" s="102">
        <v>2820</v>
      </c>
      <c r="D25" s="45" t="s">
        <v>554</v>
      </c>
      <c r="E25" s="101">
        <v>0</v>
      </c>
      <c r="F25" s="101">
        <v>7953</v>
      </c>
      <c r="G25" s="222">
        <f t="shared" si="0"/>
        <v>7953</v>
      </c>
      <c r="H25" s="101">
        <v>0</v>
      </c>
      <c r="I25" s="222">
        <f t="shared" si="1"/>
        <v>7953</v>
      </c>
      <c r="J25" s="101">
        <v>0</v>
      </c>
      <c r="K25" s="222">
        <f t="shared" si="3"/>
        <v>7953</v>
      </c>
      <c r="L25" s="101">
        <v>0</v>
      </c>
      <c r="M25" s="222">
        <f t="shared" si="4"/>
        <v>7953</v>
      </c>
    </row>
    <row r="26" spans="1:13" s="27" customFormat="1" ht="56.25">
      <c r="A26" s="87"/>
      <c r="B26" s="87"/>
      <c r="C26" s="102">
        <v>2830</v>
      </c>
      <c r="D26" s="45" t="s">
        <v>553</v>
      </c>
      <c r="E26" s="101">
        <v>0</v>
      </c>
      <c r="F26" s="101">
        <f>31147+8000</f>
        <v>39147</v>
      </c>
      <c r="G26" s="222">
        <f t="shared" si="0"/>
        <v>39147</v>
      </c>
      <c r="H26" s="101">
        <v>0</v>
      </c>
      <c r="I26" s="222">
        <f t="shared" si="1"/>
        <v>39147</v>
      </c>
      <c r="J26" s="101">
        <v>0</v>
      </c>
      <c r="K26" s="222">
        <f t="shared" si="3"/>
        <v>39147</v>
      </c>
      <c r="L26" s="101">
        <v>0</v>
      </c>
      <c r="M26" s="222">
        <f t="shared" si="4"/>
        <v>39147</v>
      </c>
    </row>
    <row r="27" spans="1:13" s="27" customFormat="1" ht="21.75" customHeight="1">
      <c r="A27" s="87"/>
      <c r="B27" s="87"/>
      <c r="C27" s="102">
        <v>4110</v>
      </c>
      <c r="D27" s="45" t="s">
        <v>208</v>
      </c>
      <c r="E27" s="101"/>
      <c r="F27" s="101"/>
      <c r="G27" s="222">
        <v>0</v>
      </c>
      <c r="H27" s="101">
        <v>338</v>
      </c>
      <c r="I27" s="222">
        <f t="shared" si="1"/>
        <v>338</v>
      </c>
      <c r="J27" s="101">
        <v>0</v>
      </c>
      <c r="K27" s="222">
        <f t="shared" si="3"/>
        <v>338</v>
      </c>
      <c r="L27" s="101">
        <v>0</v>
      </c>
      <c r="M27" s="222">
        <f t="shared" si="4"/>
        <v>338</v>
      </c>
    </row>
    <row r="28" spans="1:13" s="27" customFormat="1" ht="21.75" customHeight="1">
      <c r="A28" s="87"/>
      <c r="B28" s="61"/>
      <c r="C28" s="61">
        <v>4170</v>
      </c>
      <c r="D28" s="14" t="s">
        <v>336</v>
      </c>
      <c r="E28" s="108">
        <v>16000</v>
      </c>
      <c r="F28" s="108">
        <v>0</v>
      </c>
      <c r="G28" s="222">
        <f t="shared" si="0"/>
        <v>16000</v>
      </c>
      <c r="H28" s="108">
        <v>5616</v>
      </c>
      <c r="I28" s="222">
        <f t="shared" si="1"/>
        <v>21616</v>
      </c>
      <c r="J28" s="108">
        <v>0</v>
      </c>
      <c r="K28" s="222">
        <f t="shared" si="3"/>
        <v>21616</v>
      </c>
      <c r="L28" s="108">
        <v>0</v>
      </c>
      <c r="M28" s="222">
        <f t="shared" si="4"/>
        <v>21616</v>
      </c>
    </row>
    <row r="29" spans="1:13" s="27" customFormat="1" ht="21.75" customHeight="1">
      <c r="A29" s="87"/>
      <c r="B29" s="61"/>
      <c r="C29" s="61">
        <v>4210</v>
      </c>
      <c r="D29" s="14" t="s">
        <v>214</v>
      </c>
      <c r="E29" s="108"/>
      <c r="F29" s="108"/>
      <c r="G29" s="222">
        <v>0</v>
      </c>
      <c r="H29" s="108">
        <f>1050+943+1300</f>
        <v>3293</v>
      </c>
      <c r="I29" s="222">
        <f t="shared" si="1"/>
        <v>3293</v>
      </c>
      <c r="J29" s="108">
        <v>0</v>
      </c>
      <c r="K29" s="222">
        <f t="shared" si="3"/>
        <v>3293</v>
      </c>
      <c r="L29" s="108">
        <v>0</v>
      </c>
      <c r="M29" s="222">
        <f t="shared" si="4"/>
        <v>3293</v>
      </c>
    </row>
    <row r="30" spans="1:13" s="27" customFormat="1" ht="20.25" customHeight="1">
      <c r="A30" s="87"/>
      <c r="B30" s="61"/>
      <c r="C30" s="61">
        <v>4300</v>
      </c>
      <c r="D30" s="14" t="s">
        <v>201</v>
      </c>
      <c r="E30" s="108">
        <f>10000+11000+4000+16000+860+40000+860-10000-16000-40000</f>
        <v>16720</v>
      </c>
      <c r="F30" s="108">
        <v>0</v>
      </c>
      <c r="G30" s="222">
        <f t="shared" si="0"/>
        <v>16720</v>
      </c>
      <c r="H30" s="108">
        <f>-11000+6360+170</f>
        <v>-4470</v>
      </c>
      <c r="I30" s="222">
        <f t="shared" si="1"/>
        <v>12250</v>
      </c>
      <c r="J30" s="108">
        <v>0</v>
      </c>
      <c r="K30" s="222">
        <f t="shared" si="3"/>
        <v>12250</v>
      </c>
      <c r="L30" s="108">
        <v>0</v>
      </c>
      <c r="M30" s="222">
        <f t="shared" si="4"/>
        <v>12250</v>
      </c>
    </row>
    <row r="31" spans="1:13" s="27" customFormat="1" ht="22.5" hidden="1">
      <c r="A31" s="87"/>
      <c r="B31" s="61"/>
      <c r="C31" s="61">
        <v>6060</v>
      </c>
      <c r="D31" s="45" t="s">
        <v>218</v>
      </c>
      <c r="E31" s="108">
        <v>23109</v>
      </c>
      <c r="F31" s="108">
        <v>23109</v>
      </c>
      <c r="G31" s="222"/>
      <c r="H31" s="108"/>
      <c r="I31" s="222"/>
      <c r="J31" s="108"/>
      <c r="K31" s="222"/>
      <c r="L31" s="108"/>
      <c r="M31" s="222"/>
    </row>
    <row r="32" spans="1:13" s="27" customFormat="1" ht="18" customHeight="1">
      <c r="A32" s="87"/>
      <c r="B32" s="61"/>
      <c r="C32" s="61">
        <v>4350</v>
      </c>
      <c r="D32" s="14" t="s">
        <v>369</v>
      </c>
      <c r="E32" s="108"/>
      <c r="F32" s="108"/>
      <c r="G32" s="222">
        <v>0</v>
      </c>
      <c r="H32" s="108">
        <v>672</v>
      </c>
      <c r="I32" s="222">
        <f t="shared" si="1"/>
        <v>672</v>
      </c>
      <c r="J32" s="108">
        <v>0</v>
      </c>
      <c r="K32" s="222">
        <f aca="true" t="shared" si="5" ref="K32:K65">SUM(I32:J32)</f>
        <v>672</v>
      </c>
      <c r="L32" s="108">
        <v>0</v>
      </c>
      <c r="M32" s="222">
        <f aca="true" t="shared" si="6" ref="M32:M60">SUM(K32:L32)</f>
        <v>672</v>
      </c>
    </row>
    <row r="33" spans="1:13" s="27" customFormat="1" ht="18" customHeight="1">
      <c r="A33" s="87"/>
      <c r="B33" s="61"/>
      <c r="C33" s="61">
        <v>4410</v>
      </c>
      <c r="D33" s="14" t="s">
        <v>212</v>
      </c>
      <c r="E33" s="108"/>
      <c r="F33" s="108"/>
      <c r="G33" s="222">
        <v>0</v>
      </c>
      <c r="H33" s="108">
        <v>1900</v>
      </c>
      <c r="I33" s="222">
        <f t="shared" si="1"/>
        <v>1900</v>
      </c>
      <c r="J33" s="108">
        <v>0</v>
      </c>
      <c r="K33" s="222">
        <f t="shared" si="5"/>
        <v>1900</v>
      </c>
      <c r="L33" s="108">
        <v>0</v>
      </c>
      <c r="M33" s="222">
        <f t="shared" si="6"/>
        <v>1900</v>
      </c>
    </row>
    <row r="34" spans="1:13" s="8" customFormat="1" ht="21.75" customHeight="1">
      <c r="A34" s="37">
        <v>852</v>
      </c>
      <c r="B34" s="5"/>
      <c r="C34" s="5"/>
      <c r="D34" s="22" t="s">
        <v>332</v>
      </c>
      <c r="E34" s="18">
        <f>SUM(E37,E35)</f>
        <v>104280</v>
      </c>
      <c r="F34" s="18">
        <f>SUM(F37,F35)</f>
        <v>0</v>
      </c>
      <c r="G34" s="153">
        <f t="shared" si="0"/>
        <v>104280</v>
      </c>
      <c r="H34" s="18">
        <f>SUM(H37,H35)</f>
        <v>0</v>
      </c>
      <c r="I34" s="153">
        <f t="shared" si="1"/>
        <v>104280</v>
      </c>
      <c r="J34" s="18">
        <f>SUM(J37,J35)</f>
        <v>0</v>
      </c>
      <c r="K34" s="153">
        <f t="shared" si="5"/>
        <v>104280</v>
      </c>
      <c r="L34" s="18">
        <f>SUM(L37,L35)</f>
        <v>0</v>
      </c>
      <c r="M34" s="153">
        <f t="shared" si="6"/>
        <v>104280</v>
      </c>
    </row>
    <row r="35" spans="1:13" s="27" customFormat="1" ht="22.5">
      <c r="A35" s="87"/>
      <c r="B35" s="87">
        <v>85214</v>
      </c>
      <c r="C35" s="61"/>
      <c r="D35" s="14" t="s">
        <v>370</v>
      </c>
      <c r="E35" s="108">
        <f>SUM(E36)</f>
        <v>3000</v>
      </c>
      <c r="F35" s="108">
        <f>SUM(F36)</f>
        <v>0</v>
      </c>
      <c r="G35" s="222">
        <f t="shared" si="0"/>
        <v>3000</v>
      </c>
      <c r="H35" s="108">
        <f>SUM(H36)</f>
        <v>0</v>
      </c>
      <c r="I35" s="222">
        <f t="shared" si="1"/>
        <v>3000</v>
      </c>
      <c r="J35" s="108">
        <f>SUM(J36)</f>
        <v>0</v>
      </c>
      <c r="K35" s="222">
        <f t="shared" si="5"/>
        <v>3000</v>
      </c>
      <c r="L35" s="108">
        <f>SUM(L36)</f>
        <v>0</v>
      </c>
      <c r="M35" s="222">
        <f t="shared" si="6"/>
        <v>3000</v>
      </c>
    </row>
    <row r="36" spans="1:13" s="27" customFormat="1" ht="21.75" customHeight="1">
      <c r="A36" s="87"/>
      <c r="B36" s="87"/>
      <c r="C36" s="61">
        <v>3110</v>
      </c>
      <c r="D36" s="14" t="s">
        <v>236</v>
      </c>
      <c r="E36" s="108">
        <v>3000</v>
      </c>
      <c r="F36" s="108">
        <v>0</v>
      </c>
      <c r="G36" s="222">
        <f t="shared" si="0"/>
        <v>3000</v>
      </c>
      <c r="H36" s="108">
        <v>0</v>
      </c>
      <c r="I36" s="222">
        <f t="shared" si="1"/>
        <v>3000</v>
      </c>
      <c r="J36" s="108">
        <v>0</v>
      </c>
      <c r="K36" s="222">
        <f t="shared" si="5"/>
        <v>3000</v>
      </c>
      <c r="L36" s="108">
        <v>0</v>
      </c>
      <c r="M36" s="222">
        <f t="shared" si="6"/>
        <v>3000</v>
      </c>
    </row>
    <row r="37" spans="1:13" s="27" customFormat="1" ht="21.75" customHeight="1">
      <c r="A37" s="87"/>
      <c r="B37" s="87">
        <v>85219</v>
      </c>
      <c r="C37" s="61"/>
      <c r="D37" s="45" t="s">
        <v>180</v>
      </c>
      <c r="E37" s="101">
        <f>SUM(E38:E52)</f>
        <v>101280</v>
      </c>
      <c r="F37" s="101">
        <f>SUM(F38:F52)</f>
        <v>0</v>
      </c>
      <c r="G37" s="222">
        <f t="shared" si="0"/>
        <v>101280</v>
      </c>
      <c r="H37" s="101">
        <f>SUM(H38:H52)</f>
        <v>0</v>
      </c>
      <c r="I37" s="222">
        <f t="shared" si="1"/>
        <v>101280</v>
      </c>
      <c r="J37" s="101">
        <f>SUM(J38:J52)</f>
        <v>0</v>
      </c>
      <c r="K37" s="222">
        <f t="shared" si="5"/>
        <v>101280</v>
      </c>
      <c r="L37" s="101">
        <f>SUM(L38:L52)</f>
        <v>0</v>
      </c>
      <c r="M37" s="222">
        <f t="shared" si="6"/>
        <v>101280</v>
      </c>
    </row>
    <row r="38" spans="1:13" s="27" customFormat="1" ht="21.75" customHeight="1">
      <c r="A38" s="87"/>
      <c r="B38" s="87"/>
      <c r="C38" s="102">
        <v>4010</v>
      </c>
      <c r="D38" s="45" t="s">
        <v>206</v>
      </c>
      <c r="E38" s="108">
        <v>19769</v>
      </c>
      <c r="F38" s="108">
        <v>0</v>
      </c>
      <c r="G38" s="222">
        <f t="shared" si="0"/>
        <v>19769</v>
      </c>
      <c r="H38" s="108">
        <v>1661</v>
      </c>
      <c r="I38" s="222">
        <f t="shared" si="1"/>
        <v>21430</v>
      </c>
      <c r="J38" s="108">
        <v>0</v>
      </c>
      <c r="K38" s="222">
        <f t="shared" si="5"/>
        <v>21430</v>
      </c>
      <c r="L38" s="108">
        <v>521</v>
      </c>
      <c r="M38" s="222">
        <f t="shared" si="6"/>
        <v>21951</v>
      </c>
    </row>
    <row r="39" spans="1:13" s="27" customFormat="1" ht="21.75" customHeight="1">
      <c r="A39" s="87"/>
      <c r="B39" s="87"/>
      <c r="C39" s="102">
        <v>4040</v>
      </c>
      <c r="D39" s="45" t="s">
        <v>207</v>
      </c>
      <c r="E39" s="108">
        <v>1500</v>
      </c>
      <c r="F39" s="108">
        <v>0</v>
      </c>
      <c r="G39" s="222">
        <f t="shared" si="0"/>
        <v>1500</v>
      </c>
      <c r="H39" s="108">
        <v>0</v>
      </c>
      <c r="I39" s="222">
        <f t="shared" si="1"/>
        <v>1500</v>
      </c>
      <c r="J39" s="108">
        <v>0</v>
      </c>
      <c r="K39" s="222">
        <f t="shared" si="5"/>
        <v>1500</v>
      </c>
      <c r="L39" s="108">
        <v>0</v>
      </c>
      <c r="M39" s="222">
        <f t="shared" si="6"/>
        <v>1500</v>
      </c>
    </row>
    <row r="40" spans="1:13" s="27" customFormat="1" ht="21.75" customHeight="1">
      <c r="A40" s="87"/>
      <c r="B40" s="87"/>
      <c r="C40" s="102">
        <v>4110</v>
      </c>
      <c r="D40" s="45" t="s">
        <v>208</v>
      </c>
      <c r="E40" s="108">
        <v>3771</v>
      </c>
      <c r="F40" s="108">
        <v>0</v>
      </c>
      <c r="G40" s="222">
        <f t="shared" si="0"/>
        <v>3771</v>
      </c>
      <c r="H40" s="108">
        <v>279</v>
      </c>
      <c r="I40" s="222">
        <f t="shared" si="1"/>
        <v>4050</v>
      </c>
      <c r="J40" s="108">
        <v>0</v>
      </c>
      <c r="K40" s="222">
        <f t="shared" si="5"/>
        <v>4050</v>
      </c>
      <c r="L40" s="108">
        <v>341</v>
      </c>
      <c r="M40" s="222">
        <f t="shared" si="6"/>
        <v>4391</v>
      </c>
    </row>
    <row r="41" spans="1:13" s="27" customFormat="1" ht="21.75" customHeight="1">
      <c r="A41" s="87"/>
      <c r="B41" s="87"/>
      <c r="C41" s="102">
        <v>4120</v>
      </c>
      <c r="D41" s="45" t="s">
        <v>209</v>
      </c>
      <c r="E41" s="108">
        <v>522</v>
      </c>
      <c r="F41" s="108">
        <v>0</v>
      </c>
      <c r="G41" s="222">
        <f t="shared" si="0"/>
        <v>522</v>
      </c>
      <c r="H41" s="108">
        <v>38</v>
      </c>
      <c r="I41" s="222">
        <f t="shared" si="1"/>
        <v>560</v>
      </c>
      <c r="J41" s="108">
        <v>0</v>
      </c>
      <c r="K41" s="222">
        <f t="shared" si="5"/>
        <v>560</v>
      </c>
      <c r="L41" s="108">
        <v>0</v>
      </c>
      <c r="M41" s="222">
        <f t="shared" si="6"/>
        <v>560</v>
      </c>
    </row>
    <row r="42" spans="1:13" s="27" customFormat="1" ht="21.75" customHeight="1">
      <c r="A42" s="87"/>
      <c r="B42" s="87"/>
      <c r="C42" s="102">
        <v>4170</v>
      </c>
      <c r="D42" s="45" t="s">
        <v>336</v>
      </c>
      <c r="E42" s="108">
        <v>13200</v>
      </c>
      <c r="F42" s="108">
        <v>0</v>
      </c>
      <c r="G42" s="222">
        <f t="shared" si="0"/>
        <v>13200</v>
      </c>
      <c r="H42" s="108">
        <v>0</v>
      </c>
      <c r="I42" s="222">
        <f t="shared" si="1"/>
        <v>13200</v>
      </c>
      <c r="J42" s="108">
        <v>0</v>
      </c>
      <c r="K42" s="222">
        <f t="shared" si="5"/>
        <v>13200</v>
      </c>
      <c r="L42" s="108">
        <v>0</v>
      </c>
      <c r="M42" s="222">
        <f t="shared" si="6"/>
        <v>13200</v>
      </c>
    </row>
    <row r="43" spans="1:13" s="27" customFormat="1" ht="21.75" customHeight="1">
      <c r="A43" s="87"/>
      <c r="B43" s="87"/>
      <c r="C43" s="102">
        <v>4210</v>
      </c>
      <c r="D43" s="14" t="s">
        <v>214</v>
      </c>
      <c r="E43" s="108">
        <v>9300</v>
      </c>
      <c r="F43" s="108">
        <v>0</v>
      </c>
      <c r="G43" s="222">
        <f t="shared" si="0"/>
        <v>9300</v>
      </c>
      <c r="H43" s="108">
        <v>0</v>
      </c>
      <c r="I43" s="222">
        <f t="shared" si="1"/>
        <v>9300</v>
      </c>
      <c r="J43" s="108">
        <v>0</v>
      </c>
      <c r="K43" s="222">
        <f t="shared" si="5"/>
        <v>9300</v>
      </c>
      <c r="L43" s="108">
        <v>0</v>
      </c>
      <c r="M43" s="222">
        <f t="shared" si="6"/>
        <v>9300</v>
      </c>
    </row>
    <row r="44" spans="1:13" s="27" customFormat="1" ht="21.75" customHeight="1">
      <c r="A44" s="87"/>
      <c r="B44" s="87"/>
      <c r="C44" s="102">
        <v>4280</v>
      </c>
      <c r="D44" s="14" t="s">
        <v>353</v>
      </c>
      <c r="E44" s="108">
        <v>150</v>
      </c>
      <c r="F44" s="108">
        <v>0</v>
      </c>
      <c r="G44" s="222">
        <f t="shared" si="0"/>
        <v>150</v>
      </c>
      <c r="H44" s="108">
        <v>0</v>
      </c>
      <c r="I44" s="222">
        <f t="shared" si="1"/>
        <v>150</v>
      </c>
      <c r="J44" s="108">
        <v>0</v>
      </c>
      <c r="K44" s="222">
        <f t="shared" si="5"/>
        <v>150</v>
      </c>
      <c r="L44" s="108">
        <v>0</v>
      </c>
      <c r="M44" s="222">
        <f t="shared" si="6"/>
        <v>150</v>
      </c>
    </row>
    <row r="45" spans="1:13" s="27" customFormat="1" ht="21.75" customHeight="1">
      <c r="A45" s="87"/>
      <c r="B45" s="87"/>
      <c r="C45" s="102">
        <v>4300</v>
      </c>
      <c r="D45" s="14" t="s">
        <v>201</v>
      </c>
      <c r="E45" s="108">
        <v>46605</v>
      </c>
      <c r="F45" s="108">
        <v>0</v>
      </c>
      <c r="G45" s="222">
        <f t="shared" si="0"/>
        <v>46605</v>
      </c>
      <c r="H45" s="108">
        <f>-4978-300+3000</f>
        <v>-2278</v>
      </c>
      <c r="I45" s="222">
        <f t="shared" si="1"/>
        <v>44327</v>
      </c>
      <c r="J45" s="108">
        <v>-800</v>
      </c>
      <c r="K45" s="222">
        <f t="shared" si="5"/>
        <v>43527</v>
      </c>
      <c r="L45" s="108">
        <v>-862</v>
      </c>
      <c r="M45" s="222">
        <f t="shared" si="6"/>
        <v>42665</v>
      </c>
    </row>
    <row r="46" spans="1:13" s="27" customFormat="1" ht="21.75" customHeight="1">
      <c r="A46" s="87"/>
      <c r="B46" s="87"/>
      <c r="C46" s="102">
        <v>4350</v>
      </c>
      <c r="D46" s="14" t="s">
        <v>369</v>
      </c>
      <c r="E46" s="108">
        <v>665</v>
      </c>
      <c r="F46" s="108">
        <v>0</v>
      </c>
      <c r="G46" s="222">
        <f t="shared" si="0"/>
        <v>665</v>
      </c>
      <c r="H46" s="108">
        <v>-144</v>
      </c>
      <c r="I46" s="222">
        <f t="shared" si="1"/>
        <v>521</v>
      </c>
      <c r="J46" s="108">
        <v>0</v>
      </c>
      <c r="K46" s="222">
        <f t="shared" si="5"/>
        <v>521</v>
      </c>
      <c r="L46" s="108">
        <v>0</v>
      </c>
      <c r="M46" s="222">
        <f t="shared" si="6"/>
        <v>521</v>
      </c>
    </row>
    <row r="47" spans="1:13" s="27" customFormat="1" ht="21.75" customHeight="1">
      <c r="A47" s="87"/>
      <c r="B47" s="87"/>
      <c r="C47" s="102">
        <v>4370</v>
      </c>
      <c r="D47" s="45" t="s">
        <v>409</v>
      </c>
      <c r="E47" s="108">
        <v>2400</v>
      </c>
      <c r="F47" s="108">
        <v>0</v>
      </c>
      <c r="G47" s="222">
        <f t="shared" si="0"/>
        <v>2400</v>
      </c>
      <c r="H47" s="108">
        <v>444</v>
      </c>
      <c r="I47" s="222">
        <f t="shared" si="1"/>
        <v>2844</v>
      </c>
      <c r="J47" s="108">
        <v>0</v>
      </c>
      <c r="K47" s="222">
        <f t="shared" si="5"/>
        <v>2844</v>
      </c>
      <c r="L47" s="108">
        <v>0</v>
      </c>
      <c r="M47" s="222">
        <f t="shared" si="6"/>
        <v>2844</v>
      </c>
    </row>
    <row r="48" spans="1:13" s="27" customFormat="1" ht="21.75" customHeight="1">
      <c r="A48" s="87"/>
      <c r="B48" s="87"/>
      <c r="C48" s="102">
        <v>4400</v>
      </c>
      <c r="D48" s="45" t="s">
        <v>410</v>
      </c>
      <c r="E48" s="108">
        <v>1922</v>
      </c>
      <c r="F48" s="108">
        <v>0</v>
      </c>
      <c r="G48" s="222">
        <f t="shared" si="0"/>
        <v>1922</v>
      </c>
      <c r="H48" s="108">
        <v>0</v>
      </c>
      <c r="I48" s="222">
        <f t="shared" si="1"/>
        <v>1922</v>
      </c>
      <c r="J48" s="108">
        <v>0</v>
      </c>
      <c r="K48" s="222">
        <f t="shared" si="5"/>
        <v>1922</v>
      </c>
      <c r="L48" s="108">
        <v>0</v>
      </c>
      <c r="M48" s="222">
        <f t="shared" si="6"/>
        <v>1922</v>
      </c>
    </row>
    <row r="49" spans="1:13" s="27" customFormat="1" ht="21.75" customHeight="1">
      <c r="A49" s="87"/>
      <c r="B49" s="87"/>
      <c r="C49" s="102">
        <v>4410</v>
      </c>
      <c r="D49" s="45" t="s">
        <v>212</v>
      </c>
      <c r="E49" s="108">
        <v>500</v>
      </c>
      <c r="F49" s="108">
        <v>0</v>
      </c>
      <c r="G49" s="222">
        <f t="shared" si="0"/>
        <v>500</v>
      </c>
      <c r="H49" s="108">
        <v>0</v>
      </c>
      <c r="I49" s="222">
        <f t="shared" si="1"/>
        <v>500</v>
      </c>
      <c r="J49" s="108">
        <v>300</v>
      </c>
      <c r="K49" s="222">
        <f t="shared" si="5"/>
        <v>800</v>
      </c>
      <c r="L49" s="108">
        <v>0</v>
      </c>
      <c r="M49" s="222">
        <f t="shared" si="6"/>
        <v>800</v>
      </c>
    </row>
    <row r="50" spans="1:13" s="27" customFormat="1" ht="26.25" customHeight="1">
      <c r="A50" s="87"/>
      <c r="B50" s="87"/>
      <c r="C50" s="102">
        <v>4440</v>
      </c>
      <c r="D50" s="45" t="s">
        <v>210</v>
      </c>
      <c r="E50" s="108">
        <v>776</v>
      </c>
      <c r="F50" s="108">
        <v>0</v>
      </c>
      <c r="G50" s="222">
        <f t="shared" si="0"/>
        <v>776</v>
      </c>
      <c r="H50" s="108">
        <v>0</v>
      </c>
      <c r="I50" s="222">
        <f t="shared" si="1"/>
        <v>776</v>
      </c>
      <c r="J50" s="108">
        <v>0</v>
      </c>
      <c r="K50" s="222">
        <f t="shared" si="5"/>
        <v>776</v>
      </c>
      <c r="L50" s="108">
        <v>0</v>
      </c>
      <c r="M50" s="222">
        <f t="shared" si="6"/>
        <v>776</v>
      </c>
    </row>
    <row r="51" spans="1:13" s="27" customFormat="1" ht="26.25" customHeight="1">
      <c r="A51" s="87"/>
      <c r="B51" s="87"/>
      <c r="C51" s="102">
        <v>4700</v>
      </c>
      <c r="D51" s="45" t="s">
        <v>412</v>
      </c>
      <c r="E51" s="108"/>
      <c r="F51" s="108"/>
      <c r="G51" s="222"/>
      <c r="H51" s="108"/>
      <c r="I51" s="222">
        <v>0</v>
      </c>
      <c r="J51" s="108">
        <v>500</v>
      </c>
      <c r="K51" s="222">
        <f t="shared" si="5"/>
        <v>500</v>
      </c>
      <c r="L51" s="108">
        <v>0</v>
      </c>
      <c r="M51" s="222">
        <f t="shared" si="6"/>
        <v>500</v>
      </c>
    </row>
    <row r="52" spans="1:13" s="27" customFormat="1" ht="26.25" customHeight="1">
      <c r="A52" s="87"/>
      <c r="B52" s="87"/>
      <c r="C52" s="102">
        <v>4740</v>
      </c>
      <c r="D52" s="45" t="s">
        <v>411</v>
      </c>
      <c r="E52" s="108">
        <v>200</v>
      </c>
      <c r="F52" s="108">
        <v>0</v>
      </c>
      <c r="G52" s="222">
        <f t="shared" si="0"/>
        <v>200</v>
      </c>
      <c r="H52" s="108">
        <v>0</v>
      </c>
      <c r="I52" s="222">
        <f t="shared" si="1"/>
        <v>200</v>
      </c>
      <c r="J52" s="108">
        <v>0</v>
      </c>
      <c r="K52" s="222">
        <f t="shared" si="5"/>
        <v>200</v>
      </c>
      <c r="L52" s="108">
        <v>0</v>
      </c>
      <c r="M52" s="222">
        <f t="shared" si="6"/>
        <v>200</v>
      </c>
    </row>
    <row r="53" spans="1:13" s="8" customFormat="1" ht="24.75" customHeight="1">
      <c r="A53" s="37" t="s">
        <v>246</v>
      </c>
      <c r="B53" s="5"/>
      <c r="C53" s="5"/>
      <c r="D53" s="22" t="s">
        <v>181</v>
      </c>
      <c r="E53" s="18">
        <f>SUM(E54)</f>
        <v>47000</v>
      </c>
      <c r="F53" s="18">
        <f>SUM(F54)</f>
        <v>0</v>
      </c>
      <c r="G53" s="153">
        <f t="shared" si="0"/>
        <v>47000</v>
      </c>
      <c r="H53" s="18">
        <f>SUM(H54)</f>
        <v>0</v>
      </c>
      <c r="I53" s="153">
        <f t="shared" si="1"/>
        <v>47000</v>
      </c>
      <c r="J53" s="18">
        <f>SUM(J54)</f>
        <v>-3542</v>
      </c>
      <c r="K53" s="153">
        <f t="shared" si="5"/>
        <v>43458</v>
      </c>
      <c r="L53" s="18">
        <f>SUM(L54)</f>
        <v>0</v>
      </c>
      <c r="M53" s="153">
        <f t="shared" si="6"/>
        <v>43458</v>
      </c>
    </row>
    <row r="54" spans="1:13" s="27" customFormat="1" ht="22.5">
      <c r="A54" s="87"/>
      <c r="B54" s="87" t="s">
        <v>250</v>
      </c>
      <c r="C54" s="61"/>
      <c r="D54" s="14" t="s">
        <v>251</v>
      </c>
      <c r="E54" s="101">
        <f>SUM(E55:E59)</f>
        <v>47000</v>
      </c>
      <c r="F54" s="101">
        <f>SUM(F55:F59)</f>
        <v>0</v>
      </c>
      <c r="G54" s="222">
        <f t="shared" si="0"/>
        <v>47000</v>
      </c>
      <c r="H54" s="101">
        <f>SUM(H55:H59)</f>
        <v>0</v>
      </c>
      <c r="I54" s="222">
        <f t="shared" si="1"/>
        <v>47000</v>
      </c>
      <c r="J54" s="101">
        <f>SUM(J55:J59)</f>
        <v>-3542</v>
      </c>
      <c r="K54" s="222">
        <f t="shared" si="5"/>
        <v>43458</v>
      </c>
      <c r="L54" s="101">
        <f>SUM(L55:L59)</f>
        <v>0</v>
      </c>
      <c r="M54" s="222">
        <f t="shared" si="6"/>
        <v>43458</v>
      </c>
    </row>
    <row r="55" spans="1:13" s="27" customFormat="1" ht="33.75">
      <c r="A55" s="87"/>
      <c r="B55" s="87"/>
      <c r="C55" s="61">
        <v>2630</v>
      </c>
      <c r="D55" s="14" t="s">
        <v>416</v>
      </c>
      <c r="E55" s="101">
        <v>36000</v>
      </c>
      <c r="F55" s="101">
        <v>0</v>
      </c>
      <c r="G55" s="222">
        <f t="shared" si="0"/>
        <v>36000</v>
      </c>
      <c r="H55" s="101">
        <v>0</v>
      </c>
      <c r="I55" s="222">
        <f t="shared" si="1"/>
        <v>36000</v>
      </c>
      <c r="J55" s="101">
        <v>-36000</v>
      </c>
      <c r="K55" s="222">
        <f t="shared" si="5"/>
        <v>0</v>
      </c>
      <c r="L55" s="101">
        <v>0</v>
      </c>
      <c r="M55" s="222">
        <f t="shared" si="6"/>
        <v>0</v>
      </c>
    </row>
    <row r="56" spans="1:13" s="27" customFormat="1" ht="33.75">
      <c r="A56" s="87"/>
      <c r="B56" s="87"/>
      <c r="C56" s="61">
        <v>2820</v>
      </c>
      <c r="D56" s="45" t="s">
        <v>554</v>
      </c>
      <c r="E56" s="101"/>
      <c r="F56" s="101"/>
      <c r="G56" s="222"/>
      <c r="H56" s="101"/>
      <c r="I56" s="222">
        <v>0</v>
      </c>
      <c r="J56" s="101">
        <f>5680+3610</f>
        <v>9290</v>
      </c>
      <c r="K56" s="222">
        <f t="shared" si="5"/>
        <v>9290</v>
      </c>
      <c r="L56" s="101">
        <v>0</v>
      </c>
      <c r="M56" s="222">
        <f t="shared" si="6"/>
        <v>9290</v>
      </c>
    </row>
    <row r="57" spans="1:13" s="27" customFormat="1" ht="56.25">
      <c r="A57" s="87"/>
      <c r="B57" s="87"/>
      <c r="C57" s="61">
        <v>2830</v>
      </c>
      <c r="D57" s="45" t="s">
        <v>553</v>
      </c>
      <c r="E57" s="101"/>
      <c r="F57" s="101"/>
      <c r="G57" s="222"/>
      <c r="H57" s="101"/>
      <c r="I57" s="222">
        <v>0</v>
      </c>
      <c r="J57" s="101">
        <v>26710</v>
      </c>
      <c r="K57" s="222">
        <f t="shared" si="5"/>
        <v>26710</v>
      </c>
      <c r="L57" s="101">
        <v>0</v>
      </c>
      <c r="M57" s="222">
        <f t="shared" si="6"/>
        <v>26710</v>
      </c>
    </row>
    <row r="58" spans="1:13" s="27" customFormat="1" ht="21" customHeight="1">
      <c r="A58" s="87"/>
      <c r="B58" s="87"/>
      <c r="C58" s="61">
        <v>4210</v>
      </c>
      <c r="D58" s="14" t="s">
        <v>214</v>
      </c>
      <c r="E58" s="108">
        <v>5500</v>
      </c>
      <c r="F58" s="108">
        <v>0</v>
      </c>
      <c r="G58" s="222">
        <f t="shared" si="0"/>
        <v>5500</v>
      </c>
      <c r="H58" s="108">
        <v>0</v>
      </c>
      <c r="I58" s="222">
        <f t="shared" si="1"/>
        <v>5500</v>
      </c>
      <c r="J58" s="108">
        <f>803</f>
        <v>803</v>
      </c>
      <c r="K58" s="222">
        <f t="shared" si="5"/>
        <v>6303</v>
      </c>
      <c r="L58" s="108">
        <v>0</v>
      </c>
      <c r="M58" s="222">
        <f t="shared" si="6"/>
        <v>6303</v>
      </c>
    </row>
    <row r="59" spans="1:13" s="27" customFormat="1" ht="21.75" customHeight="1">
      <c r="A59" s="61"/>
      <c r="B59" s="61"/>
      <c r="C59" s="61">
        <v>4300</v>
      </c>
      <c r="D59" s="14" t="s">
        <v>201</v>
      </c>
      <c r="E59" s="108">
        <f>5500</f>
        <v>5500</v>
      </c>
      <c r="F59" s="108">
        <v>0</v>
      </c>
      <c r="G59" s="222">
        <f t="shared" si="0"/>
        <v>5500</v>
      </c>
      <c r="H59" s="108">
        <v>0</v>
      </c>
      <c r="I59" s="222">
        <f t="shared" si="1"/>
        <v>5500</v>
      </c>
      <c r="J59" s="108">
        <v>-4345</v>
      </c>
      <c r="K59" s="222">
        <f t="shared" si="5"/>
        <v>1155</v>
      </c>
      <c r="L59" s="108">
        <v>0</v>
      </c>
      <c r="M59" s="222">
        <f t="shared" si="6"/>
        <v>1155</v>
      </c>
    </row>
    <row r="60" spans="1:13" s="8" customFormat="1" ht="21.75" customHeight="1">
      <c r="A60" s="37" t="s">
        <v>269</v>
      </c>
      <c r="B60" s="5"/>
      <c r="C60" s="5"/>
      <c r="D60" s="22" t="s">
        <v>188</v>
      </c>
      <c r="E60" s="18">
        <f>SUM(E61)</f>
        <v>20000</v>
      </c>
      <c r="F60" s="18">
        <f>SUM(F61)</f>
        <v>0</v>
      </c>
      <c r="G60" s="153">
        <f t="shared" si="0"/>
        <v>20000</v>
      </c>
      <c r="H60" s="18">
        <f>SUM(H61)</f>
        <v>0</v>
      </c>
      <c r="I60" s="153">
        <f t="shared" si="1"/>
        <v>20000</v>
      </c>
      <c r="J60" s="18">
        <f>SUM(J61)</f>
        <v>0</v>
      </c>
      <c r="K60" s="153">
        <f t="shared" si="5"/>
        <v>20000</v>
      </c>
      <c r="L60" s="18">
        <f>SUM(L61)</f>
        <v>0</v>
      </c>
      <c r="M60" s="153">
        <f t="shared" si="6"/>
        <v>20000</v>
      </c>
    </row>
    <row r="61" spans="1:13" s="27" customFormat="1" ht="24" customHeight="1">
      <c r="A61" s="61"/>
      <c r="B61" s="97">
        <v>92605</v>
      </c>
      <c r="C61" s="61"/>
      <c r="D61" s="14" t="s">
        <v>189</v>
      </c>
      <c r="E61" s="108">
        <f>SUM(E62)</f>
        <v>20000</v>
      </c>
      <c r="F61" s="108">
        <f>SUM(F62)</f>
        <v>0</v>
      </c>
      <c r="G61" s="222">
        <f t="shared" si="0"/>
        <v>20000</v>
      </c>
      <c r="H61" s="108">
        <f>SUM(H62)</f>
        <v>0</v>
      </c>
      <c r="I61" s="222">
        <f>SUM(I62:I64)</f>
        <v>20000</v>
      </c>
      <c r="J61" s="222">
        <f>SUM(J62:J64)</f>
        <v>0</v>
      </c>
      <c r="K61" s="222">
        <f>SUM(K62:K64)</f>
        <v>20000</v>
      </c>
      <c r="L61" s="222">
        <f>SUM(L62:L64)</f>
        <v>0</v>
      </c>
      <c r="M61" s="222">
        <f>SUM(M62:M64)</f>
        <v>20000</v>
      </c>
    </row>
    <row r="62" spans="1:13" s="27" customFormat="1" ht="22.5" customHeight="1">
      <c r="A62" s="61"/>
      <c r="B62" s="97"/>
      <c r="C62" s="61">
        <v>4170</v>
      </c>
      <c r="D62" s="14" t="s">
        <v>336</v>
      </c>
      <c r="E62" s="108">
        <v>20000</v>
      </c>
      <c r="F62" s="108">
        <v>0</v>
      </c>
      <c r="G62" s="222">
        <f t="shared" si="0"/>
        <v>20000</v>
      </c>
      <c r="H62" s="108">
        <v>0</v>
      </c>
      <c r="I62" s="222">
        <f t="shared" si="1"/>
        <v>20000</v>
      </c>
      <c r="J62" s="108">
        <v>-4040</v>
      </c>
      <c r="K62" s="222">
        <f t="shared" si="5"/>
        <v>15960</v>
      </c>
      <c r="L62" s="108">
        <v>0</v>
      </c>
      <c r="M62" s="222">
        <f>SUM(K62:L62)</f>
        <v>15960</v>
      </c>
    </row>
    <row r="63" spans="1:13" s="27" customFormat="1" ht="0.75" customHeight="1" hidden="1">
      <c r="A63" s="61"/>
      <c r="B63" s="97"/>
      <c r="C63" s="61">
        <v>4300</v>
      </c>
      <c r="D63" s="14" t="s">
        <v>201</v>
      </c>
      <c r="E63" s="108">
        <v>10000</v>
      </c>
      <c r="F63" s="108">
        <v>10000</v>
      </c>
      <c r="G63" s="222">
        <f t="shared" si="0"/>
        <v>20000</v>
      </c>
      <c r="H63" s="108"/>
      <c r="I63" s="222"/>
      <c r="J63" s="108"/>
      <c r="K63" s="222"/>
      <c r="L63" s="108"/>
      <c r="M63" s="222"/>
    </row>
    <row r="64" spans="1:13" s="27" customFormat="1" ht="21.75" customHeight="1">
      <c r="A64" s="61"/>
      <c r="B64" s="97"/>
      <c r="C64" s="61">
        <v>4300</v>
      </c>
      <c r="D64" s="14" t="s">
        <v>201</v>
      </c>
      <c r="E64" s="108"/>
      <c r="F64" s="108"/>
      <c r="G64" s="222"/>
      <c r="H64" s="108"/>
      <c r="I64" s="222">
        <v>0</v>
      </c>
      <c r="J64" s="108">
        <v>4040</v>
      </c>
      <c r="K64" s="222">
        <f t="shared" si="5"/>
        <v>4040</v>
      </c>
      <c r="L64" s="108">
        <v>0</v>
      </c>
      <c r="M64" s="222">
        <f>SUM(K64:L64)</f>
        <v>4040</v>
      </c>
    </row>
    <row r="65" spans="1:13" s="48" customFormat="1" ht="22.5" customHeight="1">
      <c r="A65" s="146"/>
      <c r="B65" s="146"/>
      <c r="C65" s="146"/>
      <c r="D65" s="6" t="s">
        <v>190</v>
      </c>
      <c r="E65" s="18">
        <f>E34+E19+E53+E60</f>
        <v>290000</v>
      </c>
      <c r="F65" s="18">
        <f>F34+F19+F53+F60</f>
        <v>0</v>
      </c>
      <c r="G65" s="153">
        <f t="shared" si="0"/>
        <v>290000</v>
      </c>
      <c r="H65" s="18">
        <f>H34+H19+H53+H60</f>
        <v>0</v>
      </c>
      <c r="I65" s="153">
        <f t="shared" si="1"/>
        <v>290000</v>
      </c>
      <c r="J65" s="18">
        <f>J34+J19+J53+J60+J16</f>
        <v>0</v>
      </c>
      <c r="K65" s="153">
        <f t="shared" si="5"/>
        <v>290000</v>
      </c>
      <c r="L65" s="18">
        <f>L34+L19+L53+L60+L16</f>
        <v>0</v>
      </c>
      <c r="M65" s="153">
        <f>SUM(K65:L65)</f>
        <v>290000</v>
      </c>
    </row>
  </sheetData>
  <sheetProtection/>
  <mergeCells count="3">
    <mergeCell ref="A5:D5"/>
    <mergeCell ref="A7:D7"/>
    <mergeCell ref="A14:D1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2" width="4.625" style="0" customWidth="1"/>
    <col min="3" max="3" width="33.625" style="0" customWidth="1"/>
    <col min="4" max="4" width="12.625" style="0" customWidth="1"/>
    <col min="5" max="5" width="10.375" style="0" bestFit="1" customWidth="1"/>
    <col min="8" max="8" width="10.75390625" style="0" customWidth="1"/>
    <col min="9" max="9" width="8.875" style="0" bestFit="1" customWidth="1"/>
    <col min="10" max="10" width="11.625" style="0" bestFit="1" customWidth="1"/>
    <col min="11" max="11" width="14.375" style="0" customWidth="1"/>
  </cols>
  <sheetData>
    <row r="1" spans="8:9" ht="12.75">
      <c r="H1" s="123" t="s">
        <v>38</v>
      </c>
      <c r="I1" s="123"/>
    </row>
    <row r="2" spans="8:9" ht="12.75">
      <c r="H2" s="123" t="s">
        <v>381</v>
      </c>
      <c r="I2" s="123"/>
    </row>
    <row r="3" spans="8:9" ht="12.75">
      <c r="H3" s="123" t="s">
        <v>82</v>
      </c>
      <c r="I3" s="123"/>
    </row>
    <row r="4" spans="8:9" ht="12.75">
      <c r="H4" s="123" t="s">
        <v>101</v>
      </c>
      <c r="I4" s="123"/>
    </row>
    <row r="7" spans="1:2" ht="15">
      <c r="A7" s="179" t="s">
        <v>648</v>
      </c>
      <c r="B7" s="179"/>
    </row>
    <row r="9" spans="1:11" s="181" customFormat="1" ht="22.5" customHeight="1">
      <c r="A9" s="396" t="s">
        <v>453</v>
      </c>
      <c r="B9" s="401" t="s">
        <v>454</v>
      </c>
      <c r="C9" s="402"/>
      <c r="D9" s="397" t="s">
        <v>43</v>
      </c>
      <c r="E9" s="180" t="s">
        <v>455</v>
      </c>
      <c r="F9" s="180"/>
      <c r="G9" s="399" t="s">
        <v>450</v>
      </c>
      <c r="H9" s="407"/>
      <c r="I9" s="407"/>
      <c r="J9" s="400"/>
      <c r="K9" s="396" t="s">
        <v>44</v>
      </c>
    </row>
    <row r="10" spans="1:11" s="181" customFormat="1" ht="36">
      <c r="A10" s="396"/>
      <c r="B10" s="403"/>
      <c r="C10" s="404"/>
      <c r="D10" s="398"/>
      <c r="E10" s="180" t="s">
        <v>456</v>
      </c>
      <c r="F10" s="124" t="s">
        <v>457</v>
      </c>
      <c r="G10" s="180" t="s">
        <v>456</v>
      </c>
      <c r="H10" s="124" t="s">
        <v>458</v>
      </c>
      <c r="I10" s="124" t="s">
        <v>459</v>
      </c>
      <c r="J10" s="124" t="s">
        <v>460</v>
      </c>
      <c r="K10" s="396"/>
    </row>
    <row r="11" spans="1:11" s="183" customFormat="1" ht="14.25" customHeight="1">
      <c r="A11" s="182">
        <v>1</v>
      </c>
      <c r="B11" s="405">
        <v>2</v>
      </c>
      <c r="C11" s="406"/>
      <c r="D11" s="272">
        <v>3</v>
      </c>
      <c r="E11" s="182">
        <v>4</v>
      </c>
      <c r="F11" s="182">
        <v>5</v>
      </c>
      <c r="G11" s="182">
        <v>6</v>
      </c>
      <c r="H11" s="182">
        <v>7</v>
      </c>
      <c r="I11" s="182">
        <v>8</v>
      </c>
      <c r="J11" s="182">
        <v>9</v>
      </c>
      <c r="K11" s="182">
        <v>10</v>
      </c>
    </row>
    <row r="12" spans="1:11" s="11" customFormat="1" ht="27.75" customHeight="1">
      <c r="A12" s="184" t="s">
        <v>461</v>
      </c>
      <c r="B12" s="399" t="s">
        <v>615</v>
      </c>
      <c r="C12" s="400"/>
      <c r="D12" s="185">
        <f aca="true" t="shared" si="0" ref="D12:K12">SUM(D24,D26,)</f>
        <v>75044</v>
      </c>
      <c r="E12" s="185">
        <f t="shared" si="0"/>
        <v>3340271</v>
      </c>
      <c r="F12" s="185">
        <f t="shared" si="0"/>
        <v>2721136</v>
      </c>
      <c r="G12" s="185">
        <f t="shared" si="0"/>
        <v>3340271</v>
      </c>
      <c r="H12" s="185">
        <f t="shared" si="0"/>
        <v>2383960</v>
      </c>
      <c r="I12" s="185">
        <f t="shared" si="0"/>
        <v>928011</v>
      </c>
      <c r="J12" s="185">
        <f t="shared" si="0"/>
        <v>28300</v>
      </c>
      <c r="K12" s="185">
        <f t="shared" si="0"/>
        <v>75044</v>
      </c>
    </row>
    <row r="13" spans="1:11" s="8" customFormat="1" ht="0.75" customHeight="1" hidden="1">
      <c r="A13" s="389" t="s">
        <v>451</v>
      </c>
      <c r="B13" s="2" t="s">
        <v>649</v>
      </c>
      <c r="C13" s="2" t="s">
        <v>519</v>
      </c>
      <c r="D13" s="2"/>
      <c r="E13" s="240">
        <f aca="true" t="shared" si="1" ref="E13:J13">SUM(E14:E20)</f>
        <v>3240522</v>
      </c>
      <c r="F13" s="240">
        <f t="shared" si="1"/>
        <v>2624508</v>
      </c>
      <c r="G13" s="240">
        <f t="shared" si="1"/>
        <v>3240522</v>
      </c>
      <c r="H13" s="240">
        <f t="shared" si="1"/>
        <v>2317971</v>
      </c>
      <c r="I13" s="240">
        <f t="shared" si="1"/>
        <v>890151</v>
      </c>
      <c r="J13" s="240">
        <f t="shared" si="1"/>
        <v>32400</v>
      </c>
      <c r="K13" s="240"/>
    </row>
    <row r="14" spans="1:11" ht="12.75" customHeight="1" hidden="1">
      <c r="A14" s="390"/>
      <c r="B14" s="2"/>
      <c r="C14" s="249" t="s">
        <v>462</v>
      </c>
      <c r="D14" s="275"/>
      <c r="E14" s="190">
        <v>963233</v>
      </c>
      <c r="F14" s="190">
        <v>773819</v>
      </c>
      <c r="G14" s="190">
        <f aca="true" t="shared" si="2" ref="G14:G20">SUM(H14:J14)</f>
        <v>963233</v>
      </c>
      <c r="H14" s="190">
        <v>711241</v>
      </c>
      <c r="I14" s="190">
        <f>251992-8800</f>
        <v>243192</v>
      </c>
      <c r="J14" s="190">
        <v>8800</v>
      </c>
      <c r="K14" s="273"/>
    </row>
    <row r="15" spans="1:11" ht="12.75" customHeight="1" hidden="1">
      <c r="A15" s="390"/>
      <c r="B15" s="2"/>
      <c r="C15" s="249" t="s">
        <v>463</v>
      </c>
      <c r="D15" s="275"/>
      <c r="E15" s="190">
        <v>551035</v>
      </c>
      <c r="F15" s="190">
        <v>429051</v>
      </c>
      <c r="G15" s="190">
        <f t="shared" si="2"/>
        <v>551035</v>
      </c>
      <c r="H15" s="190">
        <v>408278</v>
      </c>
      <c r="I15" s="190">
        <v>142757</v>
      </c>
      <c r="J15" s="190">
        <v>0</v>
      </c>
      <c r="K15" s="273"/>
    </row>
    <row r="16" spans="1:11" ht="12.75" customHeight="1" hidden="1">
      <c r="A16" s="390"/>
      <c r="B16" s="2"/>
      <c r="C16" s="249" t="s">
        <v>464</v>
      </c>
      <c r="D16" s="275"/>
      <c r="E16" s="190">
        <v>671315</v>
      </c>
      <c r="F16" s="190">
        <v>546911</v>
      </c>
      <c r="G16" s="190">
        <f t="shared" si="2"/>
        <v>671315</v>
      </c>
      <c r="H16" s="190">
        <v>484435</v>
      </c>
      <c r="I16" s="190">
        <f>186880-3000</f>
        <v>183880</v>
      </c>
      <c r="J16" s="190">
        <v>3000</v>
      </c>
      <c r="K16" s="273"/>
    </row>
    <row r="17" spans="1:11" ht="12.75" customHeight="1" hidden="1">
      <c r="A17" s="390"/>
      <c r="B17" s="2"/>
      <c r="C17" s="249" t="s">
        <v>465</v>
      </c>
      <c r="D17" s="275"/>
      <c r="E17" s="190">
        <v>560345</v>
      </c>
      <c r="F17" s="190">
        <v>433631</v>
      </c>
      <c r="G17" s="190">
        <f t="shared" si="2"/>
        <v>560345</v>
      </c>
      <c r="H17" s="190">
        <v>373885</v>
      </c>
      <c r="I17" s="190">
        <f>186460-12600</f>
        <v>173860</v>
      </c>
      <c r="J17" s="190">
        <v>12600</v>
      </c>
      <c r="K17" s="273"/>
    </row>
    <row r="18" spans="1:11" ht="12.75" customHeight="1" hidden="1">
      <c r="A18" s="390"/>
      <c r="B18" s="2"/>
      <c r="C18" s="249" t="s">
        <v>466</v>
      </c>
      <c r="D18" s="275"/>
      <c r="E18" s="190">
        <v>211714</v>
      </c>
      <c r="F18" s="190">
        <v>180656</v>
      </c>
      <c r="G18" s="190">
        <f t="shared" si="2"/>
        <v>211714</v>
      </c>
      <c r="H18" s="190">
        <v>163161</v>
      </c>
      <c r="I18" s="190">
        <v>48553</v>
      </c>
      <c r="J18" s="190">
        <v>0</v>
      </c>
      <c r="K18" s="273"/>
    </row>
    <row r="19" spans="1:11" ht="12.75" customHeight="1" hidden="1">
      <c r="A19" s="390"/>
      <c r="B19" s="2"/>
      <c r="C19" s="249" t="s">
        <v>467</v>
      </c>
      <c r="D19" s="275"/>
      <c r="E19" s="190">
        <v>228033</v>
      </c>
      <c r="F19" s="190">
        <v>205593</v>
      </c>
      <c r="G19" s="190">
        <f t="shared" si="2"/>
        <v>228033</v>
      </c>
      <c r="H19" s="190">
        <v>141256</v>
      </c>
      <c r="I19" s="190">
        <f>86777-8000</f>
        <v>78777</v>
      </c>
      <c r="J19" s="190">
        <v>8000</v>
      </c>
      <c r="K19" s="273"/>
    </row>
    <row r="20" spans="1:11" ht="12.75" customHeight="1" hidden="1">
      <c r="A20" s="390"/>
      <c r="B20" s="2"/>
      <c r="C20" s="249" t="s">
        <v>468</v>
      </c>
      <c r="D20" s="275"/>
      <c r="E20" s="190">
        <v>54847</v>
      </c>
      <c r="F20" s="190">
        <v>54847</v>
      </c>
      <c r="G20" s="190">
        <f t="shared" si="2"/>
        <v>54847</v>
      </c>
      <c r="H20" s="190">
        <v>35715</v>
      </c>
      <c r="I20" s="190">
        <v>19132</v>
      </c>
      <c r="J20" s="190">
        <v>0</v>
      </c>
      <c r="K20" s="273"/>
    </row>
    <row r="21" spans="1:11" ht="0.75" customHeight="1" hidden="1">
      <c r="A21" s="390"/>
      <c r="B21" s="250" t="s">
        <v>650</v>
      </c>
      <c r="C21" s="250" t="s">
        <v>646</v>
      </c>
      <c r="D21" s="276"/>
      <c r="E21" s="190">
        <v>500</v>
      </c>
      <c r="F21" s="190">
        <v>500</v>
      </c>
      <c r="G21" s="190">
        <f>SUM(H21:J21)</f>
        <v>500</v>
      </c>
      <c r="H21" s="190">
        <v>0</v>
      </c>
      <c r="I21" s="190">
        <v>500</v>
      </c>
      <c r="J21" s="190">
        <v>0</v>
      </c>
      <c r="K21" s="273"/>
    </row>
    <row r="22" spans="1:11" ht="23.25" customHeight="1" hidden="1">
      <c r="A22" s="390"/>
      <c r="B22" s="2" t="s">
        <v>649</v>
      </c>
      <c r="C22" s="2" t="s">
        <v>42</v>
      </c>
      <c r="D22" s="277">
        <v>0</v>
      </c>
      <c r="E22" s="186">
        <f aca="true" t="shared" si="3" ref="E22:J22">SUM(E13,E21,)</f>
        <v>3241022</v>
      </c>
      <c r="F22" s="186">
        <f t="shared" si="3"/>
        <v>2625008</v>
      </c>
      <c r="G22" s="186">
        <f t="shared" si="3"/>
        <v>3241022</v>
      </c>
      <c r="H22" s="186">
        <f t="shared" si="3"/>
        <v>2317971</v>
      </c>
      <c r="I22" s="186">
        <f t="shared" si="3"/>
        <v>890651</v>
      </c>
      <c r="J22" s="186">
        <f t="shared" si="3"/>
        <v>32400</v>
      </c>
      <c r="K22" s="273">
        <v>0</v>
      </c>
    </row>
    <row r="23" spans="1:11" ht="22.5" customHeight="1" hidden="1">
      <c r="A23" s="390"/>
      <c r="B23" s="250" t="s">
        <v>650</v>
      </c>
      <c r="C23" s="250" t="s">
        <v>557</v>
      </c>
      <c r="D23" s="195">
        <v>75044</v>
      </c>
      <c r="E23" s="240">
        <v>89960</v>
      </c>
      <c r="F23" s="240">
        <v>86839</v>
      </c>
      <c r="G23" s="240">
        <v>89960</v>
      </c>
      <c r="H23" s="240">
        <v>65989</v>
      </c>
      <c r="I23" s="240">
        <v>28071</v>
      </c>
      <c r="J23" s="240">
        <v>-4100</v>
      </c>
      <c r="K23" s="278">
        <v>75044</v>
      </c>
    </row>
    <row r="24" spans="1:11" ht="23.25" customHeight="1">
      <c r="A24" s="390"/>
      <c r="B24" s="367" t="s">
        <v>614</v>
      </c>
      <c r="C24" s="369"/>
      <c r="D24" s="186">
        <f>SUM(D22,D23)</f>
        <v>75044</v>
      </c>
      <c r="E24" s="186">
        <f aca="true" t="shared" si="4" ref="E24:K24">SUM(E22,E23)</f>
        <v>3330982</v>
      </c>
      <c r="F24" s="186">
        <f t="shared" si="4"/>
        <v>2711847</v>
      </c>
      <c r="G24" s="186">
        <f t="shared" si="4"/>
        <v>3330982</v>
      </c>
      <c r="H24" s="186">
        <f t="shared" si="4"/>
        <v>2383960</v>
      </c>
      <c r="I24" s="186">
        <f t="shared" si="4"/>
        <v>918722</v>
      </c>
      <c r="J24" s="186">
        <f t="shared" si="4"/>
        <v>28300</v>
      </c>
      <c r="K24" s="186">
        <f t="shared" si="4"/>
        <v>75044</v>
      </c>
    </row>
    <row r="25" spans="1:11" ht="17.25" customHeight="1" hidden="1">
      <c r="A25" s="391"/>
      <c r="B25" s="270"/>
      <c r="C25" s="271"/>
      <c r="D25" s="271"/>
      <c r="E25" s="186"/>
      <c r="F25" s="186"/>
      <c r="G25" s="186"/>
      <c r="H25" s="186"/>
      <c r="I25" s="186"/>
      <c r="J25" s="186"/>
      <c r="K25" s="273"/>
    </row>
    <row r="26" spans="1:11" s="11" customFormat="1" ht="30.75" customHeight="1">
      <c r="A26" s="2" t="s">
        <v>452</v>
      </c>
      <c r="B26" s="394" t="s">
        <v>520</v>
      </c>
      <c r="C26" s="395"/>
      <c r="D26" s="279">
        <v>0</v>
      </c>
      <c r="E26" s="186">
        <v>9289</v>
      </c>
      <c r="F26" s="186">
        <v>9289</v>
      </c>
      <c r="G26" s="186">
        <f>SUM(H26:I26)</f>
        <v>9289</v>
      </c>
      <c r="H26" s="186">
        <v>0</v>
      </c>
      <c r="I26" s="186">
        <v>9289</v>
      </c>
      <c r="J26" s="186">
        <f>SUM(J27:J33)</f>
        <v>0</v>
      </c>
      <c r="K26" s="185">
        <v>0</v>
      </c>
    </row>
    <row r="27" spans="1:11" s="11" customFormat="1" ht="30" customHeight="1" hidden="1">
      <c r="A27" s="388" t="s">
        <v>469</v>
      </c>
      <c r="B27" s="392" t="s">
        <v>647</v>
      </c>
      <c r="C27" s="393"/>
      <c r="D27" s="280">
        <v>0</v>
      </c>
      <c r="E27" s="253">
        <f>SUM(E28:E34)</f>
        <v>108020</v>
      </c>
      <c r="F27" s="254">
        <v>0</v>
      </c>
      <c r="G27" s="253">
        <f>SUM(G28:G34)</f>
        <v>108020</v>
      </c>
      <c r="H27" s="254">
        <v>0</v>
      </c>
      <c r="I27" s="254">
        <f>SUM(I28:I34)</f>
        <v>108020</v>
      </c>
      <c r="J27" s="254">
        <v>0</v>
      </c>
      <c r="K27" s="185">
        <v>0</v>
      </c>
    </row>
    <row r="28" spans="1:11" ht="12.75" customHeight="1" hidden="1">
      <c r="A28" s="388"/>
      <c r="B28" s="192"/>
      <c r="C28" s="193" t="s">
        <v>470</v>
      </c>
      <c r="D28" s="281"/>
      <c r="E28" s="194">
        <v>1150</v>
      </c>
      <c r="F28" s="195"/>
      <c r="G28" s="194">
        <f aca="true" t="shared" si="5" ref="G28:G34">SUM(H28:J28)</f>
        <v>1150</v>
      </c>
      <c r="H28" s="195"/>
      <c r="I28" s="195">
        <v>1150</v>
      </c>
      <c r="J28" s="195"/>
      <c r="K28" s="273"/>
    </row>
    <row r="29" spans="1:11" ht="12.75" customHeight="1" hidden="1">
      <c r="A29" s="388"/>
      <c r="B29" s="187"/>
      <c r="C29" s="188" t="s">
        <v>471</v>
      </c>
      <c r="D29" s="282"/>
      <c r="E29" s="189">
        <v>45500</v>
      </c>
      <c r="F29" s="190"/>
      <c r="G29" s="189">
        <f t="shared" si="5"/>
        <v>45500</v>
      </c>
      <c r="H29" s="190"/>
      <c r="I29" s="190">
        <v>45500</v>
      </c>
      <c r="J29" s="190"/>
      <c r="K29" s="273"/>
    </row>
    <row r="30" spans="1:11" ht="12.75" customHeight="1" hidden="1">
      <c r="A30" s="388"/>
      <c r="B30" s="187"/>
      <c r="C30" s="188" t="s">
        <v>472</v>
      </c>
      <c r="D30" s="282"/>
      <c r="E30" s="189">
        <v>1740</v>
      </c>
      <c r="F30" s="190"/>
      <c r="G30" s="189">
        <f t="shared" si="5"/>
        <v>1740</v>
      </c>
      <c r="H30" s="190"/>
      <c r="I30" s="190">
        <f>1740</f>
        <v>1740</v>
      </c>
      <c r="J30" s="190"/>
      <c r="K30" s="273"/>
    </row>
    <row r="31" spans="1:11" ht="12.75" customHeight="1" hidden="1">
      <c r="A31" s="388"/>
      <c r="B31" s="187"/>
      <c r="C31" s="188" t="s">
        <v>473</v>
      </c>
      <c r="D31" s="282"/>
      <c r="E31" s="189">
        <v>1458</v>
      </c>
      <c r="F31" s="190"/>
      <c r="G31" s="189">
        <f t="shared" si="5"/>
        <v>1458</v>
      </c>
      <c r="H31" s="190"/>
      <c r="I31" s="190">
        <f>1458</f>
        <v>1458</v>
      </c>
      <c r="J31" s="190"/>
      <c r="K31" s="273"/>
    </row>
    <row r="32" spans="1:11" ht="12.75" customHeight="1" hidden="1">
      <c r="A32" s="388"/>
      <c r="B32" s="187"/>
      <c r="C32" s="188" t="s">
        <v>474</v>
      </c>
      <c r="D32" s="282"/>
      <c r="E32" s="189">
        <f>622+9510</f>
        <v>10132</v>
      </c>
      <c r="F32" s="190"/>
      <c r="G32" s="189">
        <f t="shared" si="5"/>
        <v>10132</v>
      </c>
      <c r="H32" s="190"/>
      <c r="I32" s="190">
        <f>622+9510</f>
        <v>10132</v>
      </c>
      <c r="J32" s="190"/>
      <c r="K32" s="273"/>
    </row>
    <row r="33" spans="1:11" ht="12.75" customHeight="1" hidden="1">
      <c r="A33" s="388"/>
      <c r="B33" s="187"/>
      <c r="C33" s="188" t="s">
        <v>475</v>
      </c>
      <c r="D33" s="282"/>
      <c r="E33" s="189">
        <f>1640+33900</f>
        <v>35540</v>
      </c>
      <c r="F33" s="190"/>
      <c r="G33" s="189">
        <f t="shared" si="5"/>
        <v>35540</v>
      </c>
      <c r="H33" s="190"/>
      <c r="I33" s="190">
        <f>1640+33900</f>
        <v>35540</v>
      </c>
      <c r="J33" s="190"/>
      <c r="K33" s="273"/>
    </row>
    <row r="34" spans="1:11" ht="12.75" customHeight="1" hidden="1">
      <c r="A34" s="388"/>
      <c r="B34" s="191"/>
      <c r="C34" s="196" t="s">
        <v>476</v>
      </c>
      <c r="D34" s="283"/>
      <c r="E34" s="197">
        <v>12500</v>
      </c>
      <c r="F34" s="198"/>
      <c r="G34" s="197">
        <f t="shared" si="5"/>
        <v>12500</v>
      </c>
      <c r="H34" s="198"/>
      <c r="I34" s="198">
        <v>12500</v>
      </c>
      <c r="J34" s="198"/>
      <c r="K34" s="273"/>
    </row>
    <row r="35" spans="1:11" ht="21" customHeight="1" hidden="1">
      <c r="A35" s="388"/>
      <c r="B35" s="384" t="s">
        <v>557</v>
      </c>
      <c r="C35" s="385"/>
      <c r="D35" s="284">
        <v>0</v>
      </c>
      <c r="E35" s="273">
        <v>8790</v>
      </c>
      <c r="F35" s="273">
        <v>0</v>
      </c>
      <c r="G35" s="273">
        <f>SUM(H35:J35)</f>
        <v>8790</v>
      </c>
      <c r="H35" s="273">
        <v>0</v>
      </c>
      <c r="I35" s="273">
        <v>8790</v>
      </c>
      <c r="J35" s="273">
        <v>0</v>
      </c>
      <c r="K35" s="273">
        <v>0</v>
      </c>
    </row>
    <row r="36" spans="1:11" ht="27.75" customHeight="1">
      <c r="A36" s="388"/>
      <c r="B36" s="386" t="s">
        <v>41</v>
      </c>
      <c r="C36" s="387"/>
      <c r="D36" s="285">
        <v>0</v>
      </c>
      <c r="E36" s="274">
        <f aca="true" t="shared" si="6" ref="E36:J36">SUM(E27,E35)</f>
        <v>116810</v>
      </c>
      <c r="F36" s="274">
        <f t="shared" si="6"/>
        <v>0</v>
      </c>
      <c r="G36" s="274">
        <f t="shared" si="6"/>
        <v>116810</v>
      </c>
      <c r="H36" s="274">
        <f t="shared" si="6"/>
        <v>0</v>
      </c>
      <c r="I36" s="274">
        <f t="shared" si="6"/>
        <v>116810</v>
      </c>
      <c r="J36" s="274">
        <f t="shared" si="6"/>
        <v>0</v>
      </c>
      <c r="K36" s="262">
        <v>0</v>
      </c>
    </row>
    <row r="37" spans="1:11" ht="25.5" customHeight="1">
      <c r="A37" s="388"/>
      <c r="B37" s="384" t="s">
        <v>557</v>
      </c>
      <c r="C37" s="385"/>
      <c r="D37" s="284">
        <v>0</v>
      </c>
      <c r="E37" s="273">
        <v>15560</v>
      </c>
      <c r="F37" s="273">
        <v>0</v>
      </c>
      <c r="G37" s="273">
        <f>SUM(H37:J37)</f>
        <v>15560</v>
      </c>
      <c r="H37" s="273">
        <v>0</v>
      </c>
      <c r="I37" s="273">
        <v>15560</v>
      </c>
      <c r="J37" s="273">
        <v>0</v>
      </c>
      <c r="K37" s="273">
        <v>0</v>
      </c>
    </row>
    <row r="38" spans="1:11" ht="26.25" customHeight="1">
      <c r="A38" s="388"/>
      <c r="B38" s="386" t="s">
        <v>41</v>
      </c>
      <c r="C38" s="387"/>
      <c r="D38" s="285">
        <v>0</v>
      </c>
      <c r="E38" s="274">
        <f>SUM(E36:E37)</f>
        <v>132370</v>
      </c>
      <c r="F38" s="274">
        <f>SUM(F29,F37)</f>
        <v>0</v>
      </c>
      <c r="G38" s="274">
        <f>SUM(G36:G37)</f>
        <v>132370</v>
      </c>
      <c r="H38" s="274">
        <f>SUM(H36:H37)</f>
        <v>0</v>
      </c>
      <c r="I38" s="274">
        <f>SUM(I36:I37)</f>
        <v>132370</v>
      </c>
      <c r="J38" s="274">
        <f>SUM(J36:J37)</f>
        <v>0</v>
      </c>
      <c r="K38" s="274">
        <f>SUM(K36:K37)</f>
        <v>0</v>
      </c>
    </row>
  </sheetData>
  <sheetProtection/>
  <mergeCells count="16">
    <mergeCell ref="A9:A10"/>
    <mergeCell ref="D9:D10"/>
    <mergeCell ref="K9:K10"/>
    <mergeCell ref="B12:C12"/>
    <mergeCell ref="B9:C10"/>
    <mergeCell ref="B11:C11"/>
    <mergeCell ref="G9:J9"/>
    <mergeCell ref="B37:C37"/>
    <mergeCell ref="B38:C38"/>
    <mergeCell ref="A27:A38"/>
    <mergeCell ref="B35:C35"/>
    <mergeCell ref="B36:C36"/>
    <mergeCell ref="A13:A25"/>
    <mergeCell ref="B27:C27"/>
    <mergeCell ref="B26:C2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A279" sqref="A279:IV279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4.375" style="0" bestFit="1" customWidth="1"/>
    <col min="4" max="4" width="29.75390625" style="0" customWidth="1"/>
    <col min="5" max="10" width="0.12890625" style="0" hidden="1" customWidth="1"/>
    <col min="11" max="11" width="34.875" style="0" hidden="1" customWidth="1"/>
    <col min="12" max="12" width="0.12890625" style="0" hidden="1" customWidth="1"/>
    <col min="13" max="13" width="13.875" style="0" customWidth="1"/>
    <col min="14" max="14" width="12.875" style="0" customWidth="1"/>
    <col min="15" max="15" width="12.375" style="0" customWidth="1"/>
  </cols>
  <sheetData>
    <row r="1" spans="1:15" ht="12.75">
      <c r="A1" s="340"/>
      <c r="B1" s="340"/>
      <c r="C1" s="340"/>
      <c r="D1" s="341"/>
      <c r="E1" s="123" t="s">
        <v>720</v>
      </c>
      <c r="F1" s="70"/>
      <c r="G1" s="123" t="s">
        <v>721</v>
      </c>
      <c r="H1" s="70"/>
      <c r="I1" s="123" t="s">
        <v>722</v>
      </c>
      <c r="J1" s="70"/>
      <c r="K1" s="123" t="s">
        <v>723</v>
      </c>
      <c r="L1" s="70"/>
      <c r="M1" s="123" t="s">
        <v>724</v>
      </c>
      <c r="N1" s="70"/>
      <c r="O1" s="123"/>
    </row>
    <row r="2" spans="1:15" ht="12.75">
      <c r="A2" s="340"/>
      <c r="B2" s="340"/>
      <c r="C2" s="340"/>
      <c r="D2" s="341"/>
      <c r="E2" s="123" t="s">
        <v>532</v>
      </c>
      <c r="F2" s="70"/>
      <c r="G2" s="123" t="s">
        <v>637</v>
      </c>
      <c r="H2" s="70"/>
      <c r="I2" s="123" t="s">
        <v>725</v>
      </c>
      <c r="J2" s="70"/>
      <c r="K2" s="123" t="s">
        <v>74</v>
      </c>
      <c r="L2" s="70"/>
      <c r="M2" s="123" t="s">
        <v>381</v>
      </c>
      <c r="N2" s="70"/>
      <c r="O2" s="123"/>
    </row>
    <row r="3" spans="1:15" ht="12.75">
      <c r="A3" s="340"/>
      <c r="B3" s="340"/>
      <c r="C3" s="340"/>
      <c r="D3" s="341"/>
      <c r="E3" s="123" t="s">
        <v>726</v>
      </c>
      <c r="F3" s="70"/>
      <c r="G3" s="123" t="s">
        <v>720</v>
      </c>
      <c r="H3" s="70"/>
      <c r="I3" s="123" t="s">
        <v>721</v>
      </c>
      <c r="J3" s="70"/>
      <c r="K3" s="123" t="s">
        <v>727</v>
      </c>
      <c r="L3" s="70"/>
      <c r="M3" s="123" t="s">
        <v>723</v>
      </c>
      <c r="N3" s="70"/>
      <c r="O3" s="123"/>
    </row>
    <row r="4" spans="1:15" ht="12.75">
      <c r="A4" s="340"/>
      <c r="B4" s="340"/>
      <c r="C4" s="340"/>
      <c r="D4" s="341"/>
      <c r="E4" s="123" t="s">
        <v>728</v>
      </c>
      <c r="F4" s="70"/>
      <c r="G4" s="123" t="s">
        <v>729</v>
      </c>
      <c r="H4" s="70"/>
      <c r="I4" s="123" t="s">
        <v>730</v>
      </c>
      <c r="J4" s="70"/>
      <c r="K4" s="123" t="s">
        <v>731</v>
      </c>
      <c r="L4" s="70"/>
      <c r="M4" s="123" t="s">
        <v>732</v>
      </c>
      <c r="N4" s="70"/>
      <c r="O4" s="123"/>
    </row>
    <row r="5" spans="1:15" ht="15">
      <c r="A5" s="342" t="s">
        <v>733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5" ht="24.75" customHeight="1">
      <c r="A6" s="2" t="s">
        <v>112</v>
      </c>
      <c r="B6" s="2" t="s">
        <v>113</v>
      </c>
      <c r="C6" s="2" t="s">
        <v>114</v>
      </c>
      <c r="D6" s="2" t="s">
        <v>115</v>
      </c>
      <c r="E6" s="343" t="s">
        <v>270</v>
      </c>
      <c r="F6" s="343" t="s">
        <v>351</v>
      </c>
      <c r="G6" s="124" t="s">
        <v>270</v>
      </c>
      <c r="H6" s="343" t="s">
        <v>351</v>
      </c>
      <c r="I6" s="124" t="s">
        <v>271</v>
      </c>
      <c r="J6" s="343" t="s">
        <v>351</v>
      </c>
      <c r="K6" s="124" t="s">
        <v>271</v>
      </c>
      <c r="L6" s="343" t="s">
        <v>351</v>
      </c>
      <c r="M6" s="124" t="s">
        <v>271</v>
      </c>
      <c r="N6" s="174" t="s">
        <v>351</v>
      </c>
      <c r="O6" s="124" t="s">
        <v>679</v>
      </c>
    </row>
    <row r="7" spans="1:15" ht="22.5" customHeight="1">
      <c r="A7" s="37" t="s">
        <v>196</v>
      </c>
      <c r="B7" s="5"/>
      <c r="C7" s="5"/>
      <c r="D7" s="22" t="s">
        <v>197</v>
      </c>
      <c r="E7" s="18">
        <f aca="true" t="shared" si="0" ref="E7:O7">E8</f>
        <v>172580</v>
      </c>
      <c r="F7" s="18">
        <f t="shared" si="0"/>
        <v>-6</v>
      </c>
      <c r="G7" s="18">
        <f t="shared" si="0"/>
        <v>172574</v>
      </c>
      <c r="H7" s="18">
        <f t="shared" si="0"/>
        <v>3000</v>
      </c>
      <c r="I7" s="18">
        <f t="shared" si="0"/>
        <v>175574</v>
      </c>
      <c r="J7" s="18">
        <f t="shared" si="0"/>
        <v>-650</v>
      </c>
      <c r="K7" s="18">
        <f t="shared" si="0"/>
        <v>174924</v>
      </c>
      <c r="L7" s="18">
        <f t="shared" si="0"/>
        <v>650</v>
      </c>
      <c r="M7" s="18">
        <f t="shared" si="0"/>
        <v>175574</v>
      </c>
      <c r="N7" s="18">
        <f t="shared" si="0"/>
        <v>-9260</v>
      </c>
      <c r="O7" s="18">
        <f t="shared" si="0"/>
        <v>166314</v>
      </c>
    </row>
    <row r="8" spans="1:15" ht="23.25" customHeight="1">
      <c r="A8" s="344"/>
      <c r="B8" s="344" t="s">
        <v>198</v>
      </c>
      <c r="C8" s="66"/>
      <c r="D8" s="52" t="s">
        <v>199</v>
      </c>
      <c r="E8" s="108">
        <f>SUM(E9,E26,E41,E49)</f>
        <v>172580</v>
      </c>
      <c r="F8" s="108">
        <f aca="true" t="shared" si="1" ref="F8:O8">F9+F26+F41+F50</f>
        <v>-6</v>
      </c>
      <c r="G8" s="108">
        <f t="shared" si="1"/>
        <v>172574</v>
      </c>
      <c r="H8" s="108">
        <f t="shared" si="1"/>
        <v>3000</v>
      </c>
      <c r="I8" s="108">
        <f t="shared" si="1"/>
        <v>175574</v>
      </c>
      <c r="J8" s="108">
        <f t="shared" si="1"/>
        <v>-650</v>
      </c>
      <c r="K8" s="108">
        <f t="shared" si="1"/>
        <v>174924</v>
      </c>
      <c r="L8" s="108">
        <f t="shared" si="1"/>
        <v>650</v>
      </c>
      <c r="M8" s="108">
        <f t="shared" si="1"/>
        <v>175574</v>
      </c>
      <c r="N8" s="101">
        <f t="shared" si="1"/>
        <v>-9260</v>
      </c>
      <c r="O8" s="108">
        <f t="shared" si="1"/>
        <v>166314</v>
      </c>
    </row>
    <row r="9" spans="1:15" ht="20.25" customHeight="1">
      <c r="A9" s="344"/>
      <c r="B9" s="66"/>
      <c r="C9" s="344">
        <v>4210</v>
      </c>
      <c r="D9" s="52" t="s">
        <v>194</v>
      </c>
      <c r="E9" s="108">
        <f aca="true" t="shared" si="2" ref="E9:O9">SUM(E10:E25)</f>
        <v>33960</v>
      </c>
      <c r="F9" s="108">
        <f t="shared" si="2"/>
        <v>1297</v>
      </c>
      <c r="G9" s="108">
        <f t="shared" si="2"/>
        <v>35257</v>
      </c>
      <c r="H9" s="108">
        <f t="shared" si="2"/>
        <v>-1000</v>
      </c>
      <c r="I9" s="108">
        <f t="shared" si="2"/>
        <v>34257</v>
      </c>
      <c r="J9" s="108">
        <f t="shared" si="2"/>
        <v>-2423</v>
      </c>
      <c r="K9" s="108">
        <f t="shared" si="2"/>
        <v>31834</v>
      </c>
      <c r="L9" s="108">
        <f t="shared" si="2"/>
        <v>850</v>
      </c>
      <c r="M9" s="108">
        <f t="shared" si="2"/>
        <v>32684</v>
      </c>
      <c r="N9" s="101">
        <f t="shared" si="2"/>
        <v>-1549</v>
      </c>
      <c r="O9" s="108">
        <f t="shared" si="2"/>
        <v>31135</v>
      </c>
    </row>
    <row r="10" spans="1:15" ht="16.5" customHeight="1">
      <c r="A10" s="345"/>
      <c r="B10" s="345"/>
      <c r="C10" s="346"/>
      <c r="D10" s="347" t="s">
        <v>734</v>
      </c>
      <c r="E10" s="111">
        <v>4000</v>
      </c>
      <c r="F10" s="111"/>
      <c r="G10" s="111">
        <f>SUM(E10+F10)</f>
        <v>4000</v>
      </c>
      <c r="H10" s="111"/>
      <c r="I10" s="111">
        <f>SUM(G10+H10)</f>
        <v>4000</v>
      </c>
      <c r="J10" s="111">
        <v>-4000</v>
      </c>
      <c r="K10" s="111">
        <f aca="true" t="shared" si="3" ref="K10:K16">SUM(I10+J10)</f>
        <v>0</v>
      </c>
      <c r="L10" s="111"/>
      <c r="M10" s="111">
        <f aca="true" t="shared" si="4" ref="M10:M25">SUM(K10+L10)</f>
        <v>0</v>
      </c>
      <c r="N10" s="60"/>
      <c r="O10" s="111">
        <f aca="true" t="shared" si="5" ref="O10:O25">SUM(M10+N10)</f>
        <v>0</v>
      </c>
    </row>
    <row r="11" spans="1:15" ht="16.5" customHeight="1">
      <c r="A11" s="345"/>
      <c r="B11" s="345"/>
      <c r="C11" s="346"/>
      <c r="D11" s="347" t="s">
        <v>735</v>
      </c>
      <c r="E11" s="111">
        <v>1100</v>
      </c>
      <c r="F11" s="111"/>
      <c r="G11" s="111">
        <f>SUM(E11+F11)</f>
        <v>1100</v>
      </c>
      <c r="H11" s="111"/>
      <c r="I11" s="111">
        <f>SUM(G11+H11)</f>
        <v>1100</v>
      </c>
      <c r="J11" s="111"/>
      <c r="K11" s="111">
        <f t="shared" si="3"/>
        <v>1100</v>
      </c>
      <c r="L11" s="111">
        <v>600</v>
      </c>
      <c r="M11" s="111">
        <f t="shared" si="4"/>
        <v>1700</v>
      </c>
      <c r="N11" s="60"/>
      <c r="O11" s="111">
        <f t="shared" si="5"/>
        <v>1700</v>
      </c>
    </row>
    <row r="12" spans="1:15" ht="16.5" customHeight="1">
      <c r="A12" s="345"/>
      <c r="B12" s="345"/>
      <c r="C12" s="346"/>
      <c r="D12" s="347" t="s">
        <v>736</v>
      </c>
      <c r="E12" s="111">
        <v>5000</v>
      </c>
      <c r="F12" s="111"/>
      <c r="G12" s="111">
        <f>SUM(E12+F12)</f>
        <v>5000</v>
      </c>
      <c r="H12" s="348">
        <v>-4000</v>
      </c>
      <c r="I12" s="111">
        <f>SUM(G12+H12)</f>
        <v>1000</v>
      </c>
      <c r="J12" s="111">
        <v>1210</v>
      </c>
      <c r="K12" s="111">
        <f t="shared" si="3"/>
        <v>2210</v>
      </c>
      <c r="L12" s="111"/>
      <c r="M12" s="111">
        <f t="shared" si="4"/>
        <v>2210</v>
      </c>
      <c r="N12" s="60"/>
      <c r="O12" s="111">
        <f t="shared" si="5"/>
        <v>2210</v>
      </c>
    </row>
    <row r="13" spans="1:15" ht="16.5" customHeight="1">
      <c r="A13" s="345"/>
      <c r="B13" s="345"/>
      <c r="C13" s="346"/>
      <c r="D13" s="347" t="s">
        <v>737</v>
      </c>
      <c r="E13" s="111">
        <v>0</v>
      </c>
      <c r="F13" s="111"/>
      <c r="G13" s="111">
        <v>0</v>
      </c>
      <c r="H13" s="348"/>
      <c r="I13" s="111">
        <v>0</v>
      </c>
      <c r="J13" s="111">
        <v>2000</v>
      </c>
      <c r="K13" s="111">
        <f t="shared" si="3"/>
        <v>2000</v>
      </c>
      <c r="L13" s="111"/>
      <c r="M13" s="111">
        <f t="shared" si="4"/>
        <v>2000</v>
      </c>
      <c r="N13" s="60"/>
      <c r="O13" s="111">
        <f t="shared" si="5"/>
        <v>2000</v>
      </c>
    </row>
    <row r="14" spans="1:15" ht="16.5" customHeight="1">
      <c r="A14" s="345"/>
      <c r="B14" s="345"/>
      <c r="C14" s="346"/>
      <c r="D14" s="347" t="s">
        <v>738</v>
      </c>
      <c r="E14" s="111">
        <v>0</v>
      </c>
      <c r="F14" s="111"/>
      <c r="G14" s="111">
        <v>0</v>
      </c>
      <c r="H14" s="348"/>
      <c r="I14" s="111">
        <v>0</v>
      </c>
      <c r="J14" s="111">
        <v>300</v>
      </c>
      <c r="K14" s="111">
        <f t="shared" si="3"/>
        <v>300</v>
      </c>
      <c r="L14" s="111"/>
      <c r="M14" s="111">
        <f t="shared" si="4"/>
        <v>300</v>
      </c>
      <c r="N14" s="60"/>
      <c r="O14" s="111">
        <f t="shared" si="5"/>
        <v>300</v>
      </c>
    </row>
    <row r="15" spans="1:15" ht="16.5" customHeight="1">
      <c r="A15" s="345"/>
      <c r="B15" s="345"/>
      <c r="C15" s="346"/>
      <c r="D15" s="347" t="s">
        <v>739</v>
      </c>
      <c r="E15" s="111">
        <v>2400</v>
      </c>
      <c r="F15" s="111"/>
      <c r="G15" s="111">
        <f>SUM(E15+F15)</f>
        <v>2400</v>
      </c>
      <c r="H15" s="111"/>
      <c r="I15" s="111">
        <f>SUM(G15+H15)</f>
        <v>2400</v>
      </c>
      <c r="J15" s="111">
        <v>-1050</v>
      </c>
      <c r="K15" s="111">
        <f t="shared" si="3"/>
        <v>1350</v>
      </c>
      <c r="L15" s="111"/>
      <c r="M15" s="111">
        <f t="shared" si="4"/>
        <v>1350</v>
      </c>
      <c r="N15" s="60"/>
      <c r="O15" s="111">
        <f t="shared" si="5"/>
        <v>1350</v>
      </c>
    </row>
    <row r="16" spans="1:15" ht="16.5" customHeight="1">
      <c r="A16" s="345"/>
      <c r="B16" s="345"/>
      <c r="C16" s="346"/>
      <c r="D16" s="347" t="s">
        <v>740</v>
      </c>
      <c r="E16" s="111">
        <v>0</v>
      </c>
      <c r="F16" s="111"/>
      <c r="G16" s="111">
        <v>0</v>
      </c>
      <c r="H16" s="111"/>
      <c r="I16" s="111">
        <v>0</v>
      </c>
      <c r="J16" s="111">
        <v>2700</v>
      </c>
      <c r="K16" s="111">
        <f t="shared" si="3"/>
        <v>2700</v>
      </c>
      <c r="L16" s="111"/>
      <c r="M16" s="111">
        <f t="shared" si="4"/>
        <v>2700</v>
      </c>
      <c r="N16" s="60"/>
      <c r="O16" s="111">
        <f t="shared" si="5"/>
        <v>2700</v>
      </c>
    </row>
    <row r="17" spans="1:15" ht="16.5" customHeight="1">
      <c r="A17" s="345"/>
      <c r="B17" s="345"/>
      <c r="C17" s="346"/>
      <c r="D17" s="347" t="s">
        <v>0</v>
      </c>
      <c r="E17" s="111">
        <v>0</v>
      </c>
      <c r="F17" s="111"/>
      <c r="G17" s="111">
        <v>0</v>
      </c>
      <c r="H17" s="111"/>
      <c r="I17" s="111">
        <v>0</v>
      </c>
      <c r="J17" s="111"/>
      <c r="K17" s="111">
        <v>0</v>
      </c>
      <c r="L17" s="111">
        <v>250</v>
      </c>
      <c r="M17" s="111">
        <f t="shared" si="4"/>
        <v>250</v>
      </c>
      <c r="N17" s="60"/>
      <c r="O17" s="111">
        <f t="shared" si="5"/>
        <v>250</v>
      </c>
    </row>
    <row r="18" spans="1:15" ht="16.5" customHeight="1">
      <c r="A18" s="345"/>
      <c r="B18" s="345"/>
      <c r="C18" s="346"/>
      <c r="D18" s="347" t="s">
        <v>1</v>
      </c>
      <c r="E18" s="111">
        <v>3000</v>
      </c>
      <c r="F18" s="111">
        <v>3000</v>
      </c>
      <c r="G18" s="111">
        <f>SUM(E18+F18)</f>
        <v>6000</v>
      </c>
      <c r="H18" s="111"/>
      <c r="I18" s="111">
        <f>SUM(G18+H18)</f>
        <v>6000</v>
      </c>
      <c r="J18" s="111">
        <v>-5000</v>
      </c>
      <c r="K18" s="111">
        <f aca="true" t="shared" si="6" ref="K18:K25">SUM(I18+J18)</f>
        <v>1000</v>
      </c>
      <c r="L18" s="111"/>
      <c r="M18" s="111">
        <f t="shared" si="4"/>
        <v>1000</v>
      </c>
      <c r="N18" s="60"/>
      <c r="O18" s="111">
        <f t="shared" si="5"/>
        <v>1000</v>
      </c>
    </row>
    <row r="19" spans="1:15" ht="16.5" customHeight="1">
      <c r="A19" s="345"/>
      <c r="B19" s="345"/>
      <c r="C19" s="346"/>
      <c r="D19" s="347" t="s">
        <v>2</v>
      </c>
      <c r="E19" s="111">
        <v>3300</v>
      </c>
      <c r="F19" s="111"/>
      <c r="G19" s="111">
        <f>SUM(E19+F19)</f>
        <v>3300</v>
      </c>
      <c r="H19" s="111"/>
      <c r="I19" s="111">
        <f>SUM(G19+H19)</f>
        <v>3300</v>
      </c>
      <c r="J19" s="111"/>
      <c r="K19" s="111">
        <f t="shared" si="6"/>
        <v>3300</v>
      </c>
      <c r="L19" s="111"/>
      <c r="M19" s="111">
        <f t="shared" si="4"/>
        <v>3300</v>
      </c>
      <c r="N19" s="60">
        <v>-1040</v>
      </c>
      <c r="O19" s="111">
        <f t="shared" si="5"/>
        <v>2260</v>
      </c>
    </row>
    <row r="20" spans="1:15" ht="16.5" customHeight="1">
      <c r="A20" s="345"/>
      <c r="B20" s="345"/>
      <c r="C20" s="346"/>
      <c r="D20" s="347" t="s">
        <v>3</v>
      </c>
      <c r="E20" s="111">
        <v>0</v>
      </c>
      <c r="F20" s="111"/>
      <c r="G20" s="111">
        <v>0</v>
      </c>
      <c r="H20" s="111"/>
      <c r="I20" s="111">
        <v>0</v>
      </c>
      <c r="J20" s="111">
        <v>4037</v>
      </c>
      <c r="K20" s="111">
        <f t="shared" si="6"/>
        <v>4037</v>
      </c>
      <c r="L20" s="111"/>
      <c r="M20" s="111">
        <f t="shared" si="4"/>
        <v>4037</v>
      </c>
      <c r="N20" s="60"/>
      <c r="O20" s="111">
        <f t="shared" si="5"/>
        <v>4037</v>
      </c>
    </row>
    <row r="21" spans="1:15" ht="16.5" customHeight="1">
      <c r="A21" s="345"/>
      <c r="B21" s="345"/>
      <c r="C21" s="346"/>
      <c r="D21" s="347" t="s">
        <v>4</v>
      </c>
      <c r="E21" s="111">
        <v>4700</v>
      </c>
      <c r="F21" s="111">
        <v>-1700</v>
      </c>
      <c r="G21" s="111">
        <f>SUM(E21+F21)</f>
        <v>3000</v>
      </c>
      <c r="H21" s="111">
        <v>3000</v>
      </c>
      <c r="I21" s="111">
        <f>SUM(G21+H21)</f>
        <v>6000</v>
      </c>
      <c r="J21" s="111"/>
      <c r="K21" s="111">
        <f t="shared" si="6"/>
        <v>6000</v>
      </c>
      <c r="L21" s="111"/>
      <c r="M21" s="111">
        <f t="shared" si="4"/>
        <v>6000</v>
      </c>
      <c r="N21" s="60">
        <v>-229</v>
      </c>
      <c r="O21" s="111">
        <f t="shared" si="5"/>
        <v>5771</v>
      </c>
    </row>
    <row r="22" spans="1:15" ht="16.5" customHeight="1">
      <c r="A22" s="345"/>
      <c r="B22" s="345"/>
      <c r="C22" s="346"/>
      <c r="D22" s="347" t="s">
        <v>5</v>
      </c>
      <c r="E22" s="111">
        <v>2620</v>
      </c>
      <c r="F22" s="111"/>
      <c r="G22" s="111">
        <f>SUM(E22+F22)</f>
        <v>2620</v>
      </c>
      <c r="H22" s="111"/>
      <c r="I22" s="111">
        <f>SUM(G22+H22)</f>
        <v>2620</v>
      </c>
      <c r="J22" s="111">
        <v>-2620</v>
      </c>
      <c r="K22" s="111">
        <f t="shared" si="6"/>
        <v>0</v>
      </c>
      <c r="L22" s="111"/>
      <c r="M22" s="111">
        <f t="shared" si="4"/>
        <v>0</v>
      </c>
      <c r="N22" s="60">
        <v>920</v>
      </c>
      <c r="O22" s="111">
        <f t="shared" si="5"/>
        <v>920</v>
      </c>
    </row>
    <row r="23" spans="1:15" ht="16.5" customHeight="1">
      <c r="A23" s="345"/>
      <c r="B23" s="345"/>
      <c r="C23" s="346"/>
      <c r="D23" s="347" t="s">
        <v>6</v>
      </c>
      <c r="E23" s="111">
        <v>1200</v>
      </c>
      <c r="F23" s="111"/>
      <c r="G23" s="111">
        <f>SUM(E23+F23)</f>
        <v>1200</v>
      </c>
      <c r="H23" s="111"/>
      <c r="I23" s="111">
        <f>SUM(G23+H23)</f>
        <v>1200</v>
      </c>
      <c r="J23" s="111"/>
      <c r="K23" s="111">
        <f t="shared" si="6"/>
        <v>1200</v>
      </c>
      <c r="L23" s="111"/>
      <c r="M23" s="111">
        <f t="shared" si="4"/>
        <v>1200</v>
      </c>
      <c r="N23" s="60">
        <v>-1200</v>
      </c>
      <c r="O23" s="111">
        <f t="shared" si="5"/>
        <v>0</v>
      </c>
    </row>
    <row r="24" spans="1:15" ht="16.5" customHeight="1">
      <c r="A24" s="345"/>
      <c r="B24" s="345"/>
      <c r="C24" s="346"/>
      <c r="D24" s="347" t="s">
        <v>7</v>
      </c>
      <c r="E24" s="111">
        <v>1830</v>
      </c>
      <c r="F24" s="111"/>
      <c r="G24" s="111">
        <f>SUM(E24+F24)</f>
        <v>1830</v>
      </c>
      <c r="H24" s="111"/>
      <c r="I24" s="111">
        <f>SUM(G24+H24)</f>
        <v>1830</v>
      </c>
      <c r="J24" s="111"/>
      <c r="K24" s="111">
        <f t="shared" si="6"/>
        <v>1830</v>
      </c>
      <c r="L24" s="111"/>
      <c r="M24" s="111">
        <f t="shared" si="4"/>
        <v>1830</v>
      </c>
      <c r="N24" s="60"/>
      <c r="O24" s="111">
        <f t="shared" si="5"/>
        <v>1830</v>
      </c>
    </row>
    <row r="25" spans="1:15" ht="16.5" customHeight="1">
      <c r="A25" s="345"/>
      <c r="B25" s="345"/>
      <c r="C25" s="346"/>
      <c r="D25" s="347" t="s">
        <v>8</v>
      </c>
      <c r="E25" s="111">
        <v>4810</v>
      </c>
      <c r="F25" s="111">
        <v>-3</v>
      </c>
      <c r="G25" s="111">
        <f>SUM(E25+F25)</f>
        <v>4807</v>
      </c>
      <c r="H25" s="111"/>
      <c r="I25" s="111">
        <f>SUM(G25+H25)</f>
        <v>4807</v>
      </c>
      <c r="J25" s="111"/>
      <c r="K25" s="111">
        <f t="shared" si="6"/>
        <v>4807</v>
      </c>
      <c r="L25" s="111"/>
      <c r="M25" s="111">
        <f t="shared" si="4"/>
        <v>4807</v>
      </c>
      <c r="N25" s="60"/>
      <c r="O25" s="111">
        <f t="shared" si="5"/>
        <v>4807</v>
      </c>
    </row>
    <row r="26" spans="1:15" s="7" customFormat="1" ht="24" customHeight="1">
      <c r="A26" s="344"/>
      <c r="B26" s="66"/>
      <c r="C26" s="344">
        <v>4300</v>
      </c>
      <c r="D26" s="52" t="s">
        <v>201</v>
      </c>
      <c r="E26" s="108">
        <f aca="true" t="shared" si="7" ref="E26:O26">SUM(E27:E40)</f>
        <v>31340</v>
      </c>
      <c r="F26" s="108">
        <f t="shared" si="7"/>
        <v>4697</v>
      </c>
      <c r="G26" s="108">
        <f t="shared" si="7"/>
        <v>36037</v>
      </c>
      <c r="H26" s="108">
        <f t="shared" si="7"/>
        <v>4000</v>
      </c>
      <c r="I26" s="108">
        <f t="shared" si="7"/>
        <v>40037</v>
      </c>
      <c r="J26" s="108">
        <f t="shared" si="7"/>
        <v>13083</v>
      </c>
      <c r="K26" s="108">
        <f t="shared" si="7"/>
        <v>53120</v>
      </c>
      <c r="L26" s="108">
        <f t="shared" si="7"/>
        <v>0</v>
      </c>
      <c r="M26" s="108">
        <f t="shared" si="7"/>
        <v>53120</v>
      </c>
      <c r="N26" s="101">
        <f t="shared" si="7"/>
        <v>-10243</v>
      </c>
      <c r="O26" s="108">
        <f t="shared" si="7"/>
        <v>42877</v>
      </c>
    </row>
    <row r="27" spans="1:15" ht="16.5" customHeight="1">
      <c r="A27" s="345"/>
      <c r="B27" s="345"/>
      <c r="C27" s="345"/>
      <c r="D27" s="347" t="s">
        <v>734</v>
      </c>
      <c r="E27" s="111">
        <v>8000</v>
      </c>
      <c r="F27" s="111"/>
      <c r="G27" s="111">
        <f>SUM(E27+F27)</f>
        <v>8000</v>
      </c>
      <c r="H27" s="111"/>
      <c r="I27" s="111">
        <f>SUM(G27+H27)</f>
        <v>8000</v>
      </c>
      <c r="J27" s="111">
        <v>4000</v>
      </c>
      <c r="K27" s="111">
        <f aca="true" t="shared" si="8" ref="K27:K40">SUM(I27+J27)</f>
        <v>12000</v>
      </c>
      <c r="L27" s="111"/>
      <c r="M27" s="111">
        <f aca="true" t="shared" si="9" ref="M27:M40">SUM(K27+L27)</f>
        <v>12000</v>
      </c>
      <c r="N27" s="60"/>
      <c r="O27" s="111">
        <f aca="true" t="shared" si="10" ref="O27:O40">SUM(M27+N27)</f>
        <v>12000</v>
      </c>
    </row>
    <row r="28" spans="1:15" ht="16.5" customHeight="1">
      <c r="A28" s="345"/>
      <c r="B28" s="345"/>
      <c r="C28" s="345"/>
      <c r="D28" s="347" t="s">
        <v>736</v>
      </c>
      <c r="E28" s="111">
        <v>2200</v>
      </c>
      <c r="F28" s="111"/>
      <c r="G28" s="111">
        <f>SUM(E28+F28)</f>
        <v>2200</v>
      </c>
      <c r="H28" s="348">
        <v>4000</v>
      </c>
      <c r="I28" s="111">
        <f>SUM(G28+H28)</f>
        <v>6200</v>
      </c>
      <c r="J28" s="111">
        <v>-1210</v>
      </c>
      <c r="K28" s="111">
        <f t="shared" si="8"/>
        <v>4990</v>
      </c>
      <c r="L28" s="111"/>
      <c r="M28" s="111">
        <f t="shared" si="9"/>
        <v>4990</v>
      </c>
      <c r="N28" s="60"/>
      <c r="O28" s="111">
        <f t="shared" si="10"/>
        <v>4990</v>
      </c>
    </row>
    <row r="29" spans="1:15" ht="16.5" customHeight="1">
      <c r="A29" s="345"/>
      <c r="B29" s="345"/>
      <c r="C29" s="345"/>
      <c r="D29" s="347" t="s">
        <v>737</v>
      </c>
      <c r="E29" s="111">
        <v>2000</v>
      </c>
      <c r="F29" s="111"/>
      <c r="G29" s="111">
        <f>SUM(E29+F29)</f>
        <v>2000</v>
      </c>
      <c r="H29" s="111"/>
      <c r="I29" s="111">
        <f>SUM(G29+H29)</f>
        <v>2000</v>
      </c>
      <c r="J29" s="111">
        <v>-2000</v>
      </c>
      <c r="K29" s="111">
        <f t="shared" si="8"/>
        <v>0</v>
      </c>
      <c r="L29" s="111"/>
      <c r="M29" s="111">
        <f t="shared" si="9"/>
        <v>0</v>
      </c>
      <c r="N29" s="60"/>
      <c r="O29" s="111">
        <f t="shared" si="10"/>
        <v>0</v>
      </c>
    </row>
    <row r="30" spans="1:15" ht="16.5" customHeight="1">
      <c r="A30" s="345"/>
      <c r="B30" s="345"/>
      <c r="C30" s="345"/>
      <c r="D30" s="347" t="s">
        <v>738</v>
      </c>
      <c r="E30" s="111">
        <v>1000</v>
      </c>
      <c r="F30" s="111"/>
      <c r="G30" s="111">
        <f>SUM(E30+F30)</f>
        <v>1000</v>
      </c>
      <c r="H30" s="111"/>
      <c r="I30" s="111">
        <f>SUM(G30+H30)</f>
        <v>1000</v>
      </c>
      <c r="J30" s="111"/>
      <c r="K30" s="111">
        <f t="shared" si="8"/>
        <v>1000</v>
      </c>
      <c r="L30" s="111"/>
      <c r="M30" s="111">
        <f t="shared" si="9"/>
        <v>1000</v>
      </c>
      <c r="N30" s="60"/>
      <c r="O30" s="111">
        <f t="shared" si="10"/>
        <v>1000</v>
      </c>
    </row>
    <row r="31" spans="1:15" ht="16.5" customHeight="1">
      <c r="A31" s="345"/>
      <c r="B31" s="345"/>
      <c r="C31" s="345"/>
      <c r="D31" s="347" t="s">
        <v>739</v>
      </c>
      <c r="E31" s="111">
        <v>0</v>
      </c>
      <c r="F31" s="111"/>
      <c r="G31" s="111">
        <v>0</v>
      </c>
      <c r="H31" s="111"/>
      <c r="I31" s="111">
        <v>0</v>
      </c>
      <c r="J31" s="111">
        <v>1050</v>
      </c>
      <c r="K31" s="111">
        <f t="shared" si="8"/>
        <v>1050</v>
      </c>
      <c r="L31" s="111"/>
      <c r="M31" s="111">
        <f t="shared" si="9"/>
        <v>1050</v>
      </c>
      <c r="N31" s="60"/>
      <c r="O31" s="111">
        <f t="shared" si="10"/>
        <v>1050</v>
      </c>
    </row>
    <row r="32" spans="1:15" ht="16.5" customHeight="1">
      <c r="A32" s="345"/>
      <c r="B32" s="345"/>
      <c r="C32" s="345"/>
      <c r="D32" s="347" t="s">
        <v>740</v>
      </c>
      <c r="E32" s="111">
        <v>4800</v>
      </c>
      <c r="F32" s="111"/>
      <c r="G32" s="111">
        <f>SUM(E32+F32)</f>
        <v>4800</v>
      </c>
      <c r="H32" s="111"/>
      <c r="I32" s="111">
        <f>SUM(G32+H32)</f>
        <v>4800</v>
      </c>
      <c r="J32" s="111">
        <v>-2900</v>
      </c>
      <c r="K32" s="111">
        <f t="shared" si="8"/>
        <v>1900</v>
      </c>
      <c r="L32" s="111"/>
      <c r="M32" s="111">
        <f t="shared" si="9"/>
        <v>1900</v>
      </c>
      <c r="N32" s="60"/>
      <c r="O32" s="111">
        <f t="shared" si="10"/>
        <v>1900</v>
      </c>
    </row>
    <row r="33" spans="1:15" ht="16.5" customHeight="1">
      <c r="A33" s="345"/>
      <c r="B33" s="349"/>
      <c r="C33" s="345"/>
      <c r="D33" s="347" t="s">
        <v>0</v>
      </c>
      <c r="E33" s="111">
        <v>0</v>
      </c>
      <c r="F33" s="111"/>
      <c r="G33" s="111">
        <v>0</v>
      </c>
      <c r="H33" s="111"/>
      <c r="I33" s="111">
        <v>0</v>
      </c>
      <c r="J33" s="111">
        <v>4500</v>
      </c>
      <c r="K33" s="111">
        <f t="shared" si="8"/>
        <v>4500</v>
      </c>
      <c r="L33" s="111"/>
      <c r="M33" s="111">
        <f t="shared" si="9"/>
        <v>4500</v>
      </c>
      <c r="N33" s="60"/>
      <c r="O33" s="111">
        <f t="shared" si="10"/>
        <v>4500</v>
      </c>
    </row>
    <row r="34" spans="1:15" ht="16.5" customHeight="1">
      <c r="A34" s="345"/>
      <c r="B34" s="349"/>
      <c r="C34" s="345"/>
      <c r="D34" s="347" t="s">
        <v>1</v>
      </c>
      <c r="E34" s="111">
        <v>1000</v>
      </c>
      <c r="F34" s="111">
        <v>3000</v>
      </c>
      <c r="G34" s="111">
        <f>SUM(E34+F34)</f>
        <v>4000</v>
      </c>
      <c r="H34" s="111"/>
      <c r="I34" s="111">
        <f>SUM(G34+H34)</f>
        <v>4000</v>
      </c>
      <c r="J34" s="111">
        <v>5000</v>
      </c>
      <c r="K34" s="111">
        <f t="shared" si="8"/>
        <v>9000</v>
      </c>
      <c r="L34" s="111"/>
      <c r="M34" s="111">
        <f t="shared" si="9"/>
        <v>9000</v>
      </c>
      <c r="N34" s="60"/>
      <c r="O34" s="111">
        <f t="shared" si="10"/>
        <v>9000</v>
      </c>
    </row>
    <row r="35" spans="1:15" ht="16.5" customHeight="1">
      <c r="A35" s="345"/>
      <c r="B35" s="349"/>
      <c r="C35" s="345"/>
      <c r="D35" s="347" t="s">
        <v>3</v>
      </c>
      <c r="E35" s="111">
        <v>4040</v>
      </c>
      <c r="F35" s="111">
        <v>-3</v>
      </c>
      <c r="G35" s="111">
        <f>SUM(E35+F35)</f>
        <v>4037</v>
      </c>
      <c r="H35" s="111"/>
      <c r="I35" s="111">
        <f>SUM(G35+H35)</f>
        <v>4037</v>
      </c>
      <c r="J35" s="111">
        <v>-4037</v>
      </c>
      <c r="K35" s="111">
        <f t="shared" si="8"/>
        <v>0</v>
      </c>
      <c r="L35" s="111"/>
      <c r="M35" s="111">
        <f t="shared" si="9"/>
        <v>0</v>
      </c>
      <c r="N35" s="60"/>
      <c r="O35" s="111">
        <f t="shared" si="10"/>
        <v>0</v>
      </c>
    </row>
    <row r="36" spans="1:15" ht="16.5" customHeight="1">
      <c r="A36" s="345"/>
      <c r="B36" s="349"/>
      <c r="C36" s="345"/>
      <c r="D36" s="347" t="s">
        <v>4</v>
      </c>
      <c r="E36" s="111">
        <v>5000</v>
      </c>
      <c r="F36" s="111">
        <v>1700</v>
      </c>
      <c r="G36" s="111">
        <f>SUM(E36+F36)</f>
        <v>6700</v>
      </c>
      <c r="H36" s="111"/>
      <c r="I36" s="111">
        <f>SUM(G36+H36)</f>
        <v>6700</v>
      </c>
      <c r="J36" s="111"/>
      <c r="K36" s="111">
        <f t="shared" si="8"/>
        <v>6700</v>
      </c>
      <c r="L36" s="111"/>
      <c r="M36" s="111">
        <f t="shared" si="9"/>
        <v>6700</v>
      </c>
      <c r="N36" s="60">
        <v>-3263</v>
      </c>
      <c r="O36" s="111">
        <f t="shared" si="10"/>
        <v>3437</v>
      </c>
    </row>
    <row r="37" spans="1:15" ht="16.5" customHeight="1">
      <c r="A37" s="345"/>
      <c r="B37" s="345"/>
      <c r="C37" s="345"/>
      <c r="D37" s="347" t="s">
        <v>5</v>
      </c>
      <c r="E37" s="111">
        <v>300</v>
      </c>
      <c r="F37" s="111"/>
      <c r="G37" s="111">
        <f>SUM(E37+F37)</f>
        <v>300</v>
      </c>
      <c r="H37" s="111"/>
      <c r="I37" s="111">
        <f>SUM(G37+H37)</f>
        <v>300</v>
      </c>
      <c r="J37" s="111">
        <v>2620</v>
      </c>
      <c r="K37" s="111">
        <f t="shared" si="8"/>
        <v>2920</v>
      </c>
      <c r="L37" s="111"/>
      <c r="M37" s="111">
        <f t="shared" si="9"/>
        <v>2920</v>
      </c>
      <c r="N37" s="60">
        <v>-920</v>
      </c>
      <c r="O37" s="111">
        <f t="shared" si="10"/>
        <v>2000</v>
      </c>
    </row>
    <row r="38" spans="1:15" ht="16.5" customHeight="1">
      <c r="A38" s="345"/>
      <c r="B38" s="345"/>
      <c r="C38" s="345"/>
      <c r="D38" s="347" t="s">
        <v>9</v>
      </c>
      <c r="E38" s="111">
        <v>1000</v>
      </c>
      <c r="F38" s="111"/>
      <c r="G38" s="111">
        <f>SUM(E38+F38)</f>
        <v>1000</v>
      </c>
      <c r="H38" s="111"/>
      <c r="I38" s="111">
        <f>SUM(G38+H38)</f>
        <v>1000</v>
      </c>
      <c r="J38" s="111"/>
      <c r="K38" s="111">
        <f t="shared" si="8"/>
        <v>1000</v>
      </c>
      <c r="L38" s="111"/>
      <c r="M38" s="111">
        <f t="shared" si="9"/>
        <v>1000</v>
      </c>
      <c r="N38" s="60"/>
      <c r="O38" s="111">
        <f t="shared" si="10"/>
        <v>1000</v>
      </c>
    </row>
    <row r="39" spans="1:15" ht="16.5" customHeight="1">
      <c r="A39" s="345"/>
      <c r="B39" s="349"/>
      <c r="C39" s="345"/>
      <c r="D39" s="347" t="s">
        <v>10</v>
      </c>
      <c r="E39" s="111">
        <v>0</v>
      </c>
      <c r="F39" s="111"/>
      <c r="G39" s="111">
        <v>0</v>
      </c>
      <c r="H39" s="111"/>
      <c r="I39" s="111">
        <v>0</v>
      </c>
      <c r="J39" s="111">
        <v>6060</v>
      </c>
      <c r="K39" s="111">
        <f t="shared" si="8"/>
        <v>6060</v>
      </c>
      <c r="L39" s="111"/>
      <c r="M39" s="111">
        <f t="shared" si="9"/>
        <v>6060</v>
      </c>
      <c r="N39" s="60">
        <v>-6060</v>
      </c>
      <c r="O39" s="111">
        <f t="shared" si="10"/>
        <v>0</v>
      </c>
    </row>
    <row r="40" spans="1:15" ht="16.5" customHeight="1">
      <c r="A40" s="345"/>
      <c r="B40" s="349"/>
      <c r="C40" s="345"/>
      <c r="D40" s="347" t="s">
        <v>7</v>
      </c>
      <c r="E40" s="111">
        <v>2000</v>
      </c>
      <c r="F40" s="111"/>
      <c r="G40" s="111">
        <f>SUM(E40+F40)</f>
        <v>2000</v>
      </c>
      <c r="H40" s="111"/>
      <c r="I40" s="111">
        <f>SUM(G40+H40)</f>
        <v>2000</v>
      </c>
      <c r="J40" s="111"/>
      <c r="K40" s="111">
        <f t="shared" si="8"/>
        <v>2000</v>
      </c>
      <c r="L40" s="111"/>
      <c r="M40" s="111">
        <f t="shared" si="9"/>
        <v>2000</v>
      </c>
      <c r="N40" s="60"/>
      <c r="O40" s="111">
        <f t="shared" si="10"/>
        <v>2000</v>
      </c>
    </row>
    <row r="41" spans="1:15" ht="24.75" customHeight="1">
      <c r="A41" s="345"/>
      <c r="B41" s="349"/>
      <c r="C41" s="260">
        <v>6050</v>
      </c>
      <c r="D41" s="52" t="s">
        <v>195</v>
      </c>
      <c r="E41" s="111">
        <f aca="true" t="shared" si="11" ref="E41:O41">SUM(E42:E48)</f>
        <v>95630</v>
      </c>
      <c r="F41" s="111">
        <f t="shared" si="11"/>
        <v>-6000</v>
      </c>
      <c r="G41" s="111">
        <f t="shared" si="11"/>
        <v>89630</v>
      </c>
      <c r="H41" s="111">
        <f t="shared" si="11"/>
        <v>0</v>
      </c>
      <c r="I41" s="111">
        <f t="shared" si="11"/>
        <v>89630</v>
      </c>
      <c r="J41" s="111">
        <f t="shared" si="11"/>
        <v>-11310</v>
      </c>
      <c r="K41" s="111">
        <f t="shared" si="11"/>
        <v>78320</v>
      </c>
      <c r="L41" s="111">
        <f t="shared" si="11"/>
        <v>-200</v>
      </c>
      <c r="M41" s="111">
        <f t="shared" si="11"/>
        <v>78120</v>
      </c>
      <c r="N41" s="60">
        <f t="shared" si="11"/>
        <v>1492</v>
      </c>
      <c r="O41" s="111">
        <f t="shared" si="11"/>
        <v>79612</v>
      </c>
    </row>
    <row r="42" spans="1:15" ht="16.5" customHeight="1">
      <c r="A42" s="345"/>
      <c r="B42" s="349"/>
      <c r="C42" s="260"/>
      <c r="D42" s="347" t="s">
        <v>734</v>
      </c>
      <c r="E42" s="111">
        <v>35000</v>
      </c>
      <c r="F42" s="111"/>
      <c r="G42" s="111">
        <f aca="true" t="shared" si="12" ref="G42:G48">SUM(E42+F42)</f>
        <v>35000</v>
      </c>
      <c r="H42" s="111"/>
      <c r="I42" s="111">
        <f aca="true" t="shared" si="13" ref="I42:I48">SUM(G42+H42)</f>
        <v>35000</v>
      </c>
      <c r="J42" s="111"/>
      <c r="K42" s="111">
        <f aca="true" t="shared" si="14" ref="K42:K48">SUM(I42+J42)</f>
        <v>35000</v>
      </c>
      <c r="L42" s="111"/>
      <c r="M42" s="111">
        <f aca="true" t="shared" si="15" ref="M42:M48">SUM(K42+L42)</f>
        <v>35000</v>
      </c>
      <c r="N42" s="60"/>
      <c r="O42" s="111">
        <f aca="true" t="shared" si="16" ref="O42:O48">SUM(M42+N42)</f>
        <v>35000</v>
      </c>
    </row>
    <row r="43" spans="1:15" ht="16.5" customHeight="1">
      <c r="A43" s="345"/>
      <c r="B43" s="349"/>
      <c r="C43" s="260"/>
      <c r="D43" s="347" t="s">
        <v>11</v>
      </c>
      <c r="E43" s="111">
        <v>8700</v>
      </c>
      <c r="F43" s="111"/>
      <c r="G43" s="111">
        <f t="shared" si="12"/>
        <v>8700</v>
      </c>
      <c r="H43" s="111"/>
      <c r="I43" s="111">
        <f t="shared" si="13"/>
        <v>8700</v>
      </c>
      <c r="J43" s="111"/>
      <c r="K43" s="111">
        <f t="shared" si="14"/>
        <v>8700</v>
      </c>
      <c r="L43" s="111">
        <v>-200</v>
      </c>
      <c r="M43" s="111">
        <f t="shared" si="15"/>
        <v>8500</v>
      </c>
      <c r="N43" s="60"/>
      <c r="O43" s="111">
        <f t="shared" si="16"/>
        <v>8500</v>
      </c>
    </row>
    <row r="44" spans="1:15" ht="16.5" customHeight="1">
      <c r="A44" s="345"/>
      <c r="B44" s="349"/>
      <c r="C44" s="260"/>
      <c r="D44" s="347" t="s">
        <v>0</v>
      </c>
      <c r="E44" s="111">
        <v>11820</v>
      </c>
      <c r="F44" s="111"/>
      <c r="G44" s="111">
        <f t="shared" si="12"/>
        <v>11820</v>
      </c>
      <c r="H44" s="111"/>
      <c r="I44" s="111">
        <f t="shared" si="13"/>
        <v>11820</v>
      </c>
      <c r="J44" s="111">
        <v>-4500</v>
      </c>
      <c r="K44" s="111">
        <f t="shared" si="14"/>
        <v>7320</v>
      </c>
      <c r="L44" s="111"/>
      <c r="M44" s="111">
        <f t="shared" si="15"/>
        <v>7320</v>
      </c>
      <c r="N44" s="60"/>
      <c r="O44" s="111">
        <f t="shared" si="16"/>
        <v>7320</v>
      </c>
    </row>
    <row r="45" spans="1:15" ht="16.5" customHeight="1">
      <c r="A45" s="345"/>
      <c r="B45" s="349"/>
      <c r="C45" s="260"/>
      <c r="D45" s="347" t="s">
        <v>1</v>
      </c>
      <c r="E45" s="111">
        <v>6000</v>
      </c>
      <c r="F45" s="111">
        <v>-6000</v>
      </c>
      <c r="G45" s="111">
        <f t="shared" si="12"/>
        <v>0</v>
      </c>
      <c r="H45" s="111"/>
      <c r="I45" s="111">
        <f t="shared" si="13"/>
        <v>0</v>
      </c>
      <c r="J45" s="111"/>
      <c r="K45" s="111">
        <f t="shared" si="14"/>
        <v>0</v>
      </c>
      <c r="L45" s="111"/>
      <c r="M45" s="111">
        <f t="shared" si="15"/>
        <v>0</v>
      </c>
      <c r="N45" s="60"/>
      <c r="O45" s="111">
        <f t="shared" si="16"/>
        <v>0</v>
      </c>
    </row>
    <row r="46" spans="1:15" ht="16.5" customHeight="1">
      <c r="A46" s="345"/>
      <c r="B46" s="349"/>
      <c r="C46" s="345"/>
      <c r="D46" s="347" t="s">
        <v>4</v>
      </c>
      <c r="E46" s="111">
        <v>6300</v>
      </c>
      <c r="F46" s="111"/>
      <c r="G46" s="111">
        <f t="shared" si="12"/>
        <v>6300</v>
      </c>
      <c r="H46" s="111"/>
      <c r="I46" s="111">
        <f t="shared" si="13"/>
        <v>6300</v>
      </c>
      <c r="J46" s="111"/>
      <c r="K46" s="111">
        <f t="shared" si="14"/>
        <v>6300</v>
      </c>
      <c r="L46" s="111"/>
      <c r="M46" s="111">
        <f t="shared" si="15"/>
        <v>6300</v>
      </c>
      <c r="N46" s="60">
        <v>1492</v>
      </c>
      <c r="O46" s="111">
        <f t="shared" si="16"/>
        <v>7792</v>
      </c>
    </row>
    <row r="47" spans="1:15" ht="16.5" customHeight="1">
      <c r="A47" s="345"/>
      <c r="B47" s="349"/>
      <c r="C47" s="260"/>
      <c r="D47" s="347" t="s">
        <v>9</v>
      </c>
      <c r="E47" s="111">
        <v>21000</v>
      </c>
      <c r="F47" s="111"/>
      <c r="G47" s="111">
        <f t="shared" si="12"/>
        <v>21000</v>
      </c>
      <c r="H47" s="111"/>
      <c r="I47" s="111">
        <f t="shared" si="13"/>
        <v>21000</v>
      </c>
      <c r="J47" s="111"/>
      <c r="K47" s="111">
        <f t="shared" si="14"/>
        <v>21000</v>
      </c>
      <c r="L47" s="111"/>
      <c r="M47" s="111">
        <f t="shared" si="15"/>
        <v>21000</v>
      </c>
      <c r="N47" s="60"/>
      <c r="O47" s="111">
        <f t="shared" si="16"/>
        <v>21000</v>
      </c>
    </row>
    <row r="48" spans="1:15" ht="16.5" customHeight="1">
      <c r="A48" s="345"/>
      <c r="B48" s="349"/>
      <c r="C48" s="260"/>
      <c r="D48" s="347" t="s">
        <v>10</v>
      </c>
      <c r="E48" s="111">
        <v>6810</v>
      </c>
      <c r="F48" s="111"/>
      <c r="G48" s="111">
        <f t="shared" si="12"/>
        <v>6810</v>
      </c>
      <c r="H48" s="111"/>
      <c r="I48" s="111">
        <f t="shared" si="13"/>
        <v>6810</v>
      </c>
      <c r="J48" s="111">
        <v>-6810</v>
      </c>
      <c r="K48" s="111">
        <f t="shared" si="14"/>
        <v>0</v>
      </c>
      <c r="L48" s="111"/>
      <c r="M48" s="111">
        <f t="shared" si="15"/>
        <v>0</v>
      </c>
      <c r="N48" s="60"/>
      <c r="O48" s="111">
        <f t="shared" si="16"/>
        <v>0</v>
      </c>
    </row>
    <row r="49" spans="1:15" ht="24.75" customHeight="1">
      <c r="A49" s="260"/>
      <c r="B49" s="350"/>
      <c r="C49" s="260">
        <v>6060</v>
      </c>
      <c r="D49" s="351" t="s">
        <v>12</v>
      </c>
      <c r="E49" s="108">
        <f aca="true" t="shared" si="17" ref="E49:O49">SUM(E50)</f>
        <v>11650</v>
      </c>
      <c r="F49" s="108">
        <f t="shared" si="17"/>
        <v>0</v>
      </c>
      <c r="G49" s="108">
        <f t="shared" si="17"/>
        <v>11650</v>
      </c>
      <c r="H49" s="108">
        <f t="shared" si="17"/>
        <v>0</v>
      </c>
      <c r="I49" s="108">
        <f t="shared" si="17"/>
        <v>11650</v>
      </c>
      <c r="J49" s="108">
        <f t="shared" si="17"/>
        <v>0</v>
      </c>
      <c r="K49" s="108">
        <f t="shared" si="17"/>
        <v>11650</v>
      </c>
      <c r="L49" s="108">
        <f t="shared" si="17"/>
        <v>0</v>
      </c>
      <c r="M49" s="108">
        <f t="shared" si="17"/>
        <v>11650</v>
      </c>
      <c r="N49" s="101">
        <f t="shared" si="17"/>
        <v>1040</v>
      </c>
      <c r="O49" s="108">
        <f t="shared" si="17"/>
        <v>12690</v>
      </c>
    </row>
    <row r="50" spans="1:15" ht="16.5" customHeight="1">
      <c r="A50" s="345"/>
      <c r="B50" s="349"/>
      <c r="C50" s="345"/>
      <c r="D50" s="347" t="s">
        <v>2</v>
      </c>
      <c r="E50" s="111">
        <v>11650</v>
      </c>
      <c r="F50" s="111"/>
      <c r="G50" s="111">
        <f>SUM(E50+F50)</f>
        <v>11650</v>
      </c>
      <c r="H50" s="111"/>
      <c r="I50" s="111">
        <f>SUM(G50+H50)</f>
        <v>11650</v>
      </c>
      <c r="J50" s="111"/>
      <c r="K50" s="111">
        <f>SUM(I50+J50)</f>
        <v>11650</v>
      </c>
      <c r="L50" s="111"/>
      <c r="M50" s="111">
        <f>SUM(K50+L50)</f>
        <v>11650</v>
      </c>
      <c r="N50" s="60">
        <v>1040</v>
      </c>
      <c r="O50" s="111">
        <f>SUM(M50+N50)</f>
        <v>12690</v>
      </c>
    </row>
    <row r="51" spans="1:15" ht="18.75" customHeight="1">
      <c r="A51" s="37">
        <v>700</v>
      </c>
      <c r="B51" s="5"/>
      <c r="C51" s="5"/>
      <c r="D51" s="22" t="s">
        <v>124</v>
      </c>
      <c r="E51" s="18">
        <f aca="true" t="shared" si="18" ref="E51:O51">E52</f>
        <v>360</v>
      </c>
      <c r="F51" s="18">
        <f t="shared" si="18"/>
        <v>0</v>
      </c>
      <c r="G51" s="18">
        <f t="shared" si="18"/>
        <v>360</v>
      </c>
      <c r="H51" s="18">
        <f t="shared" si="18"/>
        <v>0</v>
      </c>
      <c r="I51" s="18">
        <f t="shared" si="18"/>
        <v>360</v>
      </c>
      <c r="J51" s="18">
        <f t="shared" si="18"/>
        <v>0</v>
      </c>
      <c r="K51" s="18">
        <f t="shared" si="18"/>
        <v>360</v>
      </c>
      <c r="L51" s="18">
        <f t="shared" si="18"/>
        <v>0</v>
      </c>
      <c r="M51" s="18">
        <f t="shared" si="18"/>
        <v>360</v>
      </c>
      <c r="N51" s="18">
        <f t="shared" si="18"/>
        <v>0</v>
      </c>
      <c r="O51" s="18">
        <f t="shared" si="18"/>
        <v>360</v>
      </c>
    </row>
    <row r="52" spans="1:15" ht="17.25" customHeight="1">
      <c r="A52" s="66"/>
      <c r="B52" s="344">
        <v>70095</v>
      </c>
      <c r="C52" s="66"/>
      <c r="D52" s="52" t="s">
        <v>118</v>
      </c>
      <c r="E52" s="108">
        <f aca="true" t="shared" si="19" ref="E52:O52">SUM(E53,E55)</f>
        <v>360</v>
      </c>
      <c r="F52" s="108">
        <f t="shared" si="19"/>
        <v>0</v>
      </c>
      <c r="G52" s="108">
        <f t="shared" si="19"/>
        <v>360</v>
      </c>
      <c r="H52" s="108">
        <f t="shared" si="19"/>
        <v>0</v>
      </c>
      <c r="I52" s="108">
        <f t="shared" si="19"/>
        <v>360</v>
      </c>
      <c r="J52" s="108">
        <f t="shared" si="19"/>
        <v>0</v>
      </c>
      <c r="K52" s="108">
        <f t="shared" si="19"/>
        <v>360</v>
      </c>
      <c r="L52" s="108">
        <f t="shared" si="19"/>
        <v>0</v>
      </c>
      <c r="M52" s="108">
        <f t="shared" si="19"/>
        <v>360</v>
      </c>
      <c r="N52" s="101">
        <f t="shared" si="19"/>
        <v>0</v>
      </c>
      <c r="O52" s="108">
        <f t="shared" si="19"/>
        <v>360</v>
      </c>
    </row>
    <row r="53" spans="1:15" ht="16.5" customHeight="1">
      <c r="A53" s="66"/>
      <c r="B53" s="344"/>
      <c r="C53" s="344">
        <v>4260</v>
      </c>
      <c r="D53" s="52" t="s">
        <v>217</v>
      </c>
      <c r="E53" s="108">
        <f aca="true" t="shared" si="20" ref="E53:O53">E54</f>
        <v>300</v>
      </c>
      <c r="F53" s="108">
        <f t="shared" si="20"/>
        <v>0</v>
      </c>
      <c r="G53" s="108">
        <f t="shared" si="20"/>
        <v>300</v>
      </c>
      <c r="H53" s="108">
        <f t="shared" si="20"/>
        <v>0</v>
      </c>
      <c r="I53" s="108">
        <f t="shared" si="20"/>
        <v>300</v>
      </c>
      <c r="J53" s="108">
        <f t="shared" si="20"/>
        <v>0</v>
      </c>
      <c r="K53" s="108">
        <f t="shared" si="20"/>
        <v>300</v>
      </c>
      <c r="L53" s="108">
        <f t="shared" si="20"/>
        <v>0</v>
      </c>
      <c r="M53" s="108">
        <f t="shared" si="20"/>
        <v>300</v>
      </c>
      <c r="N53" s="101">
        <f t="shared" si="20"/>
        <v>0</v>
      </c>
      <c r="O53" s="108">
        <f t="shared" si="20"/>
        <v>300</v>
      </c>
    </row>
    <row r="54" spans="1:15" ht="16.5" customHeight="1">
      <c r="A54" s="345"/>
      <c r="B54" s="345"/>
      <c r="C54" s="345"/>
      <c r="D54" s="347" t="s">
        <v>9</v>
      </c>
      <c r="E54" s="111">
        <v>300</v>
      </c>
      <c r="F54" s="111"/>
      <c r="G54" s="111">
        <f>SUM(E54+F54)</f>
        <v>300</v>
      </c>
      <c r="H54" s="111"/>
      <c r="I54" s="111">
        <f>SUM(G54+H54)</f>
        <v>300</v>
      </c>
      <c r="J54" s="111"/>
      <c r="K54" s="111">
        <f>SUM(I54+J54)</f>
        <v>300</v>
      </c>
      <c r="L54" s="111"/>
      <c r="M54" s="111">
        <f>SUM(K54+L54)</f>
        <v>300</v>
      </c>
      <c r="N54" s="60"/>
      <c r="O54" s="111">
        <f>SUM(M54+N54)</f>
        <v>300</v>
      </c>
    </row>
    <row r="55" spans="1:15" ht="19.5" customHeight="1">
      <c r="A55" s="345"/>
      <c r="B55" s="345"/>
      <c r="C55" s="344">
        <v>4300</v>
      </c>
      <c r="D55" s="52" t="s">
        <v>201</v>
      </c>
      <c r="E55" s="111">
        <f aca="true" t="shared" si="21" ref="E55:O55">SUM(E56)</f>
        <v>60</v>
      </c>
      <c r="F55" s="111">
        <f t="shared" si="21"/>
        <v>0</v>
      </c>
      <c r="G55" s="111">
        <f t="shared" si="21"/>
        <v>60</v>
      </c>
      <c r="H55" s="111">
        <f t="shared" si="21"/>
        <v>0</v>
      </c>
      <c r="I55" s="111">
        <f t="shared" si="21"/>
        <v>60</v>
      </c>
      <c r="J55" s="111">
        <f t="shared" si="21"/>
        <v>0</v>
      </c>
      <c r="K55" s="111">
        <f t="shared" si="21"/>
        <v>60</v>
      </c>
      <c r="L55" s="111">
        <f t="shared" si="21"/>
        <v>0</v>
      </c>
      <c r="M55" s="111">
        <f t="shared" si="21"/>
        <v>60</v>
      </c>
      <c r="N55" s="60">
        <f t="shared" si="21"/>
        <v>0</v>
      </c>
      <c r="O55" s="111">
        <f t="shared" si="21"/>
        <v>60</v>
      </c>
    </row>
    <row r="56" spans="1:15" ht="16.5" customHeight="1">
      <c r="A56" s="345"/>
      <c r="B56" s="345"/>
      <c r="C56" s="345"/>
      <c r="D56" s="347" t="s">
        <v>9</v>
      </c>
      <c r="E56" s="111">
        <v>60</v>
      </c>
      <c r="F56" s="111"/>
      <c r="G56" s="111">
        <f>SUM(E56+F56)</f>
        <v>60</v>
      </c>
      <c r="H56" s="111"/>
      <c r="I56" s="111">
        <f>SUM(G56+H56)</f>
        <v>60</v>
      </c>
      <c r="J56" s="111"/>
      <c r="K56" s="111">
        <f>SUM(I56+J56)</f>
        <v>60</v>
      </c>
      <c r="L56" s="111"/>
      <c r="M56" s="111">
        <f>SUM(K56+L56)</f>
        <v>60</v>
      </c>
      <c r="N56" s="60"/>
      <c r="O56" s="111">
        <f>SUM(M56+N56)</f>
        <v>60</v>
      </c>
    </row>
    <row r="57" spans="1:15" ht="20.25" customHeight="1">
      <c r="A57" s="37">
        <v>710</v>
      </c>
      <c r="B57" s="5"/>
      <c r="C57" s="5"/>
      <c r="D57" s="22" t="s">
        <v>202</v>
      </c>
      <c r="E57" s="18">
        <f aca="true" t="shared" si="22" ref="E57:N58">E58</f>
        <v>400</v>
      </c>
      <c r="F57" s="18">
        <f t="shared" si="22"/>
        <v>0</v>
      </c>
      <c r="G57" s="18">
        <f t="shared" si="22"/>
        <v>400</v>
      </c>
      <c r="H57" s="18">
        <f t="shared" si="22"/>
        <v>0</v>
      </c>
      <c r="I57" s="18">
        <f t="shared" si="22"/>
        <v>400</v>
      </c>
      <c r="J57" s="18">
        <f t="shared" si="22"/>
        <v>0</v>
      </c>
      <c r="K57" s="18">
        <f t="shared" si="22"/>
        <v>400</v>
      </c>
      <c r="L57" s="18">
        <f t="shared" si="22"/>
        <v>0</v>
      </c>
      <c r="M57" s="18">
        <f t="shared" si="22"/>
        <v>400</v>
      </c>
      <c r="N57" s="18">
        <f t="shared" si="22"/>
        <v>0</v>
      </c>
      <c r="O57" s="18">
        <f>O58</f>
        <v>400</v>
      </c>
    </row>
    <row r="58" spans="1:15" ht="18.75" customHeight="1">
      <c r="A58" s="66"/>
      <c r="B58" s="344">
        <v>71035</v>
      </c>
      <c r="C58" s="66"/>
      <c r="D58" s="52" t="s">
        <v>129</v>
      </c>
      <c r="E58" s="108">
        <f t="shared" si="22"/>
        <v>400</v>
      </c>
      <c r="F58" s="108">
        <f t="shared" si="22"/>
        <v>0</v>
      </c>
      <c r="G58" s="108">
        <f t="shared" si="22"/>
        <v>400</v>
      </c>
      <c r="H58" s="108">
        <f t="shared" si="22"/>
        <v>0</v>
      </c>
      <c r="I58" s="108">
        <f t="shared" si="22"/>
        <v>400</v>
      </c>
      <c r="J58" s="108">
        <f t="shared" si="22"/>
        <v>0</v>
      </c>
      <c r="K58" s="108">
        <f t="shared" si="22"/>
        <v>400</v>
      </c>
      <c r="L58" s="108">
        <f t="shared" si="22"/>
        <v>0</v>
      </c>
      <c r="M58" s="108">
        <f t="shared" si="22"/>
        <v>400</v>
      </c>
      <c r="N58" s="101">
        <f t="shared" si="22"/>
        <v>0</v>
      </c>
      <c r="O58" s="108">
        <f>O59</f>
        <v>400</v>
      </c>
    </row>
    <row r="59" spans="1:15" ht="19.5" customHeight="1">
      <c r="A59" s="66"/>
      <c r="B59" s="344"/>
      <c r="C59" s="344">
        <v>4260</v>
      </c>
      <c r="D59" s="52" t="s">
        <v>217</v>
      </c>
      <c r="E59" s="111">
        <f aca="true" t="shared" si="23" ref="E59:O59">SUM(E60:E61)</f>
        <v>400</v>
      </c>
      <c r="F59" s="111">
        <f t="shared" si="23"/>
        <v>0</v>
      </c>
      <c r="G59" s="111">
        <f t="shared" si="23"/>
        <v>400</v>
      </c>
      <c r="H59" s="111">
        <f t="shared" si="23"/>
        <v>0</v>
      </c>
      <c r="I59" s="111">
        <f t="shared" si="23"/>
        <v>400</v>
      </c>
      <c r="J59" s="111">
        <f t="shared" si="23"/>
        <v>0</v>
      </c>
      <c r="K59" s="111">
        <f t="shared" si="23"/>
        <v>400</v>
      </c>
      <c r="L59" s="111">
        <f t="shared" si="23"/>
        <v>0</v>
      </c>
      <c r="M59" s="111">
        <f t="shared" si="23"/>
        <v>400</v>
      </c>
      <c r="N59" s="60">
        <f t="shared" si="23"/>
        <v>0</v>
      </c>
      <c r="O59" s="111">
        <f t="shared" si="23"/>
        <v>400</v>
      </c>
    </row>
    <row r="60" spans="1:15" ht="16.5" customHeight="1">
      <c r="A60" s="66"/>
      <c r="B60" s="344"/>
      <c r="C60" s="344"/>
      <c r="D60" s="347" t="s">
        <v>734</v>
      </c>
      <c r="E60" s="111">
        <v>200</v>
      </c>
      <c r="F60" s="111"/>
      <c r="G60" s="111">
        <f>SUM(E60+F60)</f>
        <v>200</v>
      </c>
      <c r="H60" s="111"/>
      <c r="I60" s="111">
        <f>SUM(G60+H60)</f>
        <v>200</v>
      </c>
      <c r="J60" s="111"/>
      <c r="K60" s="111">
        <f>SUM(I60+J60)</f>
        <v>200</v>
      </c>
      <c r="L60" s="111"/>
      <c r="M60" s="111">
        <f>SUM(K60+L60)</f>
        <v>200</v>
      </c>
      <c r="N60" s="60"/>
      <c r="O60" s="111">
        <f>SUM(M60+N60)</f>
        <v>200</v>
      </c>
    </row>
    <row r="61" spans="1:15" ht="16.5" customHeight="1">
      <c r="A61" s="345"/>
      <c r="B61" s="345"/>
      <c r="C61" s="345"/>
      <c r="D61" s="347" t="s">
        <v>9</v>
      </c>
      <c r="E61" s="111">
        <v>200</v>
      </c>
      <c r="F61" s="111"/>
      <c r="G61" s="111">
        <f>SUM(E61+F61)</f>
        <v>200</v>
      </c>
      <c r="H61" s="111"/>
      <c r="I61" s="111">
        <f>SUM(G61+H61)</f>
        <v>200</v>
      </c>
      <c r="J61" s="111"/>
      <c r="K61" s="111">
        <f>SUM(I61+J61)</f>
        <v>200</v>
      </c>
      <c r="L61" s="111"/>
      <c r="M61" s="111">
        <f>SUM(K61+L61)</f>
        <v>200</v>
      </c>
      <c r="N61" s="60"/>
      <c r="O61" s="111">
        <f>SUM(M61+N61)</f>
        <v>200</v>
      </c>
    </row>
    <row r="62" spans="1:15" ht="18.75" customHeight="1">
      <c r="A62" s="37" t="s">
        <v>130</v>
      </c>
      <c r="B62" s="5"/>
      <c r="C62" s="5"/>
      <c r="D62" s="22" t="s">
        <v>205</v>
      </c>
      <c r="E62" s="18">
        <f aca="true" t="shared" si="24" ref="E62:O62">SUM(E63,E87,)</f>
        <v>22600</v>
      </c>
      <c r="F62" s="18">
        <f t="shared" si="24"/>
        <v>60</v>
      </c>
      <c r="G62" s="18">
        <f t="shared" si="24"/>
        <v>22660</v>
      </c>
      <c r="H62" s="18">
        <f t="shared" si="24"/>
        <v>-300</v>
      </c>
      <c r="I62" s="18">
        <f t="shared" si="24"/>
        <v>22360</v>
      </c>
      <c r="J62" s="18">
        <f t="shared" si="24"/>
        <v>1750</v>
      </c>
      <c r="K62" s="18">
        <f t="shared" si="24"/>
        <v>24110</v>
      </c>
      <c r="L62" s="18">
        <f t="shared" si="24"/>
        <v>-1300</v>
      </c>
      <c r="M62" s="18">
        <f t="shared" si="24"/>
        <v>22810</v>
      </c>
      <c r="N62" s="18">
        <f t="shared" si="24"/>
        <v>0</v>
      </c>
      <c r="O62" s="18">
        <f t="shared" si="24"/>
        <v>22810</v>
      </c>
    </row>
    <row r="63" spans="1:15" ht="24.75" customHeight="1">
      <c r="A63" s="66"/>
      <c r="B63" s="344" t="s">
        <v>133</v>
      </c>
      <c r="C63" s="66"/>
      <c r="D63" s="52" t="s">
        <v>134</v>
      </c>
      <c r="E63" s="108">
        <f aca="true" t="shared" si="25" ref="E63:L63">SUM(E64)</f>
        <v>1400</v>
      </c>
      <c r="F63" s="108">
        <f t="shared" si="25"/>
        <v>60</v>
      </c>
      <c r="G63" s="108">
        <f t="shared" si="25"/>
        <v>1460</v>
      </c>
      <c r="H63" s="108">
        <f t="shared" si="25"/>
        <v>0</v>
      </c>
      <c r="I63" s="108">
        <f t="shared" si="25"/>
        <v>1460</v>
      </c>
      <c r="J63" s="108">
        <f t="shared" si="25"/>
        <v>0</v>
      </c>
      <c r="K63" s="108">
        <f t="shared" si="25"/>
        <v>1460</v>
      </c>
      <c r="L63" s="108">
        <f t="shared" si="25"/>
        <v>0</v>
      </c>
      <c r="M63" s="108">
        <f>SUM(M64,M85)</f>
        <v>1460</v>
      </c>
      <c r="N63" s="108">
        <f>SUM(N64,N85)</f>
        <v>300</v>
      </c>
      <c r="O63" s="108">
        <f>SUM(O64,O85)</f>
        <v>1760</v>
      </c>
    </row>
    <row r="64" spans="1:15" ht="20.25" customHeight="1">
      <c r="A64" s="66"/>
      <c r="B64" s="344"/>
      <c r="C64" s="344" t="s">
        <v>13</v>
      </c>
      <c r="D64" s="52" t="s">
        <v>214</v>
      </c>
      <c r="E64" s="108">
        <f aca="true" t="shared" si="26" ref="E64:O64">SUM(E65:E84)</f>
        <v>1400</v>
      </c>
      <c r="F64" s="108">
        <f t="shared" si="26"/>
        <v>60</v>
      </c>
      <c r="G64" s="108">
        <f t="shared" si="26"/>
        <v>1460</v>
      </c>
      <c r="H64" s="108">
        <f t="shared" si="26"/>
        <v>0</v>
      </c>
      <c r="I64" s="108">
        <f t="shared" si="26"/>
        <v>1460</v>
      </c>
      <c r="J64" s="108">
        <f t="shared" si="26"/>
        <v>0</v>
      </c>
      <c r="K64" s="108">
        <f t="shared" si="26"/>
        <v>1460</v>
      </c>
      <c r="L64" s="108">
        <f t="shared" si="26"/>
        <v>0</v>
      </c>
      <c r="M64" s="108">
        <f t="shared" si="26"/>
        <v>1460</v>
      </c>
      <c r="N64" s="101">
        <f t="shared" si="26"/>
        <v>0</v>
      </c>
      <c r="O64" s="108">
        <f t="shared" si="26"/>
        <v>1460</v>
      </c>
    </row>
    <row r="65" spans="1:15" ht="16.5" customHeight="1">
      <c r="A65" s="345"/>
      <c r="B65" s="345"/>
      <c r="C65" s="345"/>
      <c r="D65" s="347" t="s">
        <v>734</v>
      </c>
      <c r="E65" s="111">
        <v>70</v>
      </c>
      <c r="F65" s="111">
        <v>3</v>
      </c>
      <c r="G65" s="111">
        <f aca="true" t="shared" si="27" ref="G65:G84">SUM(E65+F65)</f>
        <v>73</v>
      </c>
      <c r="H65" s="111"/>
      <c r="I65" s="111">
        <f aca="true" t="shared" si="28" ref="I65:I84">SUM(G65+H65)</f>
        <v>73</v>
      </c>
      <c r="J65" s="111"/>
      <c r="K65" s="111">
        <f aca="true" t="shared" si="29" ref="K65:K84">SUM(I65+J65)</f>
        <v>73</v>
      </c>
      <c r="L65" s="111"/>
      <c r="M65" s="111">
        <f aca="true" t="shared" si="30" ref="M65:M84">SUM(K65+L65)</f>
        <v>73</v>
      </c>
      <c r="N65" s="60"/>
      <c r="O65" s="111">
        <f aca="true" t="shared" si="31" ref="O65:O84">SUM(M65+N65)</f>
        <v>73</v>
      </c>
    </row>
    <row r="66" spans="1:15" ht="16.5" customHeight="1">
      <c r="A66" s="345"/>
      <c r="B66" s="345"/>
      <c r="C66" s="345"/>
      <c r="D66" s="347" t="s">
        <v>11</v>
      </c>
      <c r="E66" s="111">
        <v>70</v>
      </c>
      <c r="F66" s="111">
        <v>3</v>
      </c>
      <c r="G66" s="111">
        <f t="shared" si="27"/>
        <v>73</v>
      </c>
      <c r="H66" s="111"/>
      <c r="I66" s="111">
        <f t="shared" si="28"/>
        <v>73</v>
      </c>
      <c r="J66" s="111"/>
      <c r="K66" s="111">
        <f t="shared" si="29"/>
        <v>73</v>
      </c>
      <c r="L66" s="111"/>
      <c r="M66" s="111">
        <f t="shared" si="30"/>
        <v>73</v>
      </c>
      <c r="N66" s="60"/>
      <c r="O66" s="111">
        <f t="shared" si="31"/>
        <v>73</v>
      </c>
    </row>
    <row r="67" spans="1:15" ht="16.5" customHeight="1">
      <c r="A67" s="345"/>
      <c r="B67" s="345"/>
      <c r="C67" s="345"/>
      <c r="D67" s="347" t="s">
        <v>735</v>
      </c>
      <c r="E67" s="111">
        <v>70</v>
      </c>
      <c r="F67" s="111">
        <v>3</v>
      </c>
      <c r="G67" s="111">
        <f t="shared" si="27"/>
        <v>73</v>
      </c>
      <c r="H67" s="111"/>
      <c r="I67" s="111">
        <f t="shared" si="28"/>
        <v>73</v>
      </c>
      <c r="J67" s="111"/>
      <c r="K67" s="111">
        <f t="shared" si="29"/>
        <v>73</v>
      </c>
      <c r="L67" s="111"/>
      <c r="M67" s="111">
        <f t="shared" si="30"/>
        <v>73</v>
      </c>
      <c r="N67" s="60"/>
      <c r="O67" s="111">
        <f t="shared" si="31"/>
        <v>73</v>
      </c>
    </row>
    <row r="68" spans="1:15" ht="16.5" customHeight="1">
      <c r="A68" s="345"/>
      <c r="B68" s="345"/>
      <c r="C68" s="345"/>
      <c r="D68" s="347" t="s">
        <v>736</v>
      </c>
      <c r="E68" s="111">
        <v>70</v>
      </c>
      <c r="F68" s="111">
        <v>3</v>
      </c>
      <c r="G68" s="111">
        <f t="shared" si="27"/>
        <v>73</v>
      </c>
      <c r="H68" s="111"/>
      <c r="I68" s="111">
        <f t="shared" si="28"/>
        <v>73</v>
      </c>
      <c r="J68" s="111"/>
      <c r="K68" s="111">
        <f t="shared" si="29"/>
        <v>73</v>
      </c>
      <c r="L68" s="111"/>
      <c r="M68" s="111">
        <f t="shared" si="30"/>
        <v>73</v>
      </c>
      <c r="N68" s="60"/>
      <c r="O68" s="111">
        <f t="shared" si="31"/>
        <v>73</v>
      </c>
    </row>
    <row r="69" spans="1:15" ht="16.5" customHeight="1">
      <c r="A69" s="345"/>
      <c r="B69" s="345"/>
      <c r="C69" s="345"/>
      <c r="D69" s="347" t="s">
        <v>737</v>
      </c>
      <c r="E69" s="111">
        <v>70</v>
      </c>
      <c r="F69" s="111">
        <v>3</v>
      </c>
      <c r="G69" s="111">
        <f t="shared" si="27"/>
        <v>73</v>
      </c>
      <c r="H69" s="111"/>
      <c r="I69" s="111">
        <f t="shared" si="28"/>
        <v>73</v>
      </c>
      <c r="J69" s="111"/>
      <c r="K69" s="111">
        <f t="shared" si="29"/>
        <v>73</v>
      </c>
      <c r="L69" s="111"/>
      <c r="M69" s="111">
        <f t="shared" si="30"/>
        <v>73</v>
      </c>
      <c r="N69" s="60"/>
      <c r="O69" s="111">
        <f t="shared" si="31"/>
        <v>73</v>
      </c>
    </row>
    <row r="70" spans="1:15" ht="16.5" customHeight="1">
      <c r="A70" s="345"/>
      <c r="B70" s="345"/>
      <c r="C70" s="345"/>
      <c r="D70" s="347" t="s">
        <v>738</v>
      </c>
      <c r="E70" s="111">
        <v>70</v>
      </c>
      <c r="F70" s="111">
        <v>3</v>
      </c>
      <c r="G70" s="111">
        <f t="shared" si="27"/>
        <v>73</v>
      </c>
      <c r="H70" s="111"/>
      <c r="I70" s="111">
        <f t="shared" si="28"/>
        <v>73</v>
      </c>
      <c r="J70" s="111"/>
      <c r="K70" s="111">
        <f t="shared" si="29"/>
        <v>73</v>
      </c>
      <c r="L70" s="111"/>
      <c r="M70" s="111">
        <f t="shared" si="30"/>
        <v>73</v>
      </c>
      <c r="N70" s="60"/>
      <c r="O70" s="111">
        <f t="shared" si="31"/>
        <v>73</v>
      </c>
    </row>
    <row r="71" spans="1:15" ht="16.5" customHeight="1">
      <c r="A71" s="345"/>
      <c r="B71" s="345"/>
      <c r="C71" s="345"/>
      <c r="D71" s="347" t="s">
        <v>739</v>
      </c>
      <c r="E71" s="111">
        <v>70</v>
      </c>
      <c r="F71" s="111">
        <v>3</v>
      </c>
      <c r="G71" s="111">
        <f t="shared" si="27"/>
        <v>73</v>
      </c>
      <c r="H71" s="111"/>
      <c r="I71" s="111">
        <f t="shared" si="28"/>
        <v>73</v>
      </c>
      <c r="J71" s="111"/>
      <c r="K71" s="111">
        <f t="shared" si="29"/>
        <v>73</v>
      </c>
      <c r="L71" s="111"/>
      <c r="M71" s="111">
        <f t="shared" si="30"/>
        <v>73</v>
      </c>
      <c r="N71" s="60"/>
      <c r="O71" s="111">
        <f t="shared" si="31"/>
        <v>73</v>
      </c>
    </row>
    <row r="72" spans="1:15" ht="16.5" customHeight="1">
      <c r="A72" s="345"/>
      <c r="B72" s="345"/>
      <c r="C72" s="345"/>
      <c r="D72" s="347" t="s">
        <v>740</v>
      </c>
      <c r="E72" s="111">
        <v>70</v>
      </c>
      <c r="F72" s="111">
        <v>3</v>
      </c>
      <c r="G72" s="111">
        <f t="shared" si="27"/>
        <v>73</v>
      </c>
      <c r="H72" s="111"/>
      <c r="I72" s="111">
        <f t="shared" si="28"/>
        <v>73</v>
      </c>
      <c r="J72" s="111"/>
      <c r="K72" s="111">
        <f t="shared" si="29"/>
        <v>73</v>
      </c>
      <c r="L72" s="111"/>
      <c r="M72" s="111">
        <f t="shared" si="30"/>
        <v>73</v>
      </c>
      <c r="N72" s="60"/>
      <c r="O72" s="111">
        <f t="shared" si="31"/>
        <v>73</v>
      </c>
    </row>
    <row r="73" spans="1:15" ht="16.5" customHeight="1">
      <c r="A73" s="345"/>
      <c r="B73" s="345"/>
      <c r="C73" s="345"/>
      <c r="D73" s="347" t="s">
        <v>0</v>
      </c>
      <c r="E73" s="111">
        <v>70</v>
      </c>
      <c r="F73" s="111">
        <v>3</v>
      </c>
      <c r="G73" s="111">
        <f t="shared" si="27"/>
        <v>73</v>
      </c>
      <c r="H73" s="111"/>
      <c r="I73" s="111">
        <f t="shared" si="28"/>
        <v>73</v>
      </c>
      <c r="J73" s="111"/>
      <c r="K73" s="111">
        <f t="shared" si="29"/>
        <v>73</v>
      </c>
      <c r="L73" s="111"/>
      <c r="M73" s="111">
        <f t="shared" si="30"/>
        <v>73</v>
      </c>
      <c r="N73" s="60"/>
      <c r="O73" s="111">
        <f t="shared" si="31"/>
        <v>73</v>
      </c>
    </row>
    <row r="74" spans="1:15" ht="16.5" customHeight="1">
      <c r="A74" s="345"/>
      <c r="B74" s="345"/>
      <c r="C74" s="345"/>
      <c r="D74" s="347" t="s">
        <v>1</v>
      </c>
      <c r="E74" s="111">
        <v>70</v>
      </c>
      <c r="F74" s="111">
        <v>3</v>
      </c>
      <c r="G74" s="111">
        <f t="shared" si="27"/>
        <v>73</v>
      </c>
      <c r="H74" s="111"/>
      <c r="I74" s="111">
        <f t="shared" si="28"/>
        <v>73</v>
      </c>
      <c r="J74" s="111"/>
      <c r="K74" s="111">
        <f t="shared" si="29"/>
        <v>73</v>
      </c>
      <c r="L74" s="111"/>
      <c r="M74" s="111">
        <f t="shared" si="30"/>
        <v>73</v>
      </c>
      <c r="N74" s="60"/>
      <c r="O74" s="111">
        <f t="shared" si="31"/>
        <v>73</v>
      </c>
    </row>
    <row r="75" spans="1:15" ht="16.5" customHeight="1">
      <c r="A75" s="345"/>
      <c r="B75" s="345"/>
      <c r="C75" s="345"/>
      <c r="D75" s="347" t="s">
        <v>2</v>
      </c>
      <c r="E75" s="111">
        <v>70</v>
      </c>
      <c r="F75" s="111">
        <v>3</v>
      </c>
      <c r="G75" s="111">
        <f t="shared" si="27"/>
        <v>73</v>
      </c>
      <c r="H75" s="111"/>
      <c r="I75" s="111">
        <f t="shared" si="28"/>
        <v>73</v>
      </c>
      <c r="J75" s="111"/>
      <c r="K75" s="111">
        <f t="shared" si="29"/>
        <v>73</v>
      </c>
      <c r="L75" s="111"/>
      <c r="M75" s="111">
        <f t="shared" si="30"/>
        <v>73</v>
      </c>
      <c r="N75" s="60"/>
      <c r="O75" s="111">
        <f t="shared" si="31"/>
        <v>73</v>
      </c>
    </row>
    <row r="76" spans="1:15" ht="16.5" customHeight="1">
      <c r="A76" s="345"/>
      <c r="B76" s="345"/>
      <c r="C76" s="345"/>
      <c r="D76" s="347" t="s">
        <v>3</v>
      </c>
      <c r="E76" s="111">
        <v>70</v>
      </c>
      <c r="F76" s="111">
        <v>3</v>
      </c>
      <c r="G76" s="111">
        <f t="shared" si="27"/>
        <v>73</v>
      </c>
      <c r="H76" s="111"/>
      <c r="I76" s="111">
        <f t="shared" si="28"/>
        <v>73</v>
      </c>
      <c r="J76" s="111"/>
      <c r="K76" s="111">
        <f t="shared" si="29"/>
        <v>73</v>
      </c>
      <c r="L76" s="111"/>
      <c r="M76" s="111">
        <f t="shared" si="30"/>
        <v>73</v>
      </c>
      <c r="N76" s="60"/>
      <c r="O76" s="111">
        <f t="shared" si="31"/>
        <v>73</v>
      </c>
    </row>
    <row r="77" spans="1:15" ht="16.5" customHeight="1">
      <c r="A77" s="345"/>
      <c r="B77" s="345"/>
      <c r="C77" s="345"/>
      <c r="D77" s="347" t="s">
        <v>4</v>
      </c>
      <c r="E77" s="111">
        <v>70</v>
      </c>
      <c r="F77" s="111">
        <v>3</v>
      </c>
      <c r="G77" s="111">
        <f t="shared" si="27"/>
        <v>73</v>
      </c>
      <c r="H77" s="111"/>
      <c r="I77" s="111">
        <f t="shared" si="28"/>
        <v>73</v>
      </c>
      <c r="J77" s="111"/>
      <c r="K77" s="111">
        <f t="shared" si="29"/>
        <v>73</v>
      </c>
      <c r="L77" s="111"/>
      <c r="M77" s="111">
        <f t="shared" si="30"/>
        <v>73</v>
      </c>
      <c r="N77" s="60"/>
      <c r="O77" s="111">
        <f t="shared" si="31"/>
        <v>73</v>
      </c>
    </row>
    <row r="78" spans="1:15" ht="16.5" customHeight="1">
      <c r="A78" s="345"/>
      <c r="B78" s="345"/>
      <c r="C78" s="345"/>
      <c r="D78" s="347" t="s">
        <v>5</v>
      </c>
      <c r="E78" s="111">
        <v>70</v>
      </c>
      <c r="F78" s="111">
        <v>3</v>
      </c>
      <c r="G78" s="111">
        <f t="shared" si="27"/>
        <v>73</v>
      </c>
      <c r="H78" s="111"/>
      <c r="I78" s="111">
        <f t="shared" si="28"/>
        <v>73</v>
      </c>
      <c r="J78" s="111"/>
      <c r="K78" s="111">
        <f t="shared" si="29"/>
        <v>73</v>
      </c>
      <c r="L78" s="111"/>
      <c r="M78" s="111">
        <f t="shared" si="30"/>
        <v>73</v>
      </c>
      <c r="N78" s="60"/>
      <c r="O78" s="111">
        <f t="shared" si="31"/>
        <v>73</v>
      </c>
    </row>
    <row r="79" spans="1:15" ht="16.5" customHeight="1">
      <c r="A79" s="345"/>
      <c r="B79" s="345"/>
      <c r="C79" s="345"/>
      <c r="D79" s="347" t="s">
        <v>9</v>
      </c>
      <c r="E79" s="111">
        <v>70</v>
      </c>
      <c r="F79" s="111">
        <v>3</v>
      </c>
      <c r="G79" s="111">
        <f t="shared" si="27"/>
        <v>73</v>
      </c>
      <c r="H79" s="111"/>
      <c r="I79" s="111">
        <f t="shared" si="28"/>
        <v>73</v>
      </c>
      <c r="J79" s="111"/>
      <c r="K79" s="111">
        <f t="shared" si="29"/>
        <v>73</v>
      </c>
      <c r="L79" s="111"/>
      <c r="M79" s="111">
        <f t="shared" si="30"/>
        <v>73</v>
      </c>
      <c r="N79" s="60"/>
      <c r="O79" s="111">
        <f t="shared" si="31"/>
        <v>73</v>
      </c>
    </row>
    <row r="80" spans="1:15" ht="16.5" customHeight="1">
      <c r="A80" s="345"/>
      <c r="B80" s="345"/>
      <c r="C80" s="345"/>
      <c r="D80" s="347" t="s">
        <v>6</v>
      </c>
      <c r="E80" s="111">
        <v>70</v>
      </c>
      <c r="F80" s="111">
        <v>3</v>
      </c>
      <c r="G80" s="111">
        <f t="shared" si="27"/>
        <v>73</v>
      </c>
      <c r="H80" s="111"/>
      <c r="I80" s="111">
        <f t="shared" si="28"/>
        <v>73</v>
      </c>
      <c r="J80" s="111"/>
      <c r="K80" s="111">
        <f t="shared" si="29"/>
        <v>73</v>
      </c>
      <c r="L80" s="111"/>
      <c r="M80" s="111">
        <f t="shared" si="30"/>
        <v>73</v>
      </c>
      <c r="N80" s="60"/>
      <c r="O80" s="111">
        <f t="shared" si="31"/>
        <v>73</v>
      </c>
    </row>
    <row r="81" spans="1:15" ht="16.5" customHeight="1">
      <c r="A81" s="345"/>
      <c r="B81" s="345"/>
      <c r="C81" s="345"/>
      <c r="D81" s="347" t="s">
        <v>10</v>
      </c>
      <c r="E81" s="111">
        <v>70</v>
      </c>
      <c r="F81" s="111">
        <v>3</v>
      </c>
      <c r="G81" s="111">
        <f t="shared" si="27"/>
        <v>73</v>
      </c>
      <c r="H81" s="111"/>
      <c r="I81" s="111">
        <f t="shared" si="28"/>
        <v>73</v>
      </c>
      <c r="J81" s="111"/>
      <c r="K81" s="111">
        <f t="shared" si="29"/>
        <v>73</v>
      </c>
      <c r="L81" s="111"/>
      <c r="M81" s="111">
        <f t="shared" si="30"/>
        <v>73</v>
      </c>
      <c r="N81" s="60"/>
      <c r="O81" s="111">
        <f t="shared" si="31"/>
        <v>73</v>
      </c>
    </row>
    <row r="82" spans="1:15" ht="16.5" customHeight="1">
      <c r="A82" s="345"/>
      <c r="B82" s="345"/>
      <c r="C82" s="345"/>
      <c r="D82" s="347" t="s">
        <v>7</v>
      </c>
      <c r="E82" s="111">
        <v>70</v>
      </c>
      <c r="F82" s="111">
        <v>3</v>
      </c>
      <c r="G82" s="111">
        <f t="shared" si="27"/>
        <v>73</v>
      </c>
      <c r="H82" s="111"/>
      <c r="I82" s="111">
        <f t="shared" si="28"/>
        <v>73</v>
      </c>
      <c r="J82" s="111"/>
      <c r="K82" s="111">
        <f t="shared" si="29"/>
        <v>73</v>
      </c>
      <c r="L82" s="111"/>
      <c r="M82" s="111">
        <f t="shared" si="30"/>
        <v>73</v>
      </c>
      <c r="N82" s="60"/>
      <c r="O82" s="111">
        <f t="shared" si="31"/>
        <v>73</v>
      </c>
    </row>
    <row r="83" spans="1:15" ht="16.5" customHeight="1">
      <c r="A83" s="345"/>
      <c r="B83" s="345"/>
      <c r="C83" s="345"/>
      <c r="D83" s="347" t="s">
        <v>8</v>
      </c>
      <c r="E83" s="111">
        <v>70</v>
      </c>
      <c r="F83" s="111">
        <v>3</v>
      </c>
      <c r="G83" s="111">
        <f t="shared" si="27"/>
        <v>73</v>
      </c>
      <c r="H83" s="111"/>
      <c r="I83" s="111">
        <f t="shared" si="28"/>
        <v>73</v>
      </c>
      <c r="J83" s="111"/>
      <c r="K83" s="111">
        <f t="shared" si="29"/>
        <v>73</v>
      </c>
      <c r="L83" s="111"/>
      <c r="M83" s="111">
        <f t="shared" si="30"/>
        <v>73</v>
      </c>
      <c r="N83" s="60"/>
      <c r="O83" s="111">
        <f t="shared" si="31"/>
        <v>73</v>
      </c>
    </row>
    <row r="84" spans="1:15" ht="16.5" customHeight="1">
      <c r="A84" s="345"/>
      <c r="B84" s="345"/>
      <c r="C84" s="345"/>
      <c r="D84" s="347" t="s">
        <v>14</v>
      </c>
      <c r="E84" s="111">
        <v>70</v>
      </c>
      <c r="F84" s="111">
        <v>3</v>
      </c>
      <c r="G84" s="111">
        <f t="shared" si="27"/>
        <v>73</v>
      </c>
      <c r="H84" s="111"/>
      <c r="I84" s="111">
        <f t="shared" si="28"/>
        <v>73</v>
      </c>
      <c r="J84" s="111"/>
      <c r="K84" s="111">
        <f t="shared" si="29"/>
        <v>73</v>
      </c>
      <c r="L84" s="111"/>
      <c r="M84" s="111">
        <f t="shared" si="30"/>
        <v>73</v>
      </c>
      <c r="N84" s="60"/>
      <c r="O84" s="111">
        <f t="shared" si="31"/>
        <v>73</v>
      </c>
    </row>
    <row r="85" spans="1:15" ht="17.25" customHeight="1">
      <c r="A85" s="345"/>
      <c r="B85" s="345"/>
      <c r="C85" s="344">
        <v>4300</v>
      </c>
      <c r="D85" s="52" t="s">
        <v>201</v>
      </c>
      <c r="E85" s="111"/>
      <c r="F85" s="111"/>
      <c r="G85" s="111"/>
      <c r="H85" s="111"/>
      <c r="I85" s="111"/>
      <c r="J85" s="111"/>
      <c r="K85" s="111"/>
      <c r="L85" s="111"/>
      <c r="M85" s="352">
        <f>SUM(M86)</f>
        <v>0</v>
      </c>
      <c r="N85" s="352">
        <f>SUM(N86)</f>
        <v>300</v>
      </c>
      <c r="O85" s="352">
        <f>SUM(O86)</f>
        <v>300</v>
      </c>
    </row>
    <row r="86" spans="1:15" ht="16.5" customHeight="1">
      <c r="A86" s="345"/>
      <c r="B86" s="345"/>
      <c r="C86" s="345"/>
      <c r="D86" s="347" t="s">
        <v>734</v>
      </c>
      <c r="E86" s="111">
        <v>70</v>
      </c>
      <c r="F86" s="111">
        <v>3</v>
      </c>
      <c r="G86" s="111">
        <f>SUM(E86+F86)</f>
        <v>73</v>
      </c>
      <c r="H86" s="111"/>
      <c r="I86" s="111">
        <f>SUM(G86+H86)</f>
        <v>73</v>
      </c>
      <c r="J86" s="111"/>
      <c r="K86" s="111">
        <f>SUM(I86+J86)</f>
        <v>73</v>
      </c>
      <c r="L86" s="111"/>
      <c r="M86" s="111">
        <v>0</v>
      </c>
      <c r="N86" s="60">
        <v>300</v>
      </c>
      <c r="O86" s="111">
        <f>SUM(M86+N86)</f>
        <v>300</v>
      </c>
    </row>
    <row r="87" spans="1:15" ht="24.75" customHeight="1">
      <c r="A87" s="2"/>
      <c r="B87" s="353">
        <v>75075</v>
      </c>
      <c r="C87" s="354"/>
      <c r="D87" s="355" t="s">
        <v>15</v>
      </c>
      <c r="E87" s="21">
        <f aca="true" t="shared" si="32" ref="E87:L87">SUM(E90,E109)</f>
        <v>21200</v>
      </c>
      <c r="F87" s="21">
        <f t="shared" si="32"/>
        <v>0</v>
      </c>
      <c r="G87" s="21">
        <f t="shared" si="32"/>
        <v>21200</v>
      </c>
      <c r="H87" s="21">
        <f t="shared" si="32"/>
        <v>-300</v>
      </c>
      <c r="I87" s="21">
        <f t="shared" si="32"/>
        <v>20900</v>
      </c>
      <c r="J87" s="21">
        <f t="shared" si="32"/>
        <v>1750</v>
      </c>
      <c r="K87" s="21">
        <f t="shared" si="32"/>
        <v>22650</v>
      </c>
      <c r="L87" s="21">
        <f t="shared" si="32"/>
        <v>-1300</v>
      </c>
      <c r="M87" s="21">
        <f>SUM(M88,M90,M109)</f>
        <v>21350</v>
      </c>
      <c r="N87" s="21">
        <f>SUM(N88,N90,N109)</f>
        <v>-300</v>
      </c>
      <c r="O87" s="21">
        <f>SUM(O88,O90,O109)</f>
        <v>21050</v>
      </c>
    </row>
    <row r="88" spans="1:15" ht="16.5" customHeight="1">
      <c r="A88" s="344"/>
      <c r="B88" s="344"/>
      <c r="C88" s="344">
        <v>4170</v>
      </c>
      <c r="D88" s="52" t="s">
        <v>339</v>
      </c>
      <c r="E88" s="108">
        <f aca="true" t="shared" si="33" ref="E88:L88">SUM(E89:E106)</f>
        <v>31300</v>
      </c>
      <c r="F88" s="108">
        <f t="shared" si="33"/>
        <v>-1000</v>
      </c>
      <c r="G88" s="108">
        <f t="shared" si="33"/>
        <v>30300</v>
      </c>
      <c r="H88" s="108">
        <f t="shared" si="33"/>
        <v>-900</v>
      </c>
      <c r="I88" s="108">
        <f t="shared" si="33"/>
        <v>29400</v>
      </c>
      <c r="J88" s="108">
        <f t="shared" si="33"/>
        <v>3500</v>
      </c>
      <c r="K88" s="108">
        <f t="shared" si="33"/>
        <v>32900</v>
      </c>
      <c r="L88" s="108">
        <f t="shared" si="33"/>
        <v>-1000</v>
      </c>
      <c r="M88" s="108">
        <f>SUM(M89)</f>
        <v>0</v>
      </c>
      <c r="N88" s="108">
        <f>SUM(N89)</f>
        <v>700</v>
      </c>
      <c r="O88" s="108">
        <f>SUM(O89)</f>
        <v>700</v>
      </c>
    </row>
    <row r="89" spans="1:15" ht="16.5" customHeight="1">
      <c r="A89" s="345"/>
      <c r="B89" s="345"/>
      <c r="C89" s="345"/>
      <c r="D89" s="347" t="s">
        <v>4</v>
      </c>
      <c r="E89" s="111">
        <v>700</v>
      </c>
      <c r="F89" s="111"/>
      <c r="G89" s="111">
        <f>SUM(E89+F89)</f>
        <v>700</v>
      </c>
      <c r="H89" s="111">
        <v>-300</v>
      </c>
      <c r="I89" s="111">
        <f>SUM(G89+H89)</f>
        <v>400</v>
      </c>
      <c r="J89" s="111"/>
      <c r="K89" s="111">
        <f>SUM(I89+J89)</f>
        <v>400</v>
      </c>
      <c r="L89" s="111"/>
      <c r="M89" s="111">
        <v>0</v>
      </c>
      <c r="N89" s="60">
        <v>700</v>
      </c>
      <c r="O89" s="111">
        <f>SUM(M89+N89)</f>
        <v>700</v>
      </c>
    </row>
    <row r="90" spans="1:15" ht="24.75" customHeight="1">
      <c r="A90" s="344"/>
      <c r="B90" s="344"/>
      <c r="C90" s="344" t="s">
        <v>13</v>
      </c>
      <c r="D90" s="52" t="s">
        <v>214</v>
      </c>
      <c r="E90" s="108">
        <f aca="true" t="shared" si="34" ref="E90:O90">SUM(E91:E108)</f>
        <v>15900</v>
      </c>
      <c r="F90" s="108">
        <f t="shared" si="34"/>
        <v>-500</v>
      </c>
      <c r="G90" s="108">
        <f t="shared" si="34"/>
        <v>15400</v>
      </c>
      <c r="H90" s="108">
        <f t="shared" si="34"/>
        <v>-300</v>
      </c>
      <c r="I90" s="108">
        <f t="shared" si="34"/>
        <v>15100</v>
      </c>
      <c r="J90" s="108">
        <f t="shared" si="34"/>
        <v>1750</v>
      </c>
      <c r="K90" s="108">
        <f t="shared" si="34"/>
        <v>16850</v>
      </c>
      <c r="L90" s="108">
        <f t="shared" si="34"/>
        <v>-500</v>
      </c>
      <c r="M90" s="108">
        <f t="shared" si="34"/>
        <v>16350</v>
      </c>
      <c r="N90" s="101">
        <f t="shared" si="34"/>
        <v>-1032</v>
      </c>
      <c r="O90" s="108">
        <f t="shared" si="34"/>
        <v>15318</v>
      </c>
    </row>
    <row r="91" spans="1:15" ht="16.5" customHeight="1">
      <c r="A91" s="345"/>
      <c r="B91" s="345"/>
      <c r="C91" s="345"/>
      <c r="D91" s="347" t="s">
        <v>734</v>
      </c>
      <c r="E91" s="111">
        <v>700</v>
      </c>
      <c r="F91" s="111"/>
      <c r="G91" s="111">
        <f>SUM(E91+F91)</f>
        <v>700</v>
      </c>
      <c r="H91" s="111">
        <v>-300</v>
      </c>
      <c r="I91" s="111">
        <f>SUM(G91+H91)</f>
        <v>400</v>
      </c>
      <c r="J91" s="111"/>
      <c r="K91" s="111">
        <f aca="true" t="shared" si="35" ref="K91:K108">SUM(I91+J91)</f>
        <v>400</v>
      </c>
      <c r="L91" s="111"/>
      <c r="M91" s="111">
        <f aca="true" t="shared" si="36" ref="M91:M108">SUM(K91+L91)</f>
        <v>400</v>
      </c>
      <c r="N91" s="60"/>
      <c r="O91" s="111">
        <f aca="true" t="shared" si="37" ref="O91:O108">SUM(M91+N91)</f>
        <v>400</v>
      </c>
    </row>
    <row r="92" spans="1:15" ht="16.5" customHeight="1">
      <c r="A92" s="345"/>
      <c r="B92" s="345"/>
      <c r="C92" s="345"/>
      <c r="D92" s="347" t="s">
        <v>11</v>
      </c>
      <c r="E92" s="111">
        <v>500</v>
      </c>
      <c r="F92" s="111"/>
      <c r="G92" s="111">
        <f>SUM(E92+F92)</f>
        <v>500</v>
      </c>
      <c r="H92" s="111"/>
      <c r="I92" s="111">
        <f>SUM(G92+H92)</f>
        <v>500</v>
      </c>
      <c r="J92" s="111"/>
      <c r="K92" s="111">
        <f t="shared" si="35"/>
        <v>500</v>
      </c>
      <c r="L92" s="111"/>
      <c r="M92" s="111">
        <f t="shared" si="36"/>
        <v>500</v>
      </c>
      <c r="N92" s="60"/>
      <c r="O92" s="111">
        <f t="shared" si="37"/>
        <v>500</v>
      </c>
    </row>
    <row r="93" spans="1:15" ht="16.5" customHeight="1">
      <c r="A93" s="345"/>
      <c r="B93" s="345"/>
      <c r="C93" s="345"/>
      <c r="D93" s="347" t="s">
        <v>735</v>
      </c>
      <c r="E93" s="111">
        <v>500</v>
      </c>
      <c r="F93" s="111"/>
      <c r="G93" s="111">
        <f>SUM(E93+F93)</f>
        <v>500</v>
      </c>
      <c r="H93" s="111"/>
      <c r="I93" s="111">
        <f>SUM(G93+H93)</f>
        <v>500</v>
      </c>
      <c r="J93" s="111"/>
      <c r="K93" s="111">
        <f t="shared" si="35"/>
        <v>500</v>
      </c>
      <c r="L93" s="111"/>
      <c r="M93" s="111">
        <f t="shared" si="36"/>
        <v>500</v>
      </c>
      <c r="N93" s="60"/>
      <c r="O93" s="111">
        <f t="shared" si="37"/>
        <v>500</v>
      </c>
    </row>
    <row r="94" spans="1:15" ht="16.5" customHeight="1">
      <c r="A94" s="345"/>
      <c r="B94" s="345"/>
      <c r="C94" s="345"/>
      <c r="D94" s="347" t="s">
        <v>736</v>
      </c>
      <c r="E94" s="111">
        <v>1000</v>
      </c>
      <c r="F94" s="111"/>
      <c r="G94" s="111">
        <f>SUM(E94+F94)</f>
        <v>1000</v>
      </c>
      <c r="H94" s="111"/>
      <c r="I94" s="111">
        <f>SUM(G94+H94)</f>
        <v>1000</v>
      </c>
      <c r="J94" s="111"/>
      <c r="K94" s="111">
        <f t="shared" si="35"/>
        <v>1000</v>
      </c>
      <c r="L94" s="111"/>
      <c r="M94" s="111">
        <f t="shared" si="36"/>
        <v>1000</v>
      </c>
      <c r="N94" s="60"/>
      <c r="O94" s="111">
        <f t="shared" si="37"/>
        <v>1000</v>
      </c>
    </row>
    <row r="95" spans="1:15" ht="16.5" customHeight="1">
      <c r="A95" s="345"/>
      <c r="B95" s="345"/>
      <c r="C95" s="345"/>
      <c r="D95" s="347" t="s">
        <v>737</v>
      </c>
      <c r="E95" s="111">
        <v>900</v>
      </c>
      <c r="F95" s="111"/>
      <c r="G95" s="111">
        <f>SUM(E95+F95)</f>
        <v>900</v>
      </c>
      <c r="H95" s="111"/>
      <c r="I95" s="111">
        <f>SUM(G95+H95)</f>
        <v>900</v>
      </c>
      <c r="J95" s="111"/>
      <c r="K95" s="111">
        <f t="shared" si="35"/>
        <v>900</v>
      </c>
      <c r="L95" s="111"/>
      <c r="M95" s="111">
        <f t="shared" si="36"/>
        <v>900</v>
      </c>
      <c r="N95" s="60"/>
      <c r="O95" s="111">
        <f t="shared" si="37"/>
        <v>900</v>
      </c>
    </row>
    <row r="96" spans="1:15" ht="16.5" customHeight="1">
      <c r="A96" s="345"/>
      <c r="B96" s="345"/>
      <c r="C96" s="345"/>
      <c r="D96" s="347" t="s">
        <v>738</v>
      </c>
      <c r="E96" s="111">
        <v>0</v>
      </c>
      <c r="F96" s="111"/>
      <c r="G96" s="111">
        <v>0</v>
      </c>
      <c r="H96" s="111"/>
      <c r="I96" s="111">
        <v>0</v>
      </c>
      <c r="J96" s="111">
        <v>500</v>
      </c>
      <c r="K96" s="111">
        <f t="shared" si="35"/>
        <v>500</v>
      </c>
      <c r="L96" s="111"/>
      <c r="M96" s="111">
        <f t="shared" si="36"/>
        <v>500</v>
      </c>
      <c r="N96" s="60"/>
      <c r="O96" s="111">
        <f t="shared" si="37"/>
        <v>500</v>
      </c>
    </row>
    <row r="97" spans="1:15" ht="16.5" customHeight="1">
      <c r="A97" s="345"/>
      <c r="B97" s="345"/>
      <c r="C97" s="345"/>
      <c r="D97" s="347" t="s">
        <v>739</v>
      </c>
      <c r="E97" s="111">
        <v>2400</v>
      </c>
      <c r="F97" s="111"/>
      <c r="G97" s="111">
        <f aca="true" t="shared" si="38" ref="G97:G105">SUM(E97+F97)</f>
        <v>2400</v>
      </c>
      <c r="H97" s="111"/>
      <c r="I97" s="111">
        <f aca="true" t="shared" si="39" ref="I97:I105">SUM(G97+H97)</f>
        <v>2400</v>
      </c>
      <c r="J97" s="111"/>
      <c r="K97" s="111">
        <f t="shared" si="35"/>
        <v>2400</v>
      </c>
      <c r="L97" s="111"/>
      <c r="M97" s="111">
        <f t="shared" si="36"/>
        <v>2400</v>
      </c>
      <c r="N97" s="60">
        <v>-732</v>
      </c>
      <c r="O97" s="111">
        <f t="shared" si="37"/>
        <v>1668</v>
      </c>
    </row>
    <row r="98" spans="1:15" ht="16.5" customHeight="1">
      <c r="A98" s="345"/>
      <c r="B98" s="345"/>
      <c r="C98" s="345"/>
      <c r="D98" s="347" t="s">
        <v>740</v>
      </c>
      <c r="E98" s="111">
        <v>1500</v>
      </c>
      <c r="F98" s="111"/>
      <c r="G98" s="111">
        <f t="shared" si="38"/>
        <v>1500</v>
      </c>
      <c r="H98" s="111"/>
      <c r="I98" s="111">
        <f t="shared" si="39"/>
        <v>1500</v>
      </c>
      <c r="J98" s="111"/>
      <c r="K98" s="111">
        <f t="shared" si="35"/>
        <v>1500</v>
      </c>
      <c r="L98" s="111"/>
      <c r="M98" s="111">
        <f t="shared" si="36"/>
        <v>1500</v>
      </c>
      <c r="N98" s="60"/>
      <c r="O98" s="111">
        <f t="shared" si="37"/>
        <v>1500</v>
      </c>
    </row>
    <row r="99" spans="1:15" ht="16.5" customHeight="1">
      <c r="A99" s="345"/>
      <c r="B99" s="345"/>
      <c r="C99" s="345"/>
      <c r="D99" s="347" t="s">
        <v>0</v>
      </c>
      <c r="E99" s="111">
        <v>2000</v>
      </c>
      <c r="F99" s="111"/>
      <c r="G99" s="111">
        <f t="shared" si="38"/>
        <v>2000</v>
      </c>
      <c r="H99" s="111"/>
      <c r="I99" s="111">
        <f t="shared" si="39"/>
        <v>2000</v>
      </c>
      <c r="J99" s="111"/>
      <c r="K99" s="111">
        <f t="shared" si="35"/>
        <v>2000</v>
      </c>
      <c r="L99" s="111">
        <v>-500</v>
      </c>
      <c r="M99" s="111">
        <f t="shared" si="36"/>
        <v>1500</v>
      </c>
      <c r="N99" s="60"/>
      <c r="O99" s="111">
        <f t="shared" si="37"/>
        <v>1500</v>
      </c>
    </row>
    <row r="100" spans="1:15" ht="16.5" customHeight="1">
      <c r="A100" s="345"/>
      <c r="B100" s="345"/>
      <c r="C100" s="345"/>
      <c r="D100" s="347" t="s">
        <v>1</v>
      </c>
      <c r="E100" s="111">
        <v>0</v>
      </c>
      <c r="F100" s="111">
        <v>400</v>
      </c>
      <c r="G100" s="111">
        <f t="shared" si="38"/>
        <v>400</v>
      </c>
      <c r="H100" s="111"/>
      <c r="I100" s="111">
        <f t="shared" si="39"/>
        <v>400</v>
      </c>
      <c r="J100" s="111"/>
      <c r="K100" s="111">
        <f t="shared" si="35"/>
        <v>400</v>
      </c>
      <c r="L100" s="111"/>
      <c r="M100" s="111">
        <f t="shared" si="36"/>
        <v>400</v>
      </c>
      <c r="N100" s="60"/>
      <c r="O100" s="111">
        <f t="shared" si="37"/>
        <v>400</v>
      </c>
    </row>
    <row r="101" spans="1:15" ht="16.5" customHeight="1">
      <c r="A101" s="345"/>
      <c r="B101" s="345"/>
      <c r="C101" s="345"/>
      <c r="D101" s="347" t="s">
        <v>2</v>
      </c>
      <c r="E101" s="111">
        <v>1000</v>
      </c>
      <c r="F101" s="111"/>
      <c r="G101" s="111">
        <f t="shared" si="38"/>
        <v>1000</v>
      </c>
      <c r="H101" s="111"/>
      <c r="I101" s="111">
        <f t="shared" si="39"/>
        <v>1000</v>
      </c>
      <c r="J101" s="111">
        <v>500</v>
      </c>
      <c r="K101" s="111">
        <f t="shared" si="35"/>
        <v>1500</v>
      </c>
      <c r="L101" s="111"/>
      <c r="M101" s="111">
        <f t="shared" si="36"/>
        <v>1500</v>
      </c>
      <c r="N101" s="60">
        <v>-300</v>
      </c>
      <c r="O101" s="111">
        <f t="shared" si="37"/>
        <v>1200</v>
      </c>
    </row>
    <row r="102" spans="1:15" ht="16.5" customHeight="1">
      <c r="A102" s="345"/>
      <c r="B102" s="345"/>
      <c r="C102" s="345"/>
      <c r="D102" s="347" t="s">
        <v>4</v>
      </c>
      <c r="E102" s="111">
        <v>1100</v>
      </c>
      <c r="F102" s="111">
        <v>-900</v>
      </c>
      <c r="G102" s="111">
        <f t="shared" si="38"/>
        <v>200</v>
      </c>
      <c r="H102" s="111"/>
      <c r="I102" s="111">
        <f t="shared" si="39"/>
        <v>200</v>
      </c>
      <c r="J102" s="111"/>
      <c r="K102" s="111">
        <f t="shared" si="35"/>
        <v>200</v>
      </c>
      <c r="L102" s="111"/>
      <c r="M102" s="111">
        <f t="shared" si="36"/>
        <v>200</v>
      </c>
      <c r="N102" s="60"/>
      <c r="O102" s="111">
        <f t="shared" si="37"/>
        <v>200</v>
      </c>
    </row>
    <row r="103" spans="1:15" ht="16.5" customHeight="1">
      <c r="A103" s="345"/>
      <c r="B103" s="345"/>
      <c r="C103" s="345"/>
      <c r="D103" s="347" t="s">
        <v>5</v>
      </c>
      <c r="E103" s="111">
        <v>600</v>
      </c>
      <c r="F103" s="111"/>
      <c r="G103" s="111">
        <f t="shared" si="38"/>
        <v>600</v>
      </c>
      <c r="H103" s="111"/>
      <c r="I103" s="111">
        <f t="shared" si="39"/>
        <v>600</v>
      </c>
      <c r="J103" s="111"/>
      <c r="K103" s="111">
        <f t="shared" si="35"/>
        <v>600</v>
      </c>
      <c r="L103" s="111"/>
      <c r="M103" s="111">
        <f t="shared" si="36"/>
        <v>600</v>
      </c>
      <c r="N103" s="60"/>
      <c r="O103" s="111">
        <f t="shared" si="37"/>
        <v>600</v>
      </c>
    </row>
    <row r="104" spans="1:15" ht="16.5" customHeight="1">
      <c r="A104" s="345"/>
      <c r="B104" s="345"/>
      <c r="C104" s="345"/>
      <c r="D104" s="347" t="s">
        <v>9</v>
      </c>
      <c r="E104" s="111">
        <v>1000</v>
      </c>
      <c r="F104" s="111"/>
      <c r="G104" s="111">
        <f t="shared" si="38"/>
        <v>1000</v>
      </c>
      <c r="H104" s="111"/>
      <c r="I104" s="111">
        <f t="shared" si="39"/>
        <v>1000</v>
      </c>
      <c r="J104" s="111"/>
      <c r="K104" s="111">
        <f t="shared" si="35"/>
        <v>1000</v>
      </c>
      <c r="L104" s="111"/>
      <c r="M104" s="111">
        <f t="shared" si="36"/>
        <v>1000</v>
      </c>
      <c r="N104" s="60"/>
      <c r="O104" s="111">
        <f t="shared" si="37"/>
        <v>1000</v>
      </c>
    </row>
    <row r="105" spans="1:15" ht="16.5" customHeight="1">
      <c r="A105" s="345"/>
      <c r="B105" s="345"/>
      <c r="C105" s="345"/>
      <c r="D105" s="347" t="s">
        <v>6</v>
      </c>
      <c r="E105" s="111">
        <v>1500</v>
      </c>
      <c r="F105" s="111"/>
      <c r="G105" s="111">
        <f t="shared" si="38"/>
        <v>1500</v>
      </c>
      <c r="H105" s="111"/>
      <c r="I105" s="111">
        <f t="shared" si="39"/>
        <v>1500</v>
      </c>
      <c r="J105" s="111"/>
      <c r="K105" s="111">
        <f t="shared" si="35"/>
        <v>1500</v>
      </c>
      <c r="L105" s="111"/>
      <c r="M105" s="111">
        <f t="shared" si="36"/>
        <v>1500</v>
      </c>
      <c r="N105" s="60"/>
      <c r="O105" s="111">
        <f t="shared" si="37"/>
        <v>1500</v>
      </c>
    </row>
    <row r="106" spans="1:15" ht="16.5" customHeight="1">
      <c r="A106" s="345"/>
      <c r="B106" s="345"/>
      <c r="C106" s="345"/>
      <c r="D106" s="347" t="s">
        <v>10</v>
      </c>
      <c r="E106" s="111">
        <v>0</v>
      </c>
      <c r="F106" s="111"/>
      <c r="G106" s="111">
        <v>0</v>
      </c>
      <c r="H106" s="111"/>
      <c r="I106" s="111">
        <v>0</v>
      </c>
      <c r="J106" s="111">
        <v>750</v>
      </c>
      <c r="K106" s="111">
        <f t="shared" si="35"/>
        <v>750</v>
      </c>
      <c r="L106" s="111"/>
      <c r="M106" s="111">
        <f t="shared" si="36"/>
        <v>750</v>
      </c>
      <c r="N106" s="60"/>
      <c r="O106" s="111">
        <f t="shared" si="37"/>
        <v>750</v>
      </c>
    </row>
    <row r="107" spans="1:15" ht="16.5" customHeight="1">
      <c r="A107" s="345"/>
      <c r="B107" s="345"/>
      <c r="C107" s="345"/>
      <c r="D107" s="347" t="s">
        <v>8</v>
      </c>
      <c r="E107" s="111">
        <v>200</v>
      </c>
      <c r="F107" s="111"/>
      <c r="G107" s="111">
        <f>SUM(E107+F107)</f>
        <v>200</v>
      </c>
      <c r="H107" s="111"/>
      <c r="I107" s="111">
        <f>SUM(G107+H107)</f>
        <v>200</v>
      </c>
      <c r="J107" s="111"/>
      <c r="K107" s="111">
        <f t="shared" si="35"/>
        <v>200</v>
      </c>
      <c r="L107" s="111"/>
      <c r="M107" s="111">
        <f t="shared" si="36"/>
        <v>200</v>
      </c>
      <c r="N107" s="60"/>
      <c r="O107" s="111">
        <f t="shared" si="37"/>
        <v>200</v>
      </c>
    </row>
    <row r="108" spans="1:15" ht="16.5" customHeight="1">
      <c r="A108" s="345"/>
      <c r="B108" s="345"/>
      <c r="C108" s="345"/>
      <c r="D108" s="347" t="s">
        <v>14</v>
      </c>
      <c r="E108" s="111">
        <v>1000</v>
      </c>
      <c r="F108" s="111"/>
      <c r="G108" s="111">
        <f>SUM(E108+F108)</f>
        <v>1000</v>
      </c>
      <c r="H108" s="111"/>
      <c r="I108" s="111">
        <f>SUM(G108+H108)</f>
        <v>1000</v>
      </c>
      <c r="J108" s="111"/>
      <c r="K108" s="111">
        <f t="shared" si="35"/>
        <v>1000</v>
      </c>
      <c r="L108" s="111"/>
      <c r="M108" s="111">
        <f t="shared" si="36"/>
        <v>1000</v>
      </c>
      <c r="N108" s="60"/>
      <c r="O108" s="111">
        <f t="shared" si="37"/>
        <v>1000</v>
      </c>
    </row>
    <row r="109" spans="1:15" ht="24.75" customHeight="1">
      <c r="A109" s="344"/>
      <c r="B109" s="344"/>
      <c r="C109" s="344">
        <v>4300</v>
      </c>
      <c r="D109" s="52" t="s">
        <v>201</v>
      </c>
      <c r="E109" s="108">
        <f aca="true" t="shared" si="40" ref="E109:O109">SUM(E110:E114)</f>
        <v>5300</v>
      </c>
      <c r="F109" s="108">
        <f t="shared" si="40"/>
        <v>500</v>
      </c>
      <c r="G109" s="108">
        <f t="shared" si="40"/>
        <v>5800</v>
      </c>
      <c r="H109" s="108">
        <f t="shared" si="40"/>
        <v>0</v>
      </c>
      <c r="I109" s="108">
        <f t="shared" si="40"/>
        <v>5800</v>
      </c>
      <c r="J109" s="108">
        <f t="shared" si="40"/>
        <v>0</v>
      </c>
      <c r="K109" s="108">
        <f t="shared" si="40"/>
        <v>5800</v>
      </c>
      <c r="L109" s="108">
        <f t="shared" si="40"/>
        <v>-800</v>
      </c>
      <c r="M109" s="108">
        <f t="shared" si="40"/>
        <v>5000</v>
      </c>
      <c r="N109" s="101">
        <f t="shared" si="40"/>
        <v>32</v>
      </c>
      <c r="O109" s="108">
        <f t="shared" si="40"/>
        <v>5032</v>
      </c>
    </row>
    <row r="110" spans="1:15" ht="16.5" customHeight="1">
      <c r="A110" s="345"/>
      <c r="B110" s="345"/>
      <c r="C110" s="345"/>
      <c r="D110" s="347" t="s">
        <v>735</v>
      </c>
      <c r="E110" s="111">
        <v>800</v>
      </c>
      <c r="F110" s="111"/>
      <c r="G110" s="111">
        <f>SUM(E110+F110)</f>
        <v>800</v>
      </c>
      <c r="H110" s="111"/>
      <c r="I110" s="111">
        <f>SUM(G110+H110)</f>
        <v>800</v>
      </c>
      <c r="J110" s="111"/>
      <c r="K110" s="111">
        <f>SUM(I110+J110)</f>
        <v>800</v>
      </c>
      <c r="L110" s="111">
        <v>-800</v>
      </c>
      <c r="M110" s="111">
        <f>SUM(K110+L110)</f>
        <v>0</v>
      </c>
      <c r="N110" s="60"/>
      <c r="O110" s="111">
        <f>SUM(M110+N110)</f>
        <v>0</v>
      </c>
    </row>
    <row r="111" spans="1:15" ht="16.5" customHeight="1">
      <c r="A111" s="345"/>
      <c r="B111" s="345"/>
      <c r="C111" s="345"/>
      <c r="D111" s="347" t="s">
        <v>739</v>
      </c>
      <c r="E111" s="111"/>
      <c r="F111" s="111"/>
      <c r="G111" s="111"/>
      <c r="H111" s="111"/>
      <c r="I111" s="111"/>
      <c r="J111" s="111"/>
      <c r="K111" s="111"/>
      <c r="L111" s="111"/>
      <c r="M111" s="111">
        <f>SUM(K111+L111)</f>
        <v>0</v>
      </c>
      <c r="N111" s="60">
        <v>732</v>
      </c>
      <c r="O111" s="111">
        <f>SUM(M111+N111)</f>
        <v>732</v>
      </c>
    </row>
    <row r="112" spans="1:15" ht="16.5" customHeight="1">
      <c r="A112" s="345"/>
      <c r="B112" s="345"/>
      <c r="C112" s="345"/>
      <c r="D112" s="347" t="s">
        <v>740</v>
      </c>
      <c r="E112" s="111">
        <v>800</v>
      </c>
      <c r="F112" s="111"/>
      <c r="G112" s="111">
        <f>SUM(E112+F112)</f>
        <v>800</v>
      </c>
      <c r="H112" s="111"/>
      <c r="I112" s="111">
        <f>SUM(G112+H112)</f>
        <v>800</v>
      </c>
      <c r="J112" s="111"/>
      <c r="K112" s="111">
        <f>SUM(I112+J112)</f>
        <v>800</v>
      </c>
      <c r="L112" s="111"/>
      <c r="M112" s="111">
        <f>SUM(K112+L112)</f>
        <v>800</v>
      </c>
      <c r="N112" s="60"/>
      <c r="O112" s="111">
        <f>SUM(M112+N112)</f>
        <v>800</v>
      </c>
    </row>
    <row r="113" spans="1:15" ht="16.5" customHeight="1">
      <c r="A113" s="345"/>
      <c r="B113" s="345"/>
      <c r="C113" s="345"/>
      <c r="D113" s="347" t="s">
        <v>1</v>
      </c>
      <c r="E113" s="111">
        <v>1600</v>
      </c>
      <c r="F113" s="111">
        <v>-400</v>
      </c>
      <c r="G113" s="111">
        <f>SUM(E113+F113)</f>
        <v>1200</v>
      </c>
      <c r="H113" s="111"/>
      <c r="I113" s="111">
        <f>SUM(G113+H113)</f>
        <v>1200</v>
      </c>
      <c r="J113" s="111"/>
      <c r="K113" s="111">
        <f>SUM(I113+J113)</f>
        <v>1200</v>
      </c>
      <c r="L113" s="111"/>
      <c r="M113" s="111">
        <f>SUM(K113+L113)</f>
        <v>1200</v>
      </c>
      <c r="N113" s="60"/>
      <c r="O113" s="111">
        <f>SUM(M113+N113)</f>
        <v>1200</v>
      </c>
    </row>
    <row r="114" spans="1:15" ht="16.5" customHeight="1">
      <c r="A114" s="345"/>
      <c r="B114" s="345"/>
      <c r="C114" s="345"/>
      <c r="D114" s="347" t="s">
        <v>4</v>
      </c>
      <c r="E114" s="111">
        <v>2100</v>
      </c>
      <c r="F114" s="111">
        <v>900</v>
      </c>
      <c r="G114" s="111">
        <f>SUM(E114+F114)</f>
        <v>3000</v>
      </c>
      <c r="H114" s="111"/>
      <c r="I114" s="111">
        <f>SUM(G114+H114)</f>
        <v>3000</v>
      </c>
      <c r="J114" s="111"/>
      <c r="K114" s="111">
        <f>SUM(I114+J114)</f>
        <v>3000</v>
      </c>
      <c r="L114" s="111"/>
      <c r="M114" s="111">
        <f>SUM(K114+L114)</f>
        <v>3000</v>
      </c>
      <c r="N114" s="60">
        <v>-700</v>
      </c>
      <c r="O114" s="111">
        <f>SUM(M114+N114)</f>
        <v>2300</v>
      </c>
    </row>
    <row r="115" spans="1:15" ht="24.75" customHeight="1">
      <c r="A115" s="37">
        <v>754</v>
      </c>
      <c r="B115" s="5"/>
      <c r="C115" s="5"/>
      <c r="D115" s="22" t="s">
        <v>138</v>
      </c>
      <c r="E115" s="18">
        <f aca="true" t="shared" si="41" ref="E115:O115">E116</f>
        <v>5000</v>
      </c>
      <c r="F115" s="18">
        <f t="shared" si="41"/>
        <v>0</v>
      </c>
      <c r="G115" s="18">
        <f t="shared" si="41"/>
        <v>5000</v>
      </c>
      <c r="H115" s="18">
        <f t="shared" si="41"/>
        <v>900</v>
      </c>
      <c r="I115" s="18">
        <f t="shared" si="41"/>
        <v>5900</v>
      </c>
      <c r="J115" s="18">
        <f t="shared" si="41"/>
        <v>0</v>
      </c>
      <c r="K115" s="18">
        <f t="shared" si="41"/>
        <v>5900</v>
      </c>
      <c r="L115" s="18">
        <f t="shared" si="41"/>
        <v>0</v>
      </c>
      <c r="M115" s="18">
        <f t="shared" si="41"/>
        <v>5900</v>
      </c>
      <c r="N115" s="18">
        <f t="shared" si="41"/>
        <v>0</v>
      </c>
      <c r="O115" s="18">
        <f t="shared" si="41"/>
        <v>5900</v>
      </c>
    </row>
    <row r="116" spans="1:15" ht="21" customHeight="1">
      <c r="A116" s="344"/>
      <c r="B116" s="344">
        <v>75412</v>
      </c>
      <c r="C116" s="66"/>
      <c r="D116" s="52" t="s">
        <v>223</v>
      </c>
      <c r="E116" s="108">
        <f aca="true" t="shared" si="42" ref="E116:O116">SUM(E117,E122)</f>
        <v>5000</v>
      </c>
      <c r="F116" s="108">
        <f t="shared" si="42"/>
        <v>0</v>
      </c>
      <c r="G116" s="108">
        <f t="shared" si="42"/>
        <v>5000</v>
      </c>
      <c r="H116" s="108">
        <f t="shared" si="42"/>
        <v>900</v>
      </c>
      <c r="I116" s="108">
        <f t="shared" si="42"/>
        <v>5900</v>
      </c>
      <c r="J116" s="108">
        <f t="shared" si="42"/>
        <v>0</v>
      </c>
      <c r="K116" s="108">
        <f t="shared" si="42"/>
        <v>5900</v>
      </c>
      <c r="L116" s="108">
        <f t="shared" si="42"/>
        <v>0</v>
      </c>
      <c r="M116" s="108">
        <f t="shared" si="42"/>
        <v>5900</v>
      </c>
      <c r="N116" s="101">
        <f t="shared" si="42"/>
        <v>0</v>
      </c>
      <c r="O116" s="108">
        <f t="shared" si="42"/>
        <v>5900</v>
      </c>
    </row>
    <row r="117" spans="1:15" ht="18.75" customHeight="1">
      <c r="A117" s="344"/>
      <c r="B117" s="66"/>
      <c r="C117" s="344">
        <v>4210</v>
      </c>
      <c r="D117" s="52" t="s">
        <v>16</v>
      </c>
      <c r="E117" s="108">
        <f aca="true" t="shared" si="43" ref="E117:O117">SUM(E118:E121)</f>
        <v>5000</v>
      </c>
      <c r="F117" s="108">
        <f t="shared" si="43"/>
        <v>0</v>
      </c>
      <c r="G117" s="108">
        <f t="shared" si="43"/>
        <v>5000</v>
      </c>
      <c r="H117" s="108">
        <f t="shared" si="43"/>
        <v>0</v>
      </c>
      <c r="I117" s="108">
        <f t="shared" si="43"/>
        <v>5000</v>
      </c>
      <c r="J117" s="108">
        <f t="shared" si="43"/>
        <v>0</v>
      </c>
      <c r="K117" s="108">
        <f t="shared" si="43"/>
        <v>5000</v>
      </c>
      <c r="L117" s="108">
        <f t="shared" si="43"/>
        <v>0</v>
      </c>
      <c r="M117" s="108">
        <f t="shared" si="43"/>
        <v>5000</v>
      </c>
      <c r="N117" s="101">
        <f t="shared" si="43"/>
        <v>0</v>
      </c>
      <c r="O117" s="108">
        <f t="shared" si="43"/>
        <v>5000</v>
      </c>
    </row>
    <row r="118" spans="1:15" ht="16.5" customHeight="1">
      <c r="A118" s="344"/>
      <c r="B118" s="66"/>
      <c r="C118" s="344"/>
      <c r="D118" s="347" t="s">
        <v>735</v>
      </c>
      <c r="E118" s="111">
        <v>500</v>
      </c>
      <c r="F118" s="111"/>
      <c r="G118" s="111">
        <f>SUM(E118+F118)</f>
        <v>500</v>
      </c>
      <c r="H118" s="111"/>
      <c r="I118" s="111">
        <f>SUM(G118+H118)</f>
        <v>500</v>
      </c>
      <c r="J118" s="111"/>
      <c r="K118" s="111">
        <f>SUM(I118+J118)</f>
        <v>500</v>
      </c>
      <c r="L118" s="111"/>
      <c r="M118" s="111">
        <f>SUM(K118+L118)</f>
        <v>500</v>
      </c>
      <c r="N118" s="60"/>
      <c r="O118" s="111">
        <f>SUM(M118+N118)</f>
        <v>500</v>
      </c>
    </row>
    <row r="119" spans="1:15" ht="16.5" customHeight="1">
      <c r="A119" s="344"/>
      <c r="B119" s="66"/>
      <c r="C119" s="344"/>
      <c r="D119" s="347" t="s">
        <v>737</v>
      </c>
      <c r="E119" s="111">
        <v>2000</v>
      </c>
      <c r="F119" s="111"/>
      <c r="G119" s="111">
        <f>SUM(E119+F119)</f>
        <v>2000</v>
      </c>
      <c r="H119" s="111"/>
      <c r="I119" s="111">
        <f>SUM(G119+H119)</f>
        <v>2000</v>
      </c>
      <c r="J119" s="111"/>
      <c r="K119" s="111">
        <f>SUM(I119+J119)</f>
        <v>2000</v>
      </c>
      <c r="L119" s="111"/>
      <c r="M119" s="111">
        <f>SUM(K119+L119)</f>
        <v>2000</v>
      </c>
      <c r="N119" s="60"/>
      <c r="O119" s="111">
        <f>SUM(M119+N119)</f>
        <v>2000</v>
      </c>
    </row>
    <row r="120" spans="1:15" ht="16.5" customHeight="1">
      <c r="A120" s="344"/>
      <c r="B120" s="66"/>
      <c r="C120" s="344"/>
      <c r="D120" s="347" t="s">
        <v>1</v>
      </c>
      <c r="E120" s="111">
        <v>500</v>
      </c>
      <c r="F120" s="111"/>
      <c r="G120" s="111">
        <f>SUM(E120+F120)</f>
        <v>500</v>
      </c>
      <c r="H120" s="111"/>
      <c r="I120" s="111">
        <f>SUM(G120+H120)</f>
        <v>500</v>
      </c>
      <c r="J120" s="111"/>
      <c r="K120" s="111">
        <f>SUM(I120+J120)</f>
        <v>500</v>
      </c>
      <c r="L120" s="111"/>
      <c r="M120" s="111">
        <f>SUM(K120+L120)</f>
        <v>500</v>
      </c>
      <c r="N120" s="60"/>
      <c r="O120" s="111">
        <f>SUM(M120+N120)</f>
        <v>500</v>
      </c>
    </row>
    <row r="121" spans="1:15" ht="16.5" customHeight="1">
      <c r="A121" s="344"/>
      <c r="B121" s="66"/>
      <c r="C121" s="344"/>
      <c r="D121" s="347" t="s">
        <v>4</v>
      </c>
      <c r="E121" s="111">
        <v>2000</v>
      </c>
      <c r="F121" s="111"/>
      <c r="G121" s="111">
        <f>SUM(E121+F121)</f>
        <v>2000</v>
      </c>
      <c r="H121" s="111"/>
      <c r="I121" s="111">
        <f>SUM(G121+H121)</f>
        <v>2000</v>
      </c>
      <c r="J121" s="111"/>
      <c r="K121" s="111">
        <f>SUM(I121+J121)</f>
        <v>2000</v>
      </c>
      <c r="L121" s="111"/>
      <c r="M121" s="111">
        <f>SUM(K121+L121)</f>
        <v>2000</v>
      </c>
      <c r="N121" s="60"/>
      <c r="O121" s="111">
        <f>SUM(M121+N121)</f>
        <v>2000</v>
      </c>
    </row>
    <row r="122" spans="1:15" ht="24.75" customHeight="1">
      <c r="A122" s="344"/>
      <c r="B122" s="66"/>
      <c r="C122" s="344">
        <v>4300</v>
      </c>
      <c r="D122" s="52" t="s">
        <v>201</v>
      </c>
      <c r="E122" s="108">
        <f aca="true" t="shared" si="44" ref="E122:O122">SUM(E123)</f>
        <v>0</v>
      </c>
      <c r="F122" s="108">
        <f t="shared" si="44"/>
        <v>0</v>
      </c>
      <c r="G122" s="108">
        <f t="shared" si="44"/>
        <v>0</v>
      </c>
      <c r="H122" s="108">
        <f t="shared" si="44"/>
        <v>900</v>
      </c>
      <c r="I122" s="108">
        <f t="shared" si="44"/>
        <v>900</v>
      </c>
      <c r="J122" s="108">
        <f t="shared" si="44"/>
        <v>0</v>
      </c>
      <c r="K122" s="108">
        <f t="shared" si="44"/>
        <v>900</v>
      </c>
      <c r="L122" s="108">
        <f t="shared" si="44"/>
        <v>0</v>
      </c>
      <c r="M122" s="108">
        <f t="shared" si="44"/>
        <v>900</v>
      </c>
      <c r="N122" s="101">
        <f t="shared" si="44"/>
        <v>0</v>
      </c>
      <c r="O122" s="108">
        <f t="shared" si="44"/>
        <v>900</v>
      </c>
    </row>
    <row r="123" spans="1:15" ht="16.5" customHeight="1">
      <c r="A123" s="344"/>
      <c r="B123" s="66"/>
      <c r="C123" s="344"/>
      <c r="D123" s="347" t="s">
        <v>734</v>
      </c>
      <c r="E123" s="111">
        <v>0</v>
      </c>
      <c r="F123" s="111"/>
      <c r="G123" s="111">
        <f>SUM(E123+F123)</f>
        <v>0</v>
      </c>
      <c r="H123" s="111">
        <v>900</v>
      </c>
      <c r="I123" s="111">
        <f>SUM(G123+H123)</f>
        <v>900</v>
      </c>
      <c r="J123" s="111"/>
      <c r="K123" s="111">
        <f>SUM(I123+J123)</f>
        <v>900</v>
      </c>
      <c r="L123" s="111"/>
      <c r="M123" s="111">
        <f>SUM(K123+L123)</f>
        <v>900</v>
      </c>
      <c r="N123" s="60"/>
      <c r="O123" s="111">
        <f>SUM(M123+N123)</f>
        <v>900</v>
      </c>
    </row>
    <row r="124" spans="1:15" ht="19.5" customHeight="1">
      <c r="A124" s="37" t="s">
        <v>233</v>
      </c>
      <c r="B124" s="5"/>
      <c r="C124" s="5"/>
      <c r="D124" s="22" t="s">
        <v>234</v>
      </c>
      <c r="E124" s="18">
        <f aca="true" t="shared" si="45" ref="E124:O124">SUM(E125,E135,E139,E142)</f>
        <v>9500</v>
      </c>
      <c r="F124" s="18">
        <f t="shared" si="45"/>
        <v>0</v>
      </c>
      <c r="G124" s="18">
        <f t="shared" si="45"/>
        <v>9500</v>
      </c>
      <c r="H124" s="18">
        <f t="shared" si="45"/>
        <v>-500</v>
      </c>
      <c r="I124" s="18">
        <f t="shared" si="45"/>
        <v>9000</v>
      </c>
      <c r="J124" s="18">
        <f t="shared" si="45"/>
        <v>0</v>
      </c>
      <c r="K124" s="18">
        <f t="shared" si="45"/>
        <v>9000</v>
      </c>
      <c r="L124" s="18">
        <f t="shared" si="45"/>
        <v>400</v>
      </c>
      <c r="M124" s="18">
        <f t="shared" si="45"/>
        <v>9400</v>
      </c>
      <c r="N124" s="18">
        <f t="shared" si="45"/>
        <v>0</v>
      </c>
      <c r="O124" s="18">
        <f t="shared" si="45"/>
        <v>9400</v>
      </c>
    </row>
    <row r="125" spans="1:15" ht="17.25" customHeight="1">
      <c r="A125" s="344"/>
      <c r="B125" s="344" t="s">
        <v>235</v>
      </c>
      <c r="C125" s="66"/>
      <c r="D125" s="52" t="s">
        <v>172</v>
      </c>
      <c r="E125" s="108">
        <f aca="true" t="shared" si="46" ref="E125:O125">SUM(E126,E128)</f>
        <v>7000</v>
      </c>
      <c r="F125" s="108">
        <f t="shared" si="46"/>
        <v>0</v>
      </c>
      <c r="G125" s="108">
        <f t="shared" si="46"/>
        <v>7000</v>
      </c>
      <c r="H125" s="108">
        <f t="shared" si="46"/>
        <v>0</v>
      </c>
      <c r="I125" s="108">
        <f t="shared" si="46"/>
        <v>7000</v>
      </c>
      <c r="J125" s="108">
        <f t="shared" si="46"/>
        <v>0</v>
      </c>
      <c r="K125" s="108">
        <f t="shared" si="46"/>
        <v>7000</v>
      </c>
      <c r="L125" s="108">
        <f t="shared" si="46"/>
        <v>400</v>
      </c>
      <c r="M125" s="108">
        <f t="shared" si="46"/>
        <v>7400</v>
      </c>
      <c r="N125" s="101">
        <f t="shared" si="46"/>
        <v>0</v>
      </c>
      <c r="O125" s="108">
        <f t="shared" si="46"/>
        <v>7400</v>
      </c>
    </row>
    <row r="126" spans="1:15" ht="24.75" customHeight="1">
      <c r="A126" s="344"/>
      <c r="B126" s="344"/>
      <c r="C126" s="344">
        <v>4210</v>
      </c>
      <c r="D126" s="52" t="s">
        <v>16</v>
      </c>
      <c r="E126" s="108">
        <f aca="true" t="shared" si="47" ref="E126:O126">SUM(E127:E127)</f>
        <v>3000</v>
      </c>
      <c r="F126" s="108">
        <f t="shared" si="47"/>
        <v>0</v>
      </c>
      <c r="G126" s="108">
        <f t="shared" si="47"/>
        <v>3000</v>
      </c>
      <c r="H126" s="108">
        <f t="shared" si="47"/>
        <v>0</v>
      </c>
      <c r="I126" s="108">
        <f t="shared" si="47"/>
        <v>3000</v>
      </c>
      <c r="J126" s="108">
        <f t="shared" si="47"/>
        <v>0</v>
      </c>
      <c r="K126" s="108">
        <f t="shared" si="47"/>
        <v>3000</v>
      </c>
      <c r="L126" s="108">
        <f t="shared" si="47"/>
        <v>0</v>
      </c>
      <c r="M126" s="108">
        <f t="shared" si="47"/>
        <v>3000</v>
      </c>
      <c r="N126" s="101">
        <f t="shared" si="47"/>
        <v>0</v>
      </c>
      <c r="O126" s="108">
        <f t="shared" si="47"/>
        <v>3000</v>
      </c>
    </row>
    <row r="127" spans="1:15" ht="16.5" customHeight="1">
      <c r="A127" s="344"/>
      <c r="B127" s="344"/>
      <c r="C127" s="344"/>
      <c r="D127" s="347" t="s">
        <v>4</v>
      </c>
      <c r="E127" s="108">
        <v>3000</v>
      </c>
      <c r="F127" s="108"/>
      <c r="G127" s="111">
        <f>SUM(E127+F127)</f>
        <v>3000</v>
      </c>
      <c r="H127" s="108"/>
      <c r="I127" s="111">
        <f>SUM(G127+H127)</f>
        <v>3000</v>
      </c>
      <c r="J127" s="108"/>
      <c r="K127" s="111">
        <f>SUM(I127+J127)</f>
        <v>3000</v>
      </c>
      <c r="L127" s="108"/>
      <c r="M127" s="111">
        <f>SUM(K127+L127)</f>
        <v>3000</v>
      </c>
      <c r="N127" s="101"/>
      <c r="O127" s="111">
        <f>SUM(M127+N127)</f>
        <v>3000</v>
      </c>
    </row>
    <row r="128" spans="1:15" ht="24.75" customHeight="1">
      <c r="A128" s="344"/>
      <c r="B128" s="344"/>
      <c r="C128" s="344">
        <v>4300</v>
      </c>
      <c r="D128" s="52" t="s">
        <v>201</v>
      </c>
      <c r="E128" s="108">
        <f aca="true" t="shared" si="48" ref="E128:O128">SUM(E129:E134)</f>
        <v>4000</v>
      </c>
      <c r="F128" s="108">
        <f t="shared" si="48"/>
        <v>0</v>
      </c>
      <c r="G128" s="108">
        <f t="shared" si="48"/>
        <v>4000</v>
      </c>
      <c r="H128" s="108">
        <f t="shared" si="48"/>
        <v>0</v>
      </c>
      <c r="I128" s="108">
        <f t="shared" si="48"/>
        <v>4000</v>
      </c>
      <c r="J128" s="108">
        <f t="shared" si="48"/>
        <v>0</v>
      </c>
      <c r="K128" s="108">
        <f t="shared" si="48"/>
        <v>4000</v>
      </c>
      <c r="L128" s="108">
        <f t="shared" si="48"/>
        <v>400</v>
      </c>
      <c r="M128" s="108">
        <f t="shared" si="48"/>
        <v>4400</v>
      </c>
      <c r="N128" s="101">
        <f t="shared" si="48"/>
        <v>0</v>
      </c>
      <c r="O128" s="108">
        <f t="shared" si="48"/>
        <v>4400</v>
      </c>
    </row>
    <row r="129" spans="1:15" ht="16.5" customHeight="1">
      <c r="A129" s="344"/>
      <c r="B129" s="344"/>
      <c r="C129" s="344"/>
      <c r="D129" s="347" t="s">
        <v>11</v>
      </c>
      <c r="E129" s="348">
        <v>0</v>
      </c>
      <c r="F129" s="108"/>
      <c r="G129" s="111">
        <f aca="true" t="shared" si="49" ref="G129:G134">SUM(E129+F129)</f>
        <v>0</v>
      </c>
      <c r="H129" s="108"/>
      <c r="I129" s="111">
        <f aca="true" t="shared" si="50" ref="I129:I134">SUM(G129+H129)</f>
        <v>0</v>
      </c>
      <c r="J129" s="108"/>
      <c r="K129" s="111">
        <v>0</v>
      </c>
      <c r="L129" s="348">
        <v>200</v>
      </c>
      <c r="M129" s="111">
        <f aca="true" t="shared" si="51" ref="M129:M134">SUM(K129+L129)</f>
        <v>200</v>
      </c>
      <c r="N129" s="101"/>
      <c r="O129" s="111">
        <f aca="true" t="shared" si="52" ref="O129:O134">SUM(M129+N129)</f>
        <v>200</v>
      </c>
    </row>
    <row r="130" spans="1:15" ht="16.5" customHeight="1">
      <c r="A130" s="344"/>
      <c r="B130" s="344"/>
      <c r="C130" s="344"/>
      <c r="D130" s="347" t="s">
        <v>735</v>
      </c>
      <c r="E130" s="348">
        <v>0</v>
      </c>
      <c r="F130" s="108"/>
      <c r="G130" s="111">
        <f t="shared" si="49"/>
        <v>0</v>
      </c>
      <c r="H130" s="108"/>
      <c r="I130" s="111">
        <f t="shared" si="50"/>
        <v>0</v>
      </c>
      <c r="J130" s="108"/>
      <c r="K130" s="111">
        <v>0</v>
      </c>
      <c r="L130" s="348">
        <v>200</v>
      </c>
      <c r="M130" s="111">
        <f t="shared" si="51"/>
        <v>200</v>
      </c>
      <c r="N130" s="101"/>
      <c r="O130" s="111">
        <f t="shared" si="52"/>
        <v>200</v>
      </c>
    </row>
    <row r="131" spans="1:15" ht="16.5" customHeight="1">
      <c r="A131" s="344"/>
      <c r="B131" s="344"/>
      <c r="C131" s="344"/>
      <c r="D131" s="347" t="s">
        <v>736</v>
      </c>
      <c r="E131" s="348">
        <v>2000</v>
      </c>
      <c r="F131" s="108"/>
      <c r="G131" s="111">
        <f t="shared" si="49"/>
        <v>2000</v>
      </c>
      <c r="H131" s="108"/>
      <c r="I131" s="111">
        <f t="shared" si="50"/>
        <v>2000</v>
      </c>
      <c r="J131" s="108"/>
      <c r="K131" s="111">
        <f>SUM(I131+J131)</f>
        <v>2000</v>
      </c>
      <c r="L131" s="108"/>
      <c r="M131" s="111">
        <f t="shared" si="51"/>
        <v>2000</v>
      </c>
      <c r="N131" s="101"/>
      <c r="O131" s="111">
        <f t="shared" si="52"/>
        <v>2000</v>
      </c>
    </row>
    <row r="132" spans="1:15" ht="16.5" customHeight="1">
      <c r="A132" s="345"/>
      <c r="B132" s="345"/>
      <c r="C132" s="345"/>
      <c r="D132" s="347" t="s">
        <v>737</v>
      </c>
      <c r="E132" s="111">
        <v>1000</v>
      </c>
      <c r="F132" s="111"/>
      <c r="G132" s="111">
        <f t="shared" si="49"/>
        <v>1000</v>
      </c>
      <c r="H132" s="111"/>
      <c r="I132" s="111">
        <f t="shared" si="50"/>
        <v>1000</v>
      </c>
      <c r="J132" s="111"/>
      <c r="K132" s="111">
        <f>SUM(I132+J132)</f>
        <v>1000</v>
      </c>
      <c r="L132" s="111"/>
      <c r="M132" s="111">
        <f t="shared" si="51"/>
        <v>1000</v>
      </c>
      <c r="N132" s="60"/>
      <c r="O132" s="111">
        <f t="shared" si="52"/>
        <v>1000</v>
      </c>
    </row>
    <row r="133" spans="1:15" ht="16.5" customHeight="1">
      <c r="A133" s="345"/>
      <c r="B133" s="345"/>
      <c r="C133" s="345"/>
      <c r="D133" s="347" t="s">
        <v>739</v>
      </c>
      <c r="E133" s="111">
        <v>500</v>
      </c>
      <c r="F133" s="111"/>
      <c r="G133" s="111">
        <f t="shared" si="49"/>
        <v>500</v>
      </c>
      <c r="H133" s="111"/>
      <c r="I133" s="111">
        <f t="shared" si="50"/>
        <v>500</v>
      </c>
      <c r="J133" s="111"/>
      <c r="K133" s="111">
        <f>SUM(I133+J133)</f>
        <v>500</v>
      </c>
      <c r="L133" s="111"/>
      <c r="M133" s="111">
        <f t="shared" si="51"/>
        <v>500</v>
      </c>
      <c r="N133" s="60"/>
      <c r="O133" s="111">
        <f t="shared" si="52"/>
        <v>500</v>
      </c>
    </row>
    <row r="134" spans="1:15" ht="16.5" customHeight="1">
      <c r="A134" s="345"/>
      <c r="B134" s="345"/>
      <c r="C134" s="345"/>
      <c r="D134" s="347" t="s">
        <v>0</v>
      </c>
      <c r="E134" s="111">
        <v>500</v>
      </c>
      <c r="F134" s="111"/>
      <c r="G134" s="111">
        <f t="shared" si="49"/>
        <v>500</v>
      </c>
      <c r="H134" s="111"/>
      <c r="I134" s="111">
        <f t="shared" si="50"/>
        <v>500</v>
      </c>
      <c r="J134" s="111"/>
      <c r="K134" s="111">
        <f>SUM(I134+J134)</f>
        <v>500</v>
      </c>
      <c r="L134" s="111"/>
      <c r="M134" s="111">
        <f t="shared" si="51"/>
        <v>500</v>
      </c>
      <c r="N134" s="60"/>
      <c r="O134" s="111">
        <f t="shared" si="52"/>
        <v>500</v>
      </c>
    </row>
    <row r="135" spans="1:15" ht="24.75" customHeight="1">
      <c r="A135" s="260"/>
      <c r="B135" s="260">
        <v>80103</v>
      </c>
      <c r="C135" s="260"/>
      <c r="D135" s="351" t="s">
        <v>17</v>
      </c>
      <c r="E135" s="108">
        <f aca="true" t="shared" si="53" ref="E135:O135">SUM(E136)</f>
        <v>1000</v>
      </c>
      <c r="F135" s="108">
        <f t="shared" si="53"/>
        <v>0</v>
      </c>
      <c r="G135" s="108">
        <f t="shared" si="53"/>
        <v>1000</v>
      </c>
      <c r="H135" s="108">
        <f t="shared" si="53"/>
        <v>0</v>
      </c>
      <c r="I135" s="108">
        <f t="shared" si="53"/>
        <v>1000</v>
      </c>
      <c r="J135" s="108">
        <f t="shared" si="53"/>
        <v>0</v>
      </c>
      <c r="K135" s="108">
        <f t="shared" si="53"/>
        <v>1000</v>
      </c>
      <c r="L135" s="108">
        <f t="shared" si="53"/>
        <v>0</v>
      </c>
      <c r="M135" s="108">
        <f t="shared" si="53"/>
        <v>1000</v>
      </c>
      <c r="N135" s="101">
        <f t="shared" si="53"/>
        <v>0</v>
      </c>
      <c r="O135" s="108">
        <f t="shared" si="53"/>
        <v>1000</v>
      </c>
    </row>
    <row r="136" spans="1:15" ht="24.75" customHeight="1">
      <c r="A136" s="260"/>
      <c r="B136" s="260"/>
      <c r="C136" s="344">
        <v>4210</v>
      </c>
      <c r="D136" s="52" t="s">
        <v>16</v>
      </c>
      <c r="E136" s="108">
        <f aca="true" t="shared" si="54" ref="E136:O136">SUM(E137:E138)</f>
        <v>1000</v>
      </c>
      <c r="F136" s="108">
        <f t="shared" si="54"/>
        <v>0</v>
      </c>
      <c r="G136" s="108">
        <f t="shared" si="54"/>
        <v>1000</v>
      </c>
      <c r="H136" s="108">
        <f t="shared" si="54"/>
        <v>0</v>
      </c>
      <c r="I136" s="108">
        <f t="shared" si="54"/>
        <v>1000</v>
      </c>
      <c r="J136" s="108">
        <f t="shared" si="54"/>
        <v>0</v>
      </c>
      <c r="K136" s="108">
        <f t="shared" si="54"/>
        <v>1000</v>
      </c>
      <c r="L136" s="108">
        <f t="shared" si="54"/>
        <v>0</v>
      </c>
      <c r="M136" s="108">
        <f t="shared" si="54"/>
        <v>1000</v>
      </c>
      <c r="N136" s="101">
        <f t="shared" si="54"/>
        <v>0</v>
      </c>
      <c r="O136" s="108">
        <f t="shared" si="54"/>
        <v>1000</v>
      </c>
    </row>
    <row r="137" spans="1:15" ht="16.5" customHeight="1">
      <c r="A137" s="260"/>
      <c r="B137" s="260"/>
      <c r="C137" s="344"/>
      <c r="D137" s="347" t="s">
        <v>737</v>
      </c>
      <c r="E137" s="348">
        <v>500</v>
      </c>
      <c r="F137" s="108"/>
      <c r="G137" s="111">
        <f>SUM(E137+F137)</f>
        <v>500</v>
      </c>
      <c r="H137" s="108"/>
      <c r="I137" s="111">
        <f>SUM(G137+H137)</f>
        <v>500</v>
      </c>
      <c r="J137" s="108"/>
      <c r="K137" s="111">
        <f>SUM(I137+J137)</f>
        <v>500</v>
      </c>
      <c r="L137" s="108"/>
      <c r="M137" s="111">
        <f>SUM(K137+L137)</f>
        <v>500</v>
      </c>
      <c r="N137" s="101"/>
      <c r="O137" s="111">
        <f>SUM(M137+N137)</f>
        <v>500</v>
      </c>
    </row>
    <row r="138" spans="1:15" ht="16.5" customHeight="1">
      <c r="A138" s="345"/>
      <c r="B138" s="345"/>
      <c r="C138" s="345"/>
      <c r="D138" s="347" t="s">
        <v>0</v>
      </c>
      <c r="E138" s="111">
        <v>500</v>
      </c>
      <c r="F138" s="111"/>
      <c r="G138" s="111">
        <f>SUM(E138+F138)</f>
        <v>500</v>
      </c>
      <c r="H138" s="111"/>
      <c r="I138" s="111">
        <f>SUM(G138+H138)</f>
        <v>500</v>
      </c>
      <c r="J138" s="111"/>
      <c r="K138" s="111">
        <f>SUM(I138+J138)</f>
        <v>500</v>
      </c>
      <c r="L138" s="111"/>
      <c r="M138" s="111">
        <f>SUM(K138+L138)</f>
        <v>500</v>
      </c>
      <c r="N138" s="60"/>
      <c r="O138" s="111">
        <f>SUM(M138+N138)</f>
        <v>500</v>
      </c>
    </row>
    <row r="139" spans="1:15" ht="24.75" customHeight="1">
      <c r="A139" s="260"/>
      <c r="B139" s="260">
        <v>80104</v>
      </c>
      <c r="C139" s="260"/>
      <c r="D139" s="351" t="s">
        <v>18</v>
      </c>
      <c r="E139" s="108">
        <f aca="true" t="shared" si="55" ref="E139:N140">SUM(E140)</f>
        <v>500</v>
      </c>
      <c r="F139" s="108">
        <f t="shared" si="55"/>
        <v>0</v>
      </c>
      <c r="G139" s="108">
        <f t="shared" si="55"/>
        <v>500</v>
      </c>
      <c r="H139" s="108">
        <f t="shared" si="55"/>
        <v>-500</v>
      </c>
      <c r="I139" s="108">
        <f t="shared" si="55"/>
        <v>0</v>
      </c>
      <c r="J139" s="108">
        <f t="shared" si="55"/>
        <v>0</v>
      </c>
      <c r="K139" s="108">
        <f t="shared" si="55"/>
        <v>0</v>
      </c>
      <c r="L139" s="108">
        <f t="shared" si="55"/>
        <v>0</v>
      </c>
      <c r="M139" s="108">
        <f t="shared" si="55"/>
        <v>0</v>
      </c>
      <c r="N139" s="101">
        <f t="shared" si="55"/>
        <v>0</v>
      </c>
      <c r="O139" s="108">
        <f>SUM(O140)</f>
        <v>0</v>
      </c>
    </row>
    <row r="140" spans="1:15" ht="24.75" customHeight="1">
      <c r="A140" s="260"/>
      <c r="B140" s="260"/>
      <c r="C140" s="344">
        <v>4210</v>
      </c>
      <c r="D140" s="52" t="s">
        <v>16</v>
      </c>
      <c r="E140" s="108">
        <f t="shared" si="55"/>
        <v>500</v>
      </c>
      <c r="F140" s="108">
        <f t="shared" si="55"/>
        <v>0</v>
      </c>
      <c r="G140" s="108">
        <f t="shared" si="55"/>
        <v>500</v>
      </c>
      <c r="H140" s="108">
        <f t="shared" si="55"/>
        <v>-500</v>
      </c>
      <c r="I140" s="108">
        <f t="shared" si="55"/>
        <v>0</v>
      </c>
      <c r="J140" s="108">
        <f t="shared" si="55"/>
        <v>0</v>
      </c>
      <c r="K140" s="108">
        <f t="shared" si="55"/>
        <v>0</v>
      </c>
      <c r="L140" s="108">
        <f t="shared" si="55"/>
        <v>0</v>
      </c>
      <c r="M140" s="108">
        <f t="shared" si="55"/>
        <v>0</v>
      </c>
      <c r="N140" s="101">
        <f t="shared" si="55"/>
        <v>0</v>
      </c>
      <c r="O140" s="108">
        <f>SUM(O141)</f>
        <v>0</v>
      </c>
    </row>
    <row r="141" spans="1:15" ht="16.5" customHeight="1">
      <c r="A141" s="260"/>
      <c r="B141" s="260"/>
      <c r="C141" s="344"/>
      <c r="D141" s="347" t="s">
        <v>4</v>
      </c>
      <c r="E141" s="348">
        <v>500</v>
      </c>
      <c r="F141" s="108"/>
      <c r="G141" s="111">
        <f>SUM(E141+F141)</f>
        <v>500</v>
      </c>
      <c r="H141" s="348">
        <v>-500</v>
      </c>
      <c r="I141" s="111">
        <f>SUM(G141+H141)</f>
        <v>0</v>
      </c>
      <c r="J141" s="108"/>
      <c r="K141" s="111">
        <f>SUM(I141+J141)</f>
        <v>0</v>
      </c>
      <c r="L141" s="108"/>
      <c r="M141" s="111">
        <f>SUM(K141+L141)</f>
        <v>0</v>
      </c>
      <c r="N141" s="101"/>
      <c r="O141" s="111">
        <f>SUM(M141+N141)</f>
        <v>0</v>
      </c>
    </row>
    <row r="142" spans="1:15" ht="24.75" customHeight="1">
      <c r="A142" s="344"/>
      <c r="B142" s="344">
        <v>80110</v>
      </c>
      <c r="C142" s="66"/>
      <c r="D142" s="52" t="s">
        <v>173</v>
      </c>
      <c r="E142" s="108">
        <f aca="true" t="shared" si="56" ref="E142:O142">SUM(E143)</f>
        <v>1000</v>
      </c>
      <c r="F142" s="108">
        <f t="shared" si="56"/>
        <v>0</v>
      </c>
      <c r="G142" s="108">
        <f t="shared" si="56"/>
        <v>1000</v>
      </c>
      <c r="H142" s="108">
        <f t="shared" si="56"/>
        <v>0</v>
      </c>
      <c r="I142" s="108">
        <f t="shared" si="56"/>
        <v>1000</v>
      </c>
      <c r="J142" s="108">
        <f t="shared" si="56"/>
        <v>0</v>
      </c>
      <c r="K142" s="108">
        <f t="shared" si="56"/>
        <v>1000</v>
      </c>
      <c r="L142" s="108">
        <f t="shared" si="56"/>
        <v>0</v>
      </c>
      <c r="M142" s="108">
        <f t="shared" si="56"/>
        <v>1000</v>
      </c>
      <c r="N142" s="101">
        <f t="shared" si="56"/>
        <v>0</v>
      </c>
      <c r="O142" s="108">
        <f t="shared" si="56"/>
        <v>1000</v>
      </c>
    </row>
    <row r="143" spans="1:15" ht="24.75" customHeight="1">
      <c r="A143" s="344"/>
      <c r="B143" s="344"/>
      <c r="C143" s="66">
        <v>4300</v>
      </c>
      <c r="D143" s="52" t="s">
        <v>201</v>
      </c>
      <c r="E143" s="108">
        <f aca="true" t="shared" si="57" ref="E143:O143">E144</f>
        <v>1000</v>
      </c>
      <c r="F143" s="108">
        <f t="shared" si="57"/>
        <v>0</v>
      </c>
      <c r="G143" s="108">
        <f t="shared" si="57"/>
        <v>1000</v>
      </c>
      <c r="H143" s="108">
        <f t="shared" si="57"/>
        <v>0</v>
      </c>
      <c r="I143" s="108">
        <f t="shared" si="57"/>
        <v>1000</v>
      </c>
      <c r="J143" s="108">
        <f t="shared" si="57"/>
        <v>0</v>
      </c>
      <c r="K143" s="108">
        <f t="shared" si="57"/>
        <v>1000</v>
      </c>
      <c r="L143" s="108">
        <f t="shared" si="57"/>
        <v>0</v>
      </c>
      <c r="M143" s="108">
        <f t="shared" si="57"/>
        <v>1000</v>
      </c>
      <c r="N143" s="101">
        <f t="shared" si="57"/>
        <v>0</v>
      </c>
      <c r="O143" s="108">
        <f t="shared" si="57"/>
        <v>1000</v>
      </c>
    </row>
    <row r="144" spans="1:15" ht="16.5" customHeight="1">
      <c r="A144" s="346"/>
      <c r="B144" s="346"/>
      <c r="C144" s="182"/>
      <c r="D144" s="347" t="s">
        <v>4</v>
      </c>
      <c r="E144" s="111">
        <v>1000</v>
      </c>
      <c r="F144" s="111"/>
      <c r="G144" s="111">
        <f>SUM(E144+F144)</f>
        <v>1000</v>
      </c>
      <c r="H144" s="111"/>
      <c r="I144" s="111">
        <f>SUM(G144+H144)</f>
        <v>1000</v>
      </c>
      <c r="J144" s="111"/>
      <c r="K144" s="111">
        <f>SUM(I144+J144)</f>
        <v>1000</v>
      </c>
      <c r="L144" s="111"/>
      <c r="M144" s="111">
        <f>SUM(K144+L144)</f>
        <v>1000</v>
      </c>
      <c r="N144" s="60"/>
      <c r="O144" s="111">
        <f>SUM(M144+N144)</f>
        <v>1000</v>
      </c>
    </row>
    <row r="145" spans="1:15" ht="21.75" customHeight="1">
      <c r="A145" s="37">
        <v>851</v>
      </c>
      <c r="B145" s="5"/>
      <c r="C145" s="5"/>
      <c r="D145" s="22" t="s">
        <v>174</v>
      </c>
      <c r="E145" s="18">
        <f aca="true" t="shared" si="58" ref="E145:N147">SUM(E146)</f>
        <v>0</v>
      </c>
      <c r="F145" s="18">
        <f t="shared" si="58"/>
        <v>0</v>
      </c>
      <c r="G145" s="18">
        <f t="shared" si="58"/>
        <v>0</v>
      </c>
      <c r="H145" s="18">
        <f t="shared" si="58"/>
        <v>0</v>
      </c>
      <c r="I145" s="18">
        <f t="shared" si="58"/>
        <v>0</v>
      </c>
      <c r="J145" s="18">
        <f t="shared" si="58"/>
        <v>0</v>
      </c>
      <c r="K145" s="18">
        <f t="shared" si="58"/>
        <v>0</v>
      </c>
      <c r="L145" s="18">
        <f t="shared" si="58"/>
        <v>0</v>
      </c>
      <c r="M145" s="18">
        <f t="shared" si="58"/>
        <v>0</v>
      </c>
      <c r="N145" s="18">
        <f t="shared" si="58"/>
        <v>400</v>
      </c>
      <c r="O145" s="18">
        <f>SUM(O146)</f>
        <v>400</v>
      </c>
    </row>
    <row r="146" spans="1:15" ht="20.25" customHeight="1">
      <c r="A146" s="344"/>
      <c r="B146" s="344">
        <v>85154</v>
      </c>
      <c r="C146" s="66"/>
      <c r="D146" s="52" t="s">
        <v>175</v>
      </c>
      <c r="E146" s="108">
        <f t="shared" si="58"/>
        <v>0</v>
      </c>
      <c r="F146" s="108">
        <f t="shared" si="58"/>
        <v>0</v>
      </c>
      <c r="G146" s="108">
        <f t="shared" si="58"/>
        <v>0</v>
      </c>
      <c r="H146" s="108">
        <f t="shared" si="58"/>
        <v>0</v>
      </c>
      <c r="I146" s="108">
        <f t="shared" si="58"/>
        <v>0</v>
      </c>
      <c r="J146" s="108">
        <f t="shared" si="58"/>
        <v>0</v>
      </c>
      <c r="K146" s="108">
        <f t="shared" si="58"/>
        <v>0</v>
      </c>
      <c r="L146" s="108">
        <f t="shared" si="58"/>
        <v>0</v>
      </c>
      <c r="M146" s="108">
        <f t="shared" si="58"/>
        <v>0</v>
      </c>
      <c r="N146" s="101">
        <f t="shared" si="58"/>
        <v>400</v>
      </c>
      <c r="O146" s="108">
        <f>SUM(O147)</f>
        <v>400</v>
      </c>
    </row>
    <row r="147" spans="1:15" ht="17.25" customHeight="1">
      <c r="A147" s="344"/>
      <c r="B147" s="344"/>
      <c r="C147" s="66">
        <v>4350</v>
      </c>
      <c r="D147" s="52" t="s">
        <v>19</v>
      </c>
      <c r="E147" s="108">
        <f t="shared" si="58"/>
        <v>0</v>
      </c>
      <c r="F147" s="108">
        <f t="shared" si="58"/>
        <v>0</v>
      </c>
      <c r="G147" s="108">
        <f t="shared" si="58"/>
        <v>0</v>
      </c>
      <c r="H147" s="108">
        <f t="shared" si="58"/>
        <v>0</v>
      </c>
      <c r="I147" s="108">
        <f t="shared" si="58"/>
        <v>0</v>
      </c>
      <c r="J147" s="108">
        <f t="shared" si="58"/>
        <v>0</v>
      </c>
      <c r="K147" s="108">
        <f t="shared" si="58"/>
        <v>0</v>
      </c>
      <c r="L147" s="108">
        <f t="shared" si="58"/>
        <v>0</v>
      </c>
      <c r="M147" s="108">
        <f t="shared" si="58"/>
        <v>0</v>
      </c>
      <c r="N147" s="101">
        <f t="shared" si="58"/>
        <v>400</v>
      </c>
      <c r="O147" s="108">
        <f>SUM(O148)</f>
        <v>400</v>
      </c>
    </row>
    <row r="148" spans="1:15" ht="16.5" customHeight="1">
      <c r="A148" s="344"/>
      <c r="B148" s="344"/>
      <c r="C148" s="66"/>
      <c r="D148" s="347" t="s">
        <v>4</v>
      </c>
      <c r="E148" s="348">
        <v>0</v>
      </c>
      <c r="F148" s="108"/>
      <c r="G148" s="111">
        <f>SUM(E148+F148)</f>
        <v>0</v>
      </c>
      <c r="H148" s="108"/>
      <c r="I148" s="111">
        <f>SUM(G148+H148)</f>
        <v>0</v>
      </c>
      <c r="J148" s="108"/>
      <c r="K148" s="111">
        <f>SUM(I148+J148)</f>
        <v>0</v>
      </c>
      <c r="L148" s="108"/>
      <c r="M148" s="111">
        <f>SUM(K148+L148)</f>
        <v>0</v>
      </c>
      <c r="N148" s="101">
        <v>400</v>
      </c>
      <c r="O148" s="111">
        <f>SUM(M148+N148)</f>
        <v>400</v>
      </c>
    </row>
    <row r="149" spans="1:15" ht="24.75" customHeight="1">
      <c r="A149" s="37">
        <v>854</v>
      </c>
      <c r="B149" s="5"/>
      <c r="C149" s="5"/>
      <c r="D149" s="22" t="s">
        <v>181</v>
      </c>
      <c r="E149" s="18">
        <f aca="true" t="shared" si="59" ref="E149:O149">SUM(E150)</f>
        <v>2500</v>
      </c>
      <c r="F149" s="18">
        <f t="shared" si="59"/>
        <v>0</v>
      </c>
      <c r="G149" s="18">
        <f t="shared" si="59"/>
        <v>2500</v>
      </c>
      <c r="H149" s="18">
        <f t="shared" si="59"/>
        <v>0</v>
      </c>
      <c r="I149" s="18">
        <f t="shared" si="59"/>
        <v>2500</v>
      </c>
      <c r="J149" s="18">
        <f t="shared" si="59"/>
        <v>-500</v>
      </c>
      <c r="K149" s="18">
        <f t="shared" si="59"/>
        <v>2000</v>
      </c>
      <c r="L149" s="18">
        <f t="shared" si="59"/>
        <v>250</v>
      </c>
      <c r="M149" s="18">
        <f t="shared" si="59"/>
        <v>2250</v>
      </c>
      <c r="N149" s="18">
        <f t="shared" si="59"/>
        <v>0</v>
      </c>
      <c r="O149" s="18">
        <f t="shared" si="59"/>
        <v>2250</v>
      </c>
    </row>
    <row r="150" spans="1:15" ht="33.75">
      <c r="A150" s="344"/>
      <c r="B150" s="344">
        <v>85412</v>
      </c>
      <c r="C150" s="66"/>
      <c r="D150" s="52" t="s">
        <v>20</v>
      </c>
      <c r="E150" s="108">
        <f aca="true" t="shared" si="60" ref="E150:O150">SUM(E151,E155)</f>
        <v>2500</v>
      </c>
      <c r="F150" s="108">
        <f t="shared" si="60"/>
        <v>0</v>
      </c>
      <c r="G150" s="108">
        <f t="shared" si="60"/>
        <v>2500</v>
      </c>
      <c r="H150" s="108">
        <f t="shared" si="60"/>
        <v>0</v>
      </c>
      <c r="I150" s="108">
        <f t="shared" si="60"/>
        <v>2500</v>
      </c>
      <c r="J150" s="108">
        <f t="shared" si="60"/>
        <v>-500</v>
      </c>
      <c r="K150" s="108">
        <f t="shared" si="60"/>
        <v>2000</v>
      </c>
      <c r="L150" s="108">
        <f t="shared" si="60"/>
        <v>250</v>
      </c>
      <c r="M150" s="108">
        <f t="shared" si="60"/>
        <v>2250</v>
      </c>
      <c r="N150" s="101">
        <f t="shared" si="60"/>
        <v>0</v>
      </c>
      <c r="O150" s="108">
        <f t="shared" si="60"/>
        <v>2250</v>
      </c>
    </row>
    <row r="151" spans="1:15" ht="18.75" customHeight="1">
      <c r="A151" s="344"/>
      <c r="B151" s="344"/>
      <c r="C151" s="66">
        <v>4210</v>
      </c>
      <c r="D151" s="52" t="s">
        <v>194</v>
      </c>
      <c r="E151" s="108">
        <f aca="true" t="shared" si="61" ref="E151:O151">SUM(E152:E154)</f>
        <v>1500</v>
      </c>
      <c r="F151" s="108">
        <f t="shared" si="61"/>
        <v>0</v>
      </c>
      <c r="G151" s="108">
        <f t="shared" si="61"/>
        <v>1500</v>
      </c>
      <c r="H151" s="108">
        <f t="shared" si="61"/>
        <v>0</v>
      </c>
      <c r="I151" s="108">
        <f t="shared" si="61"/>
        <v>1500</v>
      </c>
      <c r="J151" s="108">
        <f t="shared" si="61"/>
        <v>-500</v>
      </c>
      <c r="K151" s="108">
        <f t="shared" si="61"/>
        <v>1000</v>
      </c>
      <c r="L151" s="108">
        <f t="shared" si="61"/>
        <v>250</v>
      </c>
      <c r="M151" s="108">
        <f t="shared" si="61"/>
        <v>1250</v>
      </c>
      <c r="N151" s="101">
        <f t="shared" si="61"/>
        <v>0</v>
      </c>
      <c r="O151" s="108">
        <f t="shared" si="61"/>
        <v>1250</v>
      </c>
    </row>
    <row r="152" spans="1:15" ht="16.5" customHeight="1">
      <c r="A152" s="344"/>
      <c r="B152" s="344"/>
      <c r="C152" s="66"/>
      <c r="D152" s="347" t="s">
        <v>2</v>
      </c>
      <c r="E152" s="348">
        <v>500</v>
      </c>
      <c r="F152" s="108"/>
      <c r="G152" s="111">
        <f>SUM(E152+F152)</f>
        <v>500</v>
      </c>
      <c r="H152" s="108"/>
      <c r="I152" s="111">
        <f>SUM(G152+H152)</f>
        <v>500</v>
      </c>
      <c r="J152" s="108">
        <v>-500</v>
      </c>
      <c r="K152" s="111">
        <f>SUM(I152+J152)</f>
        <v>0</v>
      </c>
      <c r="L152" s="108"/>
      <c r="M152" s="111">
        <f>SUM(K152+L152)</f>
        <v>0</v>
      </c>
      <c r="N152" s="101"/>
      <c r="O152" s="111">
        <f>SUM(M152+N152)</f>
        <v>0</v>
      </c>
    </row>
    <row r="153" spans="1:15" ht="16.5" customHeight="1">
      <c r="A153" s="344"/>
      <c r="B153" s="344"/>
      <c r="C153" s="66"/>
      <c r="D153" s="347" t="s">
        <v>0</v>
      </c>
      <c r="E153" s="348">
        <v>0</v>
      </c>
      <c r="F153" s="108"/>
      <c r="G153" s="111">
        <v>0</v>
      </c>
      <c r="H153" s="108"/>
      <c r="I153" s="111">
        <v>0</v>
      </c>
      <c r="J153" s="108"/>
      <c r="K153" s="111">
        <v>0</v>
      </c>
      <c r="L153" s="108">
        <v>250</v>
      </c>
      <c r="M153" s="111">
        <f>SUM(K153+L153)</f>
        <v>250</v>
      </c>
      <c r="N153" s="101"/>
      <c r="O153" s="111">
        <f>SUM(M153+N153)</f>
        <v>250</v>
      </c>
    </row>
    <row r="154" spans="1:15" ht="16.5" customHeight="1">
      <c r="A154" s="344"/>
      <c r="B154" s="344"/>
      <c r="C154" s="66"/>
      <c r="D154" s="347" t="s">
        <v>4</v>
      </c>
      <c r="E154" s="348">
        <v>1000</v>
      </c>
      <c r="F154" s="108"/>
      <c r="G154" s="111">
        <f>SUM(E154+F154)</f>
        <v>1000</v>
      </c>
      <c r="H154" s="108"/>
      <c r="I154" s="111">
        <f>SUM(G154+H154)</f>
        <v>1000</v>
      </c>
      <c r="J154" s="108"/>
      <c r="K154" s="111">
        <f>SUM(I154+J154)</f>
        <v>1000</v>
      </c>
      <c r="L154" s="108"/>
      <c r="M154" s="111">
        <f>SUM(K154+L154)</f>
        <v>1000</v>
      </c>
      <c r="N154" s="101"/>
      <c r="O154" s="111">
        <f>SUM(M154+N154)</f>
        <v>1000</v>
      </c>
    </row>
    <row r="155" spans="1:15" ht="24.75" customHeight="1">
      <c r="A155" s="344"/>
      <c r="B155" s="344"/>
      <c r="C155" s="66">
        <v>4300</v>
      </c>
      <c r="D155" s="52" t="s">
        <v>201</v>
      </c>
      <c r="E155" s="108">
        <f aca="true" t="shared" si="62" ref="E155:O155">SUM(E156:E156)</f>
        <v>1000</v>
      </c>
      <c r="F155" s="108">
        <f t="shared" si="62"/>
        <v>0</v>
      </c>
      <c r="G155" s="108">
        <f t="shared" si="62"/>
        <v>1000</v>
      </c>
      <c r="H155" s="108">
        <f t="shared" si="62"/>
        <v>0</v>
      </c>
      <c r="I155" s="108">
        <f t="shared" si="62"/>
        <v>1000</v>
      </c>
      <c r="J155" s="108">
        <f t="shared" si="62"/>
        <v>0</v>
      </c>
      <c r="K155" s="108">
        <f t="shared" si="62"/>
        <v>1000</v>
      </c>
      <c r="L155" s="108">
        <f t="shared" si="62"/>
        <v>0</v>
      </c>
      <c r="M155" s="108">
        <f t="shared" si="62"/>
        <v>1000</v>
      </c>
      <c r="N155" s="101">
        <f t="shared" si="62"/>
        <v>0</v>
      </c>
      <c r="O155" s="108">
        <f t="shared" si="62"/>
        <v>1000</v>
      </c>
    </row>
    <row r="156" spans="1:15" ht="16.5" customHeight="1">
      <c r="A156" s="346"/>
      <c r="B156" s="346"/>
      <c r="C156" s="182"/>
      <c r="D156" s="347" t="s">
        <v>5</v>
      </c>
      <c r="E156" s="111">
        <v>1000</v>
      </c>
      <c r="F156" s="111"/>
      <c r="G156" s="111">
        <f>SUM(E156+F156)</f>
        <v>1000</v>
      </c>
      <c r="H156" s="111"/>
      <c r="I156" s="111">
        <f>SUM(G156+H156)</f>
        <v>1000</v>
      </c>
      <c r="J156" s="111"/>
      <c r="K156" s="111">
        <f>SUM(I156+J156)</f>
        <v>1000</v>
      </c>
      <c r="L156" s="111"/>
      <c r="M156" s="111">
        <f>SUM(K156+L156)</f>
        <v>1000</v>
      </c>
      <c r="N156" s="60"/>
      <c r="O156" s="111">
        <f>SUM(M156+N156)</f>
        <v>1000</v>
      </c>
    </row>
    <row r="157" spans="1:15" ht="24.75" customHeight="1">
      <c r="A157" s="37" t="s">
        <v>252</v>
      </c>
      <c r="B157" s="5"/>
      <c r="C157" s="5"/>
      <c r="D157" s="22" t="s">
        <v>183</v>
      </c>
      <c r="E157" s="18">
        <f aca="true" t="shared" si="63" ref="E157:O157">SUM(E158,E163,E167,E192,E197,)</f>
        <v>60960</v>
      </c>
      <c r="F157" s="18">
        <f t="shared" si="63"/>
        <v>-12</v>
      </c>
      <c r="G157" s="18">
        <f t="shared" si="63"/>
        <v>60948</v>
      </c>
      <c r="H157" s="18">
        <f t="shared" si="63"/>
        <v>-3400</v>
      </c>
      <c r="I157" s="18">
        <f t="shared" si="63"/>
        <v>57548</v>
      </c>
      <c r="J157" s="18">
        <f t="shared" si="63"/>
        <v>1790</v>
      </c>
      <c r="K157" s="18">
        <f t="shared" si="63"/>
        <v>59338</v>
      </c>
      <c r="L157" s="18">
        <f t="shared" si="63"/>
        <v>0</v>
      </c>
      <c r="M157" s="18">
        <f t="shared" si="63"/>
        <v>59338</v>
      </c>
      <c r="N157" s="18">
        <f t="shared" si="63"/>
        <v>-5247</v>
      </c>
      <c r="O157" s="18">
        <f t="shared" si="63"/>
        <v>54091</v>
      </c>
    </row>
    <row r="158" spans="1:15" ht="18" customHeight="1">
      <c r="A158" s="344"/>
      <c r="B158" s="344">
        <v>90001</v>
      </c>
      <c r="C158" s="66"/>
      <c r="D158" s="52" t="s">
        <v>184</v>
      </c>
      <c r="E158" s="108">
        <f>SUM(E161)</f>
        <v>0</v>
      </c>
      <c r="F158" s="108">
        <f>F161</f>
        <v>0</v>
      </c>
      <c r="G158" s="108">
        <f>SUM(G161)</f>
        <v>0</v>
      </c>
      <c r="H158" s="108">
        <f>SUM(H161)</f>
        <v>5000</v>
      </c>
      <c r="I158" s="108">
        <f aca="true" t="shared" si="64" ref="I158:O158">SUM(I159,I161)</f>
        <v>5000</v>
      </c>
      <c r="J158" s="108">
        <f t="shared" si="64"/>
        <v>720</v>
      </c>
      <c r="K158" s="108">
        <f t="shared" si="64"/>
        <v>5720</v>
      </c>
      <c r="L158" s="108">
        <f t="shared" si="64"/>
        <v>0</v>
      </c>
      <c r="M158" s="108">
        <f t="shared" si="64"/>
        <v>5720</v>
      </c>
      <c r="N158" s="101">
        <f t="shared" si="64"/>
        <v>0</v>
      </c>
      <c r="O158" s="108">
        <f t="shared" si="64"/>
        <v>5720</v>
      </c>
    </row>
    <row r="159" spans="1:15" ht="18.75" customHeight="1">
      <c r="A159" s="344"/>
      <c r="B159" s="344"/>
      <c r="C159" s="66">
        <v>4300</v>
      </c>
      <c r="D159" s="64" t="s">
        <v>201</v>
      </c>
      <c r="E159" s="108">
        <f aca="true" t="shared" si="65" ref="E159:K159">SUM(E160)</f>
        <v>0</v>
      </c>
      <c r="F159" s="108">
        <f t="shared" si="65"/>
        <v>0</v>
      </c>
      <c r="G159" s="108">
        <f t="shared" si="65"/>
        <v>0</v>
      </c>
      <c r="H159" s="108">
        <f t="shared" si="65"/>
        <v>0</v>
      </c>
      <c r="I159" s="108">
        <f t="shared" si="65"/>
        <v>0</v>
      </c>
      <c r="J159" s="108">
        <f t="shared" si="65"/>
        <v>720</v>
      </c>
      <c r="K159" s="108">
        <f t="shared" si="65"/>
        <v>720</v>
      </c>
      <c r="L159" s="108"/>
      <c r="M159" s="108">
        <f>SUM(M160)</f>
        <v>720</v>
      </c>
      <c r="N159" s="101">
        <f>SUM(N160)</f>
        <v>0</v>
      </c>
      <c r="O159" s="108">
        <f>SUM(O160)</f>
        <v>720</v>
      </c>
    </row>
    <row r="160" spans="1:15" ht="16.5" customHeight="1">
      <c r="A160" s="345"/>
      <c r="B160" s="345"/>
      <c r="C160" s="345"/>
      <c r="D160" s="347" t="s">
        <v>10</v>
      </c>
      <c r="E160" s="111">
        <v>0</v>
      </c>
      <c r="F160" s="111"/>
      <c r="G160" s="111">
        <v>0</v>
      </c>
      <c r="H160" s="111"/>
      <c r="I160" s="111">
        <v>0</v>
      </c>
      <c r="J160" s="111">
        <v>720</v>
      </c>
      <c r="K160" s="111">
        <f>SUM(I160+J160)</f>
        <v>720</v>
      </c>
      <c r="L160" s="108"/>
      <c r="M160" s="111">
        <f>SUM(K160+L160)</f>
        <v>720</v>
      </c>
      <c r="N160" s="101"/>
      <c r="O160" s="111">
        <f>SUM(M160+N160)</f>
        <v>720</v>
      </c>
    </row>
    <row r="161" spans="1:15" ht="24.75" customHeight="1">
      <c r="A161" s="344"/>
      <c r="B161" s="344"/>
      <c r="C161" s="66">
        <v>6050</v>
      </c>
      <c r="D161" s="52" t="s">
        <v>195</v>
      </c>
      <c r="E161" s="108">
        <f>SUM(E162)</f>
        <v>0</v>
      </c>
      <c r="F161" s="108">
        <f>SUM(F162:F163)</f>
        <v>0</v>
      </c>
      <c r="G161" s="108">
        <f aca="true" t="shared" si="66" ref="G161:O161">SUM(G162)</f>
        <v>0</v>
      </c>
      <c r="H161" s="108">
        <f t="shared" si="66"/>
        <v>5000</v>
      </c>
      <c r="I161" s="108">
        <f t="shared" si="66"/>
        <v>5000</v>
      </c>
      <c r="J161" s="108">
        <f t="shared" si="66"/>
        <v>0</v>
      </c>
      <c r="K161" s="108">
        <f t="shared" si="66"/>
        <v>5000</v>
      </c>
      <c r="L161" s="108">
        <f t="shared" si="66"/>
        <v>0</v>
      </c>
      <c r="M161" s="108">
        <f t="shared" si="66"/>
        <v>5000</v>
      </c>
      <c r="N161" s="101">
        <f t="shared" si="66"/>
        <v>0</v>
      </c>
      <c r="O161" s="108">
        <f t="shared" si="66"/>
        <v>5000</v>
      </c>
    </row>
    <row r="162" spans="1:15" ht="15.75" customHeight="1">
      <c r="A162" s="345"/>
      <c r="B162" s="345"/>
      <c r="C162" s="356"/>
      <c r="D162" s="357" t="s">
        <v>4</v>
      </c>
      <c r="E162" s="358">
        <v>0</v>
      </c>
      <c r="F162" s="358"/>
      <c r="G162" s="358">
        <v>0</v>
      </c>
      <c r="H162" s="358">
        <v>5000</v>
      </c>
      <c r="I162" s="358">
        <f>SUM(G162+H162)</f>
        <v>5000</v>
      </c>
      <c r="J162" s="358"/>
      <c r="K162" s="358">
        <f>SUM(I162+J162)</f>
        <v>5000</v>
      </c>
      <c r="L162" s="358"/>
      <c r="M162" s="358">
        <f>SUM(K162+L162)</f>
        <v>5000</v>
      </c>
      <c r="N162" s="359"/>
      <c r="O162" s="358">
        <f>SUM(M162+N162)</f>
        <v>5000</v>
      </c>
    </row>
    <row r="163" spans="1:15" ht="18" customHeight="1">
      <c r="A163" s="344"/>
      <c r="B163" s="344" t="s">
        <v>254</v>
      </c>
      <c r="C163" s="66"/>
      <c r="D163" s="52" t="s">
        <v>255</v>
      </c>
      <c r="E163" s="108">
        <f>SUM(E164)</f>
        <v>2500</v>
      </c>
      <c r="F163" s="108">
        <f aca="true" t="shared" si="67" ref="F163:O163">F164</f>
        <v>0</v>
      </c>
      <c r="G163" s="108">
        <f t="shared" si="67"/>
        <v>2500</v>
      </c>
      <c r="H163" s="108">
        <f t="shared" si="67"/>
        <v>0</v>
      </c>
      <c r="I163" s="108">
        <f t="shared" si="67"/>
        <v>2500</v>
      </c>
      <c r="J163" s="108">
        <f t="shared" si="67"/>
        <v>0</v>
      </c>
      <c r="K163" s="108">
        <f t="shared" si="67"/>
        <v>2500</v>
      </c>
      <c r="L163" s="108">
        <f t="shared" si="67"/>
        <v>0</v>
      </c>
      <c r="M163" s="108">
        <f t="shared" si="67"/>
        <v>2500</v>
      </c>
      <c r="N163" s="101">
        <f t="shared" si="67"/>
        <v>-2000</v>
      </c>
      <c r="O163" s="108">
        <f t="shared" si="67"/>
        <v>500</v>
      </c>
    </row>
    <row r="164" spans="1:15" ht="24.75" customHeight="1">
      <c r="A164" s="344"/>
      <c r="B164" s="344"/>
      <c r="C164" s="66">
        <v>4300</v>
      </c>
      <c r="D164" s="64" t="s">
        <v>201</v>
      </c>
      <c r="E164" s="108">
        <f aca="true" t="shared" si="68" ref="E164:O164">SUM(E165:E166)</f>
        <v>2500</v>
      </c>
      <c r="F164" s="108">
        <f t="shared" si="68"/>
        <v>0</v>
      </c>
      <c r="G164" s="108">
        <f t="shared" si="68"/>
        <v>2500</v>
      </c>
      <c r="H164" s="108">
        <f t="shared" si="68"/>
        <v>0</v>
      </c>
      <c r="I164" s="108">
        <f t="shared" si="68"/>
        <v>2500</v>
      </c>
      <c r="J164" s="108">
        <f t="shared" si="68"/>
        <v>0</v>
      </c>
      <c r="K164" s="108">
        <f t="shared" si="68"/>
        <v>2500</v>
      </c>
      <c r="L164" s="108">
        <f t="shared" si="68"/>
        <v>0</v>
      </c>
      <c r="M164" s="108">
        <f t="shared" si="68"/>
        <v>2500</v>
      </c>
      <c r="N164" s="101">
        <f t="shared" si="68"/>
        <v>-2000</v>
      </c>
      <c r="O164" s="108">
        <f t="shared" si="68"/>
        <v>500</v>
      </c>
    </row>
    <row r="165" spans="1:15" ht="16.5" customHeight="1">
      <c r="A165" s="345"/>
      <c r="B165" s="345"/>
      <c r="C165" s="345"/>
      <c r="D165" s="347" t="s">
        <v>735</v>
      </c>
      <c r="E165" s="111">
        <v>300</v>
      </c>
      <c r="F165" s="111"/>
      <c r="G165" s="111">
        <f>SUM(E165+F165)</f>
        <v>300</v>
      </c>
      <c r="H165" s="111"/>
      <c r="I165" s="111">
        <f>SUM(G165+H165)</f>
        <v>300</v>
      </c>
      <c r="J165" s="111"/>
      <c r="K165" s="111">
        <f>SUM(I165+J165)</f>
        <v>300</v>
      </c>
      <c r="L165" s="111"/>
      <c r="M165" s="111">
        <f>SUM(K165+L165)</f>
        <v>300</v>
      </c>
      <c r="N165" s="60"/>
      <c r="O165" s="111">
        <f>SUM(M165+N165)</f>
        <v>300</v>
      </c>
    </row>
    <row r="166" spans="1:15" ht="16.5" customHeight="1">
      <c r="A166" s="345"/>
      <c r="B166" s="345"/>
      <c r="C166" s="345"/>
      <c r="D166" s="347" t="s">
        <v>736</v>
      </c>
      <c r="E166" s="111">
        <v>2200</v>
      </c>
      <c r="F166" s="111"/>
      <c r="G166" s="111">
        <f>SUM(E166+F166)</f>
        <v>2200</v>
      </c>
      <c r="H166" s="111"/>
      <c r="I166" s="111">
        <f>SUM(G166+H166)</f>
        <v>2200</v>
      </c>
      <c r="J166" s="111"/>
      <c r="K166" s="111">
        <f>SUM(I166+J166)</f>
        <v>2200</v>
      </c>
      <c r="L166" s="111"/>
      <c r="M166" s="111">
        <f>SUM(K166+L166)</f>
        <v>2200</v>
      </c>
      <c r="N166" s="60">
        <v>-2000</v>
      </c>
      <c r="O166" s="111">
        <f>SUM(M166+N166)</f>
        <v>200</v>
      </c>
    </row>
    <row r="167" spans="1:15" ht="21.75" customHeight="1">
      <c r="A167" s="344"/>
      <c r="B167" s="344" t="s">
        <v>256</v>
      </c>
      <c r="C167" s="66"/>
      <c r="D167" s="52" t="s">
        <v>287</v>
      </c>
      <c r="E167" s="108">
        <f>SUM(E168,E184)</f>
        <v>33360</v>
      </c>
      <c r="F167" s="108">
        <f aca="true" t="shared" si="69" ref="F167:O167">F168+F184</f>
        <v>-12</v>
      </c>
      <c r="G167" s="108">
        <f t="shared" si="69"/>
        <v>33348</v>
      </c>
      <c r="H167" s="108">
        <f t="shared" si="69"/>
        <v>-8400</v>
      </c>
      <c r="I167" s="108">
        <f t="shared" si="69"/>
        <v>24948</v>
      </c>
      <c r="J167" s="108">
        <f t="shared" si="69"/>
        <v>1070</v>
      </c>
      <c r="K167" s="108">
        <f t="shared" si="69"/>
        <v>26018</v>
      </c>
      <c r="L167" s="108">
        <f t="shared" si="69"/>
        <v>0</v>
      </c>
      <c r="M167" s="108">
        <f t="shared" si="69"/>
        <v>26018</v>
      </c>
      <c r="N167" s="101">
        <f t="shared" si="69"/>
        <v>-3148</v>
      </c>
      <c r="O167" s="108">
        <f t="shared" si="69"/>
        <v>22870</v>
      </c>
    </row>
    <row r="168" spans="1:15" ht="21.75" customHeight="1">
      <c r="A168" s="344"/>
      <c r="B168" s="344"/>
      <c r="C168" s="344" t="s">
        <v>13</v>
      </c>
      <c r="D168" s="52" t="s">
        <v>214</v>
      </c>
      <c r="E168" s="108">
        <f aca="true" t="shared" si="70" ref="E168:O168">SUM(E169:E183)</f>
        <v>20420</v>
      </c>
      <c r="F168" s="108">
        <f t="shared" si="70"/>
        <v>-12</v>
      </c>
      <c r="G168" s="108">
        <f t="shared" si="70"/>
        <v>20408</v>
      </c>
      <c r="H168" s="108">
        <f t="shared" si="70"/>
        <v>-400</v>
      </c>
      <c r="I168" s="108">
        <f t="shared" si="70"/>
        <v>20008</v>
      </c>
      <c r="J168" s="108">
        <f t="shared" si="70"/>
        <v>370</v>
      </c>
      <c r="K168" s="108">
        <f t="shared" si="70"/>
        <v>20378</v>
      </c>
      <c r="L168" s="108">
        <f t="shared" si="70"/>
        <v>0</v>
      </c>
      <c r="M168" s="108">
        <f t="shared" si="70"/>
        <v>20378</v>
      </c>
      <c r="N168" s="101">
        <f t="shared" si="70"/>
        <v>-3448</v>
      </c>
      <c r="O168" s="108">
        <f t="shared" si="70"/>
        <v>16930</v>
      </c>
    </row>
    <row r="169" spans="1:15" ht="16.5" customHeight="1">
      <c r="A169" s="345"/>
      <c r="B169" s="345"/>
      <c r="C169" s="345"/>
      <c r="D169" s="347" t="s">
        <v>734</v>
      </c>
      <c r="E169" s="111">
        <v>500</v>
      </c>
      <c r="F169" s="111"/>
      <c r="G169" s="111">
        <f>SUM(E169+F169)</f>
        <v>500</v>
      </c>
      <c r="H169" s="111">
        <v>-400</v>
      </c>
      <c r="I169" s="111">
        <f>SUM(G169+H169)</f>
        <v>100</v>
      </c>
      <c r="J169" s="111"/>
      <c r="K169" s="111">
        <f>SUM(I169+J169)</f>
        <v>100</v>
      </c>
      <c r="L169" s="111"/>
      <c r="M169" s="111">
        <f>SUM(K169+L169)</f>
        <v>100</v>
      </c>
      <c r="N169" s="60">
        <v>-100</v>
      </c>
      <c r="O169" s="111">
        <f>SUM(M169+N169)</f>
        <v>0</v>
      </c>
    </row>
    <row r="170" spans="1:15" ht="16.5" customHeight="1">
      <c r="A170" s="345"/>
      <c r="B170" s="345"/>
      <c r="C170" s="345"/>
      <c r="D170" s="347" t="s">
        <v>735</v>
      </c>
      <c r="E170" s="111">
        <v>400</v>
      </c>
      <c r="F170" s="111">
        <v>-3</v>
      </c>
      <c r="G170" s="111">
        <f aca="true" t="shared" si="71" ref="G170:G183">SUM(E170+F170)</f>
        <v>397</v>
      </c>
      <c r="H170" s="111"/>
      <c r="I170" s="111">
        <f aca="true" t="shared" si="72" ref="I170:I183">SUM(G170+H170)</f>
        <v>397</v>
      </c>
      <c r="J170" s="111"/>
      <c r="K170" s="111">
        <f aca="true" t="shared" si="73" ref="K170:K183">SUM(I170+J170)</f>
        <v>397</v>
      </c>
      <c r="L170" s="111"/>
      <c r="M170" s="111">
        <f aca="true" t="shared" si="74" ref="M170:M183">SUM(K170+L170)</f>
        <v>397</v>
      </c>
      <c r="N170" s="60">
        <v>99</v>
      </c>
      <c r="O170" s="111">
        <f aca="true" t="shared" si="75" ref="O170:O183">SUM(M170+N170)</f>
        <v>496</v>
      </c>
    </row>
    <row r="171" spans="1:15" ht="16.5" customHeight="1">
      <c r="A171" s="345"/>
      <c r="B171" s="345"/>
      <c r="C171" s="345"/>
      <c r="D171" s="347" t="s">
        <v>736</v>
      </c>
      <c r="E171" s="111">
        <v>430</v>
      </c>
      <c r="F171" s="111"/>
      <c r="G171" s="111">
        <f t="shared" si="71"/>
        <v>430</v>
      </c>
      <c r="H171" s="111"/>
      <c r="I171" s="111">
        <f t="shared" si="72"/>
        <v>430</v>
      </c>
      <c r="J171" s="111"/>
      <c r="K171" s="111">
        <f t="shared" si="73"/>
        <v>430</v>
      </c>
      <c r="L171" s="111"/>
      <c r="M171" s="111">
        <f t="shared" si="74"/>
        <v>430</v>
      </c>
      <c r="N171" s="60"/>
      <c r="O171" s="111">
        <f t="shared" si="75"/>
        <v>430</v>
      </c>
    </row>
    <row r="172" spans="1:15" ht="16.5" customHeight="1">
      <c r="A172" s="345"/>
      <c r="B172" s="345"/>
      <c r="C172" s="345"/>
      <c r="D172" s="347" t="s">
        <v>737</v>
      </c>
      <c r="E172" s="111">
        <v>2020</v>
      </c>
      <c r="F172" s="111"/>
      <c r="G172" s="111">
        <f t="shared" si="71"/>
        <v>2020</v>
      </c>
      <c r="H172" s="111"/>
      <c r="I172" s="111">
        <f t="shared" si="72"/>
        <v>2020</v>
      </c>
      <c r="J172" s="111"/>
      <c r="K172" s="111">
        <f t="shared" si="73"/>
        <v>2020</v>
      </c>
      <c r="L172" s="111"/>
      <c r="M172" s="111">
        <f t="shared" si="74"/>
        <v>2020</v>
      </c>
      <c r="N172" s="60"/>
      <c r="O172" s="111">
        <f t="shared" si="75"/>
        <v>2020</v>
      </c>
    </row>
    <row r="173" spans="1:15" ht="16.5" customHeight="1">
      <c r="A173" s="345"/>
      <c r="B173" s="345"/>
      <c r="C173" s="345"/>
      <c r="D173" s="347" t="s">
        <v>738</v>
      </c>
      <c r="E173" s="111">
        <v>500</v>
      </c>
      <c r="F173" s="111"/>
      <c r="G173" s="111">
        <f t="shared" si="71"/>
        <v>500</v>
      </c>
      <c r="H173" s="111"/>
      <c r="I173" s="111">
        <f t="shared" si="72"/>
        <v>500</v>
      </c>
      <c r="J173" s="111"/>
      <c r="K173" s="111">
        <f t="shared" si="73"/>
        <v>500</v>
      </c>
      <c r="L173" s="111"/>
      <c r="M173" s="111">
        <f t="shared" si="74"/>
        <v>500</v>
      </c>
      <c r="N173" s="60"/>
      <c r="O173" s="111">
        <f t="shared" si="75"/>
        <v>500</v>
      </c>
    </row>
    <row r="174" spans="1:15" ht="16.5" customHeight="1">
      <c r="A174" s="345"/>
      <c r="B174" s="345"/>
      <c r="C174" s="345"/>
      <c r="D174" s="347" t="s">
        <v>739</v>
      </c>
      <c r="E174" s="111">
        <v>500</v>
      </c>
      <c r="F174" s="111"/>
      <c r="G174" s="111">
        <f t="shared" si="71"/>
        <v>500</v>
      </c>
      <c r="H174" s="111"/>
      <c r="I174" s="111">
        <f t="shared" si="72"/>
        <v>500</v>
      </c>
      <c r="J174" s="111"/>
      <c r="K174" s="111">
        <f t="shared" si="73"/>
        <v>500</v>
      </c>
      <c r="L174" s="111"/>
      <c r="M174" s="111">
        <f t="shared" si="74"/>
        <v>500</v>
      </c>
      <c r="N174" s="60"/>
      <c r="O174" s="111">
        <f t="shared" si="75"/>
        <v>500</v>
      </c>
    </row>
    <row r="175" spans="1:15" ht="16.5" customHeight="1">
      <c r="A175" s="345"/>
      <c r="B175" s="345"/>
      <c r="C175" s="345"/>
      <c r="D175" s="347" t="s">
        <v>740</v>
      </c>
      <c r="E175" s="111">
        <v>500</v>
      </c>
      <c r="F175" s="111"/>
      <c r="G175" s="111">
        <f t="shared" si="71"/>
        <v>500</v>
      </c>
      <c r="H175" s="111"/>
      <c r="I175" s="111">
        <f t="shared" si="72"/>
        <v>500</v>
      </c>
      <c r="J175" s="111"/>
      <c r="K175" s="111">
        <f t="shared" si="73"/>
        <v>500</v>
      </c>
      <c r="L175" s="111"/>
      <c r="M175" s="111">
        <f t="shared" si="74"/>
        <v>500</v>
      </c>
      <c r="N175" s="60"/>
      <c r="O175" s="111">
        <f t="shared" si="75"/>
        <v>500</v>
      </c>
    </row>
    <row r="176" spans="1:15" ht="16.5" customHeight="1">
      <c r="A176" s="345"/>
      <c r="B176" s="345"/>
      <c r="C176" s="345"/>
      <c r="D176" s="347" t="s">
        <v>0</v>
      </c>
      <c r="E176" s="111">
        <v>8000</v>
      </c>
      <c r="F176" s="111">
        <v>-3</v>
      </c>
      <c r="G176" s="111">
        <f t="shared" si="71"/>
        <v>7997</v>
      </c>
      <c r="H176" s="111"/>
      <c r="I176" s="111">
        <f t="shared" si="72"/>
        <v>7997</v>
      </c>
      <c r="J176" s="111"/>
      <c r="K176" s="111">
        <f t="shared" si="73"/>
        <v>7997</v>
      </c>
      <c r="L176" s="111"/>
      <c r="M176" s="111">
        <f t="shared" si="74"/>
        <v>7997</v>
      </c>
      <c r="N176" s="60">
        <v>-5047</v>
      </c>
      <c r="O176" s="111">
        <f t="shared" si="75"/>
        <v>2950</v>
      </c>
    </row>
    <row r="177" spans="1:15" ht="16.5" customHeight="1">
      <c r="A177" s="345"/>
      <c r="B177" s="345"/>
      <c r="C177" s="345"/>
      <c r="D177" s="347" t="s">
        <v>1</v>
      </c>
      <c r="E177" s="111">
        <v>1020</v>
      </c>
      <c r="F177" s="111"/>
      <c r="G177" s="111">
        <f t="shared" si="71"/>
        <v>1020</v>
      </c>
      <c r="H177" s="111"/>
      <c r="I177" s="111">
        <f t="shared" si="72"/>
        <v>1020</v>
      </c>
      <c r="J177" s="111"/>
      <c r="K177" s="111">
        <f t="shared" si="73"/>
        <v>1020</v>
      </c>
      <c r="L177" s="111"/>
      <c r="M177" s="111">
        <f t="shared" si="74"/>
        <v>1020</v>
      </c>
      <c r="N177" s="60"/>
      <c r="O177" s="111">
        <f t="shared" si="75"/>
        <v>1020</v>
      </c>
    </row>
    <row r="178" spans="1:15" ht="16.5" customHeight="1">
      <c r="A178" s="345"/>
      <c r="B178" s="345"/>
      <c r="C178" s="345"/>
      <c r="D178" s="347" t="s">
        <v>2</v>
      </c>
      <c r="E178" s="111">
        <v>200</v>
      </c>
      <c r="F178" s="111">
        <v>-3</v>
      </c>
      <c r="G178" s="111">
        <f t="shared" si="71"/>
        <v>197</v>
      </c>
      <c r="H178" s="111"/>
      <c r="I178" s="111">
        <f t="shared" si="72"/>
        <v>197</v>
      </c>
      <c r="J178" s="111"/>
      <c r="K178" s="111">
        <f t="shared" si="73"/>
        <v>197</v>
      </c>
      <c r="L178" s="111"/>
      <c r="M178" s="111">
        <f t="shared" si="74"/>
        <v>197</v>
      </c>
      <c r="N178" s="60"/>
      <c r="O178" s="111">
        <f t="shared" si="75"/>
        <v>197</v>
      </c>
    </row>
    <row r="179" spans="1:15" ht="16.5" customHeight="1">
      <c r="A179" s="345"/>
      <c r="B179" s="345"/>
      <c r="C179" s="345"/>
      <c r="D179" s="347" t="s">
        <v>4</v>
      </c>
      <c r="E179" s="111">
        <v>4500</v>
      </c>
      <c r="F179" s="111"/>
      <c r="G179" s="111">
        <f t="shared" si="71"/>
        <v>4500</v>
      </c>
      <c r="H179" s="111"/>
      <c r="I179" s="111">
        <f t="shared" si="72"/>
        <v>4500</v>
      </c>
      <c r="J179" s="111"/>
      <c r="K179" s="111">
        <f t="shared" si="73"/>
        <v>4500</v>
      </c>
      <c r="L179" s="111"/>
      <c r="M179" s="111">
        <f t="shared" si="74"/>
        <v>4500</v>
      </c>
      <c r="N179" s="60">
        <v>1600</v>
      </c>
      <c r="O179" s="111">
        <f t="shared" si="75"/>
        <v>6100</v>
      </c>
    </row>
    <row r="180" spans="1:15" ht="16.5" customHeight="1">
      <c r="A180" s="345"/>
      <c r="B180" s="345"/>
      <c r="C180" s="345"/>
      <c r="D180" s="347" t="s">
        <v>5</v>
      </c>
      <c r="E180" s="111">
        <v>450</v>
      </c>
      <c r="F180" s="111">
        <v>-3</v>
      </c>
      <c r="G180" s="111">
        <f t="shared" si="71"/>
        <v>447</v>
      </c>
      <c r="H180" s="111"/>
      <c r="I180" s="111">
        <f t="shared" si="72"/>
        <v>447</v>
      </c>
      <c r="J180" s="111"/>
      <c r="K180" s="111">
        <f t="shared" si="73"/>
        <v>447</v>
      </c>
      <c r="L180" s="111"/>
      <c r="M180" s="111">
        <f t="shared" si="74"/>
        <v>447</v>
      </c>
      <c r="N180" s="60"/>
      <c r="O180" s="111">
        <f t="shared" si="75"/>
        <v>447</v>
      </c>
    </row>
    <row r="181" spans="1:15" ht="16.5" customHeight="1">
      <c r="A181" s="345"/>
      <c r="B181" s="345"/>
      <c r="C181" s="345"/>
      <c r="D181" s="347" t="s">
        <v>9</v>
      </c>
      <c r="E181" s="111">
        <v>200</v>
      </c>
      <c r="F181" s="111"/>
      <c r="G181" s="111">
        <f t="shared" si="71"/>
        <v>200</v>
      </c>
      <c r="H181" s="111"/>
      <c r="I181" s="111">
        <f t="shared" si="72"/>
        <v>200</v>
      </c>
      <c r="J181" s="111">
        <v>370</v>
      </c>
      <c r="K181" s="111">
        <f t="shared" si="73"/>
        <v>570</v>
      </c>
      <c r="L181" s="111"/>
      <c r="M181" s="111">
        <f t="shared" si="74"/>
        <v>570</v>
      </c>
      <c r="N181" s="60"/>
      <c r="O181" s="111">
        <f t="shared" si="75"/>
        <v>570</v>
      </c>
    </row>
    <row r="182" spans="1:15" ht="16.5" customHeight="1">
      <c r="A182" s="345"/>
      <c r="B182" s="345"/>
      <c r="C182" s="345"/>
      <c r="D182" s="347" t="s">
        <v>6</v>
      </c>
      <c r="E182" s="111">
        <v>200</v>
      </c>
      <c r="F182" s="111"/>
      <c r="G182" s="111">
        <f t="shared" si="71"/>
        <v>200</v>
      </c>
      <c r="H182" s="111"/>
      <c r="I182" s="111">
        <f t="shared" si="72"/>
        <v>200</v>
      </c>
      <c r="J182" s="111"/>
      <c r="K182" s="111">
        <f t="shared" si="73"/>
        <v>200</v>
      </c>
      <c r="L182" s="111"/>
      <c r="M182" s="111">
        <f t="shared" si="74"/>
        <v>200</v>
      </c>
      <c r="N182" s="60"/>
      <c r="O182" s="111">
        <f t="shared" si="75"/>
        <v>200</v>
      </c>
    </row>
    <row r="183" spans="1:15" ht="16.5" customHeight="1">
      <c r="A183" s="345"/>
      <c r="B183" s="345"/>
      <c r="C183" s="345"/>
      <c r="D183" s="347" t="s">
        <v>14</v>
      </c>
      <c r="E183" s="111">
        <v>1000</v>
      </c>
      <c r="F183" s="111"/>
      <c r="G183" s="111">
        <f t="shared" si="71"/>
        <v>1000</v>
      </c>
      <c r="H183" s="111"/>
      <c r="I183" s="111">
        <f t="shared" si="72"/>
        <v>1000</v>
      </c>
      <c r="J183" s="111"/>
      <c r="K183" s="111">
        <f t="shared" si="73"/>
        <v>1000</v>
      </c>
      <c r="L183" s="111"/>
      <c r="M183" s="111">
        <f t="shared" si="74"/>
        <v>1000</v>
      </c>
      <c r="N183" s="60"/>
      <c r="O183" s="111">
        <f t="shared" si="75"/>
        <v>1000</v>
      </c>
    </row>
    <row r="184" spans="1:15" ht="19.5" customHeight="1">
      <c r="A184" s="344"/>
      <c r="B184" s="344"/>
      <c r="C184" s="344" t="s">
        <v>21</v>
      </c>
      <c r="D184" s="52" t="s">
        <v>201</v>
      </c>
      <c r="E184" s="108">
        <f aca="true" t="shared" si="76" ref="E184:O184">SUM(E185:E191)</f>
        <v>12940</v>
      </c>
      <c r="F184" s="108">
        <f t="shared" si="76"/>
        <v>0</v>
      </c>
      <c r="G184" s="108">
        <f t="shared" si="76"/>
        <v>12940</v>
      </c>
      <c r="H184" s="108">
        <f t="shared" si="76"/>
        <v>-8000</v>
      </c>
      <c r="I184" s="108">
        <f t="shared" si="76"/>
        <v>4940</v>
      </c>
      <c r="J184" s="108">
        <f t="shared" si="76"/>
        <v>700</v>
      </c>
      <c r="K184" s="108">
        <f t="shared" si="76"/>
        <v>5640</v>
      </c>
      <c r="L184" s="108">
        <f t="shared" si="76"/>
        <v>0</v>
      </c>
      <c r="M184" s="108">
        <f t="shared" si="76"/>
        <v>5640</v>
      </c>
      <c r="N184" s="101">
        <f t="shared" si="76"/>
        <v>300</v>
      </c>
      <c r="O184" s="108">
        <f t="shared" si="76"/>
        <v>5940</v>
      </c>
    </row>
    <row r="185" spans="1:15" ht="16.5" customHeight="1">
      <c r="A185" s="344"/>
      <c r="B185" s="344"/>
      <c r="C185" s="344"/>
      <c r="D185" s="347" t="s">
        <v>735</v>
      </c>
      <c r="E185" s="111">
        <v>240</v>
      </c>
      <c r="F185" s="111"/>
      <c r="G185" s="111">
        <f>SUM(E185+F185)</f>
        <v>240</v>
      </c>
      <c r="H185" s="111"/>
      <c r="I185" s="111">
        <f>SUM(G185+H185)</f>
        <v>240</v>
      </c>
      <c r="J185" s="111"/>
      <c r="K185" s="111">
        <f aca="true" t="shared" si="77" ref="K185:K191">SUM(I185+J185)</f>
        <v>240</v>
      </c>
      <c r="L185" s="111"/>
      <c r="M185" s="111">
        <f aca="true" t="shared" si="78" ref="M185:M191">SUM(K185+L185)</f>
        <v>240</v>
      </c>
      <c r="N185" s="60"/>
      <c r="O185" s="111">
        <f aca="true" t="shared" si="79" ref="O185:O191">SUM(M185+N185)</f>
        <v>240</v>
      </c>
    </row>
    <row r="186" spans="1:15" ht="16.5" customHeight="1">
      <c r="A186" s="344"/>
      <c r="B186" s="344"/>
      <c r="C186" s="344"/>
      <c r="D186" s="347" t="s">
        <v>739</v>
      </c>
      <c r="E186" s="111">
        <v>1000</v>
      </c>
      <c r="F186" s="111"/>
      <c r="G186" s="111">
        <f>SUM(E186+F186)</f>
        <v>1000</v>
      </c>
      <c r="H186" s="111"/>
      <c r="I186" s="111">
        <f>SUM(G186+H186)</f>
        <v>1000</v>
      </c>
      <c r="J186" s="111"/>
      <c r="K186" s="111">
        <f t="shared" si="77"/>
        <v>1000</v>
      </c>
      <c r="L186" s="111"/>
      <c r="M186" s="111">
        <f t="shared" si="78"/>
        <v>1000</v>
      </c>
      <c r="N186" s="60"/>
      <c r="O186" s="111">
        <f t="shared" si="79"/>
        <v>1000</v>
      </c>
    </row>
    <row r="187" spans="1:15" ht="16.5" customHeight="1">
      <c r="A187" s="344"/>
      <c r="B187" s="344"/>
      <c r="C187" s="344"/>
      <c r="D187" s="347" t="s">
        <v>22</v>
      </c>
      <c r="E187" s="111">
        <v>0</v>
      </c>
      <c r="F187" s="111"/>
      <c r="G187" s="111">
        <v>0</v>
      </c>
      <c r="H187" s="111"/>
      <c r="I187" s="111">
        <v>0</v>
      </c>
      <c r="J187" s="111">
        <v>700</v>
      </c>
      <c r="K187" s="111">
        <f t="shared" si="77"/>
        <v>700</v>
      </c>
      <c r="L187" s="111"/>
      <c r="M187" s="111">
        <f t="shared" si="78"/>
        <v>700</v>
      </c>
      <c r="N187" s="60"/>
      <c r="O187" s="111">
        <f t="shared" si="79"/>
        <v>700</v>
      </c>
    </row>
    <row r="188" spans="1:15" ht="16.5" customHeight="1">
      <c r="A188" s="344"/>
      <c r="B188" s="344"/>
      <c r="C188" s="344"/>
      <c r="D188" s="347" t="s">
        <v>0</v>
      </c>
      <c r="E188" s="111">
        <v>100</v>
      </c>
      <c r="F188" s="111"/>
      <c r="G188" s="111">
        <f>SUM(E188+F188)</f>
        <v>100</v>
      </c>
      <c r="H188" s="111"/>
      <c r="I188" s="111">
        <f>SUM(G188+H188)</f>
        <v>100</v>
      </c>
      <c r="J188" s="111"/>
      <c r="K188" s="111">
        <f t="shared" si="77"/>
        <v>100</v>
      </c>
      <c r="L188" s="111"/>
      <c r="M188" s="111">
        <f t="shared" si="78"/>
        <v>100</v>
      </c>
      <c r="N188" s="60"/>
      <c r="O188" s="111">
        <f t="shared" si="79"/>
        <v>100</v>
      </c>
    </row>
    <row r="189" spans="1:15" ht="16.5" customHeight="1">
      <c r="A189" s="345"/>
      <c r="B189" s="345"/>
      <c r="C189" s="345"/>
      <c r="D189" s="347" t="s">
        <v>1</v>
      </c>
      <c r="E189" s="111">
        <v>3000</v>
      </c>
      <c r="F189" s="111"/>
      <c r="G189" s="111">
        <f>SUM(E189+F189)</f>
        <v>3000</v>
      </c>
      <c r="H189" s="111"/>
      <c r="I189" s="111">
        <f>SUM(G189+H189)</f>
        <v>3000</v>
      </c>
      <c r="J189" s="111"/>
      <c r="K189" s="111">
        <f t="shared" si="77"/>
        <v>3000</v>
      </c>
      <c r="L189" s="111"/>
      <c r="M189" s="111">
        <f t="shared" si="78"/>
        <v>3000</v>
      </c>
      <c r="N189" s="60"/>
      <c r="O189" s="111">
        <f t="shared" si="79"/>
        <v>3000</v>
      </c>
    </row>
    <row r="190" spans="1:15" ht="16.5" customHeight="1">
      <c r="A190" s="345"/>
      <c r="B190" s="345"/>
      <c r="C190" s="345"/>
      <c r="D190" s="347" t="s">
        <v>2</v>
      </c>
      <c r="E190" s="111">
        <v>100</v>
      </c>
      <c r="F190" s="111"/>
      <c r="G190" s="111">
        <f>SUM(E190+F190)</f>
        <v>100</v>
      </c>
      <c r="H190" s="111"/>
      <c r="I190" s="111">
        <f>SUM(G190+H190)</f>
        <v>100</v>
      </c>
      <c r="J190" s="111"/>
      <c r="K190" s="111">
        <f t="shared" si="77"/>
        <v>100</v>
      </c>
      <c r="L190" s="111"/>
      <c r="M190" s="111">
        <f t="shared" si="78"/>
        <v>100</v>
      </c>
      <c r="N190" s="60">
        <v>300</v>
      </c>
      <c r="O190" s="111">
        <f t="shared" si="79"/>
        <v>400</v>
      </c>
    </row>
    <row r="191" spans="1:15" ht="16.5" customHeight="1">
      <c r="A191" s="345"/>
      <c r="B191" s="345"/>
      <c r="C191" s="345"/>
      <c r="D191" s="347" t="s">
        <v>4</v>
      </c>
      <c r="E191" s="111">
        <v>8500</v>
      </c>
      <c r="F191" s="111"/>
      <c r="G191" s="111">
        <f>SUM(E191+F191)</f>
        <v>8500</v>
      </c>
      <c r="H191" s="111">
        <v>-8000</v>
      </c>
      <c r="I191" s="111">
        <f>SUM(G191+H191)</f>
        <v>500</v>
      </c>
      <c r="J191" s="111"/>
      <c r="K191" s="111">
        <f t="shared" si="77"/>
        <v>500</v>
      </c>
      <c r="L191" s="111"/>
      <c r="M191" s="111">
        <f t="shared" si="78"/>
        <v>500</v>
      </c>
      <c r="N191" s="60"/>
      <c r="O191" s="111">
        <f t="shared" si="79"/>
        <v>500</v>
      </c>
    </row>
    <row r="192" spans="1:15" ht="17.25" customHeight="1">
      <c r="A192" s="344"/>
      <c r="B192" s="344" t="s">
        <v>262</v>
      </c>
      <c r="C192" s="66"/>
      <c r="D192" s="52" t="s">
        <v>263</v>
      </c>
      <c r="E192" s="108">
        <f aca="true" t="shared" si="80" ref="E192:O192">SUM(E193)</f>
        <v>20400</v>
      </c>
      <c r="F192" s="108">
        <f t="shared" si="80"/>
        <v>0</v>
      </c>
      <c r="G192" s="108">
        <f t="shared" si="80"/>
        <v>20400</v>
      </c>
      <c r="H192" s="108">
        <f t="shared" si="80"/>
        <v>0</v>
      </c>
      <c r="I192" s="108">
        <f t="shared" si="80"/>
        <v>20400</v>
      </c>
      <c r="J192" s="108">
        <f t="shared" si="80"/>
        <v>0</v>
      </c>
      <c r="K192" s="108">
        <f t="shared" si="80"/>
        <v>20400</v>
      </c>
      <c r="L192" s="108">
        <f t="shared" si="80"/>
        <v>0</v>
      </c>
      <c r="M192" s="108">
        <f t="shared" si="80"/>
        <v>20400</v>
      </c>
      <c r="N192" s="101">
        <f t="shared" si="80"/>
        <v>0</v>
      </c>
      <c r="O192" s="108">
        <f t="shared" si="80"/>
        <v>20400</v>
      </c>
    </row>
    <row r="193" spans="1:15" ht="24.75" customHeight="1">
      <c r="A193" s="344"/>
      <c r="B193" s="66"/>
      <c r="C193" s="344">
        <v>6050</v>
      </c>
      <c r="D193" s="52" t="s">
        <v>195</v>
      </c>
      <c r="E193" s="108">
        <f aca="true" t="shared" si="81" ref="E193:O193">SUM(E194:E196)</f>
        <v>20400</v>
      </c>
      <c r="F193" s="108">
        <f t="shared" si="81"/>
        <v>0</v>
      </c>
      <c r="G193" s="108">
        <f t="shared" si="81"/>
        <v>20400</v>
      </c>
      <c r="H193" s="108">
        <f t="shared" si="81"/>
        <v>0</v>
      </c>
      <c r="I193" s="108">
        <f t="shared" si="81"/>
        <v>20400</v>
      </c>
      <c r="J193" s="108">
        <f t="shared" si="81"/>
        <v>0</v>
      </c>
      <c r="K193" s="108">
        <f t="shared" si="81"/>
        <v>20400</v>
      </c>
      <c r="L193" s="108">
        <f t="shared" si="81"/>
        <v>0</v>
      </c>
      <c r="M193" s="108">
        <f t="shared" si="81"/>
        <v>20400</v>
      </c>
      <c r="N193" s="101">
        <f t="shared" si="81"/>
        <v>0</v>
      </c>
      <c r="O193" s="108">
        <f t="shared" si="81"/>
        <v>20400</v>
      </c>
    </row>
    <row r="194" spans="1:15" ht="16.5" customHeight="1">
      <c r="A194" s="345"/>
      <c r="B194" s="345"/>
      <c r="C194" s="345"/>
      <c r="D194" s="347" t="s">
        <v>737</v>
      </c>
      <c r="E194" s="111">
        <v>4000</v>
      </c>
      <c r="F194" s="111"/>
      <c r="G194" s="111">
        <f>SUM(E194+F194)</f>
        <v>4000</v>
      </c>
      <c r="H194" s="111"/>
      <c r="I194" s="111">
        <f>SUM(G194+H194)</f>
        <v>4000</v>
      </c>
      <c r="J194" s="111"/>
      <c r="K194" s="111">
        <f>SUM(I194+J194)</f>
        <v>4000</v>
      </c>
      <c r="L194" s="111"/>
      <c r="M194" s="111">
        <f>SUM(K194+L194)</f>
        <v>4000</v>
      </c>
      <c r="N194" s="60"/>
      <c r="O194" s="111">
        <f>SUM(M194+N194)</f>
        <v>4000</v>
      </c>
    </row>
    <row r="195" spans="1:15" ht="16.5" customHeight="1">
      <c r="A195" s="346"/>
      <c r="B195" s="182"/>
      <c r="C195" s="346"/>
      <c r="D195" s="347" t="s">
        <v>738</v>
      </c>
      <c r="E195" s="111">
        <v>15000</v>
      </c>
      <c r="F195" s="111"/>
      <c r="G195" s="111">
        <f>SUM(E195+F195)</f>
        <v>15000</v>
      </c>
      <c r="H195" s="111"/>
      <c r="I195" s="111">
        <f>SUM(G195+H195)</f>
        <v>15000</v>
      </c>
      <c r="J195" s="111"/>
      <c r="K195" s="111">
        <f>SUM(I195+J195)</f>
        <v>15000</v>
      </c>
      <c r="L195" s="111"/>
      <c r="M195" s="111">
        <f>SUM(K195+L195)</f>
        <v>15000</v>
      </c>
      <c r="N195" s="60"/>
      <c r="O195" s="111">
        <f>SUM(M195+N195)</f>
        <v>15000</v>
      </c>
    </row>
    <row r="196" spans="1:15" ht="16.5" customHeight="1">
      <c r="A196" s="345"/>
      <c r="B196" s="345"/>
      <c r="C196" s="345"/>
      <c r="D196" s="347" t="s">
        <v>740</v>
      </c>
      <c r="E196" s="111">
        <v>1400</v>
      </c>
      <c r="F196" s="111"/>
      <c r="G196" s="111">
        <f>SUM(E196+F196)</f>
        <v>1400</v>
      </c>
      <c r="H196" s="111"/>
      <c r="I196" s="111">
        <f>SUM(G196+H196)</f>
        <v>1400</v>
      </c>
      <c r="J196" s="111"/>
      <c r="K196" s="111">
        <f>SUM(I196+J196)</f>
        <v>1400</v>
      </c>
      <c r="L196" s="111"/>
      <c r="M196" s="111">
        <f>SUM(K196+L196)</f>
        <v>1400</v>
      </c>
      <c r="N196" s="60"/>
      <c r="O196" s="111">
        <f>SUM(M196+N196)</f>
        <v>1400</v>
      </c>
    </row>
    <row r="197" spans="1:15" ht="18.75" customHeight="1">
      <c r="A197" s="344"/>
      <c r="B197" s="344">
        <v>90095</v>
      </c>
      <c r="C197" s="66"/>
      <c r="D197" s="52" t="s">
        <v>118</v>
      </c>
      <c r="E197" s="108">
        <f aca="true" t="shared" si="82" ref="E197:O197">SUM(E198,E200,)</f>
        <v>4700</v>
      </c>
      <c r="F197" s="108">
        <f t="shared" si="82"/>
        <v>0</v>
      </c>
      <c r="G197" s="108">
        <f t="shared" si="82"/>
        <v>4700</v>
      </c>
      <c r="H197" s="108">
        <f t="shared" si="82"/>
        <v>0</v>
      </c>
      <c r="I197" s="108">
        <f t="shared" si="82"/>
        <v>4700</v>
      </c>
      <c r="J197" s="108">
        <f t="shared" si="82"/>
        <v>0</v>
      </c>
      <c r="K197" s="108">
        <f t="shared" si="82"/>
        <v>4700</v>
      </c>
      <c r="L197" s="108">
        <f t="shared" si="82"/>
        <v>0</v>
      </c>
      <c r="M197" s="108">
        <f t="shared" si="82"/>
        <v>4700</v>
      </c>
      <c r="N197" s="101">
        <f t="shared" si="82"/>
        <v>-99</v>
      </c>
      <c r="O197" s="108">
        <f t="shared" si="82"/>
        <v>4601</v>
      </c>
    </row>
    <row r="198" spans="1:15" ht="21" customHeight="1">
      <c r="A198" s="344"/>
      <c r="B198" s="344"/>
      <c r="C198" s="66">
        <v>4210</v>
      </c>
      <c r="D198" s="52" t="s">
        <v>194</v>
      </c>
      <c r="E198" s="108">
        <f aca="true" t="shared" si="83" ref="E198:O198">SUM(E199:E199)</f>
        <v>2700</v>
      </c>
      <c r="F198" s="108">
        <f t="shared" si="83"/>
        <v>0</v>
      </c>
      <c r="G198" s="108">
        <f t="shared" si="83"/>
        <v>2700</v>
      </c>
      <c r="H198" s="108">
        <f t="shared" si="83"/>
        <v>0</v>
      </c>
      <c r="I198" s="108">
        <f t="shared" si="83"/>
        <v>2700</v>
      </c>
      <c r="J198" s="108">
        <f t="shared" si="83"/>
        <v>0</v>
      </c>
      <c r="K198" s="108">
        <f t="shared" si="83"/>
        <v>2700</v>
      </c>
      <c r="L198" s="108">
        <f t="shared" si="83"/>
        <v>0</v>
      </c>
      <c r="M198" s="108">
        <f t="shared" si="83"/>
        <v>2700</v>
      </c>
      <c r="N198" s="101">
        <f t="shared" si="83"/>
        <v>-99</v>
      </c>
      <c r="O198" s="108">
        <f t="shared" si="83"/>
        <v>2601</v>
      </c>
    </row>
    <row r="199" spans="1:15" ht="16.5" customHeight="1">
      <c r="A199" s="346"/>
      <c r="B199" s="346"/>
      <c r="C199" s="182"/>
      <c r="D199" s="347" t="s">
        <v>735</v>
      </c>
      <c r="E199" s="111">
        <v>2700</v>
      </c>
      <c r="F199" s="111"/>
      <c r="G199" s="111">
        <f>SUM(E199+F199)</f>
        <v>2700</v>
      </c>
      <c r="H199" s="111"/>
      <c r="I199" s="111">
        <f>SUM(G199+H199)</f>
        <v>2700</v>
      </c>
      <c r="J199" s="111"/>
      <c r="K199" s="111">
        <f>SUM(I199+J199)</f>
        <v>2700</v>
      </c>
      <c r="L199" s="111"/>
      <c r="M199" s="111">
        <f>SUM(K199+L199)</f>
        <v>2700</v>
      </c>
      <c r="N199" s="60">
        <v>-99</v>
      </c>
      <c r="O199" s="111">
        <f>SUM(M199+N199)</f>
        <v>2601</v>
      </c>
    </row>
    <row r="200" spans="1:15" ht="20.25" customHeight="1">
      <c r="A200" s="344"/>
      <c r="B200" s="66"/>
      <c r="C200" s="66">
        <v>4300</v>
      </c>
      <c r="D200" s="64" t="s">
        <v>201</v>
      </c>
      <c r="E200" s="108">
        <f aca="true" t="shared" si="84" ref="E200:O200">SUM(E201)</f>
        <v>2000</v>
      </c>
      <c r="F200" s="108">
        <f t="shared" si="84"/>
        <v>0</v>
      </c>
      <c r="G200" s="108">
        <f t="shared" si="84"/>
        <v>2000</v>
      </c>
      <c r="H200" s="108">
        <f t="shared" si="84"/>
        <v>0</v>
      </c>
      <c r="I200" s="108">
        <f t="shared" si="84"/>
        <v>2000</v>
      </c>
      <c r="J200" s="108">
        <f t="shared" si="84"/>
        <v>0</v>
      </c>
      <c r="K200" s="108">
        <f t="shared" si="84"/>
        <v>2000</v>
      </c>
      <c r="L200" s="108">
        <f t="shared" si="84"/>
        <v>0</v>
      </c>
      <c r="M200" s="108">
        <f t="shared" si="84"/>
        <v>2000</v>
      </c>
      <c r="N200" s="101">
        <f t="shared" si="84"/>
        <v>0</v>
      </c>
      <c r="O200" s="108">
        <f t="shared" si="84"/>
        <v>2000</v>
      </c>
    </row>
    <row r="201" spans="1:15" ht="16.5" customHeight="1">
      <c r="A201" s="346"/>
      <c r="B201" s="182"/>
      <c r="C201" s="182"/>
      <c r="D201" s="347" t="s">
        <v>736</v>
      </c>
      <c r="E201" s="111">
        <v>2000</v>
      </c>
      <c r="F201" s="111"/>
      <c r="G201" s="111">
        <f>SUM(E201+F201)</f>
        <v>2000</v>
      </c>
      <c r="H201" s="111"/>
      <c r="I201" s="111">
        <f>SUM(G201+H201)</f>
        <v>2000</v>
      </c>
      <c r="J201" s="111"/>
      <c r="K201" s="111">
        <f>SUM(I201+J201)</f>
        <v>2000</v>
      </c>
      <c r="L201" s="111"/>
      <c r="M201" s="111">
        <f>SUM(K201+L201)</f>
        <v>2000</v>
      </c>
      <c r="N201" s="60"/>
      <c r="O201" s="111">
        <f>SUM(M201+N201)</f>
        <v>2000</v>
      </c>
    </row>
    <row r="202" spans="1:15" ht="24.75" customHeight="1">
      <c r="A202" s="37" t="s">
        <v>185</v>
      </c>
      <c r="B202" s="5"/>
      <c r="C202" s="5"/>
      <c r="D202" s="22" t="s">
        <v>265</v>
      </c>
      <c r="E202" s="18">
        <f aca="true" t="shared" si="85" ref="E202:O202">SUM(E203)</f>
        <v>54070</v>
      </c>
      <c r="F202" s="18">
        <f t="shared" si="85"/>
        <v>-1242</v>
      </c>
      <c r="G202" s="18">
        <f t="shared" si="85"/>
        <v>52828</v>
      </c>
      <c r="H202" s="18">
        <f t="shared" si="85"/>
        <v>0</v>
      </c>
      <c r="I202" s="18">
        <f t="shared" si="85"/>
        <v>52828</v>
      </c>
      <c r="J202" s="18">
        <f t="shared" si="85"/>
        <v>-2390</v>
      </c>
      <c r="K202" s="18">
        <f t="shared" si="85"/>
        <v>50438</v>
      </c>
      <c r="L202" s="18">
        <f t="shared" si="85"/>
        <v>0</v>
      </c>
      <c r="M202" s="18">
        <f t="shared" si="85"/>
        <v>50438</v>
      </c>
      <c r="N202" s="18">
        <f t="shared" si="85"/>
        <v>8847</v>
      </c>
      <c r="O202" s="18">
        <f t="shared" si="85"/>
        <v>59285</v>
      </c>
    </row>
    <row r="203" spans="1:15" ht="20.25" customHeight="1">
      <c r="A203" s="344"/>
      <c r="B203" s="344" t="s">
        <v>266</v>
      </c>
      <c r="C203" s="66"/>
      <c r="D203" s="52" t="s">
        <v>286</v>
      </c>
      <c r="E203" s="108">
        <f aca="true" t="shared" si="86" ref="E203:O203">SUM(E204,E217,E233,E239,E243,E259)</f>
        <v>54070</v>
      </c>
      <c r="F203" s="108">
        <f t="shared" si="86"/>
        <v>-1242</v>
      </c>
      <c r="G203" s="108">
        <f t="shared" si="86"/>
        <v>52828</v>
      </c>
      <c r="H203" s="108">
        <f t="shared" si="86"/>
        <v>0</v>
      </c>
      <c r="I203" s="108">
        <f t="shared" si="86"/>
        <v>52828</v>
      </c>
      <c r="J203" s="108">
        <f t="shared" si="86"/>
        <v>-2390</v>
      </c>
      <c r="K203" s="108">
        <f t="shared" si="86"/>
        <v>50438</v>
      </c>
      <c r="L203" s="108">
        <f t="shared" si="86"/>
        <v>0</v>
      </c>
      <c r="M203" s="108">
        <f t="shared" si="86"/>
        <v>50438</v>
      </c>
      <c r="N203" s="101">
        <f t="shared" si="86"/>
        <v>8847</v>
      </c>
      <c r="O203" s="108">
        <f t="shared" si="86"/>
        <v>59285</v>
      </c>
    </row>
    <row r="204" spans="1:15" ht="20.25" customHeight="1">
      <c r="A204" s="344"/>
      <c r="B204" s="344"/>
      <c r="C204" s="344" t="s">
        <v>13</v>
      </c>
      <c r="D204" s="52" t="s">
        <v>214</v>
      </c>
      <c r="E204" s="108">
        <f aca="true" t="shared" si="87" ref="E204:O204">SUM(E205:E216)</f>
        <v>16610</v>
      </c>
      <c r="F204" s="108">
        <f t="shared" si="87"/>
        <v>0</v>
      </c>
      <c r="G204" s="108">
        <f t="shared" si="87"/>
        <v>16610</v>
      </c>
      <c r="H204" s="108">
        <f t="shared" si="87"/>
        <v>0</v>
      </c>
      <c r="I204" s="108">
        <f t="shared" si="87"/>
        <v>16610</v>
      </c>
      <c r="J204" s="108">
        <f t="shared" si="87"/>
        <v>1620</v>
      </c>
      <c r="K204" s="108">
        <f t="shared" si="87"/>
        <v>18230</v>
      </c>
      <c r="L204" s="108">
        <f t="shared" si="87"/>
        <v>0</v>
      </c>
      <c r="M204" s="108">
        <f t="shared" si="87"/>
        <v>18230</v>
      </c>
      <c r="N204" s="101">
        <f t="shared" si="87"/>
        <v>6493</v>
      </c>
      <c r="O204" s="108">
        <f t="shared" si="87"/>
        <v>24723</v>
      </c>
    </row>
    <row r="205" spans="1:15" ht="16.5" customHeight="1">
      <c r="A205" s="345"/>
      <c r="B205" s="345"/>
      <c r="C205" s="345"/>
      <c r="D205" s="347" t="s">
        <v>734</v>
      </c>
      <c r="E205" s="111">
        <v>1400</v>
      </c>
      <c r="F205" s="111"/>
      <c r="G205" s="111">
        <f aca="true" t="shared" si="88" ref="G205:G210">SUM(E205+F205)</f>
        <v>1400</v>
      </c>
      <c r="H205" s="111"/>
      <c r="I205" s="111">
        <f aca="true" t="shared" si="89" ref="I205:I210">SUM(G205+H205)</f>
        <v>1400</v>
      </c>
      <c r="J205" s="111"/>
      <c r="K205" s="111">
        <f aca="true" t="shared" si="90" ref="K205:K210">SUM(I205+J205)</f>
        <v>1400</v>
      </c>
      <c r="L205" s="111"/>
      <c r="M205" s="111">
        <f aca="true" t="shared" si="91" ref="M205:M210">SUM(K205+L205)</f>
        <v>1400</v>
      </c>
      <c r="N205" s="60">
        <v>-200</v>
      </c>
      <c r="O205" s="111">
        <f aca="true" t="shared" si="92" ref="O205:O215">SUM(M205+N205)</f>
        <v>1200</v>
      </c>
    </row>
    <row r="206" spans="1:15" ht="16.5" customHeight="1">
      <c r="A206" s="345"/>
      <c r="B206" s="345"/>
      <c r="C206" s="345"/>
      <c r="D206" s="347" t="s">
        <v>736</v>
      </c>
      <c r="E206" s="111">
        <v>1340</v>
      </c>
      <c r="F206" s="111"/>
      <c r="G206" s="111">
        <f t="shared" si="88"/>
        <v>1340</v>
      </c>
      <c r="H206" s="111"/>
      <c r="I206" s="111">
        <f t="shared" si="89"/>
        <v>1340</v>
      </c>
      <c r="J206" s="111"/>
      <c r="K206" s="111">
        <f t="shared" si="90"/>
        <v>1340</v>
      </c>
      <c r="L206" s="111"/>
      <c r="M206" s="111">
        <f t="shared" si="91"/>
        <v>1340</v>
      </c>
      <c r="N206" s="60">
        <v>2700</v>
      </c>
      <c r="O206" s="111">
        <f t="shared" si="92"/>
        <v>4040</v>
      </c>
    </row>
    <row r="207" spans="1:15" ht="16.5" customHeight="1">
      <c r="A207" s="345"/>
      <c r="B207" s="345"/>
      <c r="C207" s="345"/>
      <c r="D207" s="347" t="s">
        <v>737</v>
      </c>
      <c r="E207" s="111">
        <v>4560</v>
      </c>
      <c r="F207" s="111"/>
      <c r="G207" s="111">
        <f t="shared" si="88"/>
        <v>4560</v>
      </c>
      <c r="H207" s="111"/>
      <c r="I207" s="111">
        <f t="shared" si="89"/>
        <v>4560</v>
      </c>
      <c r="J207" s="111"/>
      <c r="K207" s="111">
        <f t="shared" si="90"/>
        <v>4560</v>
      </c>
      <c r="L207" s="111"/>
      <c r="M207" s="111">
        <f t="shared" si="91"/>
        <v>4560</v>
      </c>
      <c r="N207" s="60"/>
      <c r="O207" s="111">
        <f t="shared" si="92"/>
        <v>4560</v>
      </c>
    </row>
    <row r="208" spans="1:15" ht="16.5" customHeight="1">
      <c r="A208" s="345"/>
      <c r="B208" s="345"/>
      <c r="C208" s="345"/>
      <c r="D208" s="347" t="s">
        <v>738</v>
      </c>
      <c r="E208" s="111">
        <v>2720</v>
      </c>
      <c r="F208" s="111"/>
      <c r="G208" s="111">
        <f t="shared" si="88"/>
        <v>2720</v>
      </c>
      <c r="H208" s="111"/>
      <c r="I208" s="111">
        <f t="shared" si="89"/>
        <v>2720</v>
      </c>
      <c r="J208" s="111">
        <v>-800</v>
      </c>
      <c r="K208" s="111">
        <f t="shared" si="90"/>
        <v>1920</v>
      </c>
      <c r="L208" s="111"/>
      <c r="M208" s="111">
        <f t="shared" si="91"/>
        <v>1920</v>
      </c>
      <c r="N208" s="60">
        <v>-500</v>
      </c>
      <c r="O208" s="111">
        <f t="shared" si="92"/>
        <v>1420</v>
      </c>
    </row>
    <row r="209" spans="1:15" ht="16.5" customHeight="1">
      <c r="A209" s="345"/>
      <c r="B209" s="345"/>
      <c r="C209" s="345"/>
      <c r="D209" s="347" t="s">
        <v>739</v>
      </c>
      <c r="E209" s="111">
        <v>1520</v>
      </c>
      <c r="F209" s="111"/>
      <c r="G209" s="111">
        <f t="shared" si="88"/>
        <v>1520</v>
      </c>
      <c r="H209" s="111"/>
      <c r="I209" s="111">
        <f t="shared" si="89"/>
        <v>1520</v>
      </c>
      <c r="J209" s="111"/>
      <c r="K209" s="111">
        <f t="shared" si="90"/>
        <v>1520</v>
      </c>
      <c r="L209" s="111"/>
      <c r="M209" s="111">
        <f t="shared" si="91"/>
        <v>1520</v>
      </c>
      <c r="N209" s="60"/>
      <c r="O209" s="111">
        <f t="shared" si="92"/>
        <v>1520</v>
      </c>
    </row>
    <row r="210" spans="1:15" ht="16.5" customHeight="1">
      <c r="A210" s="345"/>
      <c r="B210" s="345"/>
      <c r="C210" s="345"/>
      <c r="D210" s="347" t="s">
        <v>740</v>
      </c>
      <c r="E210" s="111">
        <v>1500</v>
      </c>
      <c r="F210" s="111"/>
      <c r="G210" s="111">
        <f t="shared" si="88"/>
        <v>1500</v>
      </c>
      <c r="H210" s="111"/>
      <c r="I210" s="111">
        <f t="shared" si="89"/>
        <v>1500</v>
      </c>
      <c r="J210" s="111">
        <v>2790</v>
      </c>
      <c r="K210" s="111">
        <f t="shared" si="90"/>
        <v>4290</v>
      </c>
      <c r="L210" s="111"/>
      <c r="M210" s="111">
        <f t="shared" si="91"/>
        <v>4290</v>
      </c>
      <c r="N210" s="60">
        <v>-654</v>
      </c>
      <c r="O210" s="111">
        <f t="shared" si="92"/>
        <v>3636</v>
      </c>
    </row>
    <row r="211" spans="1:15" ht="16.5" customHeight="1">
      <c r="A211" s="345"/>
      <c r="B211" s="345"/>
      <c r="C211" s="345"/>
      <c r="D211" s="347" t="s">
        <v>0</v>
      </c>
      <c r="E211" s="111"/>
      <c r="F211" s="111"/>
      <c r="G211" s="111"/>
      <c r="H211" s="111"/>
      <c r="I211" s="111"/>
      <c r="J211" s="111"/>
      <c r="K211" s="111"/>
      <c r="L211" s="111"/>
      <c r="M211" s="111">
        <v>0</v>
      </c>
      <c r="N211" s="60">
        <v>3947</v>
      </c>
      <c r="O211" s="111">
        <f t="shared" si="92"/>
        <v>3947</v>
      </c>
    </row>
    <row r="212" spans="1:15" ht="16.5" customHeight="1">
      <c r="A212" s="345"/>
      <c r="B212" s="345"/>
      <c r="C212" s="345"/>
      <c r="D212" s="347" t="s">
        <v>1</v>
      </c>
      <c r="E212" s="111">
        <v>400</v>
      </c>
      <c r="F212" s="111"/>
      <c r="G212" s="111">
        <f>SUM(E212+F212)</f>
        <v>400</v>
      </c>
      <c r="H212" s="111"/>
      <c r="I212" s="111">
        <f>SUM(G212+H212)</f>
        <v>400</v>
      </c>
      <c r="J212" s="111"/>
      <c r="K212" s="111">
        <f>SUM(I212+J212)</f>
        <v>400</v>
      </c>
      <c r="L212" s="111"/>
      <c r="M212" s="111">
        <f>SUM(K212+L212)</f>
        <v>400</v>
      </c>
      <c r="N212" s="60"/>
      <c r="O212" s="111">
        <f t="shared" si="92"/>
        <v>400</v>
      </c>
    </row>
    <row r="213" spans="1:15" ht="16.5" customHeight="1">
      <c r="A213" s="345"/>
      <c r="B213" s="345"/>
      <c r="C213" s="345"/>
      <c r="D213" s="347" t="s">
        <v>4</v>
      </c>
      <c r="E213" s="111">
        <v>1700</v>
      </c>
      <c r="F213" s="111"/>
      <c r="G213" s="111">
        <f>SUM(E213+F213)</f>
        <v>1700</v>
      </c>
      <c r="H213" s="111"/>
      <c r="I213" s="111">
        <f>SUM(G213+H213)</f>
        <v>1700</v>
      </c>
      <c r="J213" s="111"/>
      <c r="K213" s="111">
        <f>SUM(I213+J213)</f>
        <v>1700</v>
      </c>
      <c r="L213" s="111"/>
      <c r="M213" s="111">
        <f>SUM(K213+L213)</f>
        <v>1700</v>
      </c>
      <c r="N213" s="60"/>
      <c r="O213" s="111">
        <f t="shared" si="92"/>
        <v>1700</v>
      </c>
    </row>
    <row r="214" spans="1:15" ht="16.5" customHeight="1">
      <c r="A214" s="345"/>
      <c r="B214" s="345"/>
      <c r="C214" s="345"/>
      <c r="D214" s="347" t="s">
        <v>9</v>
      </c>
      <c r="E214" s="111">
        <v>870</v>
      </c>
      <c r="F214" s="111"/>
      <c r="G214" s="111">
        <f>SUM(E214+F214)</f>
        <v>870</v>
      </c>
      <c r="H214" s="111"/>
      <c r="I214" s="111">
        <f>SUM(G214+H214)</f>
        <v>870</v>
      </c>
      <c r="J214" s="111">
        <v>-370</v>
      </c>
      <c r="K214" s="111">
        <f>SUM(I214+J214)</f>
        <v>500</v>
      </c>
      <c r="L214" s="111"/>
      <c r="M214" s="111">
        <f>SUM(K214+L214)</f>
        <v>500</v>
      </c>
      <c r="N214" s="60"/>
      <c r="O214" s="111">
        <f t="shared" si="92"/>
        <v>500</v>
      </c>
    </row>
    <row r="215" spans="1:15" ht="16.5" customHeight="1">
      <c r="A215" s="345"/>
      <c r="B215" s="345"/>
      <c r="C215" s="345"/>
      <c r="D215" s="360" t="s">
        <v>6</v>
      </c>
      <c r="E215" s="111">
        <v>0</v>
      </c>
      <c r="F215" s="111"/>
      <c r="G215" s="111">
        <f>SUM(E215+F215)</f>
        <v>0</v>
      </c>
      <c r="H215" s="111"/>
      <c r="I215" s="111">
        <f>SUM(G215+H215)</f>
        <v>0</v>
      </c>
      <c r="J215" s="111"/>
      <c r="K215" s="111">
        <f>SUM(I215+J215)</f>
        <v>0</v>
      </c>
      <c r="L215" s="111"/>
      <c r="M215" s="111">
        <f>SUM(K215+L215)</f>
        <v>0</v>
      </c>
      <c r="N215" s="60">
        <v>1200</v>
      </c>
      <c r="O215" s="111">
        <f t="shared" si="92"/>
        <v>1200</v>
      </c>
    </row>
    <row r="216" spans="1:15" ht="16.5" customHeight="1">
      <c r="A216" s="345"/>
      <c r="B216" s="345"/>
      <c r="C216" s="345"/>
      <c r="D216" s="347" t="s">
        <v>14</v>
      </c>
      <c r="E216" s="111">
        <v>600</v>
      </c>
      <c r="F216" s="111"/>
      <c r="G216" s="111">
        <f>SUM(E216+F216)</f>
        <v>600</v>
      </c>
      <c r="H216" s="111"/>
      <c r="I216" s="111">
        <f>SUM(G216+H216)</f>
        <v>600</v>
      </c>
      <c r="J216" s="111"/>
      <c r="K216" s="111">
        <f>SUM(I216+J216)</f>
        <v>600</v>
      </c>
      <c r="L216" s="111"/>
      <c r="M216" s="111">
        <f>SUM(K216+L216)</f>
        <v>600</v>
      </c>
      <c r="N216" s="60"/>
      <c r="O216" s="111">
        <f>SUM(M216+N216)</f>
        <v>600</v>
      </c>
    </row>
    <row r="217" spans="1:15" ht="18.75" customHeight="1">
      <c r="A217" s="344"/>
      <c r="B217" s="344"/>
      <c r="C217" s="344" t="s">
        <v>23</v>
      </c>
      <c r="D217" s="52" t="s">
        <v>217</v>
      </c>
      <c r="E217" s="108">
        <f aca="true" t="shared" si="93" ref="E217:O217">SUM(E218:E232)</f>
        <v>9540</v>
      </c>
      <c r="F217" s="108">
        <f t="shared" si="93"/>
        <v>-42</v>
      </c>
      <c r="G217" s="108">
        <f t="shared" si="93"/>
        <v>9498</v>
      </c>
      <c r="H217" s="108">
        <f t="shared" si="93"/>
        <v>0</v>
      </c>
      <c r="I217" s="108">
        <f t="shared" si="93"/>
        <v>9498</v>
      </c>
      <c r="J217" s="108">
        <f t="shared" si="93"/>
        <v>0</v>
      </c>
      <c r="K217" s="108">
        <f t="shared" si="93"/>
        <v>9498</v>
      </c>
      <c r="L217" s="108">
        <f t="shared" si="93"/>
        <v>0</v>
      </c>
      <c r="M217" s="108">
        <f t="shared" si="93"/>
        <v>9498</v>
      </c>
      <c r="N217" s="101">
        <f t="shared" si="93"/>
        <v>1354</v>
      </c>
      <c r="O217" s="108">
        <f t="shared" si="93"/>
        <v>10852</v>
      </c>
    </row>
    <row r="218" spans="1:15" ht="16.5" customHeight="1">
      <c r="A218" s="361"/>
      <c r="B218" s="361"/>
      <c r="C218" s="361"/>
      <c r="D218" s="360" t="s">
        <v>734</v>
      </c>
      <c r="E218" s="348">
        <v>950</v>
      </c>
      <c r="F218" s="348">
        <v>-3</v>
      </c>
      <c r="G218" s="111">
        <f aca="true" t="shared" si="94" ref="G218:G224">SUM(E218+F218)</f>
        <v>947</v>
      </c>
      <c r="H218" s="348"/>
      <c r="I218" s="111">
        <f aca="true" t="shared" si="95" ref="I218:I224">SUM(G218+H218)</f>
        <v>947</v>
      </c>
      <c r="J218" s="348"/>
      <c r="K218" s="111">
        <f aca="true" t="shared" si="96" ref="K218:K224">SUM(I218+J218)</f>
        <v>947</v>
      </c>
      <c r="L218" s="348"/>
      <c r="M218" s="111">
        <f aca="true" t="shared" si="97" ref="M218:M224">SUM(K218+L218)</f>
        <v>947</v>
      </c>
      <c r="N218" s="362"/>
      <c r="O218" s="111">
        <f aca="true" t="shared" si="98" ref="O218:O232">SUM(M218+N218)</f>
        <v>947</v>
      </c>
    </row>
    <row r="219" spans="1:15" ht="16.5" customHeight="1">
      <c r="A219" s="361"/>
      <c r="B219" s="361"/>
      <c r="C219" s="361"/>
      <c r="D219" s="360" t="s">
        <v>11</v>
      </c>
      <c r="E219" s="348">
        <v>450</v>
      </c>
      <c r="F219" s="348">
        <v>-3</v>
      </c>
      <c r="G219" s="111">
        <f t="shared" si="94"/>
        <v>447</v>
      </c>
      <c r="H219" s="348"/>
      <c r="I219" s="111">
        <f t="shared" si="95"/>
        <v>447</v>
      </c>
      <c r="J219" s="348"/>
      <c r="K219" s="111">
        <f t="shared" si="96"/>
        <v>447</v>
      </c>
      <c r="L219" s="348"/>
      <c r="M219" s="111">
        <f t="shared" si="97"/>
        <v>447</v>
      </c>
      <c r="N219" s="362"/>
      <c r="O219" s="111">
        <f t="shared" si="98"/>
        <v>447</v>
      </c>
    </row>
    <row r="220" spans="1:15" ht="16.5" customHeight="1">
      <c r="A220" s="361"/>
      <c r="B220" s="361"/>
      <c r="C220" s="361"/>
      <c r="D220" s="360" t="s">
        <v>736</v>
      </c>
      <c r="E220" s="348">
        <v>1070</v>
      </c>
      <c r="F220" s="348">
        <v>-3</v>
      </c>
      <c r="G220" s="111">
        <f t="shared" si="94"/>
        <v>1067</v>
      </c>
      <c r="H220" s="348"/>
      <c r="I220" s="111">
        <f t="shared" si="95"/>
        <v>1067</v>
      </c>
      <c r="J220" s="348"/>
      <c r="K220" s="111">
        <f t="shared" si="96"/>
        <v>1067</v>
      </c>
      <c r="L220" s="348"/>
      <c r="M220" s="111">
        <f t="shared" si="97"/>
        <v>1067</v>
      </c>
      <c r="N220" s="362"/>
      <c r="O220" s="111">
        <f t="shared" si="98"/>
        <v>1067</v>
      </c>
    </row>
    <row r="221" spans="1:15" ht="16.5" customHeight="1">
      <c r="A221" s="361"/>
      <c r="B221" s="361"/>
      <c r="C221" s="361"/>
      <c r="D221" s="360" t="s">
        <v>737</v>
      </c>
      <c r="E221" s="348">
        <v>500</v>
      </c>
      <c r="F221" s="348">
        <v>-3</v>
      </c>
      <c r="G221" s="111">
        <f t="shared" si="94"/>
        <v>497</v>
      </c>
      <c r="H221" s="348"/>
      <c r="I221" s="111">
        <f t="shared" si="95"/>
        <v>497</v>
      </c>
      <c r="J221" s="348"/>
      <c r="K221" s="111">
        <f t="shared" si="96"/>
        <v>497</v>
      </c>
      <c r="L221" s="348"/>
      <c r="M221" s="111">
        <f t="shared" si="97"/>
        <v>497</v>
      </c>
      <c r="N221" s="362"/>
      <c r="O221" s="111">
        <f t="shared" si="98"/>
        <v>497</v>
      </c>
    </row>
    <row r="222" spans="1:15" ht="16.5" customHeight="1">
      <c r="A222" s="361"/>
      <c r="B222" s="361"/>
      <c r="C222" s="361"/>
      <c r="D222" s="360" t="s">
        <v>738</v>
      </c>
      <c r="E222" s="348">
        <v>400</v>
      </c>
      <c r="F222" s="348">
        <v>-3</v>
      </c>
      <c r="G222" s="111">
        <f t="shared" si="94"/>
        <v>397</v>
      </c>
      <c r="H222" s="348"/>
      <c r="I222" s="111">
        <f t="shared" si="95"/>
        <v>397</v>
      </c>
      <c r="J222" s="348"/>
      <c r="K222" s="111">
        <f t="shared" si="96"/>
        <v>397</v>
      </c>
      <c r="L222" s="348"/>
      <c r="M222" s="111">
        <f t="shared" si="97"/>
        <v>397</v>
      </c>
      <c r="N222" s="362">
        <v>500</v>
      </c>
      <c r="O222" s="111">
        <f t="shared" si="98"/>
        <v>897</v>
      </c>
    </row>
    <row r="223" spans="1:15" ht="16.5" customHeight="1">
      <c r="A223" s="361"/>
      <c r="B223" s="361"/>
      <c r="C223" s="361"/>
      <c r="D223" s="360" t="s">
        <v>739</v>
      </c>
      <c r="E223" s="348">
        <v>800</v>
      </c>
      <c r="F223" s="348">
        <v>-3</v>
      </c>
      <c r="G223" s="111">
        <f t="shared" si="94"/>
        <v>797</v>
      </c>
      <c r="H223" s="348"/>
      <c r="I223" s="111">
        <f t="shared" si="95"/>
        <v>797</v>
      </c>
      <c r="J223" s="348"/>
      <c r="K223" s="111">
        <f t="shared" si="96"/>
        <v>797</v>
      </c>
      <c r="L223" s="348"/>
      <c r="M223" s="111">
        <f t="shared" si="97"/>
        <v>797</v>
      </c>
      <c r="N223" s="362"/>
      <c r="O223" s="111">
        <f t="shared" si="98"/>
        <v>797</v>
      </c>
    </row>
    <row r="224" spans="1:15" ht="16.5" customHeight="1">
      <c r="A224" s="361"/>
      <c r="B224" s="361"/>
      <c r="C224" s="361"/>
      <c r="D224" s="360" t="s">
        <v>740</v>
      </c>
      <c r="E224" s="348">
        <v>520</v>
      </c>
      <c r="F224" s="348">
        <v>-3</v>
      </c>
      <c r="G224" s="111">
        <f t="shared" si="94"/>
        <v>517</v>
      </c>
      <c r="H224" s="348"/>
      <c r="I224" s="111">
        <f t="shared" si="95"/>
        <v>517</v>
      </c>
      <c r="J224" s="348"/>
      <c r="K224" s="111">
        <f t="shared" si="96"/>
        <v>517</v>
      </c>
      <c r="L224" s="348"/>
      <c r="M224" s="111">
        <f t="shared" si="97"/>
        <v>517</v>
      </c>
      <c r="N224" s="362">
        <v>654</v>
      </c>
      <c r="O224" s="111">
        <f t="shared" si="98"/>
        <v>1171</v>
      </c>
    </row>
    <row r="225" spans="1:15" ht="16.5" customHeight="1">
      <c r="A225" s="361"/>
      <c r="B225" s="361"/>
      <c r="C225" s="361"/>
      <c r="D225" s="347" t="s">
        <v>0</v>
      </c>
      <c r="E225" s="348"/>
      <c r="F225" s="348"/>
      <c r="G225" s="111"/>
      <c r="H225" s="348"/>
      <c r="I225" s="111"/>
      <c r="J225" s="348"/>
      <c r="K225" s="111"/>
      <c r="L225" s="348"/>
      <c r="M225" s="111">
        <v>0</v>
      </c>
      <c r="N225" s="362">
        <v>200</v>
      </c>
      <c r="O225" s="111">
        <f t="shared" si="98"/>
        <v>200</v>
      </c>
    </row>
    <row r="226" spans="1:15" ht="16.5" customHeight="1">
      <c r="A226" s="361"/>
      <c r="B226" s="361"/>
      <c r="C226" s="361"/>
      <c r="D226" s="360" t="s">
        <v>1</v>
      </c>
      <c r="E226" s="348">
        <v>500</v>
      </c>
      <c r="F226" s="348">
        <v>-3</v>
      </c>
      <c r="G226" s="111">
        <f aca="true" t="shared" si="99" ref="G226:G232">SUM(E226+F226)</f>
        <v>497</v>
      </c>
      <c r="H226" s="348"/>
      <c r="I226" s="111">
        <f aca="true" t="shared" si="100" ref="I226:I232">SUM(G226+H226)</f>
        <v>497</v>
      </c>
      <c r="J226" s="348"/>
      <c r="K226" s="111">
        <f aca="true" t="shared" si="101" ref="K226:K232">SUM(I226+J226)</f>
        <v>497</v>
      </c>
      <c r="L226" s="348"/>
      <c r="M226" s="111">
        <f aca="true" t="shared" si="102" ref="M226:M232">SUM(K226+L226)</f>
        <v>497</v>
      </c>
      <c r="N226" s="362"/>
      <c r="O226" s="111">
        <f t="shared" si="98"/>
        <v>497</v>
      </c>
    </row>
    <row r="227" spans="1:15" ht="16.5" customHeight="1">
      <c r="A227" s="361"/>
      <c r="B227" s="361"/>
      <c r="C227" s="361"/>
      <c r="D227" s="360" t="s">
        <v>4</v>
      </c>
      <c r="E227" s="348">
        <v>1000</v>
      </c>
      <c r="F227" s="348">
        <v>-3</v>
      </c>
      <c r="G227" s="111">
        <f t="shared" si="99"/>
        <v>997</v>
      </c>
      <c r="H227" s="348"/>
      <c r="I227" s="111">
        <f t="shared" si="100"/>
        <v>997</v>
      </c>
      <c r="J227" s="348"/>
      <c r="K227" s="111">
        <f t="shared" si="101"/>
        <v>997</v>
      </c>
      <c r="L227" s="348"/>
      <c r="M227" s="111">
        <f t="shared" si="102"/>
        <v>997</v>
      </c>
      <c r="N227" s="362"/>
      <c r="O227" s="111">
        <f t="shared" si="98"/>
        <v>997</v>
      </c>
    </row>
    <row r="228" spans="1:15" ht="16.5" customHeight="1">
      <c r="A228" s="361"/>
      <c r="B228" s="361"/>
      <c r="C228" s="361"/>
      <c r="D228" s="360" t="s">
        <v>9</v>
      </c>
      <c r="E228" s="348">
        <v>800</v>
      </c>
      <c r="F228" s="348">
        <v>-3</v>
      </c>
      <c r="G228" s="111">
        <f t="shared" si="99"/>
        <v>797</v>
      </c>
      <c r="H228" s="348"/>
      <c r="I228" s="111">
        <f t="shared" si="100"/>
        <v>797</v>
      </c>
      <c r="J228" s="348"/>
      <c r="K228" s="111">
        <f t="shared" si="101"/>
        <v>797</v>
      </c>
      <c r="L228" s="348"/>
      <c r="M228" s="111">
        <f t="shared" si="102"/>
        <v>797</v>
      </c>
      <c r="N228" s="362"/>
      <c r="O228" s="111">
        <f t="shared" si="98"/>
        <v>797</v>
      </c>
    </row>
    <row r="229" spans="1:15" ht="16.5" customHeight="1">
      <c r="A229" s="361"/>
      <c r="B229" s="361"/>
      <c r="C229" s="361"/>
      <c r="D229" s="360" t="s">
        <v>6</v>
      </c>
      <c r="E229" s="348">
        <v>1200</v>
      </c>
      <c r="F229" s="348">
        <v>-3</v>
      </c>
      <c r="G229" s="111">
        <f t="shared" si="99"/>
        <v>1197</v>
      </c>
      <c r="H229" s="348"/>
      <c r="I229" s="111">
        <f t="shared" si="100"/>
        <v>1197</v>
      </c>
      <c r="J229" s="348"/>
      <c r="K229" s="111">
        <f t="shared" si="101"/>
        <v>1197</v>
      </c>
      <c r="L229" s="348"/>
      <c r="M229" s="111">
        <f t="shared" si="102"/>
        <v>1197</v>
      </c>
      <c r="N229" s="362"/>
      <c r="O229" s="111">
        <f t="shared" si="98"/>
        <v>1197</v>
      </c>
    </row>
    <row r="230" spans="1:15" ht="16.5" customHeight="1">
      <c r="A230" s="361"/>
      <c r="B230" s="361"/>
      <c r="C230" s="361"/>
      <c r="D230" s="360" t="s">
        <v>10</v>
      </c>
      <c r="E230" s="348">
        <v>300</v>
      </c>
      <c r="F230" s="348">
        <v>-3</v>
      </c>
      <c r="G230" s="111">
        <f t="shared" si="99"/>
        <v>297</v>
      </c>
      <c r="H230" s="348"/>
      <c r="I230" s="111">
        <f t="shared" si="100"/>
        <v>297</v>
      </c>
      <c r="J230" s="348"/>
      <c r="K230" s="111">
        <f t="shared" si="101"/>
        <v>297</v>
      </c>
      <c r="L230" s="348"/>
      <c r="M230" s="111">
        <f t="shared" si="102"/>
        <v>297</v>
      </c>
      <c r="N230" s="362"/>
      <c r="O230" s="111">
        <f t="shared" si="98"/>
        <v>297</v>
      </c>
    </row>
    <row r="231" spans="1:15" ht="16.5" customHeight="1">
      <c r="A231" s="361"/>
      <c r="B231" s="361"/>
      <c r="C231" s="361"/>
      <c r="D231" s="360" t="s">
        <v>7</v>
      </c>
      <c r="E231" s="348">
        <v>300</v>
      </c>
      <c r="F231" s="348">
        <v>-3</v>
      </c>
      <c r="G231" s="111">
        <f t="shared" si="99"/>
        <v>297</v>
      </c>
      <c r="H231" s="348"/>
      <c r="I231" s="111">
        <f t="shared" si="100"/>
        <v>297</v>
      </c>
      <c r="J231" s="348"/>
      <c r="K231" s="111">
        <f t="shared" si="101"/>
        <v>297</v>
      </c>
      <c r="L231" s="348"/>
      <c r="M231" s="111">
        <f t="shared" si="102"/>
        <v>297</v>
      </c>
      <c r="N231" s="362"/>
      <c r="O231" s="111">
        <f t="shared" si="98"/>
        <v>297</v>
      </c>
    </row>
    <row r="232" spans="1:15" ht="16.5" customHeight="1">
      <c r="A232" s="361"/>
      <c r="B232" s="361"/>
      <c r="C232" s="361"/>
      <c r="D232" s="360" t="s">
        <v>14</v>
      </c>
      <c r="E232" s="348">
        <v>750</v>
      </c>
      <c r="F232" s="348">
        <v>-3</v>
      </c>
      <c r="G232" s="111">
        <f t="shared" si="99"/>
        <v>747</v>
      </c>
      <c r="H232" s="348"/>
      <c r="I232" s="111">
        <f t="shared" si="100"/>
        <v>747</v>
      </c>
      <c r="J232" s="348"/>
      <c r="K232" s="111">
        <f t="shared" si="101"/>
        <v>747</v>
      </c>
      <c r="L232" s="348"/>
      <c r="M232" s="111">
        <f t="shared" si="102"/>
        <v>747</v>
      </c>
      <c r="N232" s="362"/>
      <c r="O232" s="111">
        <f t="shared" si="98"/>
        <v>747</v>
      </c>
    </row>
    <row r="233" spans="1:15" ht="16.5" customHeight="1">
      <c r="A233" s="345"/>
      <c r="B233" s="345"/>
      <c r="C233" s="363">
        <v>4270</v>
      </c>
      <c r="D233" s="64" t="s">
        <v>200</v>
      </c>
      <c r="E233" s="352">
        <f aca="true" t="shared" si="103" ref="E233:O233">SUM(E234:E238)</f>
        <v>20680</v>
      </c>
      <c r="F233" s="352">
        <f t="shared" si="103"/>
        <v>-1200</v>
      </c>
      <c r="G233" s="352">
        <f t="shared" si="103"/>
        <v>19480</v>
      </c>
      <c r="H233" s="352">
        <f t="shared" si="103"/>
        <v>0</v>
      </c>
      <c r="I233" s="352">
        <f t="shared" si="103"/>
        <v>19480</v>
      </c>
      <c r="J233" s="352">
        <f t="shared" si="103"/>
        <v>-3290</v>
      </c>
      <c r="K233" s="352">
        <f t="shared" si="103"/>
        <v>16190</v>
      </c>
      <c r="L233" s="352">
        <f t="shared" si="103"/>
        <v>0</v>
      </c>
      <c r="M233" s="352">
        <f t="shared" si="103"/>
        <v>16190</v>
      </c>
      <c r="N233" s="364">
        <f t="shared" si="103"/>
        <v>1000</v>
      </c>
      <c r="O233" s="352">
        <f t="shared" si="103"/>
        <v>17190</v>
      </c>
    </row>
    <row r="234" spans="1:15" ht="16.5" customHeight="1">
      <c r="A234" s="361"/>
      <c r="B234" s="361"/>
      <c r="C234" s="361"/>
      <c r="D234" s="360" t="s">
        <v>739</v>
      </c>
      <c r="E234" s="348">
        <v>3000</v>
      </c>
      <c r="F234" s="348"/>
      <c r="G234" s="111">
        <f>SUM(E234+F234)</f>
        <v>3000</v>
      </c>
      <c r="H234" s="348"/>
      <c r="I234" s="111">
        <f>SUM(G234+H234)</f>
        <v>3000</v>
      </c>
      <c r="J234" s="348"/>
      <c r="K234" s="111">
        <f>SUM(I234+J234)</f>
        <v>3000</v>
      </c>
      <c r="L234" s="348"/>
      <c r="M234" s="111">
        <f>SUM(K234+L234)</f>
        <v>3000</v>
      </c>
      <c r="N234" s="362"/>
      <c r="O234" s="111">
        <f>SUM(M234+N234)</f>
        <v>3000</v>
      </c>
    </row>
    <row r="235" spans="1:15" ht="16.5" customHeight="1">
      <c r="A235" s="361"/>
      <c r="B235" s="361"/>
      <c r="C235" s="361"/>
      <c r="D235" s="360" t="s">
        <v>740</v>
      </c>
      <c r="E235" s="348">
        <v>3290</v>
      </c>
      <c r="F235" s="348"/>
      <c r="G235" s="111">
        <f>SUM(E235+F235)</f>
        <v>3290</v>
      </c>
      <c r="H235" s="348"/>
      <c r="I235" s="111">
        <f>SUM(G235+H235)</f>
        <v>3290</v>
      </c>
      <c r="J235" s="348">
        <v>-3290</v>
      </c>
      <c r="K235" s="111">
        <f>SUM(I235+J235)</f>
        <v>0</v>
      </c>
      <c r="L235" s="348"/>
      <c r="M235" s="111">
        <f>SUM(K235+L235)</f>
        <v>0</v>
      </c>
      <c r="N235" s="362"/>
      <c r="O235" s="111">
        <f>SUM(M235+N235)</f>
        <v>0</v>
      </c>
    </row>
    <row r="236" spans="1:15" ht="16.5" customHeight="1">
      <c r="A236" s="361"/>
      <c r="B236" s="361"/>
      <c r="C236" s="361"/>
      <c r="D236" s="347" t="s">
        <v>0</v>
      </c>
      <c r="E236" s="348"/>
      <c r="F236" s="348"/>
      <c r="G236" s="111"/>
      <c r="H236" s="348"/>
      <c r="I236" s="111"/>
      <c r="J236" s="348"/>
      <c r="K236" s="111"/>
      <c r="L236" s="348"/>
      <c r="M236" s="111">
        <v>0</v>
      </c>
      <c r="N236" s="362">
        <v>1000</v>
      </c>
      <c r="O236" s="111">
        <f>SUM(M236+N236)</f>
        <v>1000</v>
      </c>
    </row>
    <row r="237" spans="1:15" ht="16.5" customHeight="1">
      <c r="A237" s="361"/>
      <c r="B237" s="361"/>
      <c r="C237" s="361"/>
      <c r="D237" s="360" t="s">
        <v>1</v>
      </c>
      <c r="E237" s="348">
        <v>8750</v>
      </c>
      <c r="F237" s="348"/>
      <c r="G237" s="111">
        <f>SUM(E237+F237)</f>
        <v>8750</v>
      </c>
      <c r="H237" s="348"/>
      <c r="I237" s="111">
        <f>SUM(G237+H237)</f>
        <v>8750</v>
      </c>
      <c r="J237" s="348"/>
      <c r="K237" s="111">
        <f>SUM(I237+J237)</f>
        <v>8750</v>
      </c>
      <c r="L237" s="348"/>
      <c r="M237" s="111">
        <f>SUM(K237+L237)</f>
        <v>8750</v>
      </c>
      <c r="N237" s="362"/>
      <c r="O237" s="111">
        <f>SUM(M237+N237)</f>
        <v>8750</v>
      </c>
    </row>
    <row r="238" spans="1:15" ht="16.5" customHeight="1">
      <c r="A238" s="361"/>
      <c r="B238" s="361"/>
      <c r="C238" s="361"/>
      <c r="D238" s="360" t="s">
        <v>14</v>
      </c>
      <c r="E238" s="348">
        <v>5640</v>
      </c>
      <c r="F238" s="348">
        <v>-1200</v>
      </c>
      <c r="G238" s="111">
        <f>SUM(E238+F238)</f>
        <v>4440</v>
      </c>
      <c r="H238" s="348"/>
      <c r="I238" s="111">
        <f>SUM(G238+H238)</f>
        <v>4440</v>
      </c>
      <c r="J238" s="348"/>
      <c r="K238" s="111">
        <f>SUM(I238+J238)</f>
        <v>4440</v>
      </c>
      <c r="L238" s="348"/>
      <c r="M238" s="111">
        <f>SUM(K238+L238)</f>
        <v>4440</v>
      </c>
      <c r="N238" s="362"/>
      <c r="O238" s="111">
        <f>SUM(M238+N238)</f>
        <v>4440</v>
      </c>
    </row>
    <row r="239" spans="1:15" ht="17.25" customHeight="1">
      <c r="A239" s="344"/>
      <c r="B239" s="344"/>
      <c r="C239" s="66">
        <v>4300</v>
      </c>
      <c r="D239" s="64" t="s">
        <v>201</v>
      </c>
      <c r="E239" s="108">
        <f aca="true" t="shared" si="104" ref="E239:O239">SUM(E240:E242)</f>
        <v>980</v>
      </c>
      <c r="F239" s="108">
        <f t="shared" si="104"/>
        <v>0</v>
      </c>
      <c r="G239" s="108">
        <f t="shared" si="104"/>
        <v>980</v>
      </c>
      <c r="H239" s="108">
        <f t="shared" si="104"/>
        <v>0</v>
      </c>
      <c r="I239" s="108">
        <f t="shared" si="104"/>
        <v>980</v>
      </c>
      <c r="J239" s="108">
        <f t="shared" si="104"/>
        <v>-720</v>
      </c>
      <c r="K239" s="108">
        <f t="shared" si="104"/>
        <v>260</v>
      </c>
      <c r="L239" s="108">
        <f t="shared" si="104"/>
        <v>0</v>
      </c>
      <c r="M239" s="108">
        <f t="shared" si="104"/>
        <v>260</v>
      </c>
      <c r="N239" s="101">
        <f t="shared" si="104"/>
        <v>0</v>
      </c>
      <c r="O239" s="108">
        <f t="shared" si="104"/>
        <v>260</v>
      </c>
    </row>
    <row r="240" spans="1:15" ht="16.5" customHeight="1">
      <c r="A240" s="345"/>
      <c r="B240" s="345"/>
      <c r="C240" s="345"/>
      <c r="D240" s="347" t="s">
        <v>740</v>
      </c>
      <c r="E240" s="111">
        <v>160</v>
      </c>
      <c r="F240" s="111"/>
      <c r="G240" s="111">
        <f>SUM(E240+F240)</f>
        <v>160</v>
      </c>
      <c r="H240" s="111"/>
      <c r="I240" s="111">
        <f>SUM(G240+H240)</f>
        <v>160</v>
      </c>
      <c r="J240" s="111"/>
      <c r="K240" s="111">
        <f>SUM(I240+J240)</f>
        <v>160</v>
      </c>
      <c r="L240" s="111"/>
      <c r="M240" s="111">
        <f>SUM(K240+L240)</f>
        <v>160</v>
      </c>
      <c r="N240" s="60"/>
      <c r="O240" s="111">
        <f>SUM(M240+N240)</f>
        <v>160</v>
      </c>
    </row>
    <row r="241" spans="1:15" ht="16.5" customHeight="1">
      <c r="A241" s="345"/>
      <c r="B241" s="345"/>
      <c r="C241" s="345"/>
      <c r="D241" s="347" t="s">
        <v>6</v>
      </c>
      <c r="E241" s="111">
        <v>100</v>
      </c>
      <c r="F241" s="111"/>
      <c r="G241" s="111">
        <f>SUM(E241+F241)</f>
        <v>100</v>
      </c>
      <c r="H241" s="111"/>
      <c r="I241" s="111">
        <f>SUM(G241+H241)</f>
        <v>100</v>
      </c>
      <c r="J241" s="111"/>
      <c r="K241" s="111">
        <f>SUM(I241+J241)</f>
        <v>100</v>
      </c>
      <c r="L241" s="111"/>
      <c r="M241" s="111">
        <f>SUM(K241+L241)</f>
        <v>100</v>
      </c>
      <c r="N241" s="60"/>
      <c r="O241" s="111">
        <f>SUM(M241+N241)</f>
        <v>100</v>
      </c>
    </row>
    <row r="242" spans="1:15" ht="16.5" customHeight="1">
      <c r="A242" s="345"/>
      <c r="B242" s="345"/>
      <c r="C242" s="345"/>
      <c r="D242" s="347" t="s">
        <v>10</v>
      </c>
      <c r="E242" s="111">
        <v>720</v>
      </c>
      <c r="F242" s="111"/>
      <c r="G242" s="111">
        <f>SUM(E242+F242)</f>
        <v>720</v>
      </c>
      <c r="H242" s="111"/>
      <c r="I242" s="111">
        <f>SUM(G242+H242)</f>
        <v>720</v>
      </c>
      <c r="J242" s="111">
        <v>-720</v>
      </c>
      <c r="K242" s="111">
        <f>SUM(I242+J242)</f>
        <v>0</v>
      </c>
      <c r="L242" s="111"/>
      <c r="M242" s="111">
        <f>SUM(K242+L242)</f>
        <v>0</v>
      </c>
      <c r="N242" s="60"/>
      <c r="O242" s="111">
        <f>SUM(M242+N242)</f>
        <v>0</v>
      </c>
    </row>
    <row r="243" spans="1:15" ht="16.5" customHeight="1">
      <c r="A243" s="344"/>
      <c r="B243" s="344"/>
      <c r="C243" s="66">
        <v>4430</v>
      </c>
      <c r="D243" s="64" t="s">
        <v>216</v>
      </c>
      <c r="E243" s="108">
        <f aca="true" t="shared" si="105" ref="E243:O243">SUM(E244:E258)</f>
        <v>1280</v>
      </c>
      <c r="F243" s="108">
        <f t="shared" si="105"/>
        <v>0</v>
      </c>
      <c r="G243" s="108">
        <f t="shared" si="105"/>
        <v>1280</v>
      </c>
      <c r="H243" s="108">
        <f t="shared" si="105"/>
        <v>0</v>
      </c>
      <c r="I243" s="108">
        <f t="shared" si="105"/>
        <v>1280</v>
      </c>
      <c r="J243" s="108">
        <f t="shared" si="105"/>
        <v>0</v>
      </c>
      <c r="K243" s="108">
        <f t="shared" si="105"/>
        <v>1280</v>
      </c>
      <c r="L243" s="108">
        <f t="shared" si="105"/>
        <v>0</v>
      </c>
      <c r="M243" s="108">
        <f t="shared" si="105"/>
        <v>1280</v>
      </c>
      <c r="N243" s="101">
        <f t="shared" si="105"/>
        <v>0</v>
      </c>
      <c r="O243" s="108">
        <f t="shared" si="105"/>
        <v>1280</v>
      </c>
    </row>
    <row r="244" spans="1:15" ht="16.5" customHeight="1">
      <c r="A244" s="345"/>
      <c r="B244" s="345"/>
      <c r="C244" s="345"/>
      <c r="D244" s="347" t="s">
        <v>734</v>
      </c>
      <c r="E244" s="111">
        <v>220</v>
      </c>
      <c r="F244" s="111"/>
      <c r="G244" s="111">
        <f aca="true" t="shared" si="106" ref="G244:G258">SUM(E244+F244)</f>
        <v>220</v>
      </c>
      <c r="H244" s="111"/>
      <c r="I244" s="111">
        <f aca="true" t="shared" si="107" ref="I244:I258">SUM(G244+H244)</f>
        <v>220</v>
      </c>
      <c r="J244" s="111"/>
      <c r="K244" s="111">
        <f aca="true" t="shared" si="108" ref="K244:K258">SUM(I244+J244)</f>
        <v>220</v>
      </c>
      <c r="L244" s="111"/>
      <c r="M244" s="111">
        <f aca="true" t="shared" si="109" ref="M244:M258">SUM(K244+L244)</f>
        <v>220</v>
      </c>
      <c r="N244" s="60"/>
      <c r="O244" s="111">
        <f aca="true" t="shared" si="110" ref="O244:O258">SUM(M244+N244)</f>
        <v>220</v>
      </c>
    </row>
    <row r="245" spans="1:15" ht="16.5" customHeight="1">
      <c r="A245" s="345"/>
      <c r="B245" s="345"/>
      <c r="C245" s="345"/>
      <c r="D245" s="347" t="s">
        <v>11</v>
      </c>
      <c r="E245" s="111">
        <v>120</v>
      </c>
      <c r="F245" s="111"/>
      <c r="G245" s="111">
        <f t="shared" si="106"/>
        <v>120</v>
      </c>
      <c r="H245" s="111"/>
      <c r="I245" s="111">
        <f t="shared" si="107"/>
        <v>120</v>
      </c>
      <c r="J245" s="111"/>
      <c r="K245" s="111">
        <f t="shared" si="108"/>
        <v>120</v>
      </c>
      <c r="L245" s="111"/>
      <c r="M245" s="111">
        <f t="shared" si="109"/>
        <v>120</v>
      </c>
      <c r="N245" s="60"/>
      <c r="O245" s="111">
        <f t="shared" si="110"/>
        <v>120</v>
      </c>
    </row>
    <row r="246" spans="1:15" ht="16.5" customHeight="1">
      <c r="A246" s="345"/>
      <c r="B246" s="345"/>
      <c r="C246" s="345"/>
      <c r="D246" s="347" t="s">
        <v>736</v>
      </c>
      <c r="E246" s="111">
        <v>80</v>
      </c>
      <c r="F246" s="111"/>
      <c r="G246" s="111">
        <f t="shared" si="106"/>
        <v>80</v>
      </c>
      <c r="H246" s="111"/>
      <c r="I246" s="111">
        <f t="shared" si="107"/>
        <v>80</v>
      </c>
      <c r="J246" s="111"/>
      <c r="K246" s="111">
        <f t="shared" si="108"/>
        <v>80</v>
      </c>
      <c r="L246" s="111"/>
      <c r="M246" s="111">
        <f t="shared" si="109"/>
        <v>80</v>
      </c>
      <c r="N246" s="60"/>
      <c r="O246" s="111">
        <f t="shared" si="110"/>
        <v>80</v>
      </c>
    </row>
    <row r="247" spans="1:15" ht="16.5" customHeight="1">
      <c r="A247" s="345"/>
      <c r="B247" s="345"/>
      <c r="C247" s="345"/>
      <c r="D247" s="347" t="s">
        <v>737</v>
      </c>
      <c r="E247" s="111">
        <v>70</v>
      </c>
      <c r="F247" s="111"/>
      <c r="G247" s="111">
        <f t="shared" si="106"/>
        <v>70</v>
      </c>
      <c r="H247" s="111"/>
      <c r="I247" s="111">
        <f t="shared" si="107"/>
        <v>70</v>
      </c>
      <c r="J247" s="111"/>
      <c r="K247" s="111">
        <f t="shared" si="108"/>
        <v>70</v>
      </c>
      <c r="L247" s="111"/>
      <c r="M247" s="111">
        <f t="shared" si="109"/>
        <v>70</v>
      </c>
      <c r="N247" s="60"/>
      <c r="O247" s="111">
        <f t="shared" si="110"/>
        <v>70</v>
      </c>
    </row>
    <row r="248" spans="1:15" ht="16.5" customHeight="1">
      <c r="A248" s="345"/>
      <c r="B248" s="345"/>
      <c r="C248" s="345"/>
      <c r="D248" s="347" t="s">
        <v>738</v>
      </c>
      <c r="E248" s="111">
        <v>80</v>
      </c>
      <c r="F248" s="111"/>
      <c r="G248" s="111">
        <f t="shared" si="106"/>
        <v>80</v>
      </c>
      <c r="H248" s="111"/>
      <c r="I248" s="111">
        <f t="shared" si="107"/>
        <v>80</v>
      </c>
      <c r="J248" s="111"/>
      <c r="K248" s="111">
        <f t="shared" si="108"/>
        <v>80</v>
      </c>
      <c r="L248" s="111"/>
      <c r="M248" s="111">
        <f t="shared" si="109"/>
        <v>80</v>
      </c>
      <c r="N248" s="60"/>
      <c r="O248" s="111">
        <f t="shared" si="110"/>
        <v>80</v>
      </c>
    </row>
    <row r="249" spans="1:15" ht="16.5" customHeight="1">
      <c r="A249" s="345"/>
      <c r="B249" s="345"/>
      <c r="C249" s="345"/>
      <c r="D249" s="347" t="s">
        <v>739</v>
      </c>
      <c r="E249" s="111">
        <v>100</v>
      </c>
      <c r="F249" s="111"/>
      <c r="G249" s="111">
        <f t="shared" si="106"/>
        <v>100</v>
      </c>
      <c r="H249" s="111"/>
      <c r="I249" s="111">
        <f t="shared" si="107"/>
        <v>100</v>
      </c>
      <c r="J249" s="111"/>
      <c r="K249" s="111">
        <f t="shared" si="108"/>
        <v>100</v>
      </c>
      <c r="L249" s="111"/>
      <c r="M249" s="111">
        <f t="shared" si="109"/>
        <v>100</v>
      </c>
      <c r="N249" s="60"/>
      <c r="O249" s="111">
        <f t="shared" si="110"/>
        <v>100</v>
      </c>
    </row>
    <row r="250" spans="1:15" ht="16.5" customHeight="1">
      <c r="A250" s="345"/>
      <c r="B250" s="345"/>
      <c r="C250" s="345"/>
      <c r="D250" s="347" t="s">
        <v>740</v>
      </c>
      <c r="E250" s="111">
        <v>60</v>
      </c>
      <c r="F250" s="111"/>
      <c r="G250" s="111">
        <f t="shared" si="106"/>
        <v>60</v>
      </c>
      <c r="H250" s="111"/>
      <c r="I250" s="111">
        <f t="shared" si="107"/>
        <v>60</v>
      </c>
      <c r="J250" s="111"/>
      <c r="K250" s="111">
        <f t="shared" si="108"/>
        <v>60</v>
      </c>
      <c r="L250" s="111"/>
      <c r="M250" s="111">
        <f t="shared" si="109"/>
        <v>60</v>
      </c>
      <c r="N250" s="60"/>
      <c r="O250" s="111">
        <f t="shared" si="110"/>
        <v>60</v>
      </c>
    </row>
    <row r="251" spans="1:15" ht="16.5" customHeight="1">
      <c r="A251" s="345"/>
      <c r="B251" s="345"/>
      <c r="C251" s="345"/>
      <c r="D251" s="347" t="s">
        <v>0</v>
      </c>
      <c r="E251" s="111">
        <v>20</v>
      </c>
      <c r="F251" s="111"/>
      <c r="G251" s="111">
        <f t="shared" si="106"/>
        <v>20</v>
      </c>
      <c r="H251" s="111"/>
      <c r="I251" s="111">
        <f t="shared" si="107"/>
        <v>20</v>
      </c>
      <c r="J251" s="111"/>
      <c r="K251" s="111">
        <f t="shared" si="108"/>
        <v>20</v>
      </c>
      <c r="L251" s="111"/>
      <c r="M251" s="111">
        <f t="shared" si="109"/>
        <v>20</v>
      </c>
      <c r="N251" s="60"/>
      <c r="O251" s="111">
        <f t="shared" si="110"/>
        <v>20</v>
      </c>
    </row>
    <row r="252" spans="1:15" ht="16.5" customHeight="1">
      <c r="A252" s="345"/>
      <c r="B252" s="345"/>
      <c r="C252" s="345"/>
      <c r="D252" s="347" t="s">
        <v>1</v>
      </c>
      <c r="E252" s="111">
        <v>80</v>
      </c>
      <c r="F252" s="111"/>
      <c r="G252" s="111">
        <f t="shared" si="106"/>
        <v>80</v>
      </c>
      <c r="H252" s="111"/>
      <c r="I252" s="111">
        <f t="shared" si="107"/>
        <v>80</v>
      </c>
      <c r="J252" s="111"/>
      <c r="K252" s="111">
        <f t="shared" si="108"/>
        <v>80</v>
      </c>
      <c r="L252" s="111"/>
      <c r="M252" s="111">
        <f t="shared" si="109"/>
        <v>80</v>
      </c>
      <c r="N252" s="60"/>
      <c r="O252" s="111">
        <f t="shared" si="110"/>
        <v>80</v>
      </c>
    </row>
    <row r="253" spans="1:15" ht="16.5" customHeight="1">
      <c r="A253" s="345"/>
      <c r="B253" s="345"/>
      <c r="C253" s="345"/>
      <c r="D253" s="347" t="s">
        <v>2</v>
      </c>
      <c r="E253" s="111">
        <v>10</v>
      </c>
      <c r="F253" s="111"/>
      <c r="G253" s="111">
        <f t="shared" si="106"/>
        <v>10</v>
      </c>
      <c r="H253" s="111"/>
      <c r="I253" s="111">
        <f t="shared" si="107"/>
        <v>10</v>
      </c>
      <c r="J253" s="111"/>
      <c r="K253" s="111">
        <f t="shared" si="108"/>
        <v>10</v>
      </c>
      <c r="L253" s="111"/>
      <c r="M253" s="111">
        <f t="shared" si="109"/>
        <v>10</v>
      </c>
      <c r="N253" s="60"/>
      <c r="O253" s="111">
        <f t="shared" si="110"/>
        <v>10</v>
      </c>
    </row>
    <row r="254" spans="1:15" ht="16.5" customHeight="1">
      <c r="A254" s="345"/>
      <c r="B254" s="345"/>
      <c r="C254" s="345"/>
      <c r="D254" s="347" t="s">
        <v>4</v>
      </c>
      <c r="E254" s="111">
        <v>120</v>
      </c>
      <c r="F254" s="111"/>
      <c r="G254" s="111">
        <f t="shared" si="106"/>
        <v>120</v>
      </c>
      <c r="H254" s="111"/>
      <c r="I254" s="111">
        <f t="shared" si="107"/>
        <v>120</v>
      </c>
      <c r="J254" s="111"/>
      <c r="K254" s="111">
        <f t="shared" si="108"/>
        <v>120</v>
      </c>
      <c r="L254" s="111"/>
      <c r="M254" s="111">
        <f t="shared" si="109"/>
        <v>120</v>
      </c>
      <c r="N254" s="60"/>
      <c r="O254" s="111">
        <f t="shared" si="110"/>
        <v>120</v>
      </c>
    </row>
    <row r="255" spans="1:15" ht="16.5" customHeight="1">
      <c r="A255" s="345"/>
      <c r="B255" s="345"/>
      <c r="C255" s="345"/>
      <c r="D255" s="347" t="s">
        <v>9</v>
      </c>
      <c r="E255" s="111">
        <v>100</v>
      </c>
      <c r="F255" s="111"/>
      <c r="G255" s="111">
        <f t="shared" si="106"/>
        <v>100</v>
      </c>
      <c r="H255" s="111"/>
      <c r="I255" s="111">
        <f t="shared" si="107"/>
        <v>100</v>
      </c>
      <c r="J255" s="111"/>
      <c r="K255" s="111">
        <f t="shared" si="108"/>
        <v>100</v>
      </c>
      <c r="L255" s="111"/>
      <c r="M255" s="111">
        <f t="shared" si="109"/>
        <v>100</v>
      </c>
      <c r="N255" s="60"/>
      <c r="O255" s="111">
        <f t="shared" si="110"/>
        <v>100</v>
      </c>
    </row>
    <row r="256" spans="1:15" ht="16.5" customHeight="1">
      <c r="A256" s="345"/>
      <c r="B256" s="345"/>
      <c r="C256" s="345"/>
      <c r="D256" s="347" t="s">
        <v>6</v>
      </c>
      <c r="E256" s="111">
        <v>80</v>
      </c>
      <c r="F256" s="111"/>
      <c r="G256" s="111">
        <f t="shared" si="106"/>
        <v>80</v>
      </c>
      <c r="H256" s="111"/>
      <c r="I256" s="111">
        <f t="shared" si="107"/>
        <v>80</v>
      </c>
      <c r="J256" s="111"/>
      <c r="K256" s="111">
        <f t="shared" si="108"/>
        <v>80</v>
      </c>
      <c r="L256" s="111"/>
      <c r="M256" s="111">
        <f t="shared" si="109"/>
        <v>80</v>
      </c>
      <c r="N256" s="60"/>
      <c r="O256" s="111">
        <f t="shared" si="110"/>
        <v>80</v>
      </c>
    </row>
    <row r="257" spans="1:15" ht="16.5" customHeight="1">
      <c r="A257" s="345"/>
      <c r="B257" s="345"/>
      <c r="C257" s="345"/>
      <c r="D257" s="347" t="s">
        <v>7</v>
      </c>
      <c r="E257" s="111">
        <v>50</v>
      </c>
      <c r="F257" s="111"/>
      <c r="G257" s="111">
        <f t="shared" si="106"/>
        <v>50</v>
      </c>
      <c r="H257" s="111"/>
      <c r="I257" s="111">
        <f t="shared" si="107"/>
        <v>50</v>
      </c>
      <c r="J257" s="111"/>
      <c r="K257" s="111">
        <f t="shared" si="108"/>
        <v>50</v>
      </c>
      <c r="L257" s="111"/>
      <c r="M257" s="111">
        <f t="shared" si="109"/>
        <v>50</v>
      </c>
      <c r="N257" s="60"/>
      <c r="O257" s="111">
        <f t="shared" si="110"/>
        <v>50</v>
      </c>
    </row>
    <row r="258" spans="1:15" ht="16.5" customHeight="1">
      <c r="A258" s="345"/>
      <c r="B258" s="345"/>
      <c r="C258" s="345"/>
      <c r="D258" s="347" t="s">
        <v>14</v>
      </c>
      <c r="E258" s="111">
        <v>90</v>
      </c>
      <c r="F258" s="111"/>
      <c r="G258" s="111">
        <f t="shared" si="106"/>
        <v>90</v>
      </c>
      <c r="H258" s="111"/>
      <c r="I258" s="111">
        <f t="shared" si="107"/>
        <v>90</v>
      </c>
      <c r="J258" s="111"/>
      <c r="K258" s="111">
        <f t="shared" si="108"/>
        <v>90</v>
      </c>
      <c r="L258" s="111"/>
      <c r="M258" s="111">
        <f t="shared" si="109"/>
        <v>90</v>
      </c>
      <c r="N258" s="60"/>
      <c r="O258" s="111">
        <f t="shared" si="110"/>
        <v>90</v>
      </c>
    </row>
    <row r="259" spans="1:15" ht="24.75" customHeight="1">
      <c r="A259" s="344"/>
      <c r="B259" s="344"/>
      <c r="C259" s="66">
        <v>6060</v>
      </c>
      <c r="D259" s="52" t="s">
        <v>12</v>
      </c>
      <c r="E259" s="108">
        <f aca="true" t="shared" si="111" ref="E259:O259">SUM(E260:E260)</f>
        <v>4980</v>
      </c>
      <c r="F259" s="108">
        <f t="shared" si="111"/>
        <v>0</v>
      </c>
      <c r="G259" s="108">
        <f t="shared" si="111"/>
        <v>4980</v>
      </c>
      <c r="H259" s="108">
        <f t="shared" si="111"/>
        <v>0</v>
      </c>
      <c r="I259" s="108">
        <f t="shared" si="111"/>
        <v>4980</v>
      </c>
      <c r="J259" s="108">
        <f t="shared" si="111"/>
        <v>0</v>
      </c>
      <c r="K259" s="108">
        <f t="shared" si="111"/>
        <v>4980</v>
      </c>
      <c r="L259" s="108">
        <f t="shared" si="111"/>
        <v>0</v>
      </c>
      <c r="M259" s="108">
        <f t="shared" si="111"/>
        <v>4980</v>
      </c>
      <c r="N259" s="101">
        <f t="shared" si="111"/>
        <v>0</v>
      </c>
      <c r="O259" s="108">
        <f t="shared" si="111"/>
        <v>4980</v>
      </c>
    </row>
    <row r="260" spans="1:15" ht="19.5" customHeight="1">
      <c r="A260" s="361"/>
      <c r="B260" s="361"/>
      <c r="C260" s="361"/>
      <c r="D260" s="360" t="s">
        <v>6</v>
      </c>
      <c r="E260" s="348">
        <v>4980</v>
      </c>
      <c r="F260" s="348"/>
      <c r="G260" s="111">
        <f>SUM(E260+F260)</f>
        <v>4980</v>
      </c>
      <c r="H260" s="348"/>
      <c r="I260" s="111">
        <f>SUM(G260+H260)</f>
        <v>4980</v>
      </c>
      <c r="J260" s="348"/>
      <c r="K260" s="111">
        <f>SUM(I260+J260)</f>
        <v>4980</v>
      </c>
      <c r="L260" s="348"/>
      <c r="M260" s="111">
        <f>SUM(K260+L260)</f>
        <v>4980</v>
      </c>
      <c r="N260" s="362"/>
      <c r="O260" s="111">
        <f>SUM(M260+N260)</f>
        <v>4980</v>
      </c>
    </row>
    <row r="261" spans="1:15" ht="19.5" customHeight="1">
      <c r="A261" s="37" t="s">
        <v>269</v>
      </c>
      <c r="B261" s="5"/>
      <c r="C261" s="5"/>
      <c r="D261" s="22" t="s">
        <v>188</v>
      </c>
      <c r="E261" s="18">
        <f aca="true" t="shared" si="112" ref="E261:O261">SUM(E262)</f>
        <v>10580</v>
      </c>
      <c r="F261" s="18">
        <f t="shared" si="112"/>
        <v>1200</v>
      </c>
      <c r="G261" s="18">
        <f t="shared" si="112"/>
        <v>11780</v>
      </c>
      <c r="H261" s="18">
        <f t="shared" si="112"/>
        <v>-200</v>
      </c>
      <c r="I261" s="18">
        <f t="shared" si="112"/>
        <v>11580</v>
      </c>
      <c r="J261" s="18">
        <f t="shared" si="112"/>
        <v>0</v>
      </c>
      <c r="K261" s="18">
        <f t="shared" si="112"/>
        <v>11580</v>
      </c>
      <c r="L261" s="18">
        <f t="shared" si="112"/>
        <v>0</v>
      </c>
      <c r="M261" s="18">
        <f t="shared" si="112"/>
        <v>11580</v>
      </c>
      <c r="N261" s="18">
        <f t="shared" si="112"/>
        <v>5260</v>
      </c>
      <c r="O261" s="18">
        <f t="shared" si="112"/>
        <v>16840</v>
      </c>
    </row>
    <row r="262" spans="1:15" ht="24.75" customHeight="1">
      <c r="A262" s="66"/>
      <c r="B262" s="260">
        <v>92605</v>
      </c>
      <c r="C262" s="66"/>
      <c r="D262" s="52" t="s">
        <v>189</v>
      </c>
      <c r="E262" s="108">
        <f aca="true" t="shared" si="113" ref="E262:J262">SUM(E263,E271,E274,)</f>
        <v>10580</v>
      </c>
      <c r="F262" s="108">
        <f t="shared" si="113"/>
        <v>1200</v>
      </c>
      <c r="G262" s="108">
        <f t="shared" si="113"/>
        <v>11780</v>
      </c>
      <c r="H262" s="108">
        <f t="shared" si="113"/>
        <v>-200</v>
      </c>
      <c r="I262" s="108">
        <f t="shared" si="113"/>
        <v>11580</v>
      </c>
      <c r="J262" s="108">
        <f t="shared" si="113"/>
        <v>0</v>
      </c>
      <c r="K262" s="108">
        <f>SUM(K263,K271,K274,K278)</f>
        <v>11580</v>
      </c>
      <c r="L262" s="108">
        <f>SUM(L263,L271,L274,L278)</f>
        <v>0</v>
      </c>
      <c r="M262" s="108">
        <f>SUM(M263,M271,M274,M278)</f>
        <v>11580</v>
      </c>
      <c r="N262" s="101">
        <f>SUM(N263,N271,N274,N278)</f>
        <v>5260</v>
      </c>
      <c r="O262" s="108">
        <f>SUM(O263,O271,O274,O278)</f>
        <v>16840</v>
      </c>
    </row>
    <row r="263" spans="1:15" ht="18" customHeight="1">
      <c r="A263" s="66"/>
      <c r="B263" s="344"/>
      <c r="C263" s="344" t="s">
        <v>13</v>
      </c>
      <c r="D263" s="52" t="s">
        <v>214</v>
      </c>
      <c r="E263" s="108">
        <f aca="true" t="shared" si="114" ref="E263:O263">SUM(E264:E270)</f>
        <v>7780</v>
      </c>
      <c r="F263" s="108">
        <f t="shared" si="114"/>
        <v>0</v>
      </c>
      <c r="G263" s="108">
        <f t="shared" si="114"/>
        <v>7780</v>
      </c>
      <c r="H263" s="108">
        <f t="shared" si="114"/>
        <v>0</v>
      </c>
      <c r="I263" s="108">
        <f t="shared" si="114"/>
        <v>7780</v>
      </c>
      <c r="J263" s="108">
        <f t="shared" si="114"/>
        <v>0</v>
      </c>
      <c r="K263" s="108">
        <f t="shared" si="114"/>
        <v>7780</v>
      </c>
      <c r="L263" s="108">
        <f t="shared" si="114"/>
        <v>0</v>
      </c>
      <c r="M263" s="108">
        <f t="shared" si="114"/>
        <v>7780</v>
      </c>
      <c r="N263" s="101">
        <f t="shared" si="114"/>
        <v>0</v>
      </c>
      <c r="O263" s="108">
        <f t="shared" si="114"/>
        <v>7780</v>
      </c>
    </row>
    <row r="264" spans="1:15" ht="16.5" customHeight="1">
      <c r="A264" s="345"/>
      <c r="B264" s="345"/>
      <c r="C264" s="345"/>
      <c r="D264" s="347" t="s">
        <v>737</v>
      </c>
      <c r="E264" s="111">
        <v>1000</v>
      </c>
      <c r="F264" s="111"/>
      <c r="G264" s="111">
        <f aca="true" t="shared" si="115" ref="G264:G269">SUM(E264+F264)</f>
        <v>1000</v>
      </c>
      <c r="H264" s="111"/>
      <c r="I264" s="111">
        <f aca="true" t="shared" si="116" ref="I264:I269">SUM(G264+H264)</f>
        <v>1000</v>
      </c>
      <c r="J264" s="111"/>
      <c r="K264" s="111">
        <f aca="true" t="shared" si="117" ref="K264:K269">SUM(I264+J264)</f>
        <v>1000</v>
      </c>
      <c r="L264" s="111"/>
      <c r="M264" s="111">
        <f aca="true" t="shared" si="118" ref="M264:M269">SUM(K264+L264)</f>
        <v>1000</v>
      </c>
      <c r="N264" s="60"/>
      <c r="O264" s="111">
        <f aca="true" t="shared" si="119" ref="O264:O269">SUM(M264+N264)</f>
        <v>1000</v>
      </c>
    </row>
    <row r="265" spans="1:15" ht="16.5" customHeight="1">
      <c r="A265" s="345"/>
      <c r="B265" s="345"/>
      <c r="C265" s="345"/>
      <c r="D265" s="347" t="s">
        <v>739</v>
      </c>
      <c r="E265" s="111">
        <v>600</v>
      </c>
      <c r="F265" s="111"/>
      <c r="G265" s="111">
        <f t="shared" si="115"/>
        <v>600</v>
      </c>
      <c r="H265" s="111"/>
      <c r="I265" s="111">
        <f t="shared" si="116"/>
        <v>600</v>
      </c>
      <c r="J265" s="111"/>
      <c r="K265" s="111">
        <f t="shared" si="117"/>
        <v>600</v>
      </c>
      <c r="L265" s="111"/>
      <c r="M265" s="111">
        <f t="shared" si="118"/>
        <v>600</v>
      </c>
      <c r="N265" s="60"/>
      <c r="O265" s="111">
        <f t="shared" si="119"/>
        <v>600</v>
      </c>
    </row>
    <row r="266" spans="1:15" ht="16.5" customHeight="1">
      <c r="A266" s="345"/>
      <c r="B266" s="345"/>
      <c r="C266" s="345"/>
      <c r="D266" s="347" t="s">
        <v>0</v>
      </c>
      <c r="E266" s="111">
        <v>400</v>
      </c>
      <c r="F266" s="111"/>
      <c r="G266" s="111">
        <f t="shared" si="115"/>
        <v>400</v>
      </c>
      <c r="H266" s="111"/>
      <c r="I266" s="111">
        <f t="shared" si="116"/>
        <v>400</v>
      </c>
      <c r="J266" s="111"/>
      <c r="K266" s="111">
        <f t="shared" si="117"/>
        <v>400</v>
      </c>
      <c r="L266" s="111"/>
      <c r="M266" s="111">
        <f t="shared" si="118"/>
        <v>400</v>
      </c>
      <c r="N266" s="60"/>
      <c r="O266" s="111">
        <f t="shared" si="119"/>
        <v>400</v>
      </c>
    </row>
    <row r="267" spans="1:15" ht="16.5" customHeight="1">
      <c r="A267" s="345"/>
      <c r="B267" s="345"/>
      <c r="C267" s="345"/>
      <c r="D267" s="347" t="s">
        <v>1</v>
      </c>
      <c r="E267" s="111">
        <v>1600</v>
      </c>
      <c r="F267" s="111"/>
      <c r="G267" s="111">
        <f t="shared" si="115"/>
        <v>1600</v>
      </c>
      <c r="H267" s="111"/>
      <c r="I267" s="111">
        <f t="shared" si="116"/>
        <v>1600</v>
      </c>
      <c r="J267" s="111"/>
      <c r="K267" s="111">
        <f t="shared" si="117"/>
        <v>1600</v>
      </c>
      <c r="L267" s="111"/>
      <c r="M267" s="111">
        <f t="shared" si="118"/>
        <v>1600</v>
      </c>
      <c r="N267" s="60"/>
      <c r="O267" s="111">
        <f t="shared" si="119"/>
        <v>1600</v>
      </c>
    </row>
    <row r="268" spans="1:15" ht="16.5" customHeight="1">
      <c r="A268" s="345"/>
      <c r="B268" s="345"/>
      <c r="C268" s="345"/>
      <c r="D268" s="347" t="s">
        <v>2</v>
      </c>
      <c r="E268" s="111">
        <v>1000</v>
      </c>
      <c r="F268" s="111"/>
      <c r="G268" s="111">
        <f t="shared" si="115"/>
        <v>1000</v>
      </c>
      <c r="H268" s="111"/>
      <c r="I268" s="111">
        <f t="shared" si="116"/>
        <v>1000</v>
      </c>
      <c r="J268" s="111"/>
      <c r="K268" s="111">
        <f t="shared" si="117"/>
        <v>1000</v>
      </c>
      <c r="L268" s="111"/>
      <c r="M268" s="111">
        <f t="shared" si="118"/>
        <v>1000</v>
      </c>
      <c r="N268" s="60"/>
      <c r="O268" s="111">
        <f t="shared" si="119"/>
        <v>1000</v>
      </c>
    </row>
    <row r="269" spans="1:15" ht="16.5" customHeight="1">
      <c r="A269" s="345"/>
      <c r="B269" s="345"/>
      <c r="C269" s="345"/>
      <c r="D269" s="347" t="s">
        <v>4</v>
      </c>
      <c r="E269" s="111">
        <v>3000</v>
      </c>
      <c r="F269" s="111"/>
      <c r="G269" s="111">
        <f t="shared" si="115"/>
        <v>3000</v>
      </c>
      <c r="H269" s="111"/>
      <c r="I269" s="111">
        <f t="shared" si="116"/>
        <v>3000</v>
      </c>
      <c r="J269" s="111"/>
      <c r="K269" s="111">
        <f t="shared" si="117"/>
        <v>3000</v>
      </c>
      <c r="L269" s="111"/>
      <c r="M269" s="111">
        <f t="shared" si="118"/>
        <v>3000</v>
      </c>
      <c r="N269" s="60"/>
      <c r="O269" s="111">
        <f t="shared" si="119"/>
        <v>3000</v>
      </c>
    </row>
    <row r="270" spans="1:15" ht="16.5" customHeight="1">
      <c r="A270" s="345"/>
      <c r="B270" s="345"/>
      <c r="C270" s="345"/>
      <c r="D270" s="347" t="s">
        <v>9</v>
      </c>
      <c r="E270" s="111">
        <v>180</v>
      </c>
      <c r="F270" s="111"/>
      <c r="G270" s="111">
        <f>SUM(E270+F270)</f>
        <v>180</v>
      </c>
      <c r="H270" s="111"/>
      <c r="I270" s="111">
        <f>SUM(G270+H270)</f>
        <v>180</v>
      </c>
      <c r="J270" s="111"/>
      <c r="K270" s="111">
        <f>SUM(I270+J270)</f>
        <v>180</v>
      </c>
      <c r="L270" s="111"/>
      <c r="M270" s="111">
        <f>SUM(K270+L270)</f>
        <v>180</v>
      </c>
      <c r="N270" s="60"/>
      <c r="O270" s="111">
        <f>SUM(M270+N270)</f>
        <v>180</v>
      </c>
    </row>
    <row r="271" spans="1:15" ht="19.5" customHeight="1">
      <c r="A271" s="344"/>
      <c r="B271" s="344"/>
      <c r="C271" s="344" t="s">
        <v>23</v>
      </c>
      <c r="D271" s="52" t="s">
        <v>217</v>
      </c>
      <c r="E271" s="108">
        <f aca="true" t="shared" si="120" ref="E271:O271">SUM(E272:E273)</f>
        <v>600</v>
      </c>
      <c r="F271" s="108">
        <f t="shared" si="120"/>
        <v>0</v>
      </c>
      <c r="G271" s="108">
        <f t="shared" si="120"/>
        <v>600</v>
      </c>
      <c r="H271" s="108">
        <f t="shared" si="120"/>
        <v>0</v>
      </c>
      <c r="I271" s="108">
        <f t="shared" si="120"/>
        <v>600</v>
      </c>
      <c r="J271" s="108">
        <f t="shared" si="120"/>
        <v>0</v>
      </c>
      <c r="K271" s="108">
        <f t="shared" si="120"/>
        <v>600</v>
      </c>
      <c r="L271" s="108">
        <f t="shared" si="120"/>
        <v>0</v>
      </c>
      <c r="M271" s="108">
        <f t="shared" si="120"/>
        <v>600</v>
      </c>
      <c r="N271" s="101">
        <f t="shared" si="120"/>
        <v>-100</v>
      </c>
      <c r="O271" s="108">
        <f t="shared" si="120"/>
        <v>500</v>
      </c>
    </row>
    <row r="272" spans="1:15" ht="16.5" customHeight="1">
      <c r="A272" s="344"/>
      <c r="B272" s="344"/>
      <c r="C272" s="344"/>
      <c r="D272" s="347" t="s">
        <v>0</v>
      </c>
      <c r="E272" s="111">
        <v>100</v>
      </c>
      <c r="F272" s="111"/>
      <c r="G272" s="111">
        <f>SUM(E272+F272)</f>
        <v>100</v>
      </c>
      <c r="H272" s="111"/>
      <c r="I272" s="111">
        <f>SUM(G272+H272)</f>
        <v>100</v>
      </c>
      <c r="J272" s="111"/>
      <c r="K272" s="111">
        <f>SUM(I272+J272)</f>
        <v>100</v>
      </c>
      <c r="L272" s="111"/>
      <c r="M272" s="111">
        <f>SUM(K272+L272)</f>
        <v>100</v>
      </c>
      <c r="N272" s="60">
        <v>-100</v>
      </c>
      <c r="O272" s="111">
        <f>SUM(M272+N272)</f>
        <v>0</v>
      </c>
    </row>
    <row r="273" spans="1:15" ht="16.5" customHeight="1">
      <c r="A273" s="345"/>
      <c r="B273" s="345"/>
      <c r="C273" s="345"/>
      <c r="D273" s="347" t="s">
        <v>4</v>
      </c>
      <c r="E273" s="111">
        <v>500</v>
      </c>
      <c r="F273" s="111"/>
      <c r="G273" s="111">
        <f>SUM(E273+F273)</f>
        <v>500</v>
      </c>
      <c r="H273" s="111"/>
      <c r="I273" s="111">
        <f>SUM(G273+H273)</f>
        <v>500</v>
      </c>
      <c r="J273" s="111"/>
      <c r="K273" s="111">
        <f>SUM(I273+J273)</f>
        <v>500</v>
      </c>
      <c r="L273" s="111"/>
      <c r="M273" s="111">
        <f>SUM(K273+L273)</f>
        <v>500</v>
      </c>
      <c r="N273" s="60"/>
      <c r="O273" s="111">
        <f>SUM(M273+N273)</f>
        <v>500</v>
      </c>
    </row>
    <row r="274" spans="1:15" ht="20.25" customHeight="1">
      <c r="A274" s="66"/>
      <c r="B274" s="344"/>
      <c r="C274" s="66">
        <v>4300</v>
      </c>
      <c r="D274" s="64" t="s">
        <v>201</v>
      </c>
      <c r="E274" s="108">
        <f aca="true" t="shared" si="121" ref="E274:O274">SUM(E275:E277)</f>
        <v>2200</v>
      </c>
      <c r="F274" s="108">
        <f t="shared" si="121"/>
        <v>1200</v>
      </c>
      <c r="G274" s="108">
        <f t="shared" si="121"/>
        <v>3400</v>
      </c>
      <c r="H274" s="108">
        <f t="shared" si="121"/>
        <v>-200</v>
      </c>
      <c r="I274" s="108">
        <f t="shared" si="121"/>
        <v>3200</v>
      </c>
      <c r="J274" s="108">
        <f t="shared" si="121"/>
        <v>0</v>
      </c>
      <c r="K274" s="108">
        <f t="shared" si="121"/>
        <v>3200</v>
      </c>
      <c r="L274" s="108">
        <f t="shared" si="121"/>
        <v>0</v>
      </c>
      <c r="M274" s="108">
        <f t="shared" si="121"/>
        <v>3200</v>
      </c>
      <c r="N274" s="101">
        <f t="shared" si="121"/>
        <v>-700</v>
      </c>
      <c r="O274" s="108">
        <f t="shared" si="121"/>
        <v>2500</v>
      </c>
    </row>
    <row r="275" spans="1:15" ht="16.5" customHeight="1">
      <c r="A275" s="345"/>
      <c r="B275" s="345"/>
      <c r="C275" s="345"/>
      <c r="D275" s="347" t="s">
        <v>734</v>
      </c>
      <c r="E275" s="111">
        <v>1200</v>
      </c>
      <c r="F275" s="111"/>
      <c r="G275" s="111">
        <f>SUM(E275+F275)</f>
        <v>1200</v>
      </c>
      <c r="H275" s="111">
        <v>-200</v>
      </c>
      <c r="I275" s="111">
        <f>SUM(G275+H275)</f>
        <v>1000</v>
      </c>
      <c r="J275" s="111"/>
      <c r="K275" s="111">
        <f>SUM(I275+J275)</f>
        <v>1000</v>
      </c>
      <c r="L275" s="111"/>
      <c r="M275" s="111">
        <f>SUM(K275+L275)</f>
        <v>1000</v>
      </c>
      <c r="N275" s="60"/>
      <c r="O275" s="111">
        <f>SUM(M275+N275)</f>
        <v>1000</v>
      </c>
    </row>
    <row r="276" spans="1:15" ht="16.5" customHeight="1">
      <c r="A276" s="345"/>
      <c r="B276" s="345"/>
      <c r="C276" s="345"/>
      <c r="D276" s="347" t="s">
        <v>736</v>
      </c>
      <c r="E276" s="111">
        <v>1000</v>
      </c>
      <c r="F276" s="111"/>
      <c r="G276" s="111">
        <f>SUM(E276+F276)</f>
        <v>1000</v>
      </c>
      <c r="H276" s="111"/>
      <c r="I276" s="111">
        <f>SUM(G276+H276)</f>
        <v>1000</v>
      </c>
      <c r="J276" s="111"/>
      <c r="K276" s="111">
        <f>SUM(I276+J276)</f>
        <v>1000</v>
      </c>
      <c r="L276" s="111"/>
      <c r="M276" s="111">
        <f>SUM(K276+L276)</f>
        <v>1000</v>
      </c>
      <c r="N276" s="60">
        <v>-700</v>
      </c>
      <c r="O276" s="111">
        <f>SUM(M276+N276)</f>
        <v>300</v>
      </c>
    </row>
    <row r="277" spans="1:15" ht="16.5" customHeight="1">
      <c r="A277" s="345"/>
      <c r="B277" s="345"/>
      <c r="C277" s="345"/>
      <c r="D277" s="347" t="s">
        <v>14</v>
      </c>
      <c r="E277" s="111">
        <v>0</v>
      </c>
      <c r="F277" s="111">
        <v>1200</v>
      </c>
      <c r="G277" s="111">
        <f>SUM(E277+F277)</f>
        <v>1200</v>
      </c>
      <c r="H277" s="111"/>
      <c r="I277" s="111">
        <f>SUM(G277+H277)</f>
        <v>1200</v>
      </c>
      <c r="J277" s="111"/>
      <c r="K277" s="111">
        <f>SUM(I277+J277)</f>
        <v>1200</v>
      </c>
      <c r="L277" s="111"/>
      <c r="M277" s="111">
        <f>SUM(K277+L277)</f>
        <v>1200</v>
      </c>
      <c r="N277" s="60"/>
      <c r="O277" s="111">
        <f>SUM(M277+N277)</f>
        <v>1200</v>
      </c>
    </row>
    <row r="278" spans="1:15" ht="24.75" customHeight="1">
      <c r="A278" s="66"/>
      <c r="B278" s="344"/>
      <c r="C278" s="66">
        <v>6050</v>
      </c>
      <c r="D278" s="52" t="s">
        <v>195</v>
      </c>
      <c r="E278" s="108">
        <f aca="true" t="shared" si="122" ref="E278:O278">SUM(E279)</f>
        <v>0</v>
      </c>
      <c r="F278" s="108">
        <f t="shared" si="122"/>
        <v>0</v>
      </c>
      <c r="G278" s="108">
        <f t="shared" si="122"/>
        <v>0</v>
      </c>
      <c r="H278" s="108">
        <f t="shared" si="122"/>
        <v>0</v>
      </c>
      <c r="I278" s="108">
        <f t="shared" si="122"/>
        <v>0</v>
      </c>
      <c r="J278" s="108">
        <f t="shared" si="122"/>
        <v>0</v>
      </c>
      <c r="K278" s="108">
        <f t="shared" si="122"/>
        <v>0</v>
      </c>
      <c r="L278" s="108">
        <f t="shared" si="122"/>
        <v>0</v>
      </c>
      <c r="M278" s="108">
        <f t="shared" si="122"/>
        <v>0</v>
      </c>
      <c r="N278" s="101">
        <f t="shared" si="122"/>
        <v>6060</v>
      </c>
      <c r="O278" s="108">
        <f t="shared" si="122"/>
        <v>6060</v>
      </c>
    </row>
    <row r="279" spans="1:15" ht="16.5" customHeight="1">
      <c r="A279" s="345"/>
      <c r="B279" s="345"/>
      <c r="C279" s="345"/>
      <c r="D279" s="347" t="s">
        <v>10</v>
      </c>
      <c r="E279" s="111">
        <v>0</v>
      </c>
      <c r="F279" s="111"/>
      <c r="G279" s="111">
        <f>SUM(E279+F279)</f>
        <v>0</v>
      </c>
      <c r="H279" s="111"/>
      <c r="I279" s="111">
        <f>SUM(G279+H279)</f>
        <v>0</v>
      </c>
      <c r="J279" s="111"/>
      <c r="K279" s="111">
        <v>0</v>
      </c>
      <c r="L279" s="111"/>
      <c r="M279" s="111">
        <f>SUM(K279+L279)</f>
        <v>0</v>
      </c>
      <c r="N279" s="60">
        <v>6060</v>
      </c>
      <c r="O279" s="111">
        <f>SUM(M279+N279)</f>
        <v>6060</v>
      </c>
    </row>
    <row r="280" spans="1:15" ht="24.75" customHeight="1">
      <c r="A280" s="33"/>
      <c r="B280" s="33"/>
      <c r="C280" s="33"/>
      <c r="D280" s="270" t="s">
        <v>190</v>
      </c>
      <c r="E280" s="18">
        <f aca="true" t="shared" si="123" ref="E280:O280">E7+E51+E57+E62+E115+E124+E145+E149+E157+E202+E261</f>
        <v>338550</v>
      </c>
      <c r="F280" s="18">
        <f t="shared" si="123"/>
        <v>0</v>
      </c>
      <c r="G280" s="18">
        <f t="shared" si="123"/>
        <v>338550</v>
      </c>
      <c r="H280" s="18">
        <f t="shared" si="123"/>
        <v>-500</v>
      </c>
      <c r="I280" s="18">
        <f t="shared" si="123"/>
        <v>338050</v>
      </c>
      <c r="J280" s="18">
        <f t="shared" si="123"/>
        <v>0</v>
      </c>
      <c r="K280" s="18">
        <f t="shared" si="123"/>
        <v>338050</v>
      </c>
      <c r="L280" s="18">
        <f t="shared" si="123"/>
        <v>0</v>
      </c>
      <c r="M280" s="18">
        <f t="shared" si="123"/>
        <v>338050</v>
      </c>
      <c r="N280" s="18">
        <f t="shared" si="123"/>
        <v>0</v>
      </c>
      <c r="O280" s="18">
        <f t="shared" si="123"/>
        <v>338050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2007-10-04T10:28:27Z</cp:lastPrinted>
  <dcterms:created xsi:type="dcterms:W3CDTF">2002-10-21T08:56:44Z</dcterms:created>
  <dcterms:modified xsi:type="dcterms:W3CDTF">2008-07-30T10:48:59Z</dcterms:modified>
  <cp:category/>
  <cp:version/>
  <cp:contentType/>
  <cp:contentStatus/>
</cp:coreProperties>
</file>