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5" firstSheet="7" activeTab="7"/>
  </bookViews>
  <sheets>
    <sheet name="dochody 2006 zał.1" sheetId="1" r:id="rId1"/>
    <sheet name="wydatki 2006 zał.2" sheetId="2" r:id="rId2"/>
    <sheet name="dot. otrzym.2006 zał.3" sheetId="3" r:id="rId3"/>
    <sheet name="dot.przek.2005 zał. " sheetId="4" r:id="rId4"/>
    <sheet name="admin.zał6" sheetId="5" r:id="rId5"/>
    <sheet name="poroz. zał.5 " sheetId="6" r:id="rId6"/>
    <sheet name="maj.zał.4" sheetId="7" r:id="rId7"/>
    <sheet name="AA zał.7  " sheetId="8" r:id="rId8"/>
    <sheet name="niedobór 2006 zał.6" sheetId="9" r:id="rId9"/>
    <sheet name="zakł.bud. 2006  zał.9" sheetId="10" r:id="rId10"/>
    <sheet name="doch.wł. jedn.nr10" sheetId="11" r:id="rId11"/>
    <sheet name="WPI zał. 11" sheetId="12" r:id="rId12"/>
    <sheet name="ZPORR zał.13 " sheetId="13" r:id="rId13"/>
  </sheets>
  <definedNames>
    <definedName name="_xlnm.Print_Area" localSheetId="7">'AA zał.7  '!$A:$IV</definedName>
    <definedName name="_xlnm.Print_Titles" localSheetId="7">'AA zał.7  '!$8:$8</definedName>
    <definedName name="_xlnm.Print_Titles" localSheetId="4">'admin.zał6'!$6:$6</definedName>
    <definedName name="_xlnm.Print_Titles" localSheetId="0">'dochody 2006 zał.1'!$8:$8</definedName>
    <definedName name="_xlnm.Print_Titles" localSheetId="2">'dot. otrzym.2006 zał.3'!$8:$8</definedName>
    <definedName name="_xlnm.Print_Titles" localSheetId="3">'dot.przek.2005 zał. '!$6:$6</definedName>
    <definedName name="_xlnm.Print_Titles" localSheetId="6">'maj.zał.4'!$6:$6</definedName>
    <definedName name="_xlnm.Print_Titles" localSheetId="5">'poroz. zał.5 '!$8:$8</definedName>
    <definedName name="_xlnm.Print_Titles" localSheetId="1">'wydatki 2006 zał.2'!$7:$7</definedName>
  </definedNames>
  <calcPr fullCalcOnLoad="1"/>
</workbook>
</file>

<file path=xl/comments1.xml><?xml version="1.0" encoding="utf-8"?>
<comments xmlns="http://schemas.openxmlformats.org/spreadsheetml/2006/main">
  <authors>
    <author>UM w Trzciance</author>
    <author>Zawalniak</author>
  </authors>
  <commentList>
    <comment ref="R12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27.000 dot.zad.wł. Dodatek do wyn.prac.socjalnych
</t>
        </r>
      </text>
    </comment>
    <comment ref="R130" authorId="0">
      <text>
        <r>
          <rPr>
            <b/>
            <sz val="8"/>
            <rFont val="Tahoma"/>
            <family val="0"/>
          </rPr>
          <t xml:space="preserve">UM w Trzciance:stypendia socjalne - dot.zd.wł.
</t>
        </r>
      </text>
    </comment>
    <comment ref="R13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środki ZPORR</t>
        </r>
      </text>
    </comment>
    <comment ref="V1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zmniejsz. Dot. Strarostwo 2.500 zł</t>
        </r>
      </text>
    </comment>
    <comment ref="U1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1.500 zł dotacja Starostwo</t>
        </r>
      </text>
    </comment>
    <comment ref="AA10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27.951 przygotowanie młodocianych pracowników dotacja od Woj.. Wielk. Zad wł.</t>
        </r>
      </text>
    </comment>
    <comment ref="AS88" authorId="1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25.247 wyd,niewygas.2005 r.</t>
        </r>
      </text>
    </comment>
  </commentList>
</comments>
</file>

<file path=xl/comments2.xml><?xml version="1.0" encoding="utf-8"?>
<comments xmlns="http://schemas.openxmlformats.org/spreadsheetml/2006/main">
  <authors>
    <author>fk3</author>
    <author>UM w Trzciance</author>
    <author>Zawalniak</author>
  </authors>
  <commentList>
    <comment ref="E71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1400</t>
        </r>
      </text>
    </comment>
    <comment ref="E7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8630</t>
        </r>
      </text>
    </comment>
    <comment ref="E84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1600</t>
        </r>
      </text>
    </comment>
    <comment ref="E8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21150</t>
        </r>
      </text>
    </comment>
    <comment ref="E87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3700</t>
        </r>
      </text>
    </comment>
    <comment ref="E112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5000</t>
        </r>
      </text>
    </comment>
    <comment ref="E24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składka do Hospicjum</t>
        </r>
      </text>
    </comment>
    <comment ref="E277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MGOPiS 38000, Swiadczenia 36700</t>
        </r>
      </text>
    </comment>
    <comment ref="E280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500000własne, 3000 AA</t>
        </r>
      </text>
    </comment>
    <comment ref="E354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4700</t>
        </r>
      </text>
    </comment>
    <comment ref="E368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1000</t>
        </r>
      </text>
    </comment>
    <comment ref="E169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4000</t>
        </r>
      </text>
    </comment>
    <comment ref="E205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500</t>
        </r>
      </text>
    </comment>
    <comment ref="E181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1500</t>
        </r>
      </text>
    </comment>
    <comment ref="E391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AA 10000</t>
        </r>
      </text>
    </comment>
    <comment ref="E20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22030</t>
        </r>
      </text>
    </comment>
    <comment ref="E22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43480</t>
        </r>
      </text>
    </comment>
    <comment ref="E23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69000</t>
        </r>
      </text>
    </comment>
    <comment ref="E37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sołeckie 300</t>
        </r>
      </text>
    </comment>
    <comment ref="E379" authorId="0">
      <text>
        <r>
          <rPr>
            <b/>
            <sz val="8"/>
            <rFont val="Tahoma"/>
            <family val="0"/>
          </rPr>
          <t>fk3:</t>
        </r>
        <r>
          <rPr>
            <sz val="8"/>
            <rFont val="Tahoma"/>
            <family val="0"/>
          </rPr>
          <t xml:space="preserve">
starostwo 45000</t>
        </r>
      </text>
    </comment>
    <comment ref="F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PT drogi  Straduń - Smolarnia
</t>
        </r>
      </text>
    </comment>
    <comment ref="F2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50.000 rezerwa budowa chodnika i ścieżki pieszo rowerowej we Siedlisku
współpraca z ZDW
</t>
        </r>
      </text>
    </comment>
    <comment ref="F23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programy
</t>
        </r>
      </text>
    </comment>
    <comment ref="F34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16.000 PT wodociągu Stobno
</t>
        </r>
      </text>
    </comment>
    <comment ref="G34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35.000 budowa wodociągu w Osińcu
</t>
        </r>
      </text>
    </comment>
    <comment ref="F36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14.000 bud.oświetlenia Dłużewo
3.000 bud.oświetlenia ul. Ogrodowa, Łomnicka,Łąkowa
</t>
        </r>
      </text>
    </comment>
    <comment ref="F361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ustawienie lampy we Wrzącej
</t>
        </r>
      </text>
    </comment>
    <comment ref="J35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-8.000 soł.
</t>
        </r>
      </text>
    </comment>
    <comment ref="J2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19.000 soł. Siedlisko chodnik
</t>
        </r>
      </text>
    </comment>
    <comment ref="I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19.000 z 60016.6050
8.000 z 90003.4300
</t>
        </r>
      </text>
    </comment>
    <comment ref="I29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OPS zad.własne
</t>
        </r>
      </text>
    </comment>
    <comment ref="J291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OPS zad.wł.</t>
        </r>
      </text>
    </comment>
    <comment ref="I198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600 Starostwo
9829 z doch.wł.</t>
        </r>
      </text>
    </comment>
    <comment ref="I199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sokrates
</t>
        </r>
      </text>
    </comment>
    <comment ref="I21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1.520 sokrates</t>
        </r>
      </text>
    </comment>
    <comment ref="I16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20.517 oszczędności
</t>
        </r>
      </text>
    </comment>
    <comment ref="J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soł.na równiarkę</t>
        </r>
      </text>
    </comment>
    <comment ref="I2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soł. Łomnica 11.000</t>
        </r>
      </text>
    </comment>
    <comment ref="I2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5.000 sól.
6.000 budżet</t>
        </r>
      </text>
    </comment>
    <comment ref="J368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 Na równiarkę</t>
        </r>
      </text>
    </comment>
    <comment ref="O30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prace społecznie użyteczne</t>
        </r>
      </text>
    </comment>
    <comment ref="R328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96.494 zł dot.woj..zad.wł.</t>
        </r>
      </text>
    </comment>
    <comment ref="R28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27.000 dod. Do wy. Prac.socj.dot.od woj.. Na zad.wł.</t>
        </r>
      </text>
    </comment>
    <comment ref="R391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5.000 oznakowanie ścieżek pieszo rowerowych
</t>
        </r>
      </text>
    </comment>
    <comment ref="R2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8.453 soł. Górnica, Nowa Wieś, Przyłęki, Wapniarnia I
300 zob. z r.2005</t>
        </r>
      </text>
    </comment>
    <comment ref="R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4186 sołeckie Biała, Nowa Wieś, Wapniarnia I
</t>
        </r>
      </text>
    </comment>
    <comment ref="S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5481 sołeckie Łominica, Siedlisko, Przyłęki</t>
        </r>
      </text>
    </comment>
    <comment ref="R7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342 sołeckie Nowa Wies
</t>
        </r>
      </text>
    </comment>
    <comment ref="S8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300 soł. Górnica
</t>
        </r>
      </text>
    </comment>
    <comment ref="R16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 sołeckie Nowa Wieś
</t>
        </r>
      </text>
    </comment>
    <comment ref="R35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60 sołeckie
</t>
        </r>
      </text>
    </comment>
    <comment ref="R32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1930 sołeckie Biała
</t>
        </r>
      </text>
    </comment>
    <comment ref="R32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 sołeckie Radolin
</t>
        </r>
      </text>
    </comment>
    <comment ref="S32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8.420 sołeckie Nowa Wieś
1.930 Biała na place zabaw
</t>
        </r>
      </text>
    </comment>
    <comment ref="R35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3.668 sołeckie 
Łomnica, Nowa Wieś, Pokrzywno, Siedlisko
</t>
        </r>
      </text>
    </comment>
    <comment ref="S35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 Radolin</t>
        </r>
      </text>
    </comment>
    <comment ref="S35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600 sołeckie Pokrzywno
</t>
        </r>
      </text>
    </comment>
    <comment ref="S36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200 sołeckie Górnica
</t>
        </r>
      </text>
    </comment>
    <comment ref="R37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 sołeckie Nowa Wies
900 Nowa Wioeś zob. z 2005 r.
1.300 Wrząca zob.z 2005 r.
4.350 soł Biernatowo
</t>
        </r>
      </text>
    </comment>
    <comment ref="S37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4.500 zł Niekursko, Pokrzywno
</t>
        </r>
      </text>
    </comment>
    <comment ref="S37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460 sołeckie Przyłęki, Siedlisko
</t>
        </r>
      </text>
    </comment>
    <comment ref="R37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160 sołeckie Przyłęki
4.000 Biernatowo sala
</t>
        </r>
      </text>
    </comment>
    <comment ref="R377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sołectwo Niekursko
</t>
        </r>
      </text>
    </comment>
    <comment ref="R39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1500;600 porozumienie
2.650;2.650 - MS i wł.gminy na zajęcia
300 sołeckie Łomnica
400 Wrząca zob. z 2005 r.</t>
        </r>
      </text>
    </comment>
    <comment ref="S39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1.000;1.200 dot.przekazywan eprzeniesienie do par.2320
1.500,600 przeniesienie do par.4210
1.126,2.650,17024 przeniesienie do par. innych par. na zaj. Zad. Wspólne z M Sportu
2.000 sołeckie Biała, Łomnica</t>
        </r>
      </text>
    </comment>
    <comment ref="R39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17.024 srodki M. Sportu
17.024 środki wł. Na zad. Wsólne z M.sportu
</t>
        </r>
      </text>
    </comment>
    <comment ref="R389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2.200 dotacje na mocy powierzenia zadani do real. Do Starostwa
</t>
        </r>
      </text>
    </comment>
    <comment ref="S37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4.350 soł. Biernatowo</t>
        </r>
      </text>
    </comment>
    <comment ref="W32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5.305 półkolonie
500 sołeckie
</t>
        </r>
      </text>
    </comment>
    <comment ref="W32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3.200 zł sołeckie
10.095 środki do podziału AA
43 zł półkolonie
</t>
        </r>
      </text>
    </comment>
    <comment ref="U6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5.652 półkolonie
428 trzynastki UM
</t>
        </r>
      </text>
    </comment>
    <comment ref="V6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428 trzynastki UM
</t>
        </r>
      </text>
    </comment>
    <comment ref="U39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Starostwo - Turniej Międ.mecze - poroz.
</t>
        </r>
      </text>
    </comment>
    <comment ref="V39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2.500 zł - por. Starostwo zmn. Dotacaji
</t>
        </r>
      </text>
    </comment>
    <comment ref="V37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 Wrząca</t>
        </r>
      </text>
    </comment>
    <comment ref="U35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400,300 soł.</t>
        </r>
      </text>
    </comment>
    <comment ref="U32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43
1.200 soł. Wrząca
</t>
        </r>
      </text>
    </comment>
    <comment ref="U16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 Biała</t>
        </r>
      </text>
    </comment>
    <comment ref="V8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700,500 soł. Biała, Wrząca</t>
        </r>
      </text>
    </comment>
    <comment ref="V2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300 soł. Nowa Wies
</t>
        </r>
      </text>
    </comment>
    <comment ref="V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 soł. Górnca
</t>
        </r>
      </text>
    </comment>
    <comment ref="V15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25.232 zm. Rezerwy ogólnej
16098 i 13.433 na 13-tki
</t>
        </r>
      </text>
    </comment>
    <comment ref="U157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8.835 śr. Woj.. Wyprawka szkolna</t>
        </r>
      </text>
    </comment>
    <comment ref="Z32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5.305 półkolonie
500 sołeckie
</t>
        </r>
      </text>
    </comment>
    <comment ref="Z32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3.200 zł sołeckie
10.095 środki do podziału AA
43 zł półkolonie
</t>
        </r>
      </text>
    </comment>
    <comment ref="X2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2000 - Niekursko
5280 - Rychlik
</t>
        </r>
      </text>
    </comment>
    <comment ref="X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1200 Siedlisko
4900 Smolarnia</t>
        </r>
      </text>
    </comment>
    <comment ref="Y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2000 Niekursko
5280 Rychlik
</t>
        </r>
      </text>
    </comment>
    <comment ref="X8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Rychlik
700 Siedlisko</t>
        </r>
      </text>
    </comment>
    <comment ref="Y8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Rychlik
1000 Smolarnia</t>
        </r>
      </text>
    </comment>
    <comment ref="Y87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Siedlisko</t>
        </r>
      </text>
    </comment>
    <comment ref="Y32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Siedlisko</t>
        </r>
      </text>
    </comment>
    <comment ref="X35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Nowa Wieś</t>
        </r>
      </text>
    </comment>
    <comment ref="Y35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122 Niekursko
500 Teresin
1130 Smolarnia</t>
        </r>
      </text>
    </comment>
    <comment ref="X35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2000 Rychlik
500 Teresin
</t>
        </r>
      </text>
    </comment>
    <comment ref="Y35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Nowa Wieś</t>
        </r>
      </text>
    </comment>
    <comment ref="X37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Rychlik</t>
        </r>
      </text>
    </comment>
    <comment ref="X37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Niekursko</t>
        </r>
      </text>
    </comment>
    <comment ref="X37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Wrząca - remont podłogi w sali wiejskiej</t>
        </r>
      </text>
    </comment>
    <comment ref="Y37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Wrząca</t>
        </r>
      </text>
    </comment>
    <comment ref="Y39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Rychlik</t>
        </r>
      </text>
    </comment>
    <comment ref="Y36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Smolarnia</t>
        </r>
      </text>
    </comment>
    <comment ref="Y28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70.000 ZM. DOT. woj.. Wielk. Zad. zlecone</t>
        </r>
      </text>
    </comment>
    <comment ref="Y15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40.000 ogólna
30.000 celowa
</t>
        </r>
      </text>
    </comment>
    <comment ref="AA28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1.495 PPK
</t>
        </r>
      </text>
    </comment>
    <comment ref="AB28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1.495 PPK
941 zm. Do 85154.4300
</t>
        </r>
      </text>
    </comment>
    <comment ref="AB2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6.020 soł.</t>
        </r>
      </text>
    </comment>
    <comment ref="AB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1.958 soł.
</t>
        </r>
      </text>
    </comment>
    <comment ref="AA2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5.750 złRunowo
7.500 Radolin</t>
        </r>
      </text>
    </comment>
    <comment ref="AB8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2830 soł.
1.500 zł soł. Radolin Dzien dziecka</t>
        </r>
      </text>
    </comment>
    <comment ref="AB32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250 soł i 500 zł soł.</t>
        </r>
      </text>
    </comment>
    <comment ref="AB32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129 soł.</t>
        </r>
      </text>
    </comment>
    <comment ref="AA35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1580 soł.
</t>
        </r>
      </text>
    </comment>
    <comment ref="AB35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 soł.
7.500 zł  Radolin oraz 3.500 zł</t>
        </r>
      </text>
    </comment>
    <comment ref="AB35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</t>
        </r>
      </text>
    </comment>
    <comment ref="AB36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3.000 soł.</t>
        </r>
      </text>
    </comment>
    <comment ref="AA37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4.629 soł
</t>
        </r>
      </text>
    </comment>
    <comment ref="AB37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</t>
        </r>
      </text>
    </comment>
    <comment ref="AB37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250 soł.</t>
        </r>
      </text>
    </comment>
    <comment ref="AA37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828 soł.
</t>
        </r>
      </text>
    </comment>
    <comment ref="AA377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4.750 soł Pokrzywno
</t>
        </r>
      </text>
    </comment>
    <comment ref="AB39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600 soł.
600 por.
200 soł. Radolin</t>
        </r>
      </text>
    </comment>
    <comment ref="AA32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2.300 zł Radoli plac zabaw oraz 3.500 zł</t>
        </r>
      </text>
    </comment>
    <comment ref="AB39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 soł. Radolin</t>
        </r>
      </text>
    </comment>
    <comment ref="AG21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20000 rem.cząstk.dróg
</t>
        </r>
      </text>
    </comment>
    <comment ref="AG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5.000 oznakowanie ulic
887 soł.
</t>
        </r>
      </text>
    </comment>
    <comment ref="AH2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5140 bud.ul.Dąbrowskiego
318 soł.
</t>
        </r>
      </text>
    </comment>
    <comment ref="AG167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5.000 zł rem.szkół
4.635 doch z najmu
7.959 szkoły na remonty</t>
        </r>
      </text>
    </comment>
    <comment ref="AG29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5.095 i 23.561 PPK specjaliści
5.095 pochodzi z wypoczynku
23.561 z nadwyżki
</t>
        </r>
      </text>
    </comment>
    <comment ref="AG23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5.000 z wypoczynku
5.000 z nadwyzki
</t>
        </r>
      </text>
    </comment>
    <comment ref="AH163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4.665 doch.z najmu
</t>
        </r>
      </text>
    </comment>
    <comment ref="AG166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 doch z najmu
</t>
        </r>
      </text>
    </comment>
    <comment ref="AH198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294 doch z najmu
</t>
        </r>
      </text>
    </comment>
    <comment ref="AG20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294 doch. z najmu
</t>
        </r>
      </text>
    </comment>
    <comment ref="AG2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6.180 soł.
</t>
        </r>
      </text>
    </comment>
    <comment ref="AH2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1281 soł.
</t>
        </r>
      </text>
    </comment>
    <comment ref="AH22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3746 soł.
</t>
        </r>
      </text>
    </comment>
    <comment ref="AG280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20.000 gmina
160 soł.
</t>
        </r>
      </text>
    </comment>
    <comment ref="AG32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262 soł.
</t>
        </r>
      </text>
    </comment>
    <comment ref="AG394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1384 soł
</t>
        </r>
      </text>
    </comment>
    <comment ref="AG395" authorId="1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8.160 sol.
5.000 boisko
</t>
        </r>
      </text>
    </comment>
    <comment ref="AM327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62.470 program dot.wojewody</t>
        </r>
      </text>
    </comment>
    <comment ref="AS291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1500 PPK
1611 zad wł. MGOPS</t>
        </r>
      </text>
    </comment>
    <comment ref="AT296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1594 PPK
2800 M zad wł.
200 kuchnia</t>
        </r>
      </text>
    </comment>
    <comment ref="AS298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94 PPK</t>
        </r>
      </text>
    </comment>
    <comment ref="AT285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142 MGOPS zad.wł.</t>
        </r>
      </text>
    </comment>
    <comment ref="AS290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1258 zad.wł MGOPS
</t>
        </r>
      </text>
    </comment>
    <comment ref="AS294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97 zad.wł.MGOPS
</t>
        </r>
      </text>
    </comment>
    <comment ref="AS295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6 zad wł M
</t>
        </r>
      </text>
    </comment>
    <comment ref="AT300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30 zadwł MGOPS</t>
        </r>
      </text>
    </comment>
    <comment ref="AS293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200 kuchnia</t>
        </r>
      </text>
    </comment>
    <comment ref="AT269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5669 wł.
</t>
        </r>
      </text>
    </comment>
    <comment ref="AT271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500 wł
</t>
        </r>
      </text>
    </comment>
    <comment ref="AT387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33.000 pomost</t>
        </r>
      </text>
    </comment>
    <comment ref="AS296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PPK - wydatki niewygasające</t>
        </r>
      </text>
    </comment>
    <comment ref="AT242" authorId="2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PPK - wydatki niewygasające</t>
        </r>
      </text>
    </comment>
  </commentList>
</comments>
</file>

<file path=xl/comments6.xml><?xml version="1.0" encoding="utf-8"?>
<comments xmlns="http://schemas.openxmlformats.org/spreadsheetml/2006/main">
  <authors>
    <author>UM w Trzciance</author>
  </authors>
  <commentList>
    <comment ref="Q2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1.500 Tyrniej Piłi
1.500 Bieg Zielińskiego
</t>
        </r>
      </text>
    </comment>
    <comment ref="Q2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600 Piłka Nożna</t>
        </r>
      </text>
    </comment>
    <comment ref="T2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1.500 Tyrniej Piłi
1.500 Bieg Zielińskiego
</t>
        </r>
      </text>
    </comment>
    <comment ref="T2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600 Piłka Nożna</t>
        </r>
      </text>
    </comment>
  </commentList>
</comments>
</file>

<file path=xl/comments8.xml><?xml version="1.0" encoding="utf-8"?>
<comments xmlns="http://schemas.openxmlformats.org/spreadsheetml/2006/main">
  <authors>
    <author>UM w Trzciance</author>
    <author>Zawalniak</author>
  </authors>
  <commentList>
    <comment ref="H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H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17846 narkomania
</t>
        </r>
      </text>
    </comment>
    <comment ref="I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J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K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17846 narkomania
</t>
        </r>
      </text>
    </comment>
    <comment ref="K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N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17846 narkomania
</t>
        </r>
      </text>
    </comment>
    <comment ref="L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M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N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L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5.500+152=5652
</t>
        </r>
      </text>
    </comment>
    <comment ref="Q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17846 narkomania
</t>
        </r>
      </text>
    </comment>
    <comment ref="O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P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Q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T4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17846 narkomania
</t>
        </r>
      </text>
    </comment>
    <comment ref="R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S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T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U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V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W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10.000 narkomania
</t>
        </r>
      </text>
    </comment>
    <comment ref="U48" authorId="1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PPK - wydatki niewygasające</t>
        </r>
      </text>
    </comment>
    <comment ref="V36" authorId="1">
      <text>
        <r>
          <rPr>
            <b/>
            <sz val="8"/>
            <rFont val="Tahoma"/>
            <family val="0"/>
          </rPr>
          <t>Zawalniak:</t>
        </r>
        <r>
          <rPr>
            <sz val="8"/>
            <rFont val="Tahoma"/>
            <family val="0"/>
          </rPr>
          <t xml:space="preserve">
PPK - wydatki niewygasające</t>
        </r>
      </text>
    </comment>
  </commentList>
</comments>
</file>

<file path=xl/sharedStrings.xml><?xml version="1.0" encoding="utf-8"?>
<sst xmlns="http://schemas.openxmlformats.org/spreadsheetml/2006/main" count="2032" uniqueCount="724">
  <si>
    <t>Załącznik Nr 12 do uchwały Nr IV/11/06</t>
  </si>
  <si>
    <t>Załącznik Nr 9 do Uchwały Nr IV/11/06</t>
  </si>
  <si>
    <t>Załącznik Nr 10 do uchwały Nr IV/11/06</t>
  </si>
  <si>
    <t>Załącznik Nr 11 do Uchwały Nr IV/11/06</t>
  </si>
  <si>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</si>
  <si>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</si>
  <si>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</si>
  <si>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</si>
  <si>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</si>
  <si>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</si>
  <si>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</si>
  <si>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</si>
  <si>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</si>
  <si>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</si>
  <si>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</si>
  <si>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</si>
  <si>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</si>
  <si>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</si>
  <si>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</si>
  <si>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</si>
  <si>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</si>
  <si>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</si>
  <si>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</si>
  <si>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</si>
  <si>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</si>
  <si>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</si>
  <si>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</si>
  <si>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</si>
  <si>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</si>
  <si>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</si>
  <si>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</si>
  <si>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</si>
  <si>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</si>
  <si>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</si>
  <si>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</si>
  <si>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</si>
  <si>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</si>
  <si>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</si>
  <si>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</si>
  <si>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</si>
  <si>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</si>
  <si>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</si>
  <si>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</si>
  <si>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</si>
  <si>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</si>
  <si>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</si>
  <si>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</si>
  <si>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</si>
  <si>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</si>
  <si>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</si>
  <si>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</si>
  <si>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</si>
  <si>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</si>
  <si>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</si>
  <si>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</si>
  <si>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</si>
  <si>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</si>
  <si>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</si>
  <si>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</si>
  <si>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</si>
  <si>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</si>
  <si>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</si>
  <si>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</si>
  <si>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</si>
  <si>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</si>
  <si>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</si>
  <si>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</si>
  <si>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</si>
  <si>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</si>
  <si>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</si>
  <si>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</si>
  <si>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</si>
  <si>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</si>
  <si>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</si>
  <si>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</si>
  <si>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</si>
  <si>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</si>
  <si>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</si>
  <si>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</si>
  <si>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dywidendy i kwoty ze zbycia praw majątkowych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</si>
  <si>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</si>
  <si>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</si>
  <si>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</si>
  <si>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</si>
  <si>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</si>
  <si>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</si>
  <si>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</si>
  <si>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</si>
  <si>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</si>
  <si>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</si>
  <si>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</si>
  <si>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</si>
  <si>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</si>
  <si>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</si>
  <si>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</si>
  <si>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</si>
  <si>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</si>
  <si>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</si>
  <si>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</si>
  <si>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</si>
  <si>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</si>
  <si>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</si>
  <si>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</si>
  <si>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</si>
  <si>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</si>
  <si>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</si>
  <si>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</si>
  <si>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</si>
  <si>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</si>
  <si>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</si>
  <si>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</si>
  <si>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</si>
  <si>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</si>
  <si>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</si>
  <si>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</si>
  <si>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Bezpieczeństwo publiczne                                                                       i ochrona przeciwpożarowa</t>
  </si>
  <si>
    <t>75412</t>
  </si>
  <si>
    <t>ochotnicze straże pożarne</t>
  </si>
  <si>
    <t xml:space="preserve">obrona cywilna 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</si>
  <si>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</si>
  <si>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</si>
  <si>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</si>
  <si>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</si>
  <si>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</si>
  <si>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</si>
  <si>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</si>
  <si>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</si>
  <si>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</si>
  <si>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</si>
  <si>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</si>
  <si>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</si>
  <si>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zakup leków i materiałów medycznych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</si>
  <si>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</si>
  <si>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</si>
  <si>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</si>
  <si>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</si>
  <si>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</si>
  <si>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</si>
  <si>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</si>
  <si>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</si>
  <si>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</si>
  <si>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</si>
  <si>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</si>
  <si>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</si>
  <si>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</si>
  <si>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</si>
  <si>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</si>
  <si>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</si>
  <si>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</si>
  <si>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</si>
  <si>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</si>
  <si>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</si>
  <si>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</si>
  <si>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</si>
  <si>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</si>
  <si>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</si>
  <si>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</si>
  <si>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</si>
  <si>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</si>
  <si>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</si>
  <si>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</si>
  <si>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</si>
  <si>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</si>
  <si>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</si>
  <si>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</si>
  <si>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</si>
  <si>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</si>
  <si>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Bezpieczeństwo publiczne i ochrona przeciwpożarowa </t>
  </si>
  <si>
    <t>Kultura i ochrona dziedzictwa narodowego - porozumienie</t>
  </si>
  <si>
    <t xml:space="preserve">plan </t>
  </si>
  <si>
    <t>przychody</t>
  </si>
  <si>
    <t>rozchody</t>
  </si>
  <si>
    <t>saldo</t>
  </si>
  <si>
    <t>spłaty otrzymanych krajowych pożyczek i kredytów</t>
  </si>
  <si>
    <t>Gminne Przedszkola Publiczne</t>
  </si>
  <si>
    <t>Starostwo Powiatowe - utrzymanie hali sportowo-widowiskowej przy L.O. w Trzciance</t>
  </si>
  <si>
    <t>Trzcianecki Dom Kultury</t>
  </si>
  <si>
    <t>Biblioteka Publiczna Miasta i Gminy im. Kazimiery Iłłakowiczówny</t>
  </si>
  <si>
    <t>Muzeum Ziemi Nadnoteckiej im. Wiktora Stachowiaka</t>
  </si>
  <si>
    <t>zakup sprzętu komputerowego i oprogramowania</t>
  </si>
  <si>
    <t>wpływy z różnych opłat</t>
  </si>
  <si>
    <t>lp.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</si>
  <si>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</si>
  <si>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</si>
  <si>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</si>
  <si>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przychody z zaciagniętych pożyczek i kredytów na rynku krajowym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</si>
  <si>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</si>
  <si>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</si>
  <si>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</si>
  <si>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</si>
  <si>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</si>
  <si>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</si>
  <si>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dotacje celowe przekazane dla powiatu na zadania bieżące realizowane na podstawie porozumień między jednostkami samorządu terytorialnego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</si>
  <si>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</si>
  <si>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</si>
  <si>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</si>
  <si>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</si>
  <si>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</si>
  <si>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</si>
  <si>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</si>
  <si>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</si>
  <si>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</si>
  <si>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</si>
  <si>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</si>
  <si>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</si>
  <si>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</si>
  <si>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</si>
  <si>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</si>
  <si>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</si>
  <si>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</si>
  <si>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</si>
  <si>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</si>
  <si>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</si>
  <si>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</si>
  <si>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</si>
  <si>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</si>
  <si>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</si>
  <si>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</si>
  <si>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</si>
  <si>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</si>
  <si>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</si>
  <si>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</si>
  <si>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</si>
  <si>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</si>
  <si>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</si>
  <si>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>budowa chodnika w Białej</t>
  </si>
  <si>
    <t>zakup środków żywności</t>
  </si>
  <si>
    <t>pobór podatków, opłat i niepodatkowych należności budżetowych</t>
  </si>
  <si>
    <t>Towarzystwa budownictwa społecznego</t>
  </si>
  <si>
    <t>budowa dróg na os. Fałata</t>
  </si>
  <si>
    <t>0690</t>
  </si>
  <si>
    <t xml:space="preserve">dotacja podmiotowa z budżetu dla niepublicznej jednostki systemu oświaty </t>
  </si>
  <si>
    <t>dotacja podmiotowa dla niepublicznej jednostki systemu oświaty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</si>
  <si>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</si>
  <si>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</si>
  <si>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</si>
  <si>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</si>
  <si>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 xml:space="preserve">Pomoc społeczna </t>
  </si>
  <si>
    <t>Pomoc społeczna</t>
  </si>
  <si>
    <t>Załącznik Nr 1</t>
  </si>
  <si>
    <t>Załącznik Nr 2</t>
  </si>
  <si>
    <t>Załącznik Nr 3</t>
  </si>
  <si>
    <t>Załącznik Nr 6</t>
  </si>
  <si>
    <t>wpływy ze sprzedaży składników majątkowych</t>
  </si>
  <si>
    <t>dotacja podmiotowa z budżetu dla samorządowej instytucji kultury</t>
  </si>
  <si>
    <t>biblioteki - porozumienia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</si>
  <si>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</si>
  <si>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</si>
  <si>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</si>
  <si>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</si>
  <si>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 xml:space="preserve">Oświetlenie w Niekursku </t>
  </si>
  <si>
    <t xml:space="preserve">Oświetlenie w Nowej Wsi </t>
  </si>
  <si>
    <t>wynagrodzenia bezosobowe</t>
  </si>
  <si>
    <t>zakup elementów do monitorowania miasta</t>
  </si>
  <si>
    <t>Przedszkole przy Prywatnej Katolickiej Szkole Podstawowej 
im. Św. Siostry Faustyny</t>
  </si>
  <si>
    <t>0830</t>
  </si>
  <si>
    <t>wpływy z usług</t>
  </si>
  <si>
    <t>wynagrodzenie bezosobowe</t>
  </si>
  <si>
    <t>budowa kanalizacji sanitarnej i deszczowej oraz rozbudowa oczyszczalni ścieków w Gminie Trzcianka</t>
  </si>
  <si>
    <t>0870</t>
  </si>
  <si>
    <t>zwiększenia</t>
  </si>
  <si>
    <t>zmniejszenia</t>
  </si>
  <si>
    <t>instytucje kultury fizycznej</t>
  </si>
  <si>
    <t>wynagordzenia bezosobowe</t>
  </si>
  <si>
    <t xml:space="preserve">zmniejszenia </t>
  </si>
  <si>
    <t>zmiany</t>
  </si>
  <si>
    <t>wykup innych papierów wartościowych</t>
  </si>
  <si>
    <t>zakup usług zdrowotnych</t>
  </si>
  <si>
    <t xml:space="preserve">zwiększenia </t>
  </si>
  <si>
    <t>budowa budynku mieszkalnego przy 
ul. Chopina w Trzciance</t>
  </si>
  <si>
    <t>plan po 
zmianach</t>
  </si>
  <si>
    <t>budowa chodnika w Siedlisku</t>
  </si>
  <si>
    <t xml:space="preserve"> Katolicka Szkoła Podstawowa im. Św. Siosty Faustyny</t>
  </si>
  <si>
    <t>kary i odszkodowania wypłacane na rzecz osób fizycznych</t>
  </si>
  <si>
    <t>różne jednostki obsługi gospodarki mieszkaniowej</t>
  </si>
  <si>
    <t>świadczenia rodzinne oraz składki na ubezpieczenia emerytalne i rentowe z ubezpieczenia społecznego</t>
  </si>
  <si>
    <t>plan po zmianach</t>
  </si>
  <si>
    <t>odsetki od nieterminowych wpłat 
z tytułu podatków i opłat</t>
  </si>
  <si>
    <t>składki na ubezpieczenie zdrowotne opłacane za osoby pobierające niektóre świadczenia 
z pomocy społecznej oraz niektóre świadczenia rodzinne</t>
  </si>
  <si>
    <t>dotacje celowe otrzymane 
z budżetu państwa na realizację własnych zadań bieżących gmin (związków gmin)</t>
  </si>
  <si>
    <t>muzea - porozumienia</t>
  </si>
  <si>
    <t>domy i ośrodki kultury, świetlice i kluby - porozumienia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</si>
  <si>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</si>
  <si>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</si>
  <si>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</si>
  <si>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</si>
  <si>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</si>
  <si>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 xml:space="preserve">zasiłki i pomoc w naturze oraz składki na ubezpieczenia emerytalne i rentowe  </t>
  </si>
  <si>
    <t>przychody z zaciągniętych pożyczek na finansowanie zadań realizowanych z udziałem środków pochodzących z budżetu Unii Eropejskiej</t>
  </si>
  <si>
    <t>budowa remizy w Niekursku</t>
  </si>
  <si>
    <t>zakup usług dostepu do sieci Internet</t>
  </si>
  <si>
    <t xml:space="preserve"> </t>
  </si>
  <si>
    <t xml:space="preserve">       </t>
  </si>
  <si>
    <t>wydatki osobowe niezaliczone do wynagrodzeń</t>
  </si>
  <si>
    <t>wpływy z opłat za zarząd, użytkowanie i użytkowanie wieczyste nieruchomości</t>
  </si>
  <si>
    <t xml:space="preserve">Dotacje 2006 - otrzymywane do budżetu                                    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</si>
  <si>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</si>
  <si>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</si>
  <si>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</si>
  <si>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</si>
  <si>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</si>
  <si>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zakup usług medycznych</t>
  </si>
  <si>
    <t>składki na fundusz pracy</t>
  </si>
  <si>
    <t>zakup usług dostepu do sieci interet</t>
  </si>
  <si>
    <t>Starostwo Powiatowe- utrzymanie pracownika ZNP</t>
  </si>
  <si>
    <t>budowa chodnika w Stobnie</t>
  </si>
  <si>
    <t>przebudowa oświetlenia w mieście</t>
  </si>
  <si>
    <t>budowa ulicy Fabrycznej</t>
  </si>
  <si>
    <t>budowa ulicy Rzemieślniczej</t>
  </si>
  <si>
    <t>budowa oświetlenia przy ulicy Wieleńskiej (uzbrojenie terenów ul.Wieleńska)</t>
  </si>
  <si>
    <t>jednostka organizacyjna</t>
  </si>
  <si>
    <t>okres realizacji</t>
  </si>
  <si>
    <t>koszty ogółem</t>
  </si>
  <si>
    <t xml:space="preserve">Budowa kanalizacji sanitarnej i deszczowej oraz rozbudowa oczyszczalni ścieków w Gminie Trzcianka </t>
  </si>
  <si>
    <t>Urząd Miejski Trzcianki</t>
  </si>
  <si>
    <t>2005-2006</t>
  </si>
  <si>
    <t>cel:</t>
  </si>
  <si>
    <t>Rozbudowa infrastruktury technicznej na terenie gminy, modernizacja i rozbudowa miejskiej oczyszczalni ścieków, uzbrojenie terenów budownictwa jednorodzinnego.</t>
  </si>
  <si>
    <t>2.</t>
  </si>
  <si>
    <t>Modernizacja dróg gminnych</t>
  </si>
  <si>
    <t>2004-2011</t>
  </si>
  <si>
    <t>Poprawa stanu nawierzchni dróg gminnych</t>
  </si>
  <si>
    <t>3.</t>
  </si>
  <si>
    <t>Uzbrojenie techniczne terenów budownictwa mieszkaniowego w rejonie ul. Wieleńskiej</t>
  </si>
  <si>
    <t>2006-2008</t>
  </si>
  <si>
    <t xml:space="preserve">Poprawa stanu nawierzchni dróg i bezpieczeństwa mieszkańców </t>
  </si>
  <si>
    <t>4.</t>
  </si>
  <si>
    <t>Uzbrojenie techniczne terenów budownictwa mieszkaniowego w rejonie jeziora Okunie lub Sarcz</t>
  </si>
  <si>
    <t>2005-2009</t>
  </si>
  <si>
    <t>5.</t>
  </si>
  <si>
    <t>Budowa pływalni (kryty basen)</t>
  </si>
  <si>
    <t>2007-2008</t>
  </si>
  <si>
    <t>Budowa bazy rekreacyjno-edukacyjno-sportowej</t>
  </si>
  <si>
    <t>6.</t>
  </si>
  <si>
    <t>Budowa sali sportowej we wsi Siedlisko</t>
  </si>
  <si>
    <t>7.</t>
  </si>
  <si>
    <t>2005-2007</t>
  </si>
  <si>
    <t>Poprawa bezpieczeństwa i ochrona przeciwpożarowa</t>
  </si>
  <si>
    <t xml:space="preserve">      Ochrona zdrowia</t>
  </si>
  <si>
    <t>zasiłki i pomoc w naturze oraz składki na ubezpieczenia emerytalne i rentowe</t>
  </si>
  <si>
    <t>a)</t>
  </si>
  <si>
    <t>b)</t>
  </si>
  <si>
    <t>a) środki własne                b) środki z innych źródeł</t>
  </si>
  <si>
    <t xml:space="preserve">                </t>
  </si>
  <si>
    <t>środki obrotowe</t>
  </si>
  <si>
    <t>w tym:</t>
  </si>
  <si>
    <t xml:space="preserve">w tym: </t>
  </si>
  <si>
    <t>na początek roku</t>
  </si>
  <si>
    <t>dotacje</t>
  </si>
  <si>
    <t xml:space="preserve"> płace
 i pochodne</t>
  </si>
  <si>
    <t>wydatki
inwestycyjne</t>
  </si>
  <si>
    <t>pozostałe wydatki</t>
  </si>
  <si>
    <t>na koniec roku</t>
  </si>
  <si>
    <t>przedszkola</t>
  </si>
  <si>
    <t>zmiana</t>
  </si>
  <si>
    <t>dokształcanie i doskanalenie nauczycieli</t>
  </si>
  <si>
    <t>środki pieniężne</t>
  </si>
  <si>
    <t>dochody</t>
  </si>
  <si>
    <t>wydatki</t>
  </si>
  <si>
    <t>plan po zm.</t>
  </si>
  <si>
    <t>budowa wodociągu w Osińcu</t>
  </si>
  <si>
    <t>rezerwy na inwestycje i zakupy inwestycyjne</t>
  </si>
  <si>
    <t>świadczenia rodzinne, zaliczka alimentacyjna oraz składki na ubezpieczenia emerytalne i rentowe z ubezpieczenia społecznego</t>
  </si>
  <si>
    <t>rezerwa na inwestycje i zakupy inwestycyjne</t>
  </si>
  <si>
    <t>dotacja przedmiotowa z budżetu dla jednostek nie zaliczanych do sektora finansów publicznych</t>
  </si>
  <si>
    <t>Caritas Parafii p.w. Św. Jana Chrzciciela</t>
  </si>
  <si>
    <t>Stowarzyszenie "Pomagajmy Dzieciom"</t>
  </si>
  <si>
    <t>Towarzystwo Przyjaciół Dzieci Koło Przyjaciół Dzieci Niepełnosprawnych w Trzciance</t>
  </si>
  <si>
    <t>* Środki w ramach Zintegrowanego Programu Operacyjnego Rozwoju Regionalnego</t>
  </si>
  <si>
    <t>przeciwdziałanie narkomanii</t>
  </si>
  <si>
    <t>MKS "Lubuszanin"</t>
  </si>
  <si>
    <t>MKS MDK</t>
  </si>
  <si>
    <t>UKS "Dysk" przy SP nr 3</t>
  </si>
  <si>
    <t>UKS " Kajak"przy Gimnazjum nr 1</t>
  </si>
  <si>
    <t>Sekcja Olimpiad Specjalnych "Olimpijczyk"</t>
  </si>
  <si>
    <t>UKS "Fortuna" Biała</t>
  </si>
  <si>
    <t>LKS "Zuch" Rychlik</t>
  </si>
  <si>
    <t>Trzcianeckie Stowarzyszenie LZS</t>
  </si>
  <si>
    <t>ZHP</t>
  </si>
  <si>
    <t>Oddział Olimpiad Specjalnych "Olimpijczyk"</t>
  </si>
  <si>
    <t>PTSS "Sprawni Razem"</t>
  </si>
  <si>
    <t>budowa oświetlenia na ulicach: Ogrodowa, Łąkowa, Łomnicka</t>
  </si>
  <si>
    <t>współpraca z WZDW - budowa chodnika i ścieżki piesz- rowerowej w Siedlisku</t>
  </si>
  <si>
    <t>modernizacja ulicy Wieleńskiej oraz ulicy Dąbrowskiego i Wiosny Ludów w ramach współpracy z WZDW w zakresie planowanej przebudowy drogi 178</t>
  </si>
  <si>
    <t>do Uchwały Nr XLVII/326/06</t>
  </si>
  <si>
    <t>z dnia 26 stycznia 2006 r.</t>
  </si>
  <si>
    <t xml:space="preserve">                           </t>
  </si>
  <si>
    <t xml:space="preserve">z dnia 26 stycznia 2006 r. </t>
  </si>
  <si>
    <t>Oświetlenie w Dłużewie ( środki sołectwa Łomnica 4.000 zł)</t>
  </si>
  <si>
    <t>zwalczanie narkomanii</t>
  </si>
  <si>
    <t>Rady Miejskiej Trzcianki z dnia 16.03. 2006 r.zmieniający</t>
  </si>
  <si>
    <t>załącznik Nr 1do Uchwały Nr XLVII/326/06</t>
  </si>
  <si>
    <t>Rady Miejskiej Trzcianki z dnia 26.01.2006 r.</t>
  </si>
  <si>
    <t>Dochody 2006 - plan po zmianach</t>
  </si>
  <si>
    <t>Rady Miejskiej Trzcianki z dnia 16.03.2006 r. zmieniający</t>
  </si>
  <si>
    <t xml:space="preserve">Załącznik Nr 2 do Uchwały Nr XLVII/326/06 </t>
  </si>
  <si>
    <t>Rady Miejskiej Trzcianki z dnia 16.03.2006 r. zminiający</t>
  </si>
  <si>
    <t>Załącznik Nr 3 do uchwały Nr XLVII/326/06</t>
  </si>
  <si>
    <t xml:space="preserve">Dotacje 2006 - przekazywane z budżetu  - plan po zmianach        </t>
  </si>
  <si>
    <t>plan po  zmianach</t>
  </si>
  <si>
    <t>załącznik Nr 5 do Uchwały Nr XLVII/326/06</t>
  </si>
  <si>
    <t>Wydatki 2006 związane z realizacją zadań wspólnych realizowanych w drodze umów lub porozumień między jednostkami samorządu terytorialnego - plan po zmianach</t>
  </si>
  <si>
    <t>80110</t>
  </si>
  <si>
    <t>środki na dofinansowanie własnych inwestycji gmin (związków gmin) powiatów (związków powiatów), samorządów województw, pozyskane z innych źródeł</t>
  </si>
  <si>
    <t xml:space="preserve">zmiana </t>
  </si>
  <si>
    <t>Budowa kanalizacji sanitarnej i deszczowej oraz rozbudowa oczyszczalni ścieków w Gminie Trzcianka - plan po zmianach</t>
  </si>
  <si>
    <t xml:space="preserve">Załącznik Nr 10 do Uchwały Nr XLVII/326/06 </t>
  </si>
  <si>
    <t>podóże slużbowe zagraniczne</t>
  </si>
  <si>
    <t>Plan przychodów i rozchodów zakładów budżetowych na 2006 - plan po zmianach</t>
  </si>
  <si>
    <t>Plan dochodów własnych jednostek budżetowych i wydatków nimi sfinansowanych 2006 - plan po zmianach</t>
  </si>
  <si>
    <t>zakup równiarki dla sołectwa Łomnica</t>
  </si>
  <si>
    <t>Załącznik Nr 6 do Uchwały Nr XLVII/326/06</t>
  </si>
  <si>
    <t>szkoły podstawowe - plan po zmianach</t>
  </si>
  <si>
    <t>razem - plan po zmianach</t>
  </si>
  <si>
    <t>spłaty pożyczek otrzymanych na finansowanie zadań realizowanych z udziałem środków pochodzących z budżetu Unii Europejskiej</t>
  </si>
  <si>
    <t>pomoc materialna dla uczniów</t>
  </si>
  <si>
    <t>stypendia dla uczniów</t>
  </si>
  <si>
    <t>kolonie i obozy oraz inne formy wypoczynku dzieci i młodzieży szkolnej, a także szkolenia młodzieży</t>
  </si>
  <si>
    <t>budowa placów zabaw</t>
  </si>
  <si>
    <t>Załącznik Nr 9 do Uchwały Nr XLVII/326/06</t>
  </si>
  <si>
    <t>Rady Miejskiej Trzcianki z  dnia 26.01.2006 r.</t>
  </si>
  <si>
    <t>Rady Miejskiej Trzcianka z dnia 16.03.2006 r. zmieniający</t>
  </si>
  <si>
    <t>Dochody i wydatki 2006 z tytułu opłat za wydawanie zezwoleń na sprzedaż napojów alkoholowych oraz wydatki na realizację zadań określonych w programie profilaktyki i rozwiązywania problemów alkoholowych - plan po zmianach</t>
  </si>
  <si>
    <t>Załącznik Nr 1 do Uchwały Nr XLIX/327/06</t>
  </si>
  <si>
    <t>Załącznik Nr 2 do Uchwały Nr XLIX/327/06</t>
  </si>
  <si>
    <t>Załącznik Nr 3 do Uchwały Nr XLIX/327/06</t>
  </si>
  <si>
    <t>Załącznik Nr 5 do Uchwały Nr XLIX/327/06</t>
  </si>
  <si>
    <t>Załącznik Nr 4 do Uchwały Nr XLIX/327/06</t>
  </si>
  <si>
    <t>Załącznik Nr 7 do uchwały Nr XLIX/327/06</t>
  </si>
  <si>
    <t>Wydatki 2006 na programy i projekty realizowane ze środków pochodzących 
z funduszy strukturalnych Unii Europejskiej - plan po zmianach</t>
  </si>
  <si>
    <t>Załącznik Nr 12 do Uchwały Nr XLIX/327/06</t>
  </si>
  <si>
    <t>Wydatki 2006 - plan po zmianach</t>
  </si>
  <si>
    <t>Rady Miejskiej Trzcianki z dnia 16.03.2006 r.</t>
  </si>
  <si>
    <t xml:space="preserve">                   </t>
  </si>
  <si>
    <t xml:space="preserve">Bezpieczeństwo publiczne                                                i ochrona przeciwpożarowa </t>
  </si>
  <si>
    <t>Załącznik Nr 1do Uchwały Nr XLIX/327//06</t>
  </si>
  <si>
    <t>Załącznik Nr 2 do Uchwały Nr XLIX/327//06</t>
  </si>
  <si>
    <t>Załącznik Nr 3 do Uchwały Nr XLIX/327//06</t>
  </si>
  <si>
    <t>BurmistrzaTrzcianki z dnia 30.03.2006 r.zmieniający</t>
  </si>
  <si>
    <t>Załącznik Nr 1 do Zarządzenia Nr 34/06</t>
  </si>
  <si>
    <t>Załącznik Nr 2 do Zarządzenia Nr 34/06</t>
  </si>
  <si>
    <t>Burmistrza Trzcianki z dnia 30.03.2006 r. zmieniający</t>
  </si>
  <si>
    <t>Załącznik Nr 3 do Zarządzenia Nr 34/06</t>
  </si>
  <si>
    <t xml:space="preserve">Załącznik Nr 4 do Zarządzenia Nr 34/06 </t>
  </si>
  <si>
    <t>Załącznik Nr 4 do Uchwały Nr XLVII/326/06</t>
  </si>
  <si>
    <t>dotacje celowe otrzymane 
z budżetu państwa na realizację zadań bieżących z zakresu administracji rządowej oraz innych zadań zleconych gminie (związkom gmin) ustawami</t>
  </si>
  <si>
    <t>urzędy naczelnych organów władzy państwowej, kontroli 
i ochrony prawa</t>
  </si>
  <si>
    <t>dotacje celowe otrzymane 
z powiatu na zadania bieżące realizowane na podstawie porozumień  między jednostkami samorządu terytorialnego</t>
  </si>
  <si>
    <t>dochody jednostek samorządu terytorialnego związane 
z realizacją zadań z zakresu administracji rządowej oraz innych zadań zleconych ustawami</t>
  </si>
  <si>
    <t>dotacje celowe otrzymane
z budżetu państwa na realizację własnych zadań bieżących gmin (związków gmin)</t>
  </si>
  <si>
    <t>domy i ośrodki kultury, świetlice 
i kluby</t>
  </si>
  <si>
    <t>koszty postępowania sądowego 
i prokuratorskiego</t>
  </si>
  <si>
    <t>odsetki i dyskonto od krajowych skarbowych papierów wartościowych oraz pożyczek 
i kredytów</t>
  </si>
  <si>
    <t>odsetki i dyskonto od krajowych skarbowych papierów wartościowych oraz pożyczek
i kredytów</t>
  </si>
  <si>
    <t>Rady Miejskiej Trzcianki z dnia 13.04.2006 r. zmieniający</t>
  </si>
  <si>
    <t>Rady Miejskiej Trzcianki z dnia 30.03.2006 r.</t>
  </si>
  <si>
    <t>Rady Miejskiej Trzcianki z dnia 13.04.2006 r.zmieniający</t>
  </si>
  <si>
    <t xml:space="preserve">Rady Miejskiej Trzcianki z dnia 16.03.2006 r. </t>
  </si>
  <si>
    <t xml:space="preserve">przedszkola - plan </t>
  </si>
  <si>
    <t>Rady Miejskiej Trzcianki z dnia 16.03. 2006 r.</t>
  </si>
  <si>
    <t>budowa ulicy Paderewskiego - dofinansowanie</t>
  </si>
  <si>
    <t>budowa chodnika na ul. Mickiewicza</t>
  </si>
  <si>
    <t>Oświetlenie Wapniarnia III</t>
  </si>
  <si>
    <t>Wydatki majątkowe 2006 - plan po zmianach</t>
  </si>
  <si>
    <t>Plan przychodów i rozchodów 2006 - plan po zmianach</t>
  </si>
  <si>
    <t>BurmistrzaTrzcianki z dnia 30.03.2006 r.</t>
  </si>
  <si>
    <t>oddziały przedszkolne 
w szkołach podstawowych</t>
  </si>
  <si>
    <t>budowa chodnika na ul.Orzeszkowej, Konopnickiej</t>
  </si>
  <si>
    <t>Załącznik Nr 1 do Uchwały Nr L/336/06</t>
  </si>
  <si>
    <t>Załącznik Nr 2 do Uchwały Nr L/336/06</t>
  </si>
  <si>
    <t>Załącznik Nr 3 do Uchwały Nr /336/06</t>
  </si>
  <si>
    <t>Załącznik Nr 4 do Uchwały Nr L/336/06</t>
  </si>
  <si>
    <t>Załącznik Nr 6 do uchwały Nr L/336/06</t>
  </si>
  <si>
    <t>Rady Miejskiej Trzcianki z dnia 13.04.2006 r.</t>
  </si>
  <si>
    <t xml:space="preserve">Rady Miejskiej Trzcianki z dnia 13.04.2006 r. </t>
  </si>
  <si>
    <t>Rady Miejskiej Trzcianki z dnia 01.06.2006 r.zmieniający</t>
  </si>
  <si>
    <t>Rady Miejskiej Trzcianki z dnia 1.06.2006 r. zmieniający</t>
  </si>
  <si>
    <t>Starostwo Powiatowe- organizacja Mistrzostw Polski Modeli Pływających</t>
  </si>
  <si>
    <t>Rady Miejskiej Trzcianki z dnia 1.06.2006 r.zmieniający</t>
  </si>
  <si>
    <t>85295 dożyw.</t>
  </si>
  <si>
    <t>85219 dodatek</t>
  </si>
  <si>
    <t>85414 stypen.</t>
  </si>
  <si>
    <t>92605. M.Spo</t>
  </si>
  <si>
    <t>dot.porozum.</t>
  </si>
  <si>
    <t>dod.MGOPS</t>
  </si>
  <si>
    <t>dożywianie</t>
  </si>
  <si>
    <t>stypendia</t>
  </si>
  <si>
    <t>M.Sportu</t>
  </si>
  <si>
    <t>przen.Starostwo</t>
  </si>
  <si>
    <t>z 4300 do 4210</t>
  </si>
  <si>
    <t>z 4300 do 4170</t>
  </si>
  <si>
    <t>Załącznik Nr 4 do Uchwały Nr /06</t>
  </si>
  <si>
    <t>T.Karasińska</t>
  </si>
  <si>
    <t>sołeckie</t>
  </si>
  <si>
    <t>szkoły podst.</t>
  </si>
  <si>
    <t>zob. z 2005 r.</t>
  </si>
  <si>
    <t>rezerwa</t>
  </si>
  <si>
    <t>domy i ośrdoki kultury, świetlice i kluby</t>
  </si>
  <si>
    <t>zakup nagrzewnicy do sali wiejskiej w Niekursku</t>
  </si>
  <si>
    <t>MRG</t>
  </si>
  <si>
    <t>oswiata</t>
  </si>
  <si>
    <t>Starostwo Powiatowe- organizacja Spartakiady dla gimnazjalistów z okazji Dnia Dziecka</t>
  </si>
  <si>
    <t>ZPORR</t>
  </si>
  <si>
    <t>Załącznik Nr 7 do uchwały Nr LII/342/06</t>
  </si>
  <si>
    <t>Załącznik Nr 4 do Uchwały Nr LII/342/06</t>
  </si>
  <si>
    <t>Załącznik Nr 5 do Uchwały Nr LII/342/06</t>
  </si>
  <si>
    <t>Załącznik Nr 3 do Uchwały Nr  LII/342/06</t>
  </si>
  <si>
    <t>Załącznik Nr 2 do Uchwały Nr LII/342/06</t>
  </si>
  <si>
    <t>Załącznik Nr 1 do Uchwały Nr LII/342/06</t>
  </si>
  <si>
    <t>Rady Miejskiej Trzcianki z dnia 01.06.2006 r.</t>
  </si>
  <si>
    <t>Rady Miejskiej Trzcianki z dnia 29.06.2006 r.zmieniający</t>
  </si>
  <si>
    <t>85214.2030</t>
  </si>
  <si>
    <t xml:space="preserve">Rady Miejskiej Trzcianki z dnia 1.06.2006 r. </t>
  </si>
  <si>
    <t>Rady Miejskiej Trzcianki z dnia 29.06.2006 r. zmieniający</t>
  </si>
  <si>
    <t>Rady Miejskiej Trzcianki z dnia 1.06.2006 r.</t>
  </si>
  <si>
    <t xml:space="preserve">Rady Miejskiej Trzcianka z dnia 16.03.2006 r. </t>
  </si>
  <si>
    <t>Rady Miejskiej Trzcianka z dnia 29.06.2006 r. zmieniający</t>
  </si>
  <si>
    <t>Wydatki na realizację zadań określonych 
w programie profilaktyki i rozwiązywania problemów alkoholowych - plan po zmianach</t>
  </si>
  <si>
    <t>Dochody z tytułu opłat za wydawanie zezwoleń na sprzedaż napojów alkoholowych - plan po zmianach</t>
  </si>
  <si>
    <t>85412.2630</t>
  </si>
  <si>
    <t>85214.3110</t>
  </si>
  <si>
    <t>4040 do 4010</t>
  </si>
  <si>
    <t>wydatki na pomoc finansową udzielaną między jednostkami samorządu terytorialnego na dofinansowanie własnych zadań inwestycyjnych i zakupów inwestycyjnych</t>
  </si>
  <si>
    <t>drogi publiczne wojewódzkie</t>
  </si>
  <si>
    <t>współpraca z WZDW - przebudowa ciągu pieszo -rowerowego w Siedlisku</t>
  </si>
  <si>
    <t>wydatki na pomoc finansową udzielaną między jednostkami samorządu terytorialnego na dofinansowanie własnych zadań bieżących</t>
  </si>
  <si>
    <t>przebudowa ulicy Witosa 
w Trzciance</t>
  </si>
  <si>
    <t>92605.232</t>
  </si>
  <si>
    <t>wydatki na zakup i objęcie akcji, wniesienie wkładów do spółek prawa handlowego oraz na fundusz statutowy banków państwowych i innych instytucji finansowych</t>
  </si>
  <si>
    <t>Kolonie i obozy praz inne formy wypoczynku dzieci i młodzieży szkolnej, a także szkolenia młodzieży</t>
  </si>
  <si>
    <t>Olimpiady Specjalne Polska 
Oddział Regionalny Olimpiady Specjalne
Polska Wielkopolskie
Sekcja Olimpiad Specjalnych "Olimpijczyk"</t>
  </si>
  <si>
    <t>zwiększenie udziałów w Sp. ZIK</t>
  </si>
  <si>
    <t>80101.2030</t>
  </si>
  <si>
    <t>85415.2030</t>
  </si>
  <si>
    <t>inne formy pomocy dla uczniów</t>
  </si>
  <si>
    <t>Załącznik Nr 1 do Uchwały Nr LIII/353/06</t>
  </si>
  <si>
    <t>Załącznik Nr 2 do Uchwały Nr LIII/353/06</t>
  </si>
  <si>
    <t>Załącznik Nr 3 do Uchwały Nr LIII/353/06</t>
  </si>
  <si>
    <t>Przeciwdziałanie alkoholizmowi</t>
  </si>
  <si>
    <t>Załącznik Nr 4 do Uchwały Nr LIII/353/06</t>
  </si>
  <si>
    <t>Załącznik Nr 5 do Uchwały Nr LIII/353/06</t>
  </si>
  <si>
    <t>Załącznik Nr 6 do Uchwały Nr LIII/353/06</t>
  </si>
  <si>
    <t>Rady Miejskiej Trzcianki z dnia 29.06.2006 r.</t>
  </si>
  <si>
    <t xml:space="preserve">Rady Miejskiej Trzcianki z dnia 29.06.2006 r. </t>
  </si>
  <si>
    <t>wpływy z róznych dochodów</t>
  </si>
  <si>
    <t>0400</t>
  </si>
  <si>
    <t>wpływy z opłaty produktowej</t>
  </si>
  <si>
    <t>gospodarka odpadami</t>
  </si>
  <si>
    <t>przebudowa ulicy Wiosny Ludów i Kopernika</t>
  </si>
  <si>
    <t>wykupy gruntów</t>
  </si>
  <si>
    <t>wykup budynku przy Placu Pocztowym pod budowę budynku TTBS</t>
  </si>
  <si>
    <t>Rady Miejskiej Trzcianki z dnia 08.08.2006 r.zmieniający</t>
  </si>
  <si>
    <t>Urzędy naczelnych organów władzy państwowej, kontroli i ochrony prawa oraz sądownictwa</t>
  </si>
  <si>
    <t>Rady Miejskiej Trzcianki z dnia 8.08.2006 r. zmieniający</t>
  </si>
  <si>
    <t>Załącznik Nr 1 do Uchwały Nr LV/362/06</t>
  </si>
  <si>
    <t>Załącznik Nr 2 do Uchwały Nr LV/362/06</t>
  </si>
  <si>
    <t>Załącznik Nr 3 do Uchwały Nr LV/362/06</t>
  </si>
  <si>
    <t xml:space="preserve">Załącznik Nr 6 do Uchwały Nr LV/362/06 </t>
  </si>
  <si>
    <t>Załącznik Nr 4 do Uchwały Nr LV/362/06</t>
  </si>
  <si>
    <t>Rady Miejskiej Trzcianki z dnia 08.08.2006 r.</t>
  </si>
  <si>
    <t xml:space="preserve">Rady Miejskiej Trzcianki z dnia 8.08.2006 r. </t>
  </si>
  <si>
    <t xml:space="preserve">Rady Miejskiej Trzcianka z dnia 29.06.2006 r. </t>
  </si>
  <si>
    <t>Budowa remizy 
w Niekursku - plan</t>
  </si>
  <si>
    <t>Wydatki 2006 na finansowanie wieloletnich programów inwestycyjnych - plan po zmianach</t>
  </si>
  <si>
    <t xml:space="preserve">szkoły podstawowe - plan </t>
  </si>
  <si>
    <t xml:space="preserve">gimnazja  - plan </t>
  </si>
  <si>
    <t xml:space="preserve">świetlice szkolne - plan </t>
  </si>
  <si>
    <t>wpłaty gmin na rzecz izb rolniczych w wysokości 2% uzyskanych wpływów 
z podatku rolnego</t>
  </si>
  <si>
    <t>dotacja celowa na pomoc finansową udzielaną między jednostkami samorządu terytorialnego na dofinansowanie własnych zadań inwestycyjnych i zakupów inwestycyjnych</t>
  </si>
  <si>
    <t>dotacja celowa na pomoc finansową udzielaną między jednostkami samorządu terytorialnego na dofinansowanie własnych zadań bieżących</t>
  </si>
  <si>
    <t>Olimpiady Specjalne Polska Oddział Regionalny Olimpiady Specjalne Polska Wielkopolskie</t>
  </si>
  <si>
    <t>Gmina Piła (Ośrodek Profilaktyki i Rozwiązywania Problemów Alkoholowych)</t>
  </si>
  <si>
    <t>DOTACJE NA ZADANIA INWESTYCYJNE</t>
  </si>
  <si>
    <t>DOTACJE NA ZADANIA BIEŻĄCE</t>
  </si>
  <si>
    <t>grzywny, mandaty i inne kary pieniężne od osób fizycznych</t>
  </si>
  <si>
    <t>wpływy z opłat za wydawanie zezwoleń na sprzedaż alkoholu</t>
  </si>
  <si>
    <t>Rady Miejskiej Trzcianki z dnia 21.09.2006 r.zmieniający</t>
  </si>
  <si>
    <t>Wielkopolski Zarząd Dróg Wojewódzkich</t>
  </si>
  <si>
    <t>Transport i łącznośc</t>
  </si>
  <si>
    <t>zakup nagrzewnicy do sali wiejskiej w Pokrzywnie</t>
  </si>
  <si>
    <t>budowa chodnika w Runowie</t>
  </si>
  <si>
    <t>Rady Miejskiej Trzcianki z dnia 21.09.2006 r. zmieniający</t>
  </si>
  <si>
    <t>budowa chodnika w Radolinie</t>
  </si>
  <si>
    <t>Załącznik Nr 1 do Uchwały Nr LVII/367/06</t>
  </si>
  <si>
    <t>Załącznik Nr 2 do Uchwały Nr LVII/367/06</t>
  </si>
  <si>
    <t>Załącznik Nr 3 do Uchwały Nr VII/367/06</t>
  </si>
  <si>
    <t>Załącznik Nr 5 do Uchwały Nr LVII/367/06</t>
  </si>
  <si>
    <t xml:space="preserve">Załącznik Nr 4 do Uchwały Nr LVII/367/06 </t>
  </si>
  <si>
    <t>Załącznik Nr 6 do Uchwały Nr LVII/367/06</t>
  </si>
  <si>
    <t>Rady Miejskiej Trzcianka z dnia 21.09.2006 r. zmieniający</t>
  </si>
  <si>
    <t>Załącznik Nr 10 do uchwały Nr LVII/367/06</t>
  </si>
  <si>
    <t>Rady Miejskiej Trzcianki z dnia 21.09.2006 r.</t>
  </si>
  <si>
    <t>Burmistrza Trzcianki z dnia 29.09.2006 r.zmieniający</t>
  </si>
  <si>
    <t>Burmistrza Trzcianki z dnia 29.09.2006 r. zmieniający</t>
  </si>
  <si>
    <t>wybory do rad gmin, rad powiatów i sejmików województw, wybory wójtów, burmistrzów i prezydentów miast oraz referanda gminne, powiatowe i wojewódzkie</t>
  </si>
  <si>
    <t>wybory do rad gmin, rad powiatów i sejmików województw, wybory wójtów, burmistrzów i prezydentów miast oraz referenda gminne, powiatowe i wojewódzkie</t>
  </si>
  <si>
    <t>dotacje celowe otrzymane
z powiatu na zadania bieżące realizowane na podstawie porozumień  między jednostkami samorządu terytorialnego</t>
  </si>
  <si>
    <t>dotacje celowe otrzymane 
z budżetu państwa na realizację zadań bieżących z zakresu administracji rządowej oraz innych zadań zleconych gminie(zwiazkom gmin) ustawami</t>
  </si>
  <si>
    <t>dotacje celowe otrzymane 
z budżetu państwa na realizację zadań bieżących z zakresu administracji rządowej oraz innych zadań zleconych gminie (zwiazkom gmin) ustawami</t>
  </si>
  <si>
    <t>wybory do rad gmin, rad powiatów i sejmików województw, wybory wójtów, burmistrzów i prezydentó miast oraz referenda gminne, powiatowe i wojewódzkie</t>
  </si>
  <si>
    <t>Załącznik Nr 3 do Zarządzenia Nr 143/06</t>
  </si>
  <si>
    <t>Załącznik Nr 4 do Zarządzenia Nr 143/06</t>
  </si>
  <si>
    <t>Załącznik Nr 1 do Zarządzenia Nr 143/06</t>
  </si>
  <si>
    <t>Załącznik Nr 2 do Zarządzenia Nr 143/06</t>
  </si>
  <si>
    <t>Rady Miejskiej Trzcianki z dnia 19.10.2006 r.zmieniający</t>
  </si>
  <si>
    <t>Burmistrza Trzcianki z dnia 29.09.2006 r.</t>
  </si>
  <si>
    <t>Rady Miejskiej Trzcianki z dnia 19.10.2006 r. zmieniający</t>
  </si>
  <si>
    <t xml:space="preserve">Burmistrza Trzcianki z dnia 29.09.2006 r. </t>
  </si>
  <si>
    <t xml:space="preserve">Rady Miejskiej Trzcianka z dnia 21.09.2006 r. </t>
  </si>
  <si>
    <t>Rady Miejskiej Trzcianka z dnia 19.10.2006 r. zmieniający</t>
  </si>
  <si>
    <t xml:space="preserve">Budowa kanalizacji sanitarnej i deszczowej oraz rozbudowa oczyszczalni ścieków w Gminie Trzcianka - plan </t>
  </si>
  <si>
    <t xml:space="preserve">Budowa remizy 
w Niekursku - plan </t>
  </si>
  <si>
    <t xml:space="preserve">Modernizacja dróg gminnych - plan </t>
  </si>
  <si>
    <t>Fundusz nauczyc.</t>
  </si>
  <si>
    <t>801.80113</t>
  </si>
  <si>
    <t>852.85219</t>
  </si>
  <si>
    <t>zwieksz.budz.</t>
  </si>
  <si>
    <t>specjaliści</t>
  </si>
  <si>
    <t>z wypoczynku</t>
  </si>
  <si>
    <t>zmniejsz.budżet</t>
  </si>
  <si>
    <t>szpitale ogólne</t>
  </si>
  <si>
    <t>dot.przedszk.</t>
  </si>
  <si>
    <t>Pomoc finansowa dla Starostwa Powiatowego na zakup sprzętu szpitalnego dla Szpitala Powiatowego w Trzciance</t>
  </si>
  <si>
    <t>Pomoc finansowa dla Starostwa Powiatowego 
na zakup sprzętu szpitalnego 
dla Szpitala Powiatowego w Trzciance</t>
  </si>
  <si>
    <t>gimn.</t>
  </si>
  <si>
    <t>świetlice</t>
  </si>
  <si>
    <t>801.80103</t>
  </si>
  <si>
    <t>doch.z najmu szkoły</t>
  </si>
  <si>
    <t>doch z naj.gimn.</t>
  </si>
  <si>
    <t xml:space="preserve">dokształcanie i doskanalenie nauczycieli - plan </t>
  </si>
  <si>
    <t>pomoc szpital</t>
  </si>
  <si>
    <t>dot.przek.Sz.K.</t>
  </si>
  <si>
    <t>GKRPA</t>
  </si>
  <si>
    <t>BUDZET</t>
  </si>
  <si>
    <t>OSWIATA</t>
  </si>
  <si>
    <t>dowozy</t>
  </si>
  <si>
    <t>budowa boiska sportowego 
w Teresinie ( w tym środki sołectwa teresin 8.160 zł)</t>
  </si>
  <si>
    <t xml:space="preserve">Rady Miejskiej Trzcianki z dnia 21.09.2006 r. </t>
  </si>
  <si>
    <t>Załącznik Nr 1 do Uchwały Nr LVIII/378/06</t>
  </si>
  <si>
    <t>Załącznik Nr 2 do Uchwały Nr LVIII/378/06</t>
  </si>
  <si>
    <t>obiekty sportowe</t>
  </si>
  <si>
    <t>dotacja przedmiotowa 
z budżetu dla jednostek nie zaliczanych do sektora finansów publicznych</t>
  </si>
  <si>
    <t>Załącznik Nr 3 do Uchwały Nr LVIII/378/06</t>
  </si>
  <si>
    <t>Załącznik Nr 4 do Uchwały Nr LVIII/378/06</t>
  </si>
  <si>
    <t>Załącznik Nr 5 do Uchwały Nr LVIII/378/06</t>
  </si>
  <si>
    <t>Załącznik Nr 6 do Uchwały Nr LVIII/378/06</t>
  </si>
  <si>
    <t>Załącznik Nr 7 do uchwały Nr LVIII/378/06</t>
  </si>
  <si>
    <t>Załącznik Nr 9 do Uchwały Nr LVIII/378/06</t>
  </si>
  <si>
    <t>Załącznik Nr 10 do uchwały Nr LVIII/378/06</t>
  </si>
  <si>
    <t>Załącznik Nr 11 do uchwały Nr LVIII/378/06</t>
  </si>
  <si>
    <t>Rady Miejskiej Trzcianki z dnia 19.10.2006 r.</t>
  </si>
  <si>
    <t>Burmistrza Trzcianki z dnia 31.10.2006 r.zmieniający</t>
  </si>
  <si>
    <t>Burmistrza Trzcianki z dnia 31.10.2006 r. zmieniający</t>
  </si>
  <si>
    <t xml:space="preserve">Załącznik Nr 4 do Zarządzenia Nr 164/06 </t>
  </si>
  <si>
    <t>Załącznik Nr 3 do Zarządzenia Nr 164/06</t>
  </si>
  <si>
    <t>Załącznik Nr 2 do Zarzadzenia Nr 164/06</t>
  </si>
  <si>
    <t>Załącznik Nr 1 do Zarządzenia Nr 164/06</t>
  </si>
  <si>
    <t>usuwanie skutków klęsk żywiołowych</t>
  </si>
  <si>
    <t>852.85278</t>
  </si>
  <si>
    <t>854.85415</t>
  </si>
  <si>
    <t>852.85212</t>
  </si>
  <si>
    <t>01095</t>
  </si>
  <si>
    <t>801.80101</t>
  </si>
  <si>
    <t>010.01095</t>
  </si>
  <si>
    <t>rózne opłaty i składki</t>
  </si>
  <si>
    <t>Burmistrza Trzcianki z dnia 31.10.2006 r.</t>
  </si>
  <si>
    <t xml:space="preserve">Burmistrza Trzcianki z dnia 31.10.2006 r. </t>
  </si>
  <si>
    <t>852.85212.</t>
  </si>
  <si>
    <t>852.85214.</t>
  </si>
  <si>
    <t>zad.wł.wyprawka szkolna</t>
  </si>
  <si>
    <t>zad.zl. świadczenia rodzinne</t>
  </si>
  <si>
    <t>zad.zl.świadczenia rodzinne</t>
  </si>
  <si>
    <t>zad.wł.zasiłki okresowe</t>
  </si>
  <si>
    <t>zad.wł.stypendia edukacyjne</t>
  </si>
  <si>
    <t>750.75011</t>
  </si>
  <si>
    <t>urząd wojewódzki</t>
  </si>
  <si>
    <t>852.85214</t>
  </si>
  <si>
    <t>Załącznik Nr 1 do Zarządzenia Nr 175/06</t>
  </si>
  <si>
    <t>Załącznik Nr 2 do Zarzadzenia Nr 175/06</t>
  </si>
  <si>
    <t>Załącznik Nr 3 do Zarządzenia Nr 175/06</t>
  </si>
  <si>
    <t>Załącznik Nr 4 do Zarządzenia Nr 175/06</t>
  </si>
  <si>
    <t>Wydatki 2006 związane z realizacją zadań 
z zakresu administracji rządowej i innych zadań zleconych ustawami - plan po zmianach</t>
  </si>
  <si>
    <t>Burmistrza Trzcianki z dnia 27.11.2006 r.zmieniający</t>
  </si>
  <si>
    <t>Burmistrza Trzcianki z dnia 27.11.2006 r. zmieniający</t>
  </si>
  <si>
    <t>Burmistrza Trzcianki z dnia 27.11.2006 r.</t>
  </si>
  <si>
    <t>Rady Miejskiej Trzcianki z dnia           .2006 r.zmieniający</t>
  </si>
  <si>
    <t xml:space="preserve">Załącznik Nr 3 do Uchwały Nr </t>
  </si>
  <si>
    <t xml:space="preserve">Rady Miejskiej Trzcianka z dnia 19.10.2006 r. </t>
  </si>
  <si>
    <t>Burmistrza Trzcianki z dnia 8.12.2006 r.zmieniający</t>
  </si>
  <si>
    <t xml:space="preserve">Załącznik Nr 3 do Zarządzenia Nr 178/06 </t>
  </si>
  <si>
    <t xml:space="preserve">Załącznik Nr 2 do Zarządzenia Nr 178/06 </t>
  </si>
  <si>
    <t>Załącznik Nr 4 do Zarządzenia Nr 178/06</t>
  </si>
  <si>
    <t>Burmistrza Trzcianki z dnia 8.12.2006 r. zmieniający</t>
  </si>
  <si>
    <t xml:space="preserve">Burmistrza Trzcianki z dnia 27.11.2006 r. </t>
  </si>
  <si>
    <t>Rady Miejskiej Trzcianki z dnia 21.12.2006 r. zmieniający</t>
  </si>
  <si>
    <t>Rady Miejskiej Trzcianki z dnia 21.12.2006 r.zmieniający</t>
  </si>
  <si>
    <t>Burmistrza Trzcianki z dnia 8.12.2006 r.</t>
  </si>
  <si>
    <t xml:space="preserve">Załącznik Nr 1 do Zarządzenia Nr 178/06  </t>
  </si>
  <si>
    <t xml:space="preserve">Załącznik Nr 1 do Zarządzenia Nr 175/06 </t>
  </si>
  <si>
    <t>dotacje celowe otrzymane 
z gminy na zadania bieżące realizowane na podstawie porozumień  między jednostkami samorządu terytorialnego</t>
  </si>
  <si>
    <t>Rady Miejskiej Trzcianka z dnia 21.12.2006 r. zmieniający</t>
  </si>
  <si>
    <t>soł.</t>
  </si>
  <si>
    <t>zielonoświątkowcy</t>
  </si>
  <si>
    <t>Teresa</t>
  </si>
  <si>
    <t>dokształcanie i doskanalenie nauczycieli - plan po zmianach</t>
  </si>
  <si>
    <t>Borkowska</t>
  </si>
  <si>
    <t>sokrates</t>
  </si>
  <si>
    <t xml:space="preserve">dopłaty w spółkach prawa handlowego </t>
  </si>
  <si>
    <t>środki na dofinansowanie własnych zadań bieżących gmin (związków gmin), powiatów (zwiazków powiatów), samorządów województw, pozyskane z innych źródeł</t>
  </si>
  <si>
    <t xml:space="preserve">Rady Miejskiej Trzcianki z dnia 19.10.2006 r. </t>
  </si>
  <si>
    <t xml:space="preserve">świetlice szkolne - plan po zmianach </t>
  </si>
  <si>
    <t xml:space="preserve">Rady Miejskiej Trzcianki z dnia 21.12.2006 r. zmieniający </t>
  </si>
  <si>
    <t>0760</t>
  </si>
  <si>
    <t>wpływy z tytułu przekształcenia prawa uzytkowania wieczystegio przysługującego osobom fizycznych w prawo własności</t>
  </si>
  <si>
    <t>1.</t>
  </si>
  <si>
    <t>Załącznik Nr 13 do uchwały Nr IV/11/06</t>
  </si>
  <si>
    <t>Załącznik Nr 1 do Uchwały Nr IV/11/06</t>
  </si>
  <si>
    <t>Załącznik Nr 2 do Uchwały Nr IV/11/06</t>
  </si>
  <si>
    <t>Załącznik Nr 3 do Uchwały Nr IV/11/06</t>
  </si>
  <si>
    <t>Załącznik Nr 6 do Uchwały Nr IV/11/06</t>
  </si>
  <si>
    <t xml:space="preserve">Burmistrza Trzcianki z dnia 8.12.2006 r. </t>
  </si>
  <si>
    <t>Załącznik Nr 5 do Uchwały Nr IV/11/06</t>
  </si>
  <si>
    <t>Załącznik Nr 4 do Uchwały Nr IV/11/06</t>
  </si>
  <si>
    <t>Załącznik Nr 7 do Uchwały Nr IV/11/06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</si>
</sst>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5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4" fontId="4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4" fontId="1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" fontId="10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 indent="1"/>
    </xf>
    <xf numFmtId="4" fontId="4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/>
    </xf>
    <xf numFmtId="0" fontId="10" fillId="0" borderId="1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/>
    </xf>
    <xf numFmtId="164" fontId="4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left" vertical="center" wrapText="1" indent="1"/>
    </xf>
    <xf numFmtId="4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2" fillId="34" borderId="1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1"/>
    </xf>
    <xf numFmtId="0" fontId="1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 quotePrefix="1">
      <alignment horizontal="right" vertical="center" wrapText="1"/>
    </xf>
    <xf numFmtId="0" fontId="2" fillId="0" borderId="10" xfId="0" applyFont="1" applyFill="1" applyBorder="1" applyAlignment="1" quotePrefix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4" fontId="4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8" fillId="0" borderId="11" xfId="0" applyNumberFormat="1" applyFont="1" applyFill="1" applyBorder="1" applyAlignment="1" quotePrefix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4" fontId="3" fillId="0" borderId="11" xfId="0" applyNumberFormat="1" applyFont="1" applyFill="1" applyBorder="1" applyAlignment="1" quotePrefix="1">
      <alignment horizontal="right" vertical="center" wrapText="1"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left" wrapText="1" indent="1"/>
    </xf>
    <xf numFmtId="0" fontId="17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 quotePrefix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64" fontId="4" fillId="33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33" borderId="20" xfId="0" applyFont="1" applyFill="1" applyBorder="1" applyAlignment="1" quotePrefix="1">
      <alignment horizontal="center" vertical="center" wrapText="1"/>
    </xf>
    <xf numFmtId="0" fontId="2" fillId="33" borderId="15" xfId="0" applyFont="1" applyFill="1" applyBorder="1" applyAlignment="1" quotePrefix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16" xfId="0" applyFont="1" applyFill="1" applyBorder="1" applyAlignment="1">
      <alignment horizontal="left" vertical="center" wrapText="1" indent="1"/>
    </xf>
    <xf numFmtId="4" fontId="10" fillId="0" borderId="15" xfId="0" applyNumberFormat="1" applyFont="1" applyBorder="1" applyAlignment="1">
      <alignment horizontal="right" vertical="center"/>
    </xf>
    <xf numFmtId="4" fontId="5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7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4" fontId="3" fillId="0" borderId="15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 indent="1"/>
    </xf>
    <xf numFmtId="4" fontId="2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 quotePrefix="1">
      <alignment horizontal="right" vertical="center" wrapText="1"/>
    </xf>
    <xf numFmtId="0" fontId="8" fillId="0" borderId="0" xfId="0" applyFont="1" applyAlignment="1">
      <alignment/>
    </xf>
    <xf numFmtId="4" fontId="8" fillId="0" borderId="10" xfId="0" applyNumberFormat="1" applyFont="1" applyFill="1" applyBorder="1" applyAlignment="1" quotePrefix="1">
      <alignment horizontal="right" vertical="center" wrapText="1"/>
    </xf>
    <xf numFmtId="4" fontId="2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10" fillId="0" borderId="11" xfId="0" applyNumberFormat="1" applyFont="1" applyFill="1" applyBorder="1" applyAlignment="1" quotePrefix="1">
      <alignment horizontal="right" vertical="center" wrapText="1"/>
    </xf>
    <xf numFmtId="4" fontId="10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1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9" fontId="9" fillId="0" borderId="0" xfId="54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33" borderId="0" xfId="0" applyNumberFormat="1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3" fillId="35" borderId="0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horizontal="right" vertical="center"/>
    </xf>
    <xf numFmtId="164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0"/>
  <sheetViews>
    <sheetView zoomScalePageLayoutView="0" workbookViewId="0" topLeftCell="A1">
      <selection activeCell="AR5" sqref="AR5"/>
    </sheetView>
  </sheetViews>
  <sheetFormatPr defaultColWidth="9.00390625" defaultRowHeight="12.75"/>
  <cols>
    <col min="1" max="1" width="5.25390625" style="9" customWidth="1"/>
    <col min="2" max="2" width="7.25390625" style="9" bestFit="1" customWidth="1"/>
    <col min="3" max="3" width="5.00390625" style="9" bestFit="1" customWidth="1"/>
    <col min="4" max="4" width="27.00390625" style="9" customWidth="1"/>
    <col min="5" max="5" width="12.25390625" style="44" hidden="1" customWidth="1"/>
    <col min="6" max="6" width="20.375" style="76" hidden="1" customWidth="1"/>
    <col min="7" max="7" width="11.625" style="76" hidden="1" customWidth="1"/>
    <col min="8" max="8" width="12.25390625" style="0" hidden="1" customWidth="1"/>
    <col min="9" max="9" width="16.625" style="76" hidden="1" customWidth="1"/>
    <col min="10" max="10" width="11.625" style="76" hidden="1" customWidth="1"/>
    <col min="11" max="11" width="12.25390625" style="0" hidden="1" customWidth="1"/>
    <col min="12" max="12" width="31.625" style="76" hidden="1" customWidth="1"/>
    <col min="13" max="13" width="11.625" style="76" hidden="1" customWidth="1"/>
    <col min="14" max="14" width="12.25390625" style="0" hidden="1" customWidth="1"/>
    <col min="15" max="15" width="34.375" style="76" hidden="1" customWidth="1"/>
    <col min="16" max="16" width="11.625" style="76" hidden="1" customWidth="1"/>
    <col min="17" max="17" width="13.125" style="0" hidden="1" customWidth="1"/>
    <col min="18" max="18" width="34.375" style="76" hidden="1" customWidth="1"/>
    <col min="19" max="19" width="11.625" style="76" hidden="1" customWidth="1"/>
    <col min="20" max="20" width="12.25390625" style="0" hidden="1" customWidth="1"/>
    <col min="21" max="21" width="34.375" style="76" hidden="1" customWidth="1"/>
    <col min="22" max="22" width="11.625" style="76" hidden="1" customWidth="1"/>
    <col min="23" max="23" width="12.25390625" style="0" hidden="1" customWidth="1"/>
    <col min="24" max="24" width="34.375" style="76" hidden="1" customWidth="1"/>
    <col min="25" max="25" width="11.625" style="76" hidden="1" customWidth="1"/>
    <col min="26" max="26" width="12.25390625" style="0" hidden="1" customWidth="1"/>
    <col min="27" max="27" width="34.375" style="76" hidden="1" customWidth="1"/>
    <col min="28" max="28" width="11.625" style="76" hidden="1" customWidth="1"/>
    <col min="29" max="29" width="12.25390625" style="0" hidden="1" customWidth="1"/>
    <col min="30" max="30" width="32.00390625" style="76" hidden="1" customWidth="1"/>
    <col min="31" max="31" width="11.625" style="76" hidden="1" customWidth="1"/>
    <col min="32" max="32" width="12.25390625" style="0" hidden="1" customWidth="1"/>
    <col min="33" max="33" width="34.375" style="76" hidden="1" customWidth="1"/>
    <col min="34" max="34" width="11.625" style="76" hidden="1" customWidth="1"/>
    <col min="35" max="35" width="12.25390625" style="0" hidden="1" customWidth="1"/>
    <col min="36" max="36" width="32.00390625" style="76" hidden="1" customWidth="1"/>
    <col min="37" max="37" width="11.625" style="76" hidden="1" customWidth="1"/>
    <col min="38" max="38" width="12.25390625" style="0" hidden="1" customWidth="1"/>
    <col min="39" max="39" width="32.00390625" style="76" hidden="1" customWidth="1"/>
    <col min="40" max="40" width="11.625" style="76" hidden="1" customWidth="1"/>
    <col min="41" max="41" width="12.25390625" style="0" hidden="1" customWidth="1"/>
    <col min="42" max="42" width="31.25390625" style="76" hidden="1" customWidth="1"/>
    <col min="43" max="43" width="11.625" style="76" hidden="1" customWidth="1"/>
    <col min="44" max="44" width="12.375" style="0" customWidth="1"/>
    <col min="45" max="45" width="12.75390625" style="76" customWidth="1"/>
    <col min="46" max="46" width="12.625" style="76" customWidth="1"/>
    <col min="47" max="47" width="12.00390625" style="0" customWidth="1"/>
  </cols>
  <sheetData>
    <row r="1" spans="1:47" ht="12.75">
      <c r="A1" s="85"/>
      <c r="B1" s="85"/>
      <c r="C1" s="85"/>
      <c r="D1" s="85"/>
      <c r="E1" s="86"/>
      <c r="F1" s="86" t="s">
        <v>239</v>
      </c>
      <c r="H1" s="86"/>
      <c r="I1" s="160" t="s">
        <v>423</v>
      </c>
      <c r="J1" s="86"/>
      <c r="K1" s="86"/>
      <c r="L1" s="160" t="s">
        <v>439</v>
      </c>
      <c r="M1" s="86"/>
      <c r="N1" s="86"/>
      <c r="O1" s="160" t="s">
        <v>468</v>
      </c>
      <c r="P1" s="86"/>
      <c r="Q1" s="86"/>
      <c r="R1" s="160" t="s">
        <v>508</v>
      </c>
      <c r="S1" s="86"/>
      <c r="T1" s="86"/>
      <c r="U1" s="160" t="s">
        <v>535</v>
      </c>
      <c r="V1" s="86"/>
      <c r="W1" s="86"/>
      <c r="X1" s="160" t="s">
        <v>554</v>
      </c>
      <c r="Y1" s="86"/>
      <c r="Z1" s="86"/>
      <c r="AA1" s="160" t="s">
        <v>583</v>
      </c>
      <c r="AB1" s="86"/>
      <c r="AC1" s="86"/>
      <c r="AD1" s="160" t="s">
        <v>602</v>
      </c>
      <c r="AE1" s="86"/>
      <c r="AF1" s="86"/>
      <c r="AG1" s="160" t="s">
        <v>638</v>
      </c>
      <c r="AH1" s="86"/>
      <c r="AI1" s="86"/>
      <c r="AJ1" s="160" t="s">
        <v>656</v>
      </c>
      <c r="AK1" s="86"/>
      <c r="AL1" s="86"/>
      <c r="AM1" s="160" t="s">
        <v>677</v>
      </c>
      <c r="AN1" s="86"/>
      <c r="AO1" s="86"/>
      <c r="AP1" s="160" t="s">
        <v>697</v>
      </c>
      <c r="AQ1" s="86"/>
      <c r="AR1" s="86"/>
      <c r="AS1" s="160" t="s">
        <v>716</v>
      </c>
      <c r="AT1" s="86"/>
      <c r="AU1" s="86"/>
    </row>
    <row r="2" spans="1:47" ht="12.75">
      <c r="A2" s="85"/>
      <c r="B2" s="85"/>
      <c r="C2" s="85"/>
      <c r="D2" s="85"/>
      <c r="E2" s="86"/>
      <c r="F2" s="86" t="s">
        <v>384</v>
      </c>
      <c r="H2" s="86"/>
      <c r="I2" s="160" t="s">
        <v>390</v>
      </c>
      <c r="J2" s="86"/>
      <c r="K2" s="86"/>
      <c r="L2" s="160" t="s">
        <v>438</v>
      </c>
      <c r="M2" s="86"/>
      <c r="N2" s="86"/>
      <c r="O2" s="160" t="s">
        <v>456</v>
      </c>
      <c r="P2" s="86"/>
      <c r="Q2" s="86"/>
      <c r="R2" s="160" t="s">
        <v>475</v>
      </c>
      <c r="S2" s="86"/>
      <c r="T2" s="86"/>
      <c r="U2" s="160" t="s">
        <v>510</v>
      </c>
      <c r="V2" s="86"/>
      <c r="W2" s="86"/>
      <c r="X2" s="160" t="s">
        <v>551</v>
      </c>
      <c r="Y2" s="86"/>
      <c r="Z2" s="86"/>
      <c r="AA2" s="160" t="s">
        <v>576</v>
      </c>
      <c r="AB2" s="86"/>
      <c r="AC2" s="86"/>
      <c r="AD2" s="160" t="s">
        <v>592</v>
      </c>
      <c r="AE2" s="86"/>
      <c r="AF2" s="86"/>
      <c r="AG2" s="160" t="s">
        <v>604</v>
      </c>
      <c r="AH2" s="86"/>
      <c r="AI2" s="86"/>
      <c r="AJ2" s="160" t="s">
        <v>651</v>
      </c>
      <c r="AK2" s="86"/>
      <c r="AL2" s="86"/>
      <c r="AM2" s="160" t="s">
        <v>682</v>
      </c>
      <c r="AN2" s="86"/>
      <c r="AO2" s="86"/>
      <c r="AP2" s="160" t="s">
        <v>688</v>
      </c>
      <c r="AQ2" s="86"/>
      <c r="AR2" s="86"/>
      <c r="AS2" s="160" t="s">
        <v>695</v>
      </c>
      <c r="AT2" s="86"/>
      <c r="AU2" s="86"/>
    </row>
    <row r="3" spans="1:47" ht="12.75">
      <c r="A3" s="85"/>
      <c r="B3" s="85"/>
      <c r="C3" s="85"/>
      <c r="D3" s="85"/>
      <c r="E3" s="86"/>
      <c r="F3" s="86" t="s">
        <v>184</v>
      </c>
      <c r="H3" s="86"/>
      <c r="I3" s="160" t="s">
        <v>391</v>
      </c>
      <c r="J3" s="86"/>
      <c r="K3" s="86"/>
      <c r="L3" s="160" t="s">
        <v>435</v>
      </c>
      <c r="M3" s="86"/>
      <c r="N3" s="86"/>
      <c r="O3" s="160" t="s">
        <v>439</v>
      </c>
      <c r="P3" s="86"/>
      <c r="Q3" s="86"/>
      <c r="R3" s="160" t="s">
        <v>468</v>
      </c>
      <c r="S3" s="86"/>
      <c r="T3" s="86"/>
      <c r="U3" s="160" t="s">
        <v>508</v>
      </c>
      <c r="V3" s="86"/>
      <c r="W3" s="86"/>
      <c r="X3" s="160" t="s">
        <v>535</v>
      </c>
      <c r="Y3" s="86"/>
      <c r="Z3" s="86"/>
      <c r="AA3" s="160" t="s">
        <v>554</v>
      </c>
      <c r="AB3" s="86"/>
      <c r="AC3" s="86"/>
      <c r="AD3" s="160" t="s">
        <v>583</v>
      </c>
      <c r="AE3" s="86"/>
      <c r="AF3" s="86"/>
      <c r="AG3" s="160" t="s">
        <v>602</v>
      </c>
      <c r="AH3" s="86"/>
      <c r="AI3" s="86"/>
      <c r="AJ3" s="160" t="s">
        <v>638</v>
      </c>
      <c r="AK3" s="86"/>
      <c r="AL3" s="86"/>
      <c r="AM3" s="160" t="s">
        <v>656</v>
      </c>
      <c r="AN3" s="86"/>
      <c r="AO3" s="86"/>
      <c r="AP3" s="160" t="s">
        <v>698</v>
      </c>
      <c r="AQ3" s="86"/>
      <c r="AR3" s="86"/>
      <c r="AS3" s="160" t="s">
        <v>697</v>
      </c>
      <c r="AT3" s="86"/>
      <c r="AU3" s="86"/>
    </row>
    <row r="4" spans="1:47" ht="12.75">
      <c r="A4" s="85"/>
      <c r="B4" s="85"/>
      <c r="C4" s="85"/>
      <c r="D4" s="85"/>
      <c r="E4" s="86"/>
      <c r="F4" s="86" t="s">
        <v>385</v>
      </c>
      <c r="H4" s="86"/>
      <c r="I4" s="160" t="s">
        <v>392</v>
      </c>
      <c r="J4" s="86"/>
      <c r="K4" s="86"/>
      <c r="L4" s="160" t="s">
        <v>432</v>
      </c>
      <c r="M4" s="86"/>
      <c r="N4" s="86"/>
      <c r="O4" s="160" t="s">
        <v>465</v>
      </c>
      <c r="P4" s="86"/>
      <c r="Q4" s="86"/>
      <c r="R4" s="160" t="s">
        <v>473</v>
      </c>
      <c r="S4" s="86"/>
      <c r="T4" s="86"/>
      <c r="U4" s="160" t="s">
        <v>509</v>
      </c>
      <c r="V4" s="86"/>
      <c r="W4" s="86"/>
      <c r="X4" s="160" t="s">
        <v>542</v>
      </c>
      <c r="Y4" s="86"/>
      <c r="Z4" s="86"/>
      <c r="AA4" s="160" t="s">
        <v>559</v>
      </c>
      <c r="AB4" s="86"/>
      <c r="AC4" s="86"/>
      <c r="AD4" s="160" t="s">
        <v>591</v>
      </c>
      <c r="AE4" s="86"/>
      <c r="AF4" s="86"/>
      <c r="AG4" s="160" t="s">
        <v>605</v>
      </c>
      <c r="AH4" s="86"/>
      <c r="AI4" s="86"/>
      <c r="AJ4" s="160" t="s">
        <v>650</v>
      </c>
      <c r="AK4" s="86"/>
      <c r="AL4" s="86"/>
      <c r="AM4" s="160" t="s">
        <v>665</v>
      </c>
      <c r="AN4" s="86"/>
      <c r="AO4" s="86"/>
      <c r="AP4" s="160" t="s">
        <v>684</v>
      </c>
      <c r="AQ4" s="86"/>
      <c r="AR4" s="86"/>
      <c r="AS4" s="160" t="s">
        <v>696</v>
      </c>
      <c r="AT4" s="86"/>
      <c r="AU4" s="86"/>
    </row>
    <row r="5" spans="1:5" ht="12.75">
      <c r="A5" s="85"/>
      <c r="B5" s="85"/>
      <c r="C5" s="85"/>
      <c r="D5" s="85" t="s">
        <v>291</v>
      </c>
      <c r="E5" s="86"/>
    </row>
    <row r="6" spans="1:5" ht="18.75" customHeight="1">
      <c r="A6" s="347" t="s">
        <v>393</v>
      </c>
      <c r="B6" s="347"/>
      <c r="C6" s="347"/>
      <c r="D6" s="347"/>
      <c r="E6" s="87"/>
    </row>
    <row r="7" spans="1:5" ht="8.25" customHeight="1">
      <c r="A7" s="13"/>
      <c r="B7" s="13"/>
      <c r="C7" s="13"/>
      <c r="D7" s="88"/>
      <c r="E7" s="87"/>
    </row>
    <row r="8" spans="1:47" s="9" customFormat="1" ht="24.75" customHeight="1">
      <c r="A8" s="7" t="s">
        <v>4</v>
      </c>
      <c r="B8" s="6" t="s">
        <v>5</v>
      </c>
      <c r="C8" s="33" t="s">
        <v>6</v>
      </c>
      <c r="D8" s="7" t="s">
        <v>7</v>
      </c>
      <c r="E8" s="11" t="s">
        <v>166</v>
      </c>
      <c r="F8" s="11" t="s">
        <v>260</v>
      </c>
      <c r="G8" s="11" t="s">
        <v>261</v>
      </c>
      <c r="H8" s="163" t="s">
        <v>169</v>
      </c>
      <c r="I8" s="11" t="s">
        <v>260</v>
      </c>
      <c r="J8" s="11" t="s">
        <v>261</v>
      </c>
      <c r="K8" s="163" t="s">
        <v>169</v>
      </c>
      <c r="L8" s="11" t="s">
        <v>260</v>
      </c>
      <c r="M8" s="11" t="s">
        <v>261</v>
      </c>
      <c r="N8" s="163" t="s">
        <v>169</v>
      </c>
      <c r="O8" s="11" t="s">
        <v>260</v>
      </c>
      <c r="P8" s="11" t="s">
        <v>261</v>
      </c>
      <c r="Q8" s="163" t="s">
        <v>169</v>
      </c>
      <c r="R8" s="11" t="s">
        <v>260</v>
      </c>
      <c r="S8" s="11" t="s">
        <v>261</v>
      </c>
      <c r="T8" s="163" t="s">
        <v>169</v>
      </c>
      <c r="U8" s="11" t="s">
        <v>260</v>
      </c>
      <c r="V8" s="11" t="s">
        <v>261</v>
      </c>
      <c r="W8" s="163" t="s">
        <v>169</v>
      </c>
      <c r="X8" s="11" t="s">
        <v>260</v>
      </c>
      <c r="Y8" s="11" t="s">
        <v>261</v>
      </c>
      <c r="Z8" s="163" t="s">
        <v>169</v>
      </c>
      <c r="AA8" s="11" t="s">
        <v>260</v>
      </c>
      <c r="AB8" s="11" t="s">
        <v>261</v>
      </c>
      <c r="AC8" s="163" t="s">
        <v>169</v>
      </c>
      <c r="AD8" s="11" t="s">
        <v>260</v>
      </c>
      <c r="AE8" s="11" t="s">
        <v>261</v>
      </c>
      <c r="AF8" s="163" t="s">
        <v>169</v>
      </c>
      <c r="AG8" s="11" t="s">
        <v>260</v>
      </c>
      <c r="AH8" s="11" t="s">
        <v>261</v>
      </c>
      <c r="AI8" s="163" t="s">
        <v>169</v>
      </c>
      <c r="AJ8" s="11" t="s">
        <v>260</v>
      </c>
      <c r="AK8" s="11" t="s">
        <v>261</v>
      </c>
      <c r="AL8" s="163" t="s">
        <v>169</v>
      </c>
      <c r="AM8" s="11" t="s">
        <v>260</v>
      </c>
      <c r="AN8" s="11" t="s">
        <v>261</v>
      </c>
      <c r="AO8" s="163" t="s">
        <v>169</v>
      </c>
      <c r="AP8" s="11" t="s">
        <v>260</v>
      </c>
      <c r="AQ8" s="11" t="s">
        <v>261</v>
      </c>
      <c r="AR8" s="163" t="s">
        <v>169</v>
      </c>
      <c r="AS8" s="11" t="s">
        <v>260</v>
      </c>
      <c r="AT8" s="11" t="s">
        <v>261</v>
      </c>
      <c r="AU8" s="163" t="s">
        <v>276</v>
      </c>
    </row>
    <row r="9" spans="1:47" s="9" customFormat="1" ht="24.75" customHeight="1">
      <c r="A9" s="142" t="s">
        <v>8</v>
      </c>
      <c r="B9" s="6"/>
      <c r="C9" s="33"/>
      <c r="D9" s="318" t="s">
        <v>9</v>
      </c>
      <c r="E9" s="11"/>
      <c r="F9" s="11"/>
      <c r="G9" s="11"/>
      <c r="H9" s="163"/>
      <c r="I9" s="11"/>
      <c r="J9" s="11"/>
      <c r="K9" s="163"/>
      <c r="L9" s="11"/>
      <c r="M9" s="11"/>
      <c r="N9" s="163"/>
      <c r="O9" s="11"/>
      <c r="P9" s="11"/>
      <c r="Q9" s="163"/>
      <c r="R9" s="11"/>
      <c r="S9" s="11"/>
      <c r="T9" s="163"/>
      <c r="U9" s="11"/>
      <c r="V9" s="11"/>
      <c r="W9" s="163"/>
      <c r="X9" s="11"/>
      <c r="Y9" s="11"/>
      <c r="Z9" s="163"/>
      <c r="AA9" s="11"/>
      <c r="AB9" s="11"/>
      <c r="AC9" s="163"/>
      <c r="AD9" s="11"/>
      <c r="AE9" s="11"/>
      <c r="AF9" s="163"/>
      <c r="AG9" s="11"/>
      <c r="AH9" s="11"/>
      <c r="AI9" s="242">
        <f>SUM(AI10)</f>
        <v>0</v>
      </c>
      <c r="AJ9" s="242">
        <f aca="true" t="shared" si="0" ref="AJ9:AU10">SUM(AJ10)</f>
        <v>65571</v>
      </c>
      <c r="AK9" s="242">
        <f t="shared" si="0"/>
        <v>0</v>
      </c>
      <c r="AL9" s="242">
        <f t="shared" si="0"/>
        <v>65571</v>
      </c>
      <c r="AM9" s="242">
        <f t="shared" si="0"/>
        <v>0</v>
      </c>
      <c r="AN9" s="242">
        <f t="shared" si="0"/>
        <v>0</v>
      </c>
      <c r="AO9" s="242">
        <f t="shared" si="0"/>
        <v>65571</v>
      </c>
      <c r="AP9" s="242">
        <f t="shared" si="0"/>
        <v>0</v>
      </c>
      <c r="AQ9" s="242">
        <f t="shared" si="0"/>
        <v>0</v>
      </c>
      <c r="AR9" s="242">
        <f t="shared" si="0"/>
        <v>65571</v>
      </c>
      <c r="AS9" s="242">
        <f t="shared" si="0"/>
        <v>0</v>
      </c>
      <c r="AT9" s="242">
        <f t="shared" si="0"/>
        <v>0</v>
      </c>
      <c r="AU9" s="242">
        <f t="shared" si="0"/>
        <v>65571</v>
      </c>
    </row>
    <row r="10" spans="1:47" s="9" customFormat="1" ht="24.75" customHeight="1">
      <c r="A10" s="314"/>
      <c r="B10" s="315" t="s">
        <v>661</v>
      </c>
      <c r="C10" s="5"/>
      <c r="D10" s="319" t="s">
        <v>10</v>
      </c>
      <c r="E10" s="316"/>
      <c r="F10" s="316"/>
      <c r="G10" s="316"/>
      <c r="H10" s="210"/>
      <c r="I10" s="316"/>
      <c r="J10" s="316"/>
      <c r="K10" s="210"/>
      <c r="L10" s="316"/>
      <c r="M10" s="316"/>
      <c r="N10" s="210"/>
      <c r="O10" s="316"/>
      <c r="P10" s="316"/>
      <c r="Q10" s="210"/>
      <c r="R10" s="316"/>
      <c r="S10" s="316"/>
      <c r="T10" s="210"/>
      <c r="U10" s="316"/>
      <c r="V10" s="316"/>
      <c r="W10" s="210"/>
      <c r="X10" s="316"/>
      <c r="Y10" s="316"/>
      <c r="Z10" s="210"/>
      <c r="AA10" s="316"/>
      <c r="AB10" s="316"/>
      <c r="AC10" s="210"/>
      <c r="AD10" s="316"/>
      <c r="AE10" s="316"/>
      <c r="AF10" s="210"/>
      <c r="AG10" s="316"/>
      <c r="AH10" s="316"/>
      <c r="AI10" s="317">
        <f>SUM(AI11)</f>
        <v>0</v>
      </c>
      <c r="AJ10" s="317">
        <f t="shared" si="0"/>
        <v>65571</v>
      </c>
      <c r="AK10" s="317">
        <f t="shared" si="0"/>
        <v>0</v>
      </c>
      <c r="AL10" s="317">
        <f t="shared" si="0"/>
        <v>65571</v>
      </c>
      <c r="AM10" s="317">
        <f t="shared" si="0"/>
        <v>0</v>
      </c>
      <c r="AN10" s="317">
        <f t="shared" si="0"/>
        <v>0</v>
      </c>
      <c r="AO10" s="317">
        <f t="shared" si="0"/>
        <v>65571</v>
      </c>
      <c r="AP10" s="317">
        <f t="shared" si="0"/>
        <v>0</v>
      </c>
      <c r="AQ10" s="317">
        <f t="shared" si="0"/>
        <v>0</v>
      </c>
      <c r="AR10" s="317">
        <f t="shared" si="0"/>
        <v>65571</v>
      </c>
      <c r="AS10" s="317">
        <f t="shared" si="0"/>
        <v>0</v>
      </c>
      <c r="AT10" s="317">
        <f t="shared" si="0"/>
        <v>0</v>
      </c>
      <c r="AU10" s="317">
        <f t="shared" si="0"/>
        <v>65571</v>
      </c>
    </row>
    <row r="11" spans="1:47" s="9" customFormat="1" ht="60">
      <c r="A11" s="314"/>
      <c r="B11" s="4"/>
      <c r="C11" s="5">
        <v>2010</v>
      </c>
      <c r="D11" s="110" t="s">
        <v>445</v>
      </c>
      <c r="E11" s="316"/>
      <c r="F11" s="316"/>
      <c r="G11" s="316"/>
      <c r="H11" s="210"/>
      <c r="I11" s="316"/>
      <c r="J11" s="316"/>
      <c r="K11" s="210"/>
      <c r="L11" s="316"/>
      <c r="M11" s="316"/>
      <c r="N11" s="210"/>
      <c r="O11" s="316"/>
      <c r="P11" s="316"/>
      <c r="Q11" s="210"/>
      <c r="R11" s="316"/>
      <c r="S11" s="316"/>
      <c r="T11" s="210"/>
      <c r="U11" s="316"/>
      <c r="V11" s="316"/>
      <c r="W11" s="210"/>
      <c r="X11" s="316"/>
      <c r="Y11" s="316"/>
      <c r="Z11" s="210"/>
      <c r="AA11" s="316"/>
      <c r="AB11" s="316"/>
      <c r="AC11" s="210"/>
      <c r="AD11" s="316"/>
      <c r="AE11" s="316"/>
      <c r="AF11" s="210"/>
      <c r="AG11" s="316"/>
      <c r="AH11" s="316"/>
      <c r="AI11" s="317">
        <v>0</v>
      </c>
      <c r="AJ11" s="26">
        <v>65571</v>
      </c>
      <c r="AK11" s="26"/>
      <c r="AL11" s="317">
        <f>AI11+AJ11-AK11</f>
        <v>65571</v>
      </c>
      <c r="AM11" s="26"/>
      <c r="AN11" s="26"/>
      <c r="AO11" s="317">
        <f>AL11+AM11-AN11</f>
        <v>65571</v>
      </c>
      <c r="AP11" s="26"/>
      <c r="AQ11" s="26"/>
      <c r="AR11" s="317">
        <f>AO11+AP11-AQ11</f>
        <v>65571</v>
      </c>
      <c r="AS11" s="26"/>
      <c r="AT11" s="26"/>
      <c r="AU11" s="317">
        <f>AR11+AS11-AT11</f>
        <v>65571</v>
      </c>
    </row>
    <row r="12" spans="1:47" s="9" customFormat="1" ht="24.75" customHeight="1">
      <c r="A12" s="46" t="s">
        <v>12</v>
      </c>
      <c r="B12" s="3"/>
      <c r="C12" s="27"/>
      <c r="D12" s="47" t="s">
        <v>13</v>
      </c>
      <c r="E12" s="89">
        <f>SUM(E13)</f>
        <v>3100</v>
      </c>
      <c r="F12" s="25">
        <f aca="true" t="shared" si="1" ref="F12:U13">SUM(F13)</f>
        <v>0</v>
      </c>
      <c r="G12" s="25">
        <f t="shared" si="1"/>
        <v>0</v>
      </c>
      <c r="H12" s="25">
        <f t="shared" si="1"/>
        <v>3100</v>
      </c>
      <c r="I12" s="25">
        <f t="shared" si="1"/>
        <v>0</v>
      </c>
      <c r="J12" s="25">
        <f t="shared" si="1"/>
        <v>0</v>
      </c>
      <c r="K12" s="25">
        <f t="shared" si="1"/>
        <v>3100</v>
      </c>
      <c r="L12" s="25">
        <f t="shared" si="1"/>
        <v>0</v>
      </c>
      <c r="M12" s="25">
        <f t="shared" si="1"/>
        <v>0</v>
      </c>
      <c r="N12" s="25">
        <f t="shared" si="1"/>
        <v>3100</v>
      </c>
      <c r="O12" s="25">
        <f t="shared" si="1"/>
        <v>0</v>
      </c>
      <c r="P12" s="25">
        <f t="shared" si="1"/>
        <v>0</v>
      </c>
      <c r="Q12" s="25">
        <f t="shared" si="1"/>
        <v>3100</v>
      </c>
      <c r="R12" s="25">
        <f t="shared" si="1"/>
        <v>0</v>
      </c>
      <c r="S12" s="25">
        <f t="shared" si="1"/>
        <v>0</v>
      </c>
      <c r="T12" s="25">
        <f t="shared" si="1"/>
        <v>3100</v>
      </c>
      <c r="U12" s="25">
        <f t="shared" si="1"/>
        <v>0</v>
      </c>
      <c r="V12" s="25">
        <f aca="true" t="shared" si="2" ref="U12:AJ13">SUM(V13)</f>
        <v>0</v>
      </c>
      <c r="W12" s="25">
        <f t="shared" si="2"/>
        <v>3100</v>
      </c>
      <c r="X12" s="25">
        <f t="shared" si="2"/>
        <v>1565</v>
      </c>
      <c r="Y12" s="25">
        <f t="shared" si="2"/>
        <v>0</v>
      </c>
      <c r="Z12" s="25">
        <f t="shared" si="2"/>
        <v>4665</v>
      </c>
      <c r="AA12" s="25">
        <f t="shared" si="2"/>
        <v>0</v>
      </c>
      <c r="AB12" s="25">
        <f t="shared" si="2"/>
        <v>0</v>
      </c>
      <c r="AC12" s="25">
        <f t="shared" si="2"/>
        <v>4665</v>
      </c>
      <c r="AD12" s="25">
        <f t="shared" si="2"/>
        <v>0</v>
      </c>
      <c r="AE12" s="25">
        <f t="shared" si="2"/>
        <v>0</v>
      </c>
      <c r="AF12" s="25">
        <f t="shared" si="2"/>
        <v>4665</v>
      </c>
      <c r="AG12" s="25">
        <f t="shared" si="2"/>
        <v>0</v>
      </c>
      <c r="AH12" s="25">
        <f t="shared" si="2"/>
        <v>0</v>
      </c>
      <c r="AI12" s="25">
        <f t="shared" si="2"/>
        <v>4665</v>
      </c>
      <c r="AJ12" s="25">
        <f t="shared" si="2"/>
        <v>0</v>
      </c>
      <c r="AK12" s="25">
        <f aca="true" t="shared" si="3" ref="AJ12:AU13">SUM(AK13)</f>
        <v>0</v>
      </c>
      <c r="AL12" s="25">
        <f t="shared" si="3"/>
        <v>4665</v>
      </c>
      <c r="AM12" s="25">
        <f t="shared" si="3"/>
        <v>0</v>
      </c>
      <c r="AN12" s="25">
        <f t="shared" si="3"/>
        <v>0</v>
      </c>
      <c r="AO12" s="25">
        <f t="shared" si="3"/>
        <v>4665</v>
      </c>
      <c r="AP12" s="25">
        <f t="shared" si="3"/>
        <v>0</v>
      </c>
      <c r="AQ12" s="25">
        <f t="shared" si="3"/>
        <v>0</v>
      </c>
      <c r="AR12" s="25">
        <f t="shared" si="3"/>
        <v>4665</v>
      </c>
      <c r="AS12" s="25">
        <f t="shared" si="3"/>
        <v>0</v>
      </c>
      <c r="AT12" s="25">
        <f t="shared" si="3"/>
        <v>0</v>
      </c>
      <c r="AU12" s="25">
        <f t="shared" si="3"/>
        <v>4665</v>
      </c>
    </row>
    <row r="13" spans="1:47" s="37" customFormat="1" ht="21" customHeight="1">
      <c r="A13" s="108"/>
      <c r="B13" s="104" t="s">
        <v>14</v>
      </c>
      <c r="C13" s="113"/>
      <c r="D13" s="110" t="s">
        <v>10</v>
      </c>
      <c r="E13" s="102">
        <f>SUM(E14)</f>
        <v>3100</v>
      </c>
      <c r="F13" s="119">
        <f t="shared" si="1"/>
        <v>0</v>
      </c>
      <c r="G13" s="119">
        <f t="shared" si="1"/>
        <v>0</v>
      </c>
      <c r="H13" s="119">
        <f t="shared" si="1"/>
        <v>3100</v>
      </c>
      <c r="I13" s="119">
        <f t="shared" si="1"/>
        <v>0</v>
      </c>
      <c r="J13" s="119">
        <f t="shared" si="1"/>
        <v>0</v>
      </c>
      <c r="K13" s="119">
        <f t="shared" si="1"/>
        <v>3100</v>
      </c>
      <c r="L13" s="119">
        <f t="shared" si="1"/>
        <v>0</v>
      </c>
      <c r="M13" s="119">
        <f t="shared" si="1"/>
        <v>0</v>
      </c>
      <c r="N13" s="119">
        <f t="shared" si="1"/>
        <v>3100</v>
      </c>
      <c r="O13" s="119">
        <f t="shared" si="1"/>
        <v>0</v>
      </c>
      <c r="P13" s="119">
        <f t="shared" si="1"/>
        <v>0</v>
      </c>
      <c r="Q13" s="119">
        <f t="shared" si="1"/>
        <v>3100</v>
      </c>
      <c r="R13" s="119">
        <f t="shared" si="1"/>
        <v>0</v>
      </c>
      <c r="S13" s="119">
        <f t="shared" si="1"/>
        <v>0</v>
      </c>
      <c r="T13" s="119">
        <f t="shared" si="1"/>
        <v>3100</v>
      </c>
      <c r="U13" s="119">
        <f t="shared" si="2"/>
        <v>0</v>
      </c>
      <c r="V13" s="119">
        <f t="shared" si="2"/>
        <v>0</v>
      </c>
      <c r="W13" s="119">
        <f t="shared" si="2"/>
        <v>3100</v>
      </c>
      <c r="X13" s="119">
        <f t="shared" si="2"/>
        <v>1565</v>
      </c>
      <c r="Y13" s="119">
        <f t="shared" si="2"/>
        <v>0</v>
      </c>
      <c r="Z13" s="119">
        <f t="shared" si="2"/>
        <v>4665</v>
      </c>
      <c r="AA13" s="119">
        <f t="shared" si="2"/>
        <v>0</v>
      </c>
      <c r="AB13" s="119">
        <f t="shared" si="2"/>
        <v>0</v>
      </c>
      <c r="AC13" s="119">
        <f t="shared" si="2"/>
        <v>4665</v>
      </c>
      <c r="AD13" s="119">
        <f t="shared" si="2"/>
        <v>0</v>
      </c>
      <c r="AE13" s="119">
        <f t="shared" si="2"/>
        <v>0</v>
      </c>
      <c r="AF13" s="119">
        <f t="shared" si="2"/>
        <v>4665</v>
      </c>
      <c r="AG13" s="119">
        <f t="shared" si="2"/>
        <v>0</v>
      </c>
      <c r="AH13" s="119">
        <f t="shared" si="2"/>
        <v>0</v>
      </c>
      <c r="AI13" s="119">
        <f t="shared" si="2"/>
        <v>4665</v>
      </c>
      <c r="AJ13" s="119">
        <f t="shared" si="3"/>
        <v>0</v>
      </c>
      <c r="AK13" s="119">
        <f t="shared" si="3"/>
        <v>0</v>
      </c>
      <c r="AL13" s="119">
        <f t="shared" si="3"/>
        <v>4665</v>
      </c>
      <c r="AM13" s="119">
        <f t="shared" si="3"/>
        <v>0</v>
      </c>
      <c r="AN13" s="119">
        <f t="shared" si="3"/>
        <v>0</v>
      </c>
      <c r="AO13" s="119">
        <f t="shared" si="3"/>
        <v>4665</v>
      </c>
      <c r="AP13" s="119">
        <f t="shared" si="3"/>
        <v>0</v>
      </c>
      <c r="AQ13" s="119">
        <f t="shared" si="3"/>
        <v>0</v>
      </c>
      <c r="AR13" s="119">
        <f t="shared" si="3"/>
        <v>4665</v>
      </c>
      <c r="AS13" s="119">
        <f t="shared" si="3"/>
        <v>0</v>
      </c>
      <c r="AT13" s="119">
        <f t="shared" si="3"/>
        <v>0</v>
      </c>
      <c r="AU13" s="119">
        <f t="shared" si="3"/>
        <v>4665</v>
      </c>
    </row>
    <row r="14" spans="1:47" s="37" customFormat="1" ht="48" customHeight="1">
      <c r="A14" s="108"/>
      <c r="B14" s="109"/>
      <c r="C14" s="105" t="s">
        <v>200</v>
      </c>
      <c r="D14" s="110" t="s">
        <v>11</v>
      </c>
      <c r="E14" s="102">
        <v>3100</v>
      </c>
      <c r="F14" s="126"/>
      <c r="G14" s="126"/>
      <c r="H14" s="126">
        <f>SUM(E14+F14-G14)</f>
        <v>3100</v>
      </c>
      <c r="I14" s="126"/>
      <c r="J14" s="126"/>
      <c r="K14" s="126">
        <f>SUM(H14+I14-J14)</f>
        <v>3100</v>
      </c>
      <c r="L14" s="126"/>
      <c r="M14" s="126"/>
      <c r="N14" s="126">
        <f>SUM(K14+L14-M14)</f>
        <v>3100</v>
      </c>
      <c r="O14" s="126"/>
      <c r="P14" s="126"/>
      <c r="Q14" s="126">
        <f>SUM(N14+O14-P14)</f>
        <v>3100</v>
      </c>
      <c r="R14" s="126"/>
      <c r="S14" s="126"/>
      <c r="T14" s="126">
        <f>SUM(Q14+R14-S14)</f>
        <v>3100</v>
      </c>
      <c r="U14" s="126"/>
      <c r="V14" s="126"/>
      <c r="W14" s="126">
        <f>SUM(T14+U14-V14)</f>
        <v>3100</v>
      </c>
      <c r="X14" s="126">
        <v>1565</v>
      </c>
      <c r="Y14" s="126"/>
      <c r="Z14" s="126">
        <f>SUM(W14+X14-Y14)</f>
        <v>4665</v>
      </c>
      <c r="AA14" s="126"/>
      <c r="AB14" s="126"/>
      <c r="AC14" s="126">
        <f>SUM(Z14+AA14-AB14)</f>
        <v>4665</v>
      </c>
      <c r="AD14" s="126"/>
      <c r="AE14" s="126"/>
      <c r="AF14" s="126">
        <f>SUM(AC14+AD14-AE14)</f>
        <v>4665</v>
      </c>
      <c r="AG14" s="126"/>
      <c r="AH14" s="126"/>
      <c r="AI14" s="126">
        <f>SUM(AF14+AG14-AH14)</f>
        <v>4665</v>
      </c>
      <c r="AJ14" s="126"/>
      <c r="AK14" s="126"/>
      <c r="AL14" s="126">
        <f>SUM(AI14+AJ14-AK14)</f>
        <v>4665</v>
      </c>
      <c r="AM14" s="126"/>
      <c r="AN14" s="126"/>
      <c r="AO14" s="126">
        <f>SUM(AL14+AM14-AN14)</f>
        <v>4665</v>
      </c>
      <c r="AP14" s="126"/>
      <c r="AQ14" s="126"/>
      <c r="AR14" s="126">
        <f>SUM(AO14+AP14-AQ14)</f>
        <v>4665</v>
      </c>
      <c r="AS14" s="126"/>
      <c r="AT14" s="126"/>
      <c r="AU14" s="126">
        <f>SUM(AR14+AS14-AT14)</f>
        <v>4665</v>
      </c>
    </row>
    <row r="15" spans="1:47" s="59" customFormat="1" ht="24.75" customHeight="1">
      <c r="A15" s="142">
        <v>600</v>
      </c>
      <c r="B15" s="52"/>
      <c r="C15" s="53"/>
      <c r="D15" s="54" t="s">
        <v>92</v>
      </c>
      <c r="E15" s="89">
        <f aca="true" t="shared" si="4" ref="E15:U16">SUM(E16)</f>
        <v>20000</v>
      </c>
      <c r="F15" s="25">
        <f t="shared" si="4"/>
        <v>10000</v>
      </c>
      <c r="G15" s="25">
        <f t="shared" si="4"/>
        <v>0</v>
      </c>
      <c r="H15" s="25">
        <f t="shared" si="4"/>
        <v>30000</v>
      </c>
      <c r="I15" s="25">
        <f t="shared" si="4"/>
        <v>0</v>
      </c>
      <c r="J15" s="25">
        <f t="shared" si="4"/>
        <v>0</v>
      </c>
      <c r="K15" s="25">
        <f t="shared" si="4"/>
        <v>30000</v>
      </c>
      <c r="L15" s="25">
        <f t="shared" si="4"/>
        <v>0</v>
      </c>
      <c r="M15" s="25">
        <f t="shared" si="4"/>
        <v>0</v>
      </c>
      <c r="N15" s="25">
        <f t="shared" si="4"/>
        <v>30000</v>
      </c>
      <c r="O15" s="25">
        <f t="shared" si="4"/>
        <v>0</v>
      </c>
      <c r="P15" s="25">
        <f t="shared" si="4"/>
        <v>0</v>
      </c>
      <c r="Q15" s="25">
        <f t="shared" si="4"/>
        <v>30000</v>
      </c>
      <c r="R15" s="25">
        <f t="shared" si="4"/>
        <v>0</v>
      </c>
      <c r="S15" s="25">
        <f t="shared" si="4"/>
        <v>0</v>
      </c>
      <c r="T15" s="25">
        <f t="shared" si="4"/>
        <v>30000</v>
      </c>
      <c r="U15" s="25">
        <f t="shared" si="4"/>
        <v>0</v>
      </c>
      <c r="V15" s="25">
        <f aca="true" t="shared" si="5" ref="U15:AJ16">SUM(V16)</f>
        <v>0</v>
      </c>
      <c r="W15" s="25">
        <f t="shared" si="5"/>
        <v>30000</v>
      </c>
      <c r="X15" s="25">
        <f t="shared" si="5"/>
        <v>0</v>
      </c>
      <c r="Y15" s="25">
        <f t="shared" si="5"/>
        <v>0</v>
      </c>
      <c r="Z15" s="25">
        <f t="shared" si="5"/>
        <v>30000</v>
      </c>
      <c r="AA15" s="25">
        <f t="shared" si="5"/>
        <v>0</v>
      </c>
      <c r="AB15" s="25">
        <f t="shared" si="5"/>
        <v>0</v>
      </c>
      <c r="AC15" s="25">
        <f t="shared" si="5"/>
        <v>30000</v>
      </c>
      <c r="AD15" s="25">
        <f t="shared" si="5"/>
        <v>0</v>
      </c>
      <c r="AE15" s="25">
        <f t="shared" si="5"/>
        <v>0</v>
      </c>
      <c r="AF15" s="25">
        <f t="shared" si="5"/>
        <v>30000</v>
      </c>
      <c r="AG15" s="25">
        <f t="shared" si="5"/>
        <v>0</v>
      </c>
      <c r="AH15" s="25">
        <f t="shared" si="5"/>
        <v>0</v>
      </c>
      <c r="AI15" s="25">
        <f t="shared" si="5"/>
        <v>30000</v>
      </c>
      <c r="AJ15" s="25">
        <f t="shared" si="5"/>
        <v>0</v>
      </c>
      <c r="AK15" s="25">
        <f aca="true" t="shared" si="6" ref="AJ15:AU16">SUM(AK16)</f>
        <v>0</v>
      </c>
      <c r="AL15" s="25">
        <f t="shared" si="6"/>
        <v>30000</v>
      </c>
      <c r="AM15" s="25">
        <f t="shared" si="6"/>
        <v>0</v>
      </c>
      <c r="AN15" s="25">
        <f t="shared" si="6"/>
        <v>0</v>
      </c>
      <c r="AO15" s="25">
        <f t="shared" si="6"/>
        <v>30000</v>
      </c>
      <c r="AP15" s="25">
        <f t="shared" si="6"/>
        <v>0</v>
      </c>
      <c r="AQ15" s="25">
        <f t="shared" si="6"/>
        <v>0</v>
      </c>
      <c r="AR15" s="25">
        <f t="shared" si="6"/>
        <v>30000</v>
      </c>
      <c r="AS15" s="25">
        <f t="shared" si="6"/>
        <v>0</v>
      </c>
      <c r="AT15" s="25">
        <f t="shared" si="6"/>
        <v>0</v>
      </c>
      <c r="AU15" s="25">
        <f t="shared" si="6"/>
        <v>30000</v>
      </c>
    </row>
    <row r="16" spans="1:47" s="37" customFormat="1" ht="22.5" customHeight="1">
      <c r="A16" s="108"/>
      <c r="B16" s="116" t="s">
        <v>93</v>
      </c>
      <c r="C16" s="120"/>
      <c r="D16" s="56" t="s">
        <v>94</v>
      </c>
      <c r="E16" s="102">
        <f t="shared" si="4"/>
        <v>20000</v>
      </c>
      <c r="F16" s="119">
        <f t="shared" si="4"/>
        <v>10000</v>
      </c>
      <c r="G16" s="119">
        <f t="shared" si="4"/>
        <v>0</v>
      </c>
      <c r="H16" s="119">
        <f t="shared" si="4"/>
        <v>30000</v>
      </c>
      <c r="I16" s="119">
        <f t="shared" si="4"/>
        <v>0</v>
      </c>
      <c r="J16" s="119">
        <f t="shared" si="4"/>
        <v>0</v>
      </c>
      <c r="K16" s="119">
        <f t="shared" si="4"/>
        <v>30000</v>
      </c>
      <c r="L16" s="119">
        <f t="shared" si="4"/>
        <v>0</v>
      </c>
      <c r="M16" s="119">
        <f t="shared" si="4"/>
        <v>0</v>
      </c>
      <c r="N16" s="119">
        <f t="shared" si="4"/>
        <v>30000</v>
      </c>
      <c r="O16" s="119">
        <f t="shared" si="4"/>
        <v>0</v>
      </c>
      <c r="P16" s="119">
        <f t="shared" si="4"/>
        <v>0</v>
      </c>
      <c r="Q16" s="119">
        <f t="shared" si="4"/>
        <v>30000</v>
      </c>
      <c r="R16" s="119">
        <f t="shared" si="4"/>
        <v>0</v>
      </c>
      <c r="S16" s="119">
        <f t="shared" si="4"/>
        <v>0</v>
      </c>
      <c r="T16" s="119">
        <f t="shared" si="4"/>
        <v>30000</v>
      </c>
      <c r="U16" s="119">
        <f t="shared" si="5"/>
        <v>0</v>
      </c>
      <c r="V16" s="119">
        <f t="shared" si="5"/>
        <v>0</v>
      </c>
      <c r="W16" s="119">
        <f t="shared" si="5"/>
        <v>30000</v>
      </c>
      <c r="X16" s="119">
        <f t="shared" si="5"/>
        <v>0</v>
      </c>
      <c r="Y16" s="119">
        <f t="shared" si="5"/>
        <v>0</v>
      </c>
      <c r="Z16" s="119">
        <f t="shared" si="5"/>
        <v>30000</v>
      </c>
      <c r="AA16" s="119">
        <f t="shared" si="5"/>
        <v>0</v>
      </c>
      <c r="AB16" s="119">
        <f t="shared" si="5"/>
        <v>0</v>
      </c>
      <c r="AC16" s="119">
        <f t="shared" si="5"/>
        <v>30000</v>
      </c>
      <c r="AD16" s="119">
        <f t="shared" si="5"/>
        <v>0</v>
      </c>
      <c r="AE16" s="119">
        <f t="shared" si="5"/>
        <v>0</v>
      </c>
      <c r="AF16" s="119">
        <f t="shared" si="5"/>
        <v>30000</v>
      </c>
      <c r="AG16" s="119">
        <f t="shared" si="5"/>
        <v>0</v>
      </c>
      <c r="AH16" s="119">
        <f t="shared" si="5"/>
        <v>0</v>
      </c>
      <c r="AI16" s="119">
        <f t="shared" si="5"/>
        <v>30000</v>
      </c>
      <c r="AJ16" s="119">
        <f t="shared" si="6"/>
        <v>0</v>
      </c>
      <c r="AK16" s="119">
        <f t="shared" si="6"/>
        <v>0</v>
      </c>
      <c r="AL16" s="119">
        <f t="shared" si="6"/>
        <v>30000</v>
      </c>
      <c r="AM16" s="119">
        <f t="shared" si="6"/>
        <v>0</v>
      </c>
      <c r="AN16" s="119">
        <f t="shared" si="6"/>
        <v>0</v>
      </c>
      <c r="AO16" s="119">
        <f t="shared" si="6"/>
        <v>30000</v>
      </c>
      <c r="AP16" s="119">
        <f t="shared" si="6"/>
        <v>0</v>
      </c>
      <c r="AQ16" s="119">
        <f t="shared" si="6"/>
        <v>0</v>
      </c>
      <c r="AR16" s="119">
        <f t="shared" si="6"/>
        <v>30000</v>
      </c>
      <c r="AS16" s="119">
        <f t="shared" si="6"/>
        <v>0</v>
      </c>
      <c r="AT16" s="119">
        <f t="shared" si="6"/>
        <v>0</v>
      </c>
      <c r="AU16" s="119">
        <f t="shared" si="6"/>
        <v>30000</v>
      </c>
    </row>
    <row r="17" spans="1:47" s="37" customFormat="1" ht="21.75" customHeight="1">
      <c r="A17" s="108"/>
      <c r="B17" s="109"/>
      <c r="C17" s="105" t="s">
        <v>230</v>
      </c>
      <c r="D17" s="110" t="s">
        <v>180</v>
      </c>
      <c r="E17" s="102">
        <v>20000</v>
      </c>
      <c r="F17" s="126">
        <v>10000</v>
      </c>
      <c r="G17" s="126"/>
      <c r="H17" s="126">
        <f>SUM(E17+F17-G17)</f>
        <v>30000</v>
      </c>
      <c r="I17" s="126"/>
      <c r="J17" s="126"/>
      <c r="K17" s="126">
        <f>SUM(H17+I17-J17)</f>
        <v>30000</v>
      </c>
      <c r="L17" s="126"/>
      <c r="M17" s="126"/>
      <c r="N17" s="126">
        <f>SUM(K17+L17-M17)</f>
        <v>30000</v>
      </c>
      <c r="O17" s="126"/>
      <c r="P17" s="126"/>
      <c r="Q17" s="126">
        <f>SUM(N17+O17-P17)</f>
        <v>30000</v>
      </c>
      <c r="R17" s="126"/>
      <c r="S17" s="126"/>
      <c r="T17" s="126">
        <f>SUM(Q17+R17-S17)</f>
        <v>30000</v>
      </c>
      <c r="U17" s="126"/>
      <c r="V17" s="126"/>
      <c r="W17" s="126">
        <f>SUM(T17+U17-V17)</f>
        <v>30000</v>
      </c>
      <c r="X17" s="126"/>
      <c r="Y17" s="126"/>
      <c r="Z17" s="126">
        <f>SUM(W17+X17-Y17)</f>
        <v>30000</v>
      </c>
      <c r="AA17" s="126"/>
      <c r="AB17" s="126"/>
      <c r="AC17" s="126">
        <f>SUM(Z17+AA17-AB17)</f>
        <v>30000</v>
      </c>
      <c r="AD17" s="126"/>
      <c r="AE17" s="126"/>
      <c r="AF17" s="126">
        <f>SUM(AC17+AD17-AE17)</f>
        <v>30000</v>
      </c>
      <c r="AG17" s="126"/>
      <c r="AH17" s="126"/>
      <c r="AI17" s="126">
        <f>SUM(AF17+AG17-AH17)</f>
        <v>30000</v>
      </c>
      <c r="AJ17" s="126"/>
      <c r="AK17" s="126"/>
      <c r="AL17" s="126">
        <f>SUM(AI17+AJ17-AK17)</f>
        <v>30000</v>
      </c>
      <c r="AM17" s="126"/>
      <c r="AN17" s="126"/>
      <c r="AO17" s="126">
        <f>SUM(AL17+AM17-AN17)</f>
        <v>30000</v>
      </c>
      <c r="AP17" s="126"/>
      <c r="AQ17" s="126"/>
      <c r="AR17" s="126">
        <f>SUM(AO17+AP17-AQ17)</f>
        <v>30000</v>
      </c>
      <c r="AS17" s="126"/>
      <c r="AT17" s="126"/>
      <c r="AU17" s="126">
        <f>SUM(AR17+AS17-AT17)</f>
        <v>30000</v>
      </c>
    </row>
    <row r="18" spans="1:47" s="8" customFormat="1" ht="24.75" customHeight="1">
      <c r="A18" s="46" t="s">
        <v>15</v>
      </c>
      <c r="B18" s="4"/>
      <c r="C18" s="5"/>
      <c r="D18" s="47" t="s">
        <v>16</v>
      </c>
      <c r="E18" s="89">
        <f aca="true" t="shared" si="7" ref="E18:AU18">SUM(E19,)</f>
        <v>1410700</v>
      </c>
      <c r="F18" s="25">
        <f t="shared" si="7"/>
        <v>0</v>
      </c>
      <c r="G18" s="25">
        <f t="shared" si="7"/>
        <v>0</v>
      </c>
      <c r="H18" s="25">
        <f t="shared" si="7"/>
        <v>1410700</v>
      </c>
      <c r="I18" s="25">
        <f t="shared" si="7"/>
        <v>0</v>
      </c>
      <c r="J18" s="25">
        <f t="shared" si="7"/>
        <v>0</v>
      </c>
      <c r="K18" s="25">
        <f t="shared" si="7"/>
        <v>1410700</v>
      </c>
      <c r="L18" s="25">
        <f t="shared" si="7"/>
        <v>0</v>
      </c>
      <c r="M18" s="25">
        <f t="shared" si="7"/>
        <v>0</v>
      </c>
      <c r="N18" s="25">
        <f t="shared" si="7"/>
        <v>1410700</v>
      </c>
      <c r="O18" s="25">
        <f t="shared" si="7"/>
        <v>0</v>
      </c>
      <c r="P18" s="25">
        <f t="shared" si="7"/>
        <v>0</v>
      </c>
      <c r="Q18" s="25">
        <f t="shared" si="7"/>
        <v>1410700</v>
      </c>
      <c r="R18" s="25">
        <f t="shared" si="7"/>
        <v>0</v>
      </c>
      <c r="S18" s="25">
        <f t="shared" si="7"/>
        <v>0</v>
      </c>
      <c r="T18" s="25">
        <f t="shared" si="7"/>
        <v>1410700</v>
      </c>
      <c r="U18" s="25">
        <f t="shared" si="7"/>
        <v>0</v>
      </c>
      <c r="V18" s="25">
        <f t="shared" si="7"/>
        <v>0</v>
      </c>
      <c r="W18" s="25">
        <f t="shared" si="7"/>
        <v>1410700</v>
      </c>
      <c r="X18" s="25">
        <f t="shared" si="7"/>
        <v>236920</v>
      </c>
      <c r="Y18" s="25">
        <f t="shared" si="7"/>
        <v>0</v>
      </c>
      <c r="Z18" s="25">
        <f t="shared" si="7"/>
        <v>1647620</v>
      </c>
      <c r="AA18" s="25">
        <f t="shared" si="7"/>
        <v>0</v>
      </c>
      <c r="AB18" s="25">
        <f t="shared" si="7"/>
        <v>0</v>
      </c>
      <c r="AC18" s="25">
        <f t="shared" si="7"/>
        <v>1647620</v>
      </c>
      <c r="AD18" s="25">
        <f t="shared" si="7"/>
        <v>0</v>
      </c>
      <c r="AE18" s="25">
        <f t="shared" si="7"/>
        <v>0</v>
      </c>
      <c r="AF18" s="25">
        <f t="shared" si="7"/>
        <v>1647620</v>
      </c>
      <c r="AG18" s="25">
        <f t="shared" si="7"/>
        <v>0</v>
      </c>
      <c r="AH18" s="25">
        <f t="shared" si="7"/>
        <v>0</v>
      </c>
      <c r="AI18" s="25">
        <f t="shared" si="7"/>
        <v>1647620</v>
      </c>
      <c r="AJ18" s="25">
        <f t="shared" si="7"/>
        <v>0</v>
      </c>
      <c r="AK18" s="25">
        <f t="shared" si="7"/>
        <v>0</v>
      </c>
      <c r="AL18" s="25">
        <f t="shared" si="7"/>
        <v>1647620</v>
      </c>
      <c r="AM18" s="25">
        <f t="shared" si="7"/>
        <v>0</v>
      </c>
      <c r="AN18" s="25">
        <f t="shared" si="7"/>
        <v>0</v>
      </c>
      <c r="AO18" s="25">
        <f t="shared" si="7"/>
        <v>1647620</v>
      </c>
      <c r="AP18" s="25">
        <f t="shared" si="7"/>
        <v>0</v>
      </c>
      <c r="AQ18" s="25">
        <f t="shared" si="7"/>
        <v>0</v>
      </c>
      <c r="AR18" s="25">
        <f t="shared" si="7"/>
        <v>1647620</v>
      </c>
      <c r="AS18" s="25">
        <f t="shared" si="7"/>
        <v>505859</v>
      </c>
      <c r="AT18" s="25">
        <f t="shared" si="7"/>
        <v>0</v>
      </c>
      <c r="AU18" s="25">
        <f t="shared" si="7"/>
        <v>2153479</v>
      </c>
    </row>
    <row r="19" spans="1:47" s="37" customFormat="1" ht="21.75" customHeight="1">
      <c r="A19" s="103"/>
      <c r="B19" s="104" t="s">
        <v>17</v>
      </c>
      <c r="C19" s="113"/>
      <c r="D19" s="110" t="s">
        <v>187</v>
      </c>
      <c r="E19" s="102">
        <f aca="true" t="shared" si="8" ref="E19:K19">SUM(E20:E24)</f>
        <v>1410700</v>
      </c>
      <c r="F19" s="119">
        <f t="shared" si="8"/>
        <v>0</v>
      </c>
      <c r="G19" s="119">
        <f t="shared" si="8"/>
        <v>0</v>
      </c>
      <c r="H19" s="119">
        <f t="shared" si="8"/>
        <v>1410700</v>
      </c>
      <c r="I19" s="119">
        <f t="shared" si="8"/>
        <v>0</v>
      </c>
      <c r="J19" s="119">
        <f t="shared" si="8"/>
        <v>0</v>
      </c>
      <c r="K19" s="119">
        <f t="shared" si="8"/>
        <v>1410700</v>
      </c>
      <c r="L19" s="119">
        <f aca="true" t="shared" si="9" ref="L19:Q19">SUM(L20:L24)</f>
        <v>0</v>
      </c>
      <c r="M19" s="119">
        <f t="shared" si="9"/>
        <v>0</v>
      </c>
      <c r="N19" s="119">
        <f t="shared" si="9"/>
        <v>1410700</v>
      </c>
      <c r="O19" s="119">
        <f t="shared" si="9"/>
        <v>0</v>
      </c>
      <c r="P19" s="119">
        <f t="shared" si="9"/>
        <v>0</v>
      </c>
      <c r="Q19" s="119">
        <f t="shared" si="9"/>
        <v>1410700</v>
      </c>
      <c r="R19" s="119">
        <f aca="true" t="shared" si="10" ref="R19:W19">SUM(R20:R24)</f>
        <v>0</v>
      </c>
      <c r="S19" s="119">
        <f t="shared" si="10"/>
        <v>0</v>
      </c>
      <c r="T19" s="119">
        <f t="shared" si="10"/>
        <v>1410700</v>
      </c>
      <c r="U19" s="119">
        <f t="shared" si="10"/>
        <v>0</v>
      </c>
      <c r="V19" s="119">
        <f t="shared" si="10"/>
        <v>0</v>
      </c>
      <c r="W19" s="119">
        <f t="shared" si="10"/>
        <v>1410700</v>
      </c>
      <c r="X19" s="119">
        <f aca="true" t="shared" si="11" ref="X19:AC19">SUM(X20:X24)</f>
        <v>236920</v>
      </c>
      <c r="Y19" s="119">
        <f t="shared" si="11"/>
        <v>0</v>
      </c>
      <c r="Z19" s="119">
        <f t="shared" si="11"/>
        <v>1647620</v>
      </c>
      <c r="AA19" s="119">
        <f t="shared" si="11"/>
        <v>0</v>
      </c>
      <c r="AB19" s="119">
        <f t="shared" si="11"/>
        <v>0</v>
      </c>
      <c r="AC19" s="119">
        <f t="shared" si="11"/>
        <v>1647620</v>
      </c>
      <c r="AD19" s="119">
        <f aca="true" t="shared" si="12" ref="AD19:AI19">SUM(AD20:AD24)</f>
        <v>0</v>
      </c>
      <c r="AE19" s="119">
        <f t="shared" si="12"/>
        <v>0</v>
      </c>
      <c r="AF19" s="119">
        <f t="shared" si="12"/>
        <v>1647620</v>
      </c>
      <c r="AG19" s="119">
        <f t="shared" si="12"/>
        <v>0</v>
      </c>
      <c r="AH19" s="119">
        <f t="shared" si="12"/>
        <v>0</v>
      </c>
      <c r="AI19" s="119">
        <f t="shared" si="12"/>
        <v>1647620</v>
      </c>
      <c r="AJ19" s="119">
        <f aca="true" t="shared" si="13" ref="AJ19:AO19">SUM(AJ20:AJ24)</f>
        <v>0</v>
      </c>
      <c r="AK19" s="119">
        <f t="shared" si="13"/>
        <v>0</v>
      </c>
      <c r="AL19" s="119">
        <f t="shared" si="13"/>
        <v>1647620</v>
      </c>
      <c r="AM19" s="119">
        <f t="shared" si="13"/>
        <v>0</v>
      </c>
      <c r="AN19" s="119">
        <f t="shared" si="13"/>
        <v>0</v>
      </c>
      <c r="AO19" s="119">
        <f t="shared" si="13"/>
        <v>1647620</v>
      </c>
      <c r="AP19" s="119">
        <f>SUM(AP20:AP24)</f>
        <v>0</v>
      </c>
      <c r="AQ19" s="119">
        <f>SUM(AQ20:AQ24)</f>
        <v>0</v>
      </c>
      <c r="AR19" s="119">
        <f>SUM(AR20:AR25)</f>
        <v>1647620</v>
      </c>
      <c r="AS19" s="119">
        <f>SUM(AS20:AS25)</f>
        <v>505859</v>
      </c>
      <c r="AT19" s="119">
        <f>SUM(AT20:AT25)</f>
        <v>0</v>
      </c>
      <c r="AU19" s="119">
        <f>SUM(AU20:AU25)</f>
        <v>2153479</v>
      </c>
    </row>
    <row r="20" spans="1:47" s="37" customFormat="1" ht="36">
      <c r="A20" s="103"/>
      <c r="B20" s="74"/>
      <c r="C20" s="112" t="s">
        <v>201</v>
      </c>
      <c r="D20" s="110" t="s">
        <v>294</v>
      </c>
      <c r="E20" s="102">
        <v>160000</v>
      </c>
      <c r="F20" s="126"/>
      <c r="G20" s="126"/>
      <c r="H20" s="126">
        <f>SUM(E20+F20-G20)</f>
        <v>160000</v>
      </c>
      <c r="I20" s="126"/>
      <c r="J20" s="126"/>
      <c r="K20" s="126">
        <f>SUM(H20+I20-J20)</f>
        <v>160000</v>
      </c>
      <c r="L20" s="126"/>
      <c r="M20" s="126"/>
      <c r="N20" s="126">
        <f>SUM(K20+L20-M20)</f>
        <v>160000</v>
      </c>
      <c r="O20" s="126"/>
      <c r="P20" s="126"/>
      <c r="Q20" s="126">
        <f>SUM(N20+O20-P20)</f>
        <v>160000</v>
      </c>
      <c r="R20" s="126"/>
      <c r="S20" s="126"/>
      <c r="T20" s="126">
        <f>SUM(Q20+R20-S20)</f>
        <v>160000</v>
      </c>
      <c r="U20" s="126"/>
      <c r="V20" s="126"/>
      <c r="W20" s="126">
        <f>SUM(T20+U20-V20)</f>
        <v>160000</v>
      </c>
      <c r="X20" s="126"/>
      <c r="Y20" s="126"/>
      <c r="Z20" s="126">
        <f>SUM(W20+X20-Y20)</f>
        <v>160000</v>
      </c>
      <c r="AA20" s="126"/>
      <c r="AB20" s="126"/>
      <c r="AC20" s="126">
        <f>SUM(Z20+AA20-AB20)</f>
        <v>160000</v>
      </c>
      <c r="AD20" s="126"/>
      <c r="AE20" s="126"/>
      <c r="AF20" s="126">
        <f>SUM(AC20+AD20-AE20)</f>
        <v>160000</v>
      </c>
      <c r="AG20" s="126"/>
      <c r="AH20" s="126"/>
      <c r="AI20" s="126">
        <f>SUM(AF20+AG20-AH20)</f>
        <v>160000</v>
      </c>
      <c r="AJ20" s="126"/>
      <c r="AK20" s="126"/>
      <c r="AL20" s="126">
        <f>SUM(AI20+AJ20-AK20)</f>
        <v>160000</v>
      </c>
      <c r="AM20" s="126"/>
      <c r="AN20" s="126"/>
      <c r="AO20" s="126">
        <f>SUM(AL20+AM20-AN20)</f>
        <v>160000</v>
      </c>
      <c r="AP20" s="126"/>
      <c r="AQ20" s="126"/>
      <c r="AR20" s="126">
        <f>SUM(AO20+AP20-AQ20)</f>
        <v>160000</v>
      </c>
      <c r="AS20" s="126"/>
      <c r="AT20" s="126"/>
      <c r="AU20" s="126">
        <f aca="true" t="shared" si="14" ref="AU20:AU25">SUM(AR20+AS20-AT20)</f>
        <v>160000</v>
      </c>
    </row>
    <row r="21" spans="1:47" s="37" customFormat="1" ht="84">
      <c r="A21" s="103"/>
      <c r="B21" s="74"/>
      <c r="C21" s="105" t="s">
        <v>202</v>
      </c>
      <c r="D21" s="110" t="s">
        <v>71</v>
      </c>
      <c r="E21" s="102">
        <f>177700</f>
        <v>177700</v>
      </c>
      <c r="F21" s="126"/>
      <c r="G21" s="126"/>
      <c r="H21" s="126">
        <f>SUM(E21+F21-G21)</f>
        <v>177700</v>
      </c>
      <c r="I21" s="126"/>
      <c r="J21" s="126"/>
      <c r="K21" s="126">
        <f>SUM(H21+I21-J21)</f>
        <v>177700</v>
      </c>
      <c r="L21" s="126"/>
      <c r="M21" s="126"/>
      <c r="N21" s="126">
        <f>SUM(K21+L21-M21)</f>
        <v>177700</v>
      </c>
      <c r="O21" s="126"/>
      <c r="P21" s="126"/>
      <c r="Q21" s="126">
        <f>SUM(N21+O21-P21)</f>
        <v>177700</v>
      </c>
      <c r="R21" s="126"/>
      <c r="S21" s="126"/>
      <c r="T21" s="126">
        <f>SUM(Q21+R21-S21)</f>
        <v>177700</v>
      </c>
      <c r="U21" s="126"/>
      <c r="V21" s="126"/>
      <c r="W21" s="126">
        <f>SUM(T21+U21-V21)</f>
        <v>177700</v>
      </c>
      <c r="X21" s="126"/>
      <c r="Y21" s="126"/>
      <c r="Z21" s="126">
        <f>SUM(W21+X21-Y21)</f>
        <v>177700</v>
      </c>
      <c r="AA21" s="126"/>
      <c r="AB21" s="126"/>
      <c r="AC21" s="126">
        <f>SUM(Z21+AA21-AB21)</f>
        <v>177700</v>
      </c>
      <c r="AD21" s="126"/>
      <c r="AE21" s="126"/>
      <c r="AF21" s="126">
        <f>SUM(AC21+AD21-AE21)</f>
        <v>177700</v>
      </c>
      <c r="AG21" s="126"/>
      <c r="AH21" s="126"/>
      <c r="AI21" s="126">
        <f>SUM(AF21+AG21-AH21)</f>
        <v>177700</v>
      </c>
      <c r="AJ21" s="126"/>
      <c r="AK21" s="126"/>
      <c r="AL21" s="126">
        <f>SUM(AI21+AJ21-AK21)</f>
        <v>177700</v>
      </c>
      <c r="AM21" s="126"/>
      <c r="AN21" s="126"/>
      <c r="AO21" s="126">
        <f>SUM(AL21+AM21-AN21)</f>
        <v>177700</v>
      </c>
      <c r="AP21" s="126"/>
      <c r="AQ21" s="126"/>
      <c r="AR21" s="126">
        <f>SUM(AO21+AP21-AQ21)</f>
        <v>177700</v>
      </c>
      <c r="AS21" s="126">
        <v>40600</v>
      </c>
      <c r="AT21" s="126"/>
      <c r="AU21" s="126">
        <f t="shared" si="14"/>
        <v>218300</v>
      </c>
    </row>
    <row r="22" spans="1:47" s="37" customFormat="1" ht="24">
      <c r="A22" s="103"/>
      <c r="B22" s="74"/>
      <c r="C22" s="105" t="s">
        <v>259</v>
      </c>
      <c r="D22" s="110" t="s">
        <v>243</v>
      </c>
      <c r="E22" s="102">
        <f>408200+57800+432000+115000+50000</f>
        <v>1063000</v>
      </c>
      <c r="F22" s="126"/>
      <c r="G22" s="126"/>
      <c r="H22" s="126">
        <f>SUM(E22+F22-G22)</f>
        <v>1063000</v>
      </c>
      <c r="I22" s="126"/>
      <c r="J22" s="126"/>
      <c r="K22" s="126">
        <f>SUM(H22+I22-J22)</f>
        <v>1063000</v>
      </c>
      <c r="L22" s="126"/>
      <c r="M22" s="126"/>
      <c r="N22" s="126">
        <f>SUM(K22+L22-M22)</f>
        <v>1063000</v>
      </c>
      <c r="O22" s="126"/>
      <c r="P22" s="126"/>
      <c r="Q22" s="126">
        <f>SUM(N22+O22-P22)</f>
        <v>1063000</v>
      </c>
      <c r="R22" s="126"/>
      <c r="S22" s="126"/>
      <c r="T22" s="126">
        <f>SUM(Q22+R22-S22)</f>
        <v>1063000</v>
      </c>
      <c r="U22" s="126"/>
      <c r="V22" s="126"/>
      <c r="W22" s="126">
        <f>SUM(T22+U22-V22)</f>
        <v>1063000</v>
      </c>
      <c r="X22" s="126">
        <f>240000-3080</f>
        <v>236920</v>
      </c>
      <c r="Y22" s="126"/>
      <c r="Z22" s="126">
        <f>SUM(W22+X22-Y22)</f>
        <v>1299920</v>
      </c>
      <c r="AA22" s="126"/>
      <c r="AB22" s="126"/>
      <c r="AC22" s="126">
        <f>SUM(Z22+AA22-AB22)</f>
        <v>1299920</v>
      </c>
      <c r="AD22" s="126"/>
      <c r="AE22" s="126"/>
      <c r="AF22" s="126">
        <f>SUM(AC22+AD22-AE22)</f>
        <v>1299920</v>
      </c>
      <c r="AG22" s="126"/>
      <c r="AH22" s="126"/>
      <c r="AI22" s="126">
        <f>SUM(AF22+AG22-AH22)</f>
        <v>1299920</v>
      </c>
      <c r="AJ22" s="126"/>
      <c r="AK22" s="126"/>
      <c r="AL22" s="126">
        <f>SUM(AI22+AJ22-AK22)</f>
        <v>1299920</v>
      </c>
      <c r="AM22" s="126"/>
      <c r="AN22" s="126"/>
      <c r="AO22" s="126">
        <f>SUM(AL22+AM22-AN22)</f>
        <v>1299920</v>
      </c>
      <c r="AP22" s="126"/>
      <c r="AQ22" s="126"/>
      <c r="AR22" s="126">
        <f>SUM(AO22+AP22-AQ22)</f>
        <v>1299920</v>
      </c>
      <c r="AS22" s="126">
        <f>346000+103149</f>
        <v>449149</v>
      </c>
      <c r="AT22" s="126"/>
      <c r="AU22" s="126">
        <f t="shared" si="14"/>
        <v>1749069</v>
      </c>
    </row>
    <row r="23" spans="1:47" s="37" customFormat="1" ht="48">
      <c r="A23" s="103"/>
      <c r="B23" s="74"/>
      <c r="C23" s="105" t="s">
        <v>712</v>
      </c>
      <c r="D23" s="110" t="s">
        <v>713</v>
      </c>
      <c r="E23" s="102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>
        <v>0</v>
      </c>
      <c r="AS23" s="126">
        <v>110</v>
      </c>
      <c r="AT23" s="126"/>
      <c r="AU23" s="126">
        <f t="shared" si="14"/>
        <v>110</v>
      </c>
    </row>
    <row r="24" spans="1:47" s="37" customFormat="1" ht="21.75" customHeight="1">
      <c r="A24" s="103"/>
      <c r="B24" s="74"/>
      <c r="C24" s="105" t="s">
        <v>203</v>
      </c>
      <c r="D24" s="110" t="s">
        <v>18</v>
      </c>
      <c r="E24" s="102">
        <v>10000</v>
      </c>
      <c r="F24" s="126"/>
      <c r="G24" s="126"/>
      <c r="H24" s="126">
        <f>SUM(E24+F24-G24)</f>
        <v>10000</v>
      </c>
      <c r="I24" s="126"/>
      <c r="J24" s="126"/>
      <c r="K24" s="126">
        <f>SUM(H24+I24-J24)</f>
        <v>10000</v>
      </c>
      <c r="L24" s="126"/>
      <c r="M24" s="126"/>
      <c r="N24" s="126">
        <f>SUM(K24+L24-M24)</f>
        <v>10000</v>
      </c>
      <c r="O24" s="126"/>
      <c r="P24" s="126"/>
      <c r="Q24" s="126">
        <f>SUM(N24+O24-P24)</f>
        <v>10000</v>
      </c>
      <c r="R24" s="126"/>
      <c r="S24" s="126"/>
      <c r="T24" s="126">
        <f>SUM(Q24+R24-S24)</f>
        <v>10000</v>
      </c>
      <c r="U24" s="126"/>
      <c r="V24" s="126"/>
      <c r="W24" s="126">
        <f>SUM(T24+U24-V24)</f>
        <v>10000</v>
      </c>
      <c r="X24" s="126"/>
      <c r="Y24" s="126"/>
      <c r="Z24" s="126">
        <f>SUM(W24+X24-Y24)</f>
        <v>10000</v>
      </c>
      <c r="AA24" s="126"/>
      <c r="AB24" s="126"/>
      <c r="AC24" s="126">
        <f>SUM(Z24+AA24-AB24)</f>
        <v>10000</v>
      </c>
      <c r="AD24" s="126"/>
      <c r="AE24" s="126"/>
      <c r="AF24" s="126">
        <f>SUM(AC24+AD24-AE24)</f>
        <v>10000</v>
      </c>
      <c r="AG24" s="126"/>
      <c r="AH24" s="126"/>
      <c r="AI24" s="126">
        <f>SUM(AF24+AG24-AH24)</f>
        <v>10000</v>
      </c>
      <c r="AJ24" s="126"/>
      <c r="AK24" s="126"/>
      <c r="AL24" s="126">
        <f>SUM(AI24+AJ24-AK24)</f>
        <v>10000</v>
      </c>
      <c r="AM24" s="126"/>
      <c r="AN24" s="126"/>
      <c r="AO24" s="126">
        <f>SUM(AL24+AM24-AN24)</f>
        <v>10000</v>
      </c>
      <c r="AP24" s="126"/>
      <c r="AQ24" s="126"/>
      <c r="AR24" s="126">
        <f>SUM(AO24+AP24-AQ24)</f>
        <v>10000</v>
      </c>
      <c r="AS24" s="126"/>
      <c r="AT24" s="126"/>
      <c r="AU24" s="126">
        <f t="shared" si="14"/>
        <v>10000</v>
      </c>
    </row>
    <row r="25" spans="1:47" s="37" customFormat="1" ht="21.75" customHeight="1">
      <c r="A25" s="103"/>
      <c r="B25" s="74"/>
      <c r="C25" s="105" t="s">
        <v>204</v>
      </c>
      <c r="D25" s="110" t="s">
        <v>19</v>
      </c>
      <c r="E25" s="102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>
        <v>0</v>
      </c>
      <c r="AS25" s="126">
        <v>16000</v>
      </c>
      <c r="AT25" s="126"/>
      <c r="AU25" s="126">
        <f t="shared" si="14"/>
        <v>16000</v>
      </c>
    </row>
    <row r="26" spans="1:47" s="8" customFormat="1" ht="24.75" customHeight="1">
      <c r="A26" s="46" t="s">
        <v>22</v>
      </c>
      <c r="B26" s="4"/>
      <c r="C26" s="5"/>
      <c r="D26" s="47" t="s">
        <v>23</v>
      </c>
      <c r="E26" s="89">
        <f aca="true" t="shared" si="15" ref="E26:K26">SUM(E27,E30)</f>
        <v>183550</v>
      </c>
      <c r="F26" s="89">
        <f t="shared" si="15"/>
        <v>0</v>
      </c>
      <c r="G26" s="89">
        <f t="shared" si="15"/>
        <v>0</v>
      </c>
      <c r="H26" s="89">
        <f t="shared" si="15"/>
        <v>183550</v>
      </c>
      <c r="I26" s="89">
        <f t="shared" si="15"/>
        <v>0</v>
      </c>
      <c r="J26" s="89">
        <f t="shared" si="15"/>
        <v>0</v>
      </c>
      <c r="K26" s="89">
        <f t="shared" si="15"/>
        <v>183550</v>
      </c>
      <c r="L26" s="89">
        <f aca="true" t="shared" si="16" ref="L26:Q26">SUM(L27,L30)</f>
        <v>0</v>
      </c>
      <c r="M26" s="89">
        <f t="shared" si="16"/>
        <v>0</v>
      </c>
      <c r="N26" s="89">
        <f t="shared" si="16"/>
        <v>183550</v>
      </c>
      <c r="O26" s="89">
        <f t="shared" si="16"/>
        <v>0</v>
      </c>
      <c r="P26" s="89">
        <f t="shared" si="16"/>
        <v>0</v>
      </c>
      <c r="Q26" s="89">
        <f t="shared" si="16"/>
        <v>183550</v>
      </c>
      <c r="R26" s="89">
        <f aca="true" t="shared" si="17" ref="R26:W26">SUM(R27,R30)</f>
        <v>0</v>
      </c>
      <c r="S26" s="89">
        <f t="shared" si="17"/>
        <v>0</v>
      </c>
      <c r="T26" s="89">
        <f t="shared" si="17"/>
        <v>183550</v>
      </c>
      <c r="U26" s="89">
        <f t="shared" si="17"/>
        <v>0</v>
      </c>
      <c r="V26" s="89">
        <f t="shared" si="17"/>
        <v>0</v>
      </c>
      <c r="W26" s="89">
        <f t="shared" si="17"/>
        <v>183550</v>
      </c>
      <c r="X26" s="89">
        <f aca="true" t="shared" si="18" ref="X26:AC26">SUM(X27,X30)</f>
        <v>32000</v>
      </c>
      <c r="Y26" s="89">
        <f t="shared" si="18"/>
        <v>0</v>
      </c>
      <c r="Z26" s="89">
        <f t="shared" si="18"/>
        <v>215550</v>
      </c>
      <c r="AA26" s="89">
        <f t="shared" si="18"/>
        <v>0</v>
      </c>
      <c r="AB26" s="89">
        <f t="shared" si="18"/>
        <v>0</v>
      </c>
      <c r="AC26" s="89">
        <f t="shared" si="18"/>
        <v>215550</v>
      </c>
      <c r="AD26" s="89">
        <f aca="true" t="shared" si="19" ref="AD26:AI26">SUM(AD27,AD30)</f>
        <v>0</v>
      </c>
      <c r="AE26" s="89">
        <f t="shared" si="19"/>
        <v>0</v>
      </c>
      <c r="AF26" s="89">
        <f t="shared" si="19"/>
        <v>215550</v>
      </c>
      <c r="AG26" s="89">
        <f t="shared" si="19"/>
        <v>0</v>
      </c>
      <c r="AH26" s="89">
        <f t="shared" si="19"/>
        <v>0</v>
      </c>
      <c r="AI26" s="89">
        <f t="shared" si="19"/>
        <v>215550</v>
      </c>
      <c r="AJ26" s="89">
        <f aca="true" t="shared" si="20" ref="AJ26:AO26">SUM(AJ27,AJ30)</f>
        <v>0</v>
      </c>
      <c r="AK26" s="89">
        <f t="shared" si="20"/>
        <v>0</v>
      </c>
      <c r="AL26" s="89">
        <f t="shared" si="20"/>
        <v>215550</v>
      </c>
      <c r="AM26" s="89">
        <f t="shared" si="20"/>
        <v>17166</v>
      </c>
      <c r="AN26" s="89">
        <f t="shared" si="20"/>
        <v>0</v>
      </c>
      <c r="AO26" s="89">
        <f t="shared" si="20"/>
        <v>232716</v>
      </c>
      <c r="AP26" s="89">
        <f aca="true" t="shared" si="21" ref="AP26:AU26">SUM(AP27,AP30)</f>
        <v>0</v>
      </c>
      <c r="AQ26" s="89">
        <f t="shared" si="21"/>
        <v>0</v>
      </c>
      <c r="AR26" s="89">
        <f t="shared" si="21"/>
        <v>232716</v>
      </c>
      <c r="AS26" s="89">
        <f t="shared" si="21"/>
        <v>15000</v>
      </c>
      <c r="AT26" s="89">
        <f t="shared" si="21"/>
        <v>0</v>
      </c>
      <c r="AU26" s="89">
        <f t="shared" si="21"/>
        <v>247716</v>
      </c>
    </row>
    <row r="27" spans="1:47" s="37" customFormat="1" ht="21" customHeight="1">
      <c r="A27" s="103"/>
      <c r="B27" s="104">
        <v>75011</v>
      </c>
      <c r="C27" s="113"/>
      <c r="D27" s="110" t="s">
        <v>24</v>
      </c>
      <c r="E27" s="102">
        <f aca="true" t="shared" si="22" ref="E27:K27">SUM(E28:E29)</f>
        <v>148550</v>
      </c>
      <c r="F27" s="119">
        <f t="shared" si="22"/>
        <v>0</v>
      </c>
      <c r="G27" s="119">
        <f t="shared" si="22"/>
        <v>0</v>
      </c>
      <c r="H27" s="119">
        <f t="shared" si="22"/>
        <v>148550</v>
      </c>
      <c r="I27" s="119">
        <f t="shared" si="22"/>
        <v>0</v>
      </c>
      <c r="J27" s="119">
        <f t="shared" si="22"/>
        <v>0</v>
      </c>
      <c r="K27" s="119">
        <f t="shared" si="22"/>
        <v>148550</v>
      </c>
      <c r="L27" s="119">
        <f aca="true" t="shared" si="23" ref="L27:Q27">SUM(L28:L29)</f>
        <v>0</v>
      </c>
      <c r="M27" s="119">
        <f t="shared" si="23"/>
        <v>0</v>
      </c>
      <c r="N27" s="119">
        <f t="shared" si="23"/>
        <v>148550</v>
      </c>
      <c r="O27" s="119">
        <f t="shared" si="23"/>
        <v>0</v>
      </c>
      <c r="P27" s="119">
        <f t="shared" si="23"/>
        <v>0</v>
      </c>
      <c r="Q27" s="119">
        <f t="shared" si="23"/>
        <v>148550</v>
      </c>
      <c r="R27" s="119">
        <f aca="true" t="shared" si="24" ref="R27:W27">SUM(R28:R29)</f>
        <v>0</v>
      </c>
      <c r="S27" s="119">
        <f t="shared" si="24"/>
        <v>0</v>
      </c>
      <c r="T27" s="119">
        <f t="shared" si="24"/>
        <v>148550</v>
      </c>
      <c r="U27" s="119">
        <f t="shared" si="24"/>
        <v>0</v>
      </c>
      <c r="V27" s="119">
        <f t="shared" si="24"/>
        <v>0</v>
      </c>
      <c r="W27" s="119">
        <f t="shared" si="24"/>
        <v>148550</v>
      </c>
      <c r="X27" s="119">
        <f aca="true" t="shared" si="25" ref="X27:AC27">SUM(X28:X29)</f>
        <v>0</v>
      </c>
      <c r="Y27" s="119">
        <f t="shared" si="25"/>
        <v>0</v>
      </c>
      <c r="Z27" s="119">
        <f t="shared" si="25"/>
        <v>148550</v>
      </c>
      <c r="AA27" s="119">
        <f t="shared" si="25"/>
        <v>0</v>
      </c>
      <c r="AB27" s="119">
        <f t="shared" si="25"/>
        <v>0</v>
      </c>
      <c r="AC27" s="119">
        <f t="shared" si="25"/>
        <v>148550</v>
      </c>
      <c r="AD27" s="119">
        <f aca="true" t="shared" si="26" ref="AD27:AI27">SUM(AD28:AD29)</f>
        <v>0</v>
      </c>
      <c r="AE27" s="119">
        <f t="shared" si="26"/>
        <v>0</v>
      </c>
      <c r="AF27" s="119">
        <f t="shared" si="26"/>
        <v>148550</v>
      </c>
      <c r="AG27" s="119">
        <f t="shared" si="26"/>
        <v>0</v>
      </c>
      <c r="AH27" s="119">
        <f t="shared" si="26"/>
        <v>0</v>
      </c>
      <c r="AI27" s="119">
        <f t="shared" si="26"/>
        <v>148550</v>
      </c>
      <c r="AJ27" s="119">
        <f aca="true" t="shared" si="27" ref="AJ27:AO27">SUM(AJ28:AJ29)</f>
        <v>0</v>
      </c>
      <c r="AK27" s="119">
        <f t="shared" si="27"/>
        <v>0</v>
      </c>
      <c r="AL27" s="119">
        <f t="shared" si="27"/>
        <v>148550</v>
      </c>
      <c r="AM27" s="119">
        <f t="shared" si="27"/>
        <v>17166</v>
      </c>
      <c r="AN27" s="119">
        <f t="shared" si="27"/>
        <v>0</v>
      </c>
      <c r="AO27" s="119">
        <f t="shared" si="27"/>
        <v>165716</v>
      </c>
      <c r="AP27" s="119">
        <f aca="true" t="shared" si="28" ref="AP27:AU27">SUM(AP28:AP29)</f>
        <v>0</v>
      </c>
      <c r="AQ27" s="119">
        <f t="shared" si="28"/>
        <v>0</v>
      </c>
      <c r="AR27" s="119">
        <f t="shared" si="28"/>
        <v>165716</v>
      </c>
      <c r="AS27" s="119">
        <f t="shared" si="28"/>
        <v>0</v>
      </c>
      <c r="AT27" s="119">
        <f t="shared" si="28"/>
        <v>0</v>
      </c>
      <c r="AU27" s="119">
        <f t="shared" si="28"/>
        <v>165716</v>
      </c>
    </row>
    <row r="28" spans="1:47" s="37" customFormat="1" ht="60">
      <c r="A28" s="103"/>
      <c r="B28" s="74"/>
      <c r="C28" s="105">
        <v>2010</v>
      </c>
      <c r="D28" s="110" t="s">
        <v>445</v>
      </c>
      <c r="E28" s="119">
        <v>144800</v>
      </c>
      <c r="F28" s="126"/>
      <c r="G28" s="126"/>
      <c r="H28" s="126">
        <f>SUM(E28+F28-G28)</f>
        <v>144800</v>
      </c>
      <c r="I28" s="126"/>
      <c r="J28" s="126"/>
      <c r="K28" s="126">
        <f>SUM(H28+I28-J28)</f>
        <v>144800</v>
      </c>
      <c r="L28" s="126"/>
      <c r="M28" s="126"/>
      <c r="N28" s="126">
        <f>SUM(K28+L28-M28)</f>
        <v>144800</v>
      </c>
      <c r="O28" s="126"/>
      <c r="P28" s="126"/>
      <c r="Q28" s="126">
        <f>SUM(N28+O28-P28)</f>
        <v>144800</v>
      </c>
      <c r="R28" s="126"/>
      <c r="S28" s="126"/>
      <c r="T28" s="126">
        <f>SUM(Q28+R28-S28)</f>
        <v>144800</v>
      </c>
      <c r="U28" s="126"/>
      <c r="V28" s="126"/>
      <c r="W28" s="126">
        <f>SUM(T28+U28-V28)</f>
        <v>144800</v>
      </c>
      <c r="X28" s="126"/>
      <c r="Y28" s="126"/>
      <c r="Z28" s="126">
        <f>SUM(W28+X28-Y28)</f>
        <v>144800</v>
      </c>
      <c r="AA28" s="126"/>
      <c r="AB28" s="126"/>
      <c r="AC28" s="126">
        <f>SUM(Z28+AA28-AB28)</f>
        <v>144800</v>
      </c>
      <c r="AD28" s="126"/>
      <c r="AE28" s="126"/>
      <c r="AF28" s="126">
        <f>SUM(AC28+AD28-AE28)</f>
        <v>144800</v>
      </c>
      <c r="AG28" s="126"/>
      <c r="AH28" s="126"/>
      <c r="AI28" s="126">
        <f>SUM(AF28+AG28-AH28)</f>
        <v>144800</v>
      </c>
      <c r="AJ28" s="126"/>
      <c r="AK28" s="126"/>
      <c r="AL28" s="126">
        <f>SUM(AI28+AJ28-AK28)</f>
        <v>144800</v>
      </c>
      <c r="AM28" s="126">
        <v>17166</v>
      </c>
      <c r="AN28" s="126"/>
      <c r="AO28" s="126">
        <f>SUM(AL28+AM28-AN28)</f>
        <v>161966</v>
      </c>
      <c r="AP28" s="126"/>
      <c r="AQ28" s="126"/>
      <c r="AR28" s="126">
        <f>SUM(AO28+AP28-AQ28)</f>
        <v>161966</v>
      </c>
      <c r="AS28" s="126"/>
      <c r="AT28" s="126"/>
      <c r="AU28" s="126">
        <f>SUM(AR28+AS28-AT28)</f>
        <v>161966</v>
      </c>
    </row>
    <row r="29" spans="1:47" s="37" customFormat="1" ht="60">
      <c r="A29" s="103"/>
      <c r="B29" s="74"/>
      <c r="C29" s="105">
        <v>2360</v>
      </c>
      <c r="D29" s="110" t="s">
        <v>448</v>
      </c>
      <c r="E29" s="102">
        <v>3750</v>
      </c>
      <c r="F29" s="126"/>
      <c r="G29" s="126"/>
      <c r="H29" s="126">
        <f>SUM(E29+F29-G29)</f>
        <v>3750</v>
      </c>
      <c r="I29" s="126"/>
      <c r="J29" s="126"/>
      <c r="K29" s="126">
        <f>SUM(H29+I29-J29)</f>
        <v>3750</v>
      </c>
      <c r="L29" s="126"/>
      <c r="M29" s="126"/>
      <c r="N29" s="126">
        <f>SUM(K29+L29-M29)</f>
        <v>3750</v>
      </c>
      <c r="O29" s="126"/>
      <c r="P29" s="126"/>
      <c r="Q29" s="126">
        <f>SUM(N29+O29-P29)</f>
        <v>3750</v>
      </c>
      <c r="R29" s="126"/>
      <c r="S29" s="126"/>
      <c r="T29" s="126">
        <f>SUM(Q29+R29-S29)</f>
        <v>3750</v>
      </c>
      <c r="U29" s="126"/>
      <c r="V29" s="126"/>
      <c r="W29" s="126">
        <f>SUM(T29+U29-V29)</f>
        <v>3750</v>
      </c>
      <c r="X29" s="126"/>
      <c r="Y29" s="126"/>
      <c r="Z29" s="126">
        <f>SUM(W29+X29-Y29)</f>
        <v>3750</v>
      </c>
      <c r="AA29" s="126"/>
      <c r="AB29" s="126"/>
      <c r="AC29" s="126">
        <f>SUM(Z29+AA29-AB29)</f>
        <v>3750</v>
      </c>
      <c r="AD29" s="126"/>
      <c r="AE29" s="126"/>
      <c r="AF29" s="126">
        <f>SUM(AC29+AD29-AE29)</f>
        <v>3750</v>
      </c>
      <c r="AG29" s="126"/>
      <c r="AH29" s="126"/>
      <c r="AI29" s="126">
        <f>SUM(AF29+AG29-AH29)</f>
        <v>3750</v>
      </c>
      <c r="AJ29" s="126"/>
      <c r="AK29" s="126"/>
      <c r="AL29" s="126">
        <f>SUM(AI29+AJ29-AK29)</f>
        <v>3750</v>
      </c>
      <c r="AM29" s="126"/>
      <c r="AN29" s="126"/>
      <c r="AO29" s="126">
        <f>SUM(AL29+AM29-AN29)</f>
        <v>3750</v>
      </c>
      <c r="AP29" s="126"/>
      <c r="AQ29" s="126"/>
      <c r="AR29" s="126">
        <f>SUM(AO29+AP29-AQ29)</f>
        <v>3750</v>
      </c>
      <c r="AS29" s="126"/>
      <c r="AT29" s="126"/>
      <c r="AU29" s="126">
        <f>SUM(AR29+AS29-AT29)</f>
        <v>3750</v>
      </c>
    </row>
    <row r="30" spans="1:47" s="37" customFormat="1" ht="23.25" customHeight="1">
      <c r="A30" s="111"/>
      <c r="B30" s="104" t="s">
        <v>25</v>
      </c>
      <c r="C30" s="113"/>
      <c r="D30" s="110" t="s">
        <v>26</v>
      </c>
      <c r="E30" s="102">
        <f aca="true" t="shared" si="29" ref="E30:AU30">SUM(E31)</f>
        <v>35000</v>
      </c>
      <c r="F30" s="119">
        <f t="shared" si="29"/>
        <v>0</v>
      </c>
      <c r="G30" s="119">
        <f t="shared" si="29"/>
        <v>0</v>
      </c>
      <c r="H30" s="119">
        <f t="shared" si="29"/>
        <v>35000</v>
      </c>
      <c r="I30" s="119">
        <f t="shared" si="29"/>
        <v>0</v>
      </c>
      <c r="J30" s="119">
        <f t="shared" si="29"/>
        <v>0</v>
      </c>
      <c r="K30" s="119">
        <f t="shared" si="29"/>
        <v>35000</v>
      </c>
      <c r="L30" s="119">
        <f t="shared" si="29"/>
        <v>0</v>
      </c>
      <c r="M30" s="119">
        <f t="shared" si="29"/>
        <v>0</v>
      </c>
      <c r="N30" s="119">
        <f t="shared" si="29"/>
        <v>35000</v>
      </c>
      <c r="O30" s="119">
        <f t="shared" si="29"/>
        <v>0</v>
      </c>
      <c r="P30" s="119">
        <f t="shared" si="29"/>
        <v>0</v>
      </c>
      <c r="Q30" s="119">
        <f t="shared" si="29"/>
        <v>35000</v>
      </c>
      <c r="R30" s="119">
        <f t="shared" si="29"/>
        <v>0</v>
      </c>
      <c r="S30" s="119">
        <f t="shared" si="29"/>
        <v>0</v>
      </c>
      <c r="T30" s="119">
        <f t="shared" si="29"/>
        <v>35000</v>
      </c>
      <c r="U30" s="119">
        <f t="shared" si="29"/>
        <v>0</v>
      </c>
      <c r="V30" s="119">
        <f t="shared" si="29"/>
        <v>0</v>
      </c>
      <c r="W30" s="119">
        <f t="shared" si="29"/>
        <v>35000</v>
      </c>
      <c r="X30" s="119">
        <f t="shared" si="29"/>
        <v>32000</v>
      </c>
      <c r="Y30" s="119">
        <f t="shared" si="29"/>
        <v>0</v>
      </c>
      <c r="Z30" s="119">
        <f t="shared" si="29"/>
        <v>67000</v>
      </c>
      <c r="AA30" s="119">
        <f t="shared" si="29"/>
        <v>0</v>
      </c>
      <c r="AB30" s="119">
        <f t="shared" si="29"/>
        <v>0</v>
      </c>
      <c r="AC30" s="119">
        <f t="shared" si="29"/>
        <v>67000</v>
      </c>
      <c r="AD30" s="119">
        <f t="shared" si="29"/>
        <v>0</v>
      </c>
      <c r="AE30" s="119">
        <f t="shared" si="29"/>
        <v>0</v>
      </c>
      <c r="AF30" s="119">
        <f t="shared" si="29"/>
        <v>67000</v>
      </c>
      <c r="AG30" s="119">
        <f t="shared" si="29"/>
        <v>0</v>
      </c>
      <c r="AH30" s="119">
        <f t="shared" si="29"/>
        <v>0</v>
      </c>
      <c r="AI30" s="119">
        <f t="shared" si="29"/>
        <v>67000</v>
      </c>
      <c r="AJ30" s="119">
        <f t="shared" si="29"/>
        <v>0</v>
      </c>
      <c r="AK30" s="119">
        <f t="shared" si="29"/>
        <v>0</v>
      </c>
      <c r="AL30" s="119">
        <f t="shared" si="29"/>
        <v>67000</v>
      </c>
      <c r="AM30" s="119">
        <f t="shared" si="29"/>
        <v>0</v>
      </c>
      <c r="AN30" s="119">
        <f t="shared" si="29"/>
        <v>0</v>
      </c>
      <c r="AO30" s="119">
        <f t="shared" si="29"/>
        <v>67000</v>
      </c>
      <c r="AP30" s="119">
        <f t="shared" si="29"/>
        <v>0</v>
      </c>
      <c r="AQ30" s="119">
        <f t="shared" si="29"/>
        <v>0</v>
      </c>
      <c r="AR30" s="119">
        <f t="shared" si="29"/>
        <v>67000</v>
      </c>
      <c r="AS30" s="119">
        <f t="shared" si="29"/>
        <v>15000</v>
      </c>
      <c r="AT30" s="119">
        <f t="shared" si="29"/>
        <v>0</v>
      </c>
      <c r="AU30" s="119">
        <f t="shared" si="29"/>
        <v>82000</v>
      </c>
    </row>
    <row r="31" spans="1:47" s="37" customFormat="1" ht="21.75" customHeight="1">
      <c r="A31" s="111"/>
      <c r="B31" s="104"/>
      <c r="C31" s="112" t="s">
        <v>204</v>
      </c>
      <c r="D31" s="110" t="s">
        <v>19</v>
      </c>
      <c r="E31" s="102">
        <v>35000</v>
      </c>
      <c r="F31" s="126"/>
      <c r="G31" s="126"/>
      <c r="H31" s="126">
        <f>SUM(E31+F31-G31)</f>
        <v>35000</v>
      </c>
      <c r="I31" s="126"/>
      <c r="J31" s="126"/>
      <c r="K31" s="126">
        <f>SUM(H31+I31-J31)</f>
        <v>35000</v>
      </c>
      <c r="L31" s="126"/>
      <c r="M31" s="126"/>
      <c r="N31" s="126">
        <f>SUM(K31+L31-M31)</f>
        <v>35000</v>
      </c>
      <c r="O31" s="126"/>
      <c r="P31" s="126"/>
      <c r="Q31" s="126">
        <f>SUM(N31+O31-P31)</f>
        <v>35000</v>
      </c>
      <c r="R31" s="126"/>
      <c r="S31" s="126"/>
      <c r="T31" s="126">
        <f>SUM(Q31+R31-S31)</f>
        <v>35000</v>
      </c>
      <c r="U31" s="126"/>
      <c r="V31" s="126"/>
      <c r="W31" s="126">
        <f>SUM(T31+U31-V31)</f>
        <v>35000</v>
      </c>
      <c r="X31" s="126">
        <v>32000</v>
      </c>
      <c r="Y31" s="126"/>
      <c r="Z31" s="126">
        <f>SUM(W31+X31-Y31)</f>
        <v>67000</v>
      </c>
      <c r="AA31" s="126"/>
      <c r="AB31" s="126"/>
      <c r="AC31" s="126">
        <f>SUM(Z31+AA31-AB31)</f>
        <v>67000</v>
      </c>
      <c r="AD31" s="126"/>
      <c r="AE31" s="126"/>
      <c r="AF31" s="126">
        <f>SUM(AC31+AD31-AE31)</f>
        <v>67000</v>
      </c>
      <c r="AG31" s="126"/>
      <c r="AH31" s="126"/>
      <c r="AI31" s="126">
        <f>SUM(AF31+AG31-AH31)</f>
        <v>67000</v>
      </c>
      <c r="AJ31" s="126"/>
      <c r="AK31" s="126"/>
      <c r="AL31" s="126">
        <f>SUM(AI31+AJ31-AK31)</f>
        <v>67000</v>
      </c>
      <c r="AM31" s="126"/>
      <c r="AN31" s="126"/>
      <c r="AO31" s="126">
        <f>SUM(AL31+AM31-AN31)</f>
        <v>67000</v>
      </c>
      <c r="AP31" s="126"/>
      <c r="AQ31" s="126"/>
      <c r="AR31" s="126">
        <f>SUM(AO31+AP31-AQ31)</f>
        <v>67000</v>
      </c>
      <c r="AS31" s="126">
        <v>15000</v>
      </c>
      <c r="AT31" s="126"/>
      <c r="AU31" s="126">
        <f>SUM(AR31+AS31-AT31)</f>
        <v>82000</v>
      </c>
    </row>
    <row r="32" spans="1:47" s="8" customFormat="1" ht="48">
      <c r="A32" s="46">
        <v>751</v>
      </c>
      <c r="B32" s="6"/>
      <c r="C32" s="33"/>
      <c r="D32" s="47" t="s">
        <v>27</v>
      </c>
      <c r="E32" s="89">
        <f aca="true" t="shared" si="30" ref="E32:U33">SUM(E33)</f>
        <v>3930</v>
      </c>
      <c r="F32" s="89">
        <f t="shared" si="30"/>
        <v>0</v>
      </c>
      <c r="G32" s="89">
        <f t="shared" si="30"/>
        <v>100</v>
      </c>
      <c r="H32" s="89">
        <f t="shared" si="30"/>
        <v>3830</v>
      </c>
      <c r="I32" s="89">
        <f t="shared" si="30"/>
        <v>0</v>
      </c>
      <c r="J32" s="89">
        <f t="shared" si="30"/>
        <v>0</v>
      </c>
      <c r="K32" s="89">
        <f t="shared" si="30"/>
        <v>3830</v>
      </c>
      <c r="L32" s="89">
        <f t="shared" si="30"/>
        <v>0</v>
      </c>
      <c r="M32" s="89">
        <f t="shared" si="30"/>
        <v>0</v>
      </c>
      <c r="N32" s="89">
        <f t="shared" si="30"/>
        <v>3830</v>
      </c>
      <c r="O32" s="89">
        <f t="shared" si="30"/>
        <v>0</v>
      </c>
      <c r="P32" s="89">
        <f t="shared" si="30"/>
        <v>0</v>
      </c>
      <c r="Q32" s="89">
        <f t="shared" si="30"/>
        <v>3830</v>
      </c>
      <c r="R32" s="89">
        <f t="shared" si="30"/>
        <v>0</v>
      </c>
      <c r="S32" s="89">
        <f t="shared" si="30"/>
        <v>0</v>
      </c>
      <c r="T32" s="89">
        <f t="shared" si="30"/>
        <v>3830</v>
      </c>
      <c r="U32" s="89">
        <f t="shared" si="30"/>
        <v>0</v>
      </c>
      <c r="V32" s="89">
        <f aca="true" t="shared" si="31" ref="U32:AJ33">SUM(V33)</f>
        <v>0</v>
      </c>
      <c r="W32" s="89">
        <f t="shared" si="31"/>
        <v>3830</v>
      </c>
      <c r="X32" s="89">
        <f t="shared" si="31"/>
        <v>0</v>
      </c>
      <c r="Y32" s="89">
        <f t="shared" si="31"/>
        <v>0</v>
      </c>
      <c r="Z32" s="89">
        <f t="shared" si="31"/>
        <v>3830</v>
      </c>
      <c r="AA32" s="89">
        <f t="shared" si="31"/>
        <v>0</v>
      </c>
      <c r="AB32" s="89">
        <f t="shared" si="31"/>
        <v>0</v>
      </c>
      <c r="AC32" s="89">
        <f aca="true" t="shared" si="32" ref="AC32:AI32">SUM(AC33,AC35)</f>
        <v>3830</v>
      </c>
      <c r="AD32" s="89">
        <f t="shared" si="32"/>
        <v>79240</v>
      </c>
      <c r="AE32" s="89">
        <f t="shared" si="32"/>
        <v>0</v>
      </c>
      <c r="AF32" s="89">
        <f t="shared" si="32"/>
        <v>83070</v>
      </c>
      <c r="AG32" s="89">
        <f t="shared" si="32"/>
        <v>0</v>
      </c>
      <c r="AH32" s="89">
        <f t="shared" si="32"/>
        <v>0</v>
      </c>
      <c r="AI32" s="89">
        <f t="shared" si="32"/>
        <v>83070</v>
      </c>
      <c r="AJ32" s="89">
        <f aca="true" t="shared" si="33" ref="AJ32:AO32">SUM(AJ33,AJ35)</f>
        <v>0</v>
      </c>
      <c r="AK32" s="89">
        <f t="shared" si="33"/>
        <v>0</v>
      </c>
      <c r="AL32" s="89">
        <f t="shared" si="33"/>
        <v>83070</v>
      </c>
      <c r="AM32" s="89">
        <f t="shared" si="33"/>
        <v>0</v>
      </c>
      <c r="AN32" s="89">
        <f t="shared" si="33"/>
        <v>0</v>
      </c>
      <c r="AO32" s="89">
        <f t="shared" si="33"/>
        <v>83070</v>
      </c>
      <c r="AP32" s="89">
        <f aca="true" t="shared" si="34" ref="AP32:AU32">SUM(AP33,AP35)</f>
        <v>0</v>
      </c>
      <c r="AQ32" s="89">
        <f t="shared" si="34"/>
        <v>0</v>
      </c>
      <c r="AR32" s="89">
        <f t="shared" si="34"/>
        <v>83070</v>
      </c>
      <c r="AS32" s="89">
        <f t="shared" si="34"/>
        <v>0</v>
      </c>
      <c r="AT32" s="89">
        <f t="shared" si="34"/>
        <v>0</v>
      </c>
      <c r="AU32" s="89">
        <f t="shared" si="34"/>
        <v>83070</v>
      </c>
    </row>
    <row r="33" spans="1:47" s="37" customFormat="1" ht="36">
      <c r="A33" s="111"/>
      <c r="B33" s="104">
        <v>75101</v>
      </c>
      <c r="C33" s="113"/>
      <c r="D33" s="110" t="s">
        <v>446</v>
      </c>
      <c r="E33" s="102">
        <f t="shared" si="30"/>
        <v>3930</v>
      </c>
      <c r="F33" s="119">
        <f t="shared" si="30"/>
        <v>0</v>
      </c>
      <c r="G33" s="119">
        <f t="shared" si="30"/>
        <v>100</v>
      </c>
      <c r="H33" s="119">
        <f t="shared" si="30"/>
        <v>3830</v>
      </c>
      <c r="I33" s="119">
        <f t="shared" si="30"/>
        <v>0</v>
      </c>
      <c r="J33" s="119">
        <f t="shared" si="30"/>
        <v>0</v>
      </c>
      <c r="K33" s="119">
        <f t="shared" si="30"/>
        <v>3830</v>
      </c>
      <c r="L33" s="119">
        <f t="shared" si="30"/>
        <v>0</v>
      </c>
      <c r="M33" s="119">
        <f t="shared" si="30"/>
        <v>0</v>
      </c>
      <c r="N33" s="119">
        <f t="shared" si="30"/>
        <v>3830</v>
      </c>
      <c r="O33" s="119">
        <f t="shared" si="30"/>
        <v>0</v>
      </c>
      <c r="P33" s="119">
        <f t="shared" si="30"/>
        <v>0</v>
      </c>
      <c r="Q33" s="119">
        <f t="shared" si="30"/>
        <v>3830</v>
      </c>
      <c r="R33" s="119">
        <f t="shared" si="30"/>
        <v>0</v>
      </c>
      <c r="S33" s="119">
        <f t="shared" si="30"/>
        <v>0</v>
      </c>
      <c r="T33" s="119">
        <f t="shared" si="30"/>
        <v>3830</v>
      </c>
      <c r="U33" s="119">
        <f t="shared" si="31"/>
        <v>0</v>
      </c>
      <c r="V33" s="119">
        <f t="shared" si="31"/>
        <v>0</v>
      </c>
      <c r="W33" s="119">
        <f t="shared" si="31"/>
        <v>3830</v>
      </c>
      <c r="X33" s="119">
        <f t="shared" si="31"/>
        <v>0</v>
      </c>
      <c r="Y33" s="119">
        <f t="shared" si="31"/>
        <v>0</v>
      </c>
      <c r="Z33" s="119">
        <f t="shared" si="31"/>
        <v>3830</v>
      </c>
      <c r="AA33" s="119">
        <f t="shared" si="31"/>
        <v>0</v>
      </c>
      <c r="AB33" s="119">
        <f t="shared" si="31"/>
        <v>0</v>
      </c>
      <c r="AC33" s="119">
        <f t="shared" si="31"/>
        <v>3830</v>
      </c>
      <c r="AD33" s="119">
        <f t="shared" si="31"/>
        <v>0</v>
      </c>
      <c r="AE33" s="119">
        <f t="shared" si="31"/>
        <v>0</v>
      </c>
      <c r="AF33" s="119">
        <f t="shared" si="31"/>
        <v>3830</v>
      </c>
      <c r="AG33" s="119">
        <f t="shared" si="31"/>
        <v>0</v>
      </c>
      <c r="AH33" s="119">
        <f t="shared" si="31"/>
        <v>0</v>
      </c>
      <c r="AI33" s="119">
        <f t="shared" si="31"/>
        <v>3830</v>
      </c>
      <c r="AJ33" s="119">
        <f t="shared" si="31"/>
        <v>0</v>
      </c>
      <c r="AK33" s="119">
        <f aca="true" t="shared" si="35" ref="AK33:AU33">SUM(AK34)</f>
        <v>0</v>
      </c>
      <c r="AL33" s="119">
        <f t="shared" si="35"/>
        <v>3830</v>
      </c>
      <c r="AM33" s="119">
        <f t="shared" si="35"/>
        <v>0</v>
      </c>
      <c r="AN33" s="119">
        <f t="shared" si="35"/>
        <v>0</v>
      </c>
      <c r="AO33" s="119">
        <f t="shared" si="35"/>
        <v>3830</v>
      </c>
      <c r="AP33" s="119">
        <f t="shared" si="35"/>
        <v>0</v>
      </c>
      <c r="AQ33" s="119">
        <f t="shared" si="35"/>
        <v>0</v>
      </c>
      <c r="AR33" s="119">
        <f t="shared" si="35"/>
        <v>3830</v>
      </c>
      <c r="AS33" s="119">
        <f t="shared" si="35"/>
        <v>0</v>
      </c>
      <c r="AT33" s="119">
        <f t="shared" si="35"/>
        <v>0</v>
      </c>
      <c r="AU33" s="119">
        <f t="shared" si="35"/>
        <v>3830</v>
      </c>
    </row>
    <row r="34" spans="1:47" s="37" customFormat="1" ht="70.5" customHeight="1">
      <c r="A34" s="111"/>
      <c r="B34" s="104"/>
      <c r="C34" s="113">
        <v>2010</v>
      </c>
      <c r="D34" s="110" t="s">
        <v>445</v>
      </c>
      <c r="E34" s="102">
        <v>3930</v>
      </c>
      <c r="F34" s="126"/>
      <c r="G34" s="126">
        <v>100</v>
      </c>
      <c r="H34" s="126">
        <f>SUM(E34+F34-G34)</f>
        <v>3830</v>
      </c>
      <c r="I34" s="126"/>
      <c r="J34" s="126"/>
      <c r="K34" s="126">
        <f>SUM(H34+I34-J34)</f>
        <v>3830</v>
      </c>
      <c r="L34" s="126"/>
      <c r="M34" s="126"/>
      <c r="N34" s="126">
        <f>SUM(K34+L34-M34)</f>
        <v>3830</v>
      </c>
      <c r="O34" s="126"/>
      <c r="P34" s="126"/>
      <c r="Q34" s="126">
        <f>SUM(N34+O34-P34)</f>
        <v>3830</v>
      </c>
      <c r="R34" s="126"/>
      <c r="S34" s="126"/>
      <c r="T34" s="126">
        <f>SUM(Q34+R34-S34)</f>
        <v>3830</v>
      </c>
      <c r="U34" s="126"/>
      <c r="V34" s="126"/>
      <c r="W34" s="126">
        <f>SUM(T34+U34-V34)</f>
        <v>3830</v>
      </c>
      <c r="X34" s="126"/>
      <c r="Y34" s="126"/>
      <c r="Z34" s="126">
        <f>SUM(W34+X34-Y34)</f>
        <v>3830</v>
      </c>
      <c r="AA34" s="126"/>
      <c r="AB34" s="126"/>
      <c r="AC34" s="126">
        <f>SUM(Z34+AA34-AB34)</f>
        <v>3830</v>
      </c>
      <c r="AD34" s="126"/>
      <c r="AE34" s="126"/>
      <c r="AF34" s="126">
        <f>SUM(AC34+AD34-AE34)</f>
        <v>3830</v>
      </c>
      <c r="AG34" s="126"/>
      <c r="AH34" s="126"/>
      <c r="AI34" s="126">
        <f>SUM(AF34+AG34-AH34)</f>
        <v>3830</v>
      </c>
      <c r="AJ34" s="126"/>
      <c r="AK34" s="126"/>
      <c r="AL34" s="126">
        <f>SUM(AI34+AJ34-AK34)</f>
        <v>3830</v>
      </c>
      <c r="AM34" s="126"/>
      <c r="AN34" s="126"/>
      <c r="AO34" s="126">
        <f>SUM(AL34+AM34-AN34)</f>
        <v>3830</v>
      </c>
      <c r="AP34" s="126"/>
      <c r="AQ34" s="126"/>
      <c r="AR34" s="126">
        <f>SUM(AO34+AP34-AQ34)</f>
        <v>3830</v>
      </c>
      <c r="AS34" s="126"/>
      <c r="AT34" s="126"/>
      <c r="AU34" s="126">
        <f>SUM(AR34+AS34-AT34)</f>
        <v>3830</v>
      </c>
    </row>
    <row r="35" spans="1:47" s="37" customFormat="1" ht="70.5" customHeight="1">
      <c r="A35" s="111"/>
      <c r="B35" s="104">
        <v>75109</v>
      </c>
      <c r="C35" s="113"/>
      <c r="D35" s="110" t="s">
        <v>594</v>
      </c>
      <c r="E35" s="102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>
        <f aca="true" t="shared" si="36" ref="AC35:AU35">SUM(AC36)</f>
        <v>0</v>
      </c>
      <c r="AD35" s="126">
        <f t="shared" si="36"/>
        <v>79240</v>
      </c>
      <c r="AE35" s="126">
        <f t="shared" si="36"/>
        <v>0</v>
      </c>
      <c r="AF35" s="126">
        <f t="shared" si="36"/>
        <v>79240</v>
      </c>
      <c r="AG35" s="126">
        <f t="shared" si="36"/>
        <v>0</v>
      </c>
      <c r="AH35" s="126">
        <f t="shared" si="36"/>
        <v>0</v>
      </c>
      <c r="AI35" s="126">
        <f t="shared" si="36"/>
        <v>79240</v>
      </c>
      <c r="AJ35" s="126">
        <f t="shared" si="36"/>
        <v>0</v>
      </c>
      <c r="AK35" s="126">
        <f t="shared" si="36"/>
        <v>0</v>
      </c>
      <c r="AL35" s="126">
        <f t="shared" si="36"/>
        <v>79240</v>
      </c>
      <c r="AM35" s="126">
        <f t="shared" si="36"/>
        <v>0</v>
      </c>
      <c r="AN35" s="126">
        <f t="shared" si="36"/>
        <v>0</v>
      </c>
      <c r="AO35" s="126">
        <f t="shared" si="36"/>
        <v>79240</v>
      </c>
      <c r="AP35" s="126">
        <f t="shared" si="36"/>
        <v>0</v>
      </c>
      <c r="AQ35" s="126">
        <f t="shared" si="36"/>
        <v>0</v>
      </c>
      <c r="AR35" s="126">
        <f t="shared" si="36"/>
        <v>79240</v>
      </c>
      <c r="AS35" s="126">
        <f t="shared" si="36"/>
        <v>0</v>
      </c>
      <c r="AT35" s="126">
        <f t="shared" si="36"/>
        <v>0</v>
      </c>
      <c r="AU35" s="126">
        <f t="shared" si="36"/>
        <v>79240</v>
      </c>
    </row>
    <row r="36" spans="1:47" s="37" customFormat="1" ht="70.5" customHeight="1">
      <c r="A36" s="111"/>
      <c r="B36" s="104"/>
      <c r="C36" s="113">
        <v>2010</v>
      </c>
      <c r="D36" s="110" t="s">
        <v>445</v>
      </c>
      <c r="E36" s="102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>
        <v>0</v>
      </c>
      <c r="AD36" s="126">
        <v>79240</v>
      </c>
      <c r="AE36" s="126"/>
      <c r="AF36" s="126">
        <f>SUM(AC36+AD36-AE36)</f>
        <v>79240</v>
      </c>
      <c r="AG36" s="126"/>
      <c r="AH36" s="126"/>
      <c r="AI36" s="126">
        <f>SUM(AF36+AG36-AH36)</f>
        <v>79240</v>
      </c>
      <c r="AJ36" s="126"/>
      <c r="AK36" s="126"/>
      <c r="AL36" s="126">
        <f>SUM(AI36+AJ36-AK36)</f>
        <v>79240</v>
      </c>
      <c r="AM36" s="126"/>
      <c r="AN36" s="126"/>
      <c r="AO36" s="126">
        <f>SUM(AL36+AM36-AN36)</f>
        <v>79240</v>
      </c>
      <c r="AP36" s="126"/>
      <c r="AQ36" s="126"/>
      <c r="AR36" s="126">
        <f>SUM(AO36+AP36-AQ36)</f>
        <v>79240</v>
      </c>
      <c r="AS36" s="126"/>
      <c r="AT36" s="126"/>
      <c r="AU36" s="126">
        <f>SUM(AR36+AS36-AT36)</f>
        <v>79240</v>
      </c>
    </row>
    <row r="37" spans="1:47" s="8" customFormat="1" ht="24.75" customHeight="1">
      <c r="A37" s="46" t="s">
        <v>29</v>
      </c>
      <c r="B37" s="4"/>
      <c r="C37" s="5"/>
      <c r="D37" s="47" t="s">
        <v>30</v>
      </c>
      <c r="E37" s="89">
        <f aca="true" t="shared" si="37" ref="E37:K37">SUM(E38,E40)</f>
        <v>4000</v>
      </c>
      <c r="F37" s="89">
        <f t="shared" si="37"/>
        <v>0</v>
      </c>
      <c r="G37" s="89">
        <f t="shared" si="37"/>
        <v>0</v>
      </c>
      <c r="H37" s="89">
        <f t="shared" si="37"/>
        <v>4000</v>
      </c>
      <c r="I37" s="89">
        <f t="shared" si="37"/>
        <v>0</v>
      </c>
      <c r="J37" s="89">
        <f t="shared" si="37"/>
        <v>0</v>
      </c>
      <c r="K37" s="89">
        <f t="shared" si="37"/>
        <v>4000</v>
      </c>
      <c r="L37" s="89">
        <f aca="true" t="shared" si="38" ref="L37:Q37">SUM(L38,L40)</f>
        <v>0</v>
      </c>
      <c r="M37" s="89">
        <f t="shared" si="38"/>
        <v>0</v>
      </c>
      <c r="N37" s="89">
        <f t="shared" si="38"/>
        <v>4000</v>
      </c>
      <c r="O37" s="89">
        <f t="shared" si="38"/>
        <v>0</v>
      </c>
      <c r="P37" s="89">
        <f t="shared" si="38"/>
        <v>0</v>
      </c>
      <c r="Q37" s="89">
        <f t="shared" si="38"/>
        <v>4000</v>
      </c>
      <c r="R37" s="89">
        <f aca="true" t="shared" si="39" ref="R37:W37">SUM(R38,R40)</f>
        <v>0</v>
      </c>
      <c r="S37" s="89">
        <f t="shared" si="39"/>
        <v>0</v>
      </c>
      <c r="T37" s="89">
        <f t="shared" si="39"/>
        <v>4000</v>
      </c>
      <c r="U37" s="89">
        <f t="shared" si="39"/>
        <v>0</v>
      </c>
      <c r="V37" s="89">
        <f t="shared" si="39"/>
        <v>0</v>
      </c>
      <c r="W37" s="89">
        <f t="shared" si="39"/>
        <v>4000</v>
      </c>
      <c r="X37" s="89">
        <f aca="true" t="shared" si="40" ref="X37:AC37">SUM(X38,X40)</f>
        <v>0</v>
      </c>
      <c r="Y37" s="89">
        <f t="shared" si="40"/>
        <v>0</v>
      </c>
      <c r="Z37" s="89">
        <f t="shared" si="40"/>
        <v>4000</v>
      </c>
      <c r="AA37" s="89">
        <f t="shared" si="40"/>
        <v>3500</v>
      </c>
      <c r="AB37" s="89">
        <f t="shared" si="40"/>
        <v>3500</v>
      </c>
      <c r="AC37" s="89">
        <f t="shared" si="40"/>
        <v>4000</v>
      </c>
      <c r="AD37" s="89">
        <f aca="true" t="shared" si="41" ref="AD37:AI37">SUM(AD38,AD40)</f>
        <v>0</v>
      </c>
      <c r="AE37" s="89">
        <f t="shared" si="41"/>
        <v>0</v>
      </c>
      <c r="AF37" s="89">
        <f t="shared" si="41"/>
        <v>4000</v>
      </c>
      <c r="AG37" s="89">
        <f t="shared" si="41"/>
        <v>0</v>
      </c>
      <c r="AH37" s="89">
        <f t="shared" si="41"/>
        <v>0</v>
      </c>
      <c r="AI37" s="89">
        <f t="shared" si="41"/>
        <v>4000</v>
      </c>
      <c r="AJ37" s="89">
        <f aca="true" t="shared" si="42" ref="AJ37:AO37">SUM(AJ38,AJ40)</f>
        <v>0</v>
      </c>
      <c r="AK37" s="89">
        <f t="shared" si="42"/>
        <v>0</v>
      </c>
      <c r="AL37" s="89">
        <f t="shared" si="42"/>
        <v>4000</v>
      </c>
      <c r="AM37" s="89">
        <f t="shared" si="42"/>
        <v>0</v>
      </c>
      <c r="AN37" s="89">
        <f t="shared" si="42"/>
        <v>0</v>
      </c>
      <c r="AO37" s="89">
        <f t="shared" si="42"/>
        <v>4000</v>
      </c>
      <c r="AP37" s="89">
        <f aca="true" t="shared" si="43" ref="AP37:AU37">SUM(AP38,AP40)</f>
        <v>0</v>
      </c>
      <c r="AQ37" s="89">
        <f t="shared" si="43"/>
        <v>0</v>
      </c>
      <c r="AR37" s="89">
        <f t="shared" si="43"/>
        <v>4000</v>
      </c>
      <c r="AS37" s="89">
        <f t="shared" si="43"/>
        <v>600</v>
      </c>
      <c r="AT37" s="89">
        <f t="shared" si="43"/>
        <v>0</v>
      </c>
      <c r="AU37" s="89">
        <f t="shared" si="43"/>
        <v>4600</v>
      </c>
    </row>
    <row r="38" spans="1:47" s="37" customFormat="1" ht="21.75" customHeight="1">
      <c r="A38" s="111"/>
      <c r="B38" s="104" t="s">
        <v>31</v>
      </c>
      <c r="C38" s="113"/>
      <c r="D38" s="110" t="s">
        <v>32</v>
      </c>
      <c r="E38" s="102">
        <f aca="true" t="shared" si="44" ref="E38:AU38">SUM(E39)</f>
        <v>400</v>
      </c>
      <c r="F38" s="119">
        <f t="shared" si="44"/>
        <v>0</v>
      </c>
      <c r="G38" s="119">
        <f t="shared" si="44"/>
        <v>0</v>
      </c>
      <c r="H38" s="119">
        <f t="shared" si="44"/>
        <v>400</v>
      </c>
      <c r="I38" s="119">
        <f t="shared" si="44"/>
        <v>0</v>
      </c>
      <c r="J38" s="119">
        <f t="shared" si="44"/>
        <v>0</v>
      </c>
      <c r="K38" s="119">
        <f t="shared" si="44"/>
        <v>400</v>
      </c>
      <c r="L38" s="119">
        <f t="shared" si="44"/>
        <v>0</v>
      </c>
      <c r="M38" s="119">
        <f t="shared" si="44"/>
        <v>0</v>
      </c>
      <c r="N38" s="119">
        <f t="shared" si="44"/>
        <v>400</v>
      </c>
      <c r="O38" s="119">
        <f t="shared" si="44"/>
        <v>0</v>
      </c>
      <c r="P38" s="119">
        <f t="shared" si="44"/>
        <v>0</v>
      </c>
      <c r="Q38" s="119">
        <f t="shared" si="44"/>
        <v>400</v>
      </c>
      <c r="R38" s="119">
        <f t="shared" si="44"/>
        <v>0</v>
      </c>
      <c r="S38" s="119">
        <f t="shared" si="44"/>
        <v>0</v>
      </c>
      <c r="T38" s="119">
        <f t="shared" si="44"/>
        <v>400</v>
      </c>
      <c r="U38" s="119">
        <f t="shared" si="44"/>
        <v>0</v>
      </c>
      <c r="V38" s="119">
        <f t="shared" si="44"/>
        <v>0</v>
      </c>
      <c r="W38" s="119">
        <f t="shared" si="44"/>
        <v>400</v>
      </c>
      <c r="X38" s="119">
        <f t="shared" si="44"/>
        <v>0</v>
      </c>
      <c r="Y38" s="119">
        <f t="shared" si="44"/>
        <v>0</v>
      </c>
      <c r="Z38" s="119">
        <f t="shared" si="44"/>
        <v>400</v>
      </c>
      <c r="AA38" s="119">
        <f t="shared" si="44"/>
        <v>0</v>
      </c>
      <c r="AB38" s="119">
        <f t="shared" si="44"/>
        <v>0</v>
      </c>
      <c r="AC38" s="119">
        <f t="shared" si="44"/>
        <v>400</v>
      </c>
      <c r="AD38" s="119">
        <f t="shared" si="44"/>
        <v>0</v>
      </c>
      <c r="AE38" s="119">
        <f t="shared" si="44"/>
        <v>0</v>
      </c>
      <c r="AF38" s="119">
        <f t="shared" si="44"/>
        <v>400</v>
      </c>
      <c r="AG38" s="119">
        <f t="shared" si="44"/>
        <v>0</v>
      </c>
      <c r="AH38" s="119">
        <f t="shared" si="44"/>
        <v>0</v>
      </c>
      <c r="AI38" s="119">
        <f t="shared" si="44"/>
        <v>400</v>
      </c>
      <c r="AJ38" s="119">
        <f t="shared" si="44"/>
        <v>0</v>
      </c>
      <c r="AK38" s="119">
        <f t="shared" si="44"/>
        <v>0</v>
      </c>
      <c r="AL38" s="119">
        <f t="shared" si="44"/>
        <v>400</v>
      </c>
      <c r="AM38" s="119">
        <f t="shared" si="44"/>
        <v>0</v>
      </c>
      <c r="AN38" s="119">
        <f t="shared" si="44"/>
        <v>0</v>
      </c>
      <c r="AO38" s="119">
        <f t="shared" si="44"/>
        <v>400</v>
      </c>
      <c r="AP38" s="119">
        <f t="shared" si="44"/>
        <v>0</v>
      </c>
      <c r="AQ38" s="119">
        <f t="shared" si="44"/>
        <v>0</v>
      </c>
      <c r="AR38" s="119">
        <f t="shared" si="44"/>
        <v>400</v>
      </c>
      <c r="AS38" s="119">
        <f t="shared" si="44"/>
        <v>0</v>
      </c>
      <c r="AT38" s="119">
        <f t="shared" si="44"/>
        <v>0</v>
      </c>
      <c r="AU38" s="119">
        <f t="shared" si="44"/>
        <v>400</v>
      </c>
    </row>
    <row r="39" spans="1:47" s="37" customFormat="1" ht="74.25" customHeight="1">
      <c r="A39" s="111"/>
      <c r="B39" s="104"/>
      <c r="C39" s="105">
        <v>2010</v>
      </c>
      <c r="D39" s="110" t="s">
        <v>445</v>
      </c>
      <c r="E39" s="102">
        <v>400</v>
      </c>
      <c r="F39" s="126"/>
      <c r="G39" s="126"/>
      <c r="H39" s="126">
        <f>SUM(E39+F39-G39)</f>
        <v>400</v>
      </c>
      <c r="I39" s="126"/>
      <c r="J39" s="126"/>
      <c r="K39" s="126">
        <f>SUM(H39+I39-J39)</f>
        <v>400</v>
      </c>
      <c r="L39" s="126"/>
      <c r="M39" s="126"/>
      <c r="N39" s="126">
        <f>SUM(K39+L39-M39)</f>
        <v>400</v>
      </c>
      <c r="O39" s="126"/>
      <c r="P39" s="126"/>
      <c r="Q39" s="126">
        <f>SUM(N39+O39-P39)</f>
        <v>400</v>
      </c>
      <c r="R39" s="126"/>
      <c r="S39" s="126"/>
      <c r="T39" s="126">
        <f>SUM(Q39+R39-S39)</f>
        <v>400</v>
      </c>
      <c r="U39" s="126"/>
      <c r="V39" s="126"/>
      <c r="W39" s="126">
        <f>SUM(T39+U39-V39)</f>
        <v>400</v>
      </c>
      <c r="X39" s="126"/>
      <c r="Y39" s="126"/>
      <c r="Z39" s="126">
        <f>SUM(W39+X39-Y39)</f>
        <v>400</v>
      </c>
      <c r="AA39" s="126"/>
      <c r="AB39" s="126"/>
      <c r="AC39" s="126">
        <f>SUM(Z39+AA39-AB39)</f>
        <v>400</v>
      </c>
      <c r="AD39" s="126"/>
      <c r="AE39" s="126"/>
      <c r="AF39" s="126">
        <f>SUM(AC39+AD39-AE39)</f>
        <v>400</v>
      </c>
      <c r="AG39" s="126"/>
      <c r="AH39" s="126"/>
      <c r="AI39" s="126">
        <f>SUM(AF39+AG39-AH39)</f>
        <v>400</v>
      </c>
      <c r="AJ39" s="126"/>
      <c r="AK39" s="126"/>
      <c r="AL39" s="126">
        <f>SUM(AI39+AJ39-AK39)</f>
        <v>400</v>
      </c>
      <c r="AM39" s="126"/>
      <c r="AN39" s="126"/>
      <c r="AO39" s="126">
        <f>SUM(AL39+AM39-AN39)</f>
        <v>400</v>
      </c>
      <c r="AP39" s="126"/>
      <c r="AQ39" s="126"/>
      <c r="AR39" s="126">
        <f>SUM(AO39+AP39-AQ39)</f>
        <v>400</v>
      </c>
      <c r="AS39" s="126"/>
      <c r="AT39" s="126"/>
      <c r="AU39" s="126">
        <f>SUM(AR39+AS39-AT39)</f>
        <v>400</v>
      </c>
    </row>
    <row r="40" spans="1:47" s="37" customFormat="1" ht="21.75" customHeight="1">
      <c r="A40" s="111"/>
      <c r="B40" s="104" t="s">
        <v>33</v>
      </c>
      <c r="C40" s="113"/>
      <c r="D40" s="110" t="s">
        <v>34</v>
      </c>
      <c r="E40" s="102">
        <f aca="true" t="shared" si="45" ref="E40:K40">SUM(E41:E43)</f>
        <v>3600</v>
      </c>
      <c r="F40" s="102">
        <f t="shared" si="45"/>
        <v>0</v>
      </c>
      <c r="G40" s="102">
        <f t="shared" si="45"/>
        <v>0</v>
      </c>
      <c r="H40" s="102">
        <f t="shared" si="45"/>
        <v>3600</v>
      </c>
      <c r="I40" s="102">
        <f t="shared" si="45"/>
        <v>0</v>
      </c>
      <c r="J40" s="102">
        <f t="shared" si="45"/>
        <v>0</v>
      </c>
      <c r="K40" s="102">
        <f t="shared" si="45"/>
        <v>3600</v>
      </c>
      <c r="L40" s="102">
        <f aca="true" t="shared" si="46" ref="L40:Q40">SUM(L41:L43)</f>
        <v>0</v>
      </c>
      <c r="M40" s="102">
        <f t="shared" si="46"/>
        <v>0</v>
      </c>
      <c r="N40" s="102">
        <f t="shared" si="46"/>
        <v>3600</v>
      </c>
      <c r="O40" s="102">
        <f t="shared" si="46"/>
        <v>0</v>
      </c>
      <c r="P40" s="102">
        <f t="shared" si="46"/>
        <v>0</v>
      </c>
      <c r="Q40" s="102">
        <f t="shared" si="46"/>
        <v>3600</v>
      </c>
      <c r="R40" s="102">
        <f aca="true" t="shared" si="47" ref="R40:W40">SUM(R41:R43)</f>
        <v>0</v>
      </c>
      <c r="S40" s="102">
        <f t="shared" si="47"/>
        <v>0</v>
      </c>
      <c r="T40" s="102">
        <f t="shared" si="47"/>
        <v>3600</v>
      </c>
      <c r="U40" s="102">
        <f t="shared" si="47"/>
        <v>0</v>
      </c>
      <c r="V40" s="102">
        <f t="shared" si="47"/>
        <v>0</v>
      </c>
      <c r="W40" s="102">
        <f t="shared" si="47"/>
        <v>3600</v>
      </c>
      <c r="X40" s="102">
        <f aca="true" t="shared" si="48" ref="X40:AC40">SUM(X41:X43)</f>
        <v>0</v>
      </c>
      <c r="Y40" s="102">
        <f t="shared" si="48"/>
        <v>0</v>
      </c>
      <c r="Z40" s="102">
        <f t="shared" si="48"/>
        <v>3600</v>
      </c>
      <c r="AA40" s="102">
        <f t="shared" si="48"/>
        <v>3500</v>
      </c>
      <c r="AB40" s="102">
        <f t="shared" si="48"/>
        <v>3500</v>
      </c>
      <c r="AC40" s="102">
        <f t="shared" si="48"/>
        <v>3600</v>
      </c>
      <c r="AD40" s="102">
        <f aca="true" t="shared" si="49" ref="AD40:AI40">SUM(AD41:AD43)</f>
        <v>0</v>
      </c>
      <c r="AE40" s="102">
        <f t="shared" si="49"/>
        <v>0</v>
      </c>
      <c r="AF40" s="102">
        <f t="shared" si="49"/>
        <v>3600</v>
      </c>
      <c r="AG40" s="102">
        <f t="shared" si="49"/>
        <v>0</v>
      </c>
      <c r="AH40" s="102">
        <f t="shared" si="49"/>
        <v>0</v>
      </c>
      <c r="AI40" s="102">
        <f t="shared" si="49"/>
        <v>3600</v>
      </c>
      <c r="AJ40" s="102">
        <f aca="true" t="shared" si="50" ref="AJ40:AO40">SUM(AJ41:AJ43)</f>
        <v>0</v>
      </c>
      <c r="AK40" s="102">
        <f t="shared" si="50"/>
        <v>0</v>
      </c>
      <c r="AL40" s="102">
        <f t="shared" si="50"/>
        <v>3600</v>
      </c>
      <c r="AM40" s="102">
        <f t="shared" si="50"/>
        <v>0</v>
      </c>
      <c r="AN40" s="102">
        <f t="shared" si="50"/>
        <v>0</v>
      </c>
      <c r="AO40" s="102">
        <f t="shared" si="50"/>
        <v>3600</v>
      </c>
      <c r="AP40" s="102">
        <f aca="true" t="shared" si="51" ref="AP40:AU40">SUM(AP41:AP43)</f>
        <v>0</v>
      </c>
      <c r="AQ40" s="102">
        <f t="shared" si="51"/>
        <v>0</v>
      </c>
      <c r="AR40" s="102">
        <f t="shared" si="51"/>
        <v>3600</v>
      </c>
      <c r="AS40" s="102">
        <f t="shared" si="51"/>
        <v>600</v>
      </c>
      <c r="AT40" s="102">
        <f t="shared" si="51"/>
        <v>0</v>
      </c>
      <c r="AU40" s="102">
        <f t="shared" si="51"/>
        <v>4200</v>
      </c>
    </row>
    <row r="41" spans="1:47" s="37" customFormat="1" ht="0.75" customHeight="1" hidden="1">
      <c r="A41" s="111"/>
      <c r="B41" s="74"/>
      <c r="C41" s="105" t="s">
        <v>205</v>
      </c>
      <c r="D41" s="110" t="s">
        <v>35</v>
      </c>
      <c r="E41" s="102">
        <f>3500</f>
        <v>3500</v>
      </c>
      <c r="F41" s="126"/>
      <c r="G41" s="126"/>
      <c r="H41" s="126">
        <f>SUM(E41+F41-G41)</f>
        <v>3500</v>
      </c>
      <c r="I41" s="126"/>
      <c r="J41" s="126"/>
      <c r="K41" s="126">
        <f>SUM(H41+I41-J41)</f>
        <v>3500</v>
      </c>
      <c r="L41" s="126"/>
      <c r="M41" s="126"/>
      <c r="N41" s="126">
        <f>SUM(K41+L41-M41)</f>
        <v>3500</v>
      </c>
      <c r="O41" s="126"/>
      <c r="P41" s="126"/>
      <c r="Q41" s="126">
        <f>SUM(N41+O41-P41)</f>
        <v>3500</v>
      </c>
      <c r="R41" s="126"/>
      <c r="S41" s="126"/>
      <c r="T41" s="126">
        <f>SUM(Q41+R41-S41)</f>
        <v>3500</v>
      </c>
      <c r="U41" s="126"/>
      <c r="V41" s="126"/>
      <c r="W41" s="126">
        <f>SUM(T41+U41-V41)</f>
        <v>3500</v>
      </c>
      <c r="X41" s="126"/>
      <c r="Y41" s="126"/>
      <c r="Z41" s="126">
        <f>SUM(W41+X41-Y41)</f>
        <v>3500</v>
      </c>
      <c r="AA41" s="126"/>
      <c r="AB41" s="126">
        <v>3500</v>
      </c>
      <c r="AC41" s="126">
        <f>SUM(Z41+AA41-AB41)</f>
        <v>0</v>
      </c>
      <c r="AD41" s="126"/>
      <c r="AE41" s="126"/>
      <c r="AF41" s="126">
        <f>SUM(AC41+AD41-AE41)</f>
        <v>0</v>
      </c>
      <c r="AG41" s="126"/>
      <c r="AH41" s="126"/>
      <c r="AI41" s="126">
        <f>SUM(AF41+AG41-AH41)</f>
        <v>0</v>
      </c>
      <c r="AJ41" s="126"/>
      <c r="AK41" s="126"/>
      <c r="AL41" s="126">
        <f>SUM(AI41+AJ41-AK41)</f>
        <v>0</v>
      </c>
      <c r="AM41" s="126"/>
      <c r="AN41" s="126"/>
      <c r="AO41" s="126">
        <f>SUM(AL41+AM41-AN41)</f>
        <v>0</v>
      </c>
      <c r="AP41" s="126"/>
      <c r="AQ41" s="126"/>
      <c r="AR41" s="126">
        <f>SUM(AO41+AP41-AQ41)</f>
        <v>0</v>
      </c>
      <c r="AS41" s="126"/>
      <c r="AT41" s="126"/>
      <c r="AU41" s="126">
        <f>SUM(AR41+AS41-AT41)</f>
        <v>0</v>
      </c>
    </row>
    <row r="42" spans="1:47" s="37" customFormat="1" ht="24" customHeight="1">
      <c r="A42" s="111"/>
      <c r="B42" s="74"/>
      <c r="C42" s="105" t="s">
        <v>205</v>
      </c>
      <c r="D42" s="110" t="s">
        <v>574</v>
      </c>
      <c r="E42" s="102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>
        <v>0</v>
      </c>
      <c r="AA42" s="126">
        <v>3500</v>
      </c>
      <c r="AB42" s="126"/>
      <c r="AC42" s="126">
        <f>SUM(Z42+AA42-AB42)</f>
        <v>3500</v>
      </c>
      <c r="AD42" s="126"/>
      <c r="AE42" s="126"/>
      <c r="AF42" s="126">
        <f>SUM(AC42+AD42-AE42)</f>
        <v>3500</v>
      </c>
      <c r="AG42" s="126"/>
      <c r="AH42" s="126"/>
      <c r="AI42" s="126">
        <f>SUM(AF42+AG42-AH42)</f>
        <v>3500</v>
      </c>
      <c r="AJ42" s="126"/>
      <c r="AK42" s="126"/>
      <c r="AL42" s="126">
        <f>SUM(AI42+AJ42-AK42)</f>
        <v>3500</v>
      </c>
      <c r="AM42" s="126"/>
      <c r="AN42" s="126"/>
      <c r="AO42" s="126">
        <f>SUM(AL42+AM42-AN42)</f>
        <v>3500</v>
      </c>
      <c r="AP42" s="126"/>
      <c r="AQ42" s="126"/>
      <c r="AR42" s="126">
        <f>SUM(AO42+AP42-AQ42)</f>
        <v>3500</v>
      </c>
      <c r="AS42" s="126">
        <v>500</v>
      </c>
      <c r="AT42" s="126"/>
      <c r="AU42" s="126">
        <f>SUM(AR42+AS42-AT42)</f>
        <v>4000</v>
      </c>
    </row>
    <row r="43" spans="1:47" s="37" customFormat="1" ht="21.75" customHeight="1">
      <c r="A43" s="111"/>
      <c r="B43" s="74"/>
      <c r="C43" s="105" t="s">
        <v>203</v>
      </c>
      <c r="D43" s="110" t="s">
        <v>18</v>
      </c>
      <c r="E43" s="102">
        <v>100</v>
      </c>
      <c r="F43" s="126"/>
      <c r="G43" s="126"/>
      <c r="H43" s="126">
        <f>SUM(E43+F43-G43)</f>
        <v>100</v>
      </c>
      <c r="I43" s="126"/>
      <c r="J43" s="126"/>
      <c r="K43" s="126">
        <f>SUM(H43+I43-J43)</f>
        <v>100</v>
      </c>
      <c r="L43" s="126"/>
      <c r="M43" s="126"/>
      <c r="N43" s="126">
        <f>SUM(K43+L43-M43)</f>
        <v>100</v>
      </c>
      <c r="O43" s="126"/>
      <c r="P43" s="126"/>
      <c r="Q43" s="126">
        <f>SUM(N43+O43-P43)</f>
        <v>100</v>
      </c>
      <c r="R43" s="126"/>
      <c r="S43" s="126"/>
      <c r="T43" s="126">
        <f>SUM(Q43+R43-S43)</f>
        <v>100</v>
      </c>
      <c r="U43" s="126"/>
      <c r="V43" s="126"/>
      <c r="W43" s="126">
        <f>SUM(T43+U43-V43)</f>
        <v>100</v>
      </c>
      <c r="X43" s="126"/>
      <c r="Y43" s="126"/>
      <c r="Z43" s="126">
        <f>SUM(W43+X43-Y43)</f>
        <v>100</v>
      </c>
      <c r="AA43" s="126"/>
      <c r="AB43" s="126"/>
      <c r="AC43" s="126">
        <f>SUM(Z43+AA43-AB43)</f>
        <v>100</v>
      </c>
      <c r="AD43" s="126"/>
      <c r="AE43" s="126"/>
      <c r="AF43" s="126">
        <f>SUM(AC43+AD43-AE43)</f>
        <v>100</v>
      </c>
      <c r="AG43" s="126"/>
      <c r="AH43" s="126"/>
      <c r="AI43" s="126">
        <f>SUM(AF43+AG43-AH43)</f>
        <v>100</v>
      </c>
      <c r="AJ43" s="126"/>
      <c r="AK43" s="126"/>
      <c r="AL43" s="126">
        <f>SUM(AI43+AJ43-AK43)</f>
        <v>100</v>
      </c>
      <c r="AM43" s="126"/>
      <c r="AN43" s="126"/>
      <c r="AO43" s="126">
        <f>SUM(AL43+AM43-AN43)</f>
        <v>100</v>
      </c>
      <c r="AP43" s="126"/>
      <c r="AQ43" s="126"/>
      <c r="AR43" s="126">
        <f>SUM(AO43+AP43-AQ43)</f>
        <v>100</v>
      </c>
      <c r="AS43" s="126">
        <v>100</v>
      </c>
      <c r="AT43" s="126"/>
      <c r="AU43" s="126">
        <f>SUM(AR43+AS43-AT43)</f>
        <v>200</v>
      </c>
    </row>
    <row r="44" spans="1:47" s="8" customFormat="1" ht="84" customHeight="1">
      <c r="A44" s="46" t="s">
        <v>36</v>
      </c>
      <c r="B44" s="4"/>
      <c r="C44" s="5"/>
      <c r="D44" s="47" t="s">
        <v>193</v>
      </c>
      <c r="E44" s="89">
        <f aca="true" t="shared" si="52" ref="E44:K44">SUM(E45,E48,E56,E69,E76,)</f>
        <v>17580618</v>
      </c>
      <c r="F44" s="89">
        <f t="shared" si="52"/>
        <v>283240</v>
      </c>
      <c r="G44" s="89">
        <f t="shared" si="52"/>
        <v>0</v>
      </c>
      <c r="H44" s="89">
        <f t="shared" si="52"/>
        <v>17863858</v>
      </c>
      <c r="I44" s="89">
        <f t="shared" si="52"/>
        <v>0</v>
      </c>
      <c r="J44" s="89">
        <f t="shared" si="52"/>
        <v>0</v>
      </c>
      <c r="K44" s="89">
        <f t="shared" si="52"/>
        <v>17863858</v>
      </c>
      <c r="L44" s="89">
        <f aca="true" t="shared" si="53" ref="L44:Q44">SUM(L45,L48,L56,L69,L76,)</f>
        <v>0</v>
      </c>
      <c r="M44" s="89">
        <f t="shared" si="53"/>
        <v>0</v>
      </c>
      <c r="N44" s="89">
        <f t="shared" si="53"/>
        <v>17863858</v>
      </c>
      <c r="O44" s="89">
        <f t="shared" si="53"/>
        <v>71885</v>
      </c>
      <c r="P44" s="89">
        <f t="shared" si="53"/>
        <v>0</v>
      </c>
      <c r="Q44" s="89">
        <f t="shared" si="53"/>
        <v>17935743</v>
      </c>
      <c r="R44" s="89">
        <f aca="true" t="shared" si="54" ref="R44:W44">SUM(R45,R48,R56,R69,R76,)</f>
        <v>0</v>
      </c>
      <c r="S44" s="89">
        <f t="shared" si="54"/>
        <v>0</v>
      </c>
      <c r="T44" s="89">
        <f t="shared" si="54"/>
        <v>17935743</v>
      </c>
      <c r="U44" s="89">
        <f t="shared" si="54"/>
        <v>0</v>
      </c>
      <c r="V44" s="89">
        <f t="shared" si="54"/>
        <v>0</v>
      </c>
      <c r="W44" s="89">
        <f t="shared" si="54"/>
        <v>17935743</v>
      </c>
      <c r="X44" s="89">
        <f aca="true" t="shared" si="55" ref="X44:AC44">SUM(X45,X48,X56,X69,X76,)</f>
        <v>5400</v>
      </c>
      <c r="Y44" s="89">
        <f t="shared" si="55"/>
        <v>0</v>
      </c>
      <c r="Z44" s="89">
        <f t="shared" si="55"/>
        <v>17941143</v>
      </c>
      <c r="AA44" s="89">
        <f t="shared" si="55"/>
        <v>280000</v>
      </c>
      <c r="AB44" s="89">
        <f t="shared" si="55"/>
        <v>280000</v>
      </c>
      <c r="AC44" s="89">
        <f t="shared" si="55"/>
        <v>17941143</v>
      </c>
      <c r="AD44" s="89">
        <f aca="true" t="shared" si="56" ref="AD44:AI44">SUM(AD45,AD48,AD56,AD69,AD76,)</f>
        <v>0</v>
      </c>
      <c r="AE44" s="89">
        <f t="shared" si="56"/>
        <v>0</v>
      </c>
      <c r="AF44" s="89">
        <f t="shared" si="56"/>
        <v>17941143</v>
      </c>
      <c r="AG44" s="89">
        <f t="shared" si="56"/>
        <v>28561</v>
      </c>
      <c r="AH44" s="89">
        <f t="shared" si="56"/>
        <v>0</v>
      </c>
      <c r="AI44" s="89">
        <f t="shared" si="56"/>
        <v>17969704</v>
      </c>
      <c r="AJ44" s="89">
        <f aca="true" t="shared" si="57" ref="AJ44:AO44">SUM(AJ45,AJ48,AJ56,AJ69,AJ76,)</f>
        <v>0</v>
      </c>
      <c r="AK44" s="89">
        <f t="shared" si="57"/>
        <v>0</v>
      </c>
      <c r="AL44" s="89">
        <f t="shared" si="57"/>
        <v>17969704</v>
      </c>
      <c r="AM44" s="89">
        <f t="shared" si="57"/>
        <v>0</v>
      </c>
      <c r="AN44" s="89">
        <f t="shared" si="57"/>
        <v>0</v>
      </c>
      <c r="AO44" s="89">
        <f t="shared" si="57"/>
        <v>17969704</v>
      </c>
      <c r="AP44" s="89">
        <f>SUM(AP45,AP48,AP56,AP69,AP76,)</f>
        <v>0</v>
      </c>
      <c r="AQ44" s="89">
        <f>SUM(AQ45,AQ48,AQ56,AQ69,AQ76,)</f>
        <v>0</v>
      </c>
      <c r="AR44" s="89">
        <f>SUM(AR45,AR48,AR56,AR69,AR76,AR79)</f>
        <v>17969704</v>
      </c>
      <c r="AS44" s="89">
        <f>SUM(AS45,AS48,AS56,AS69,AS76,AS79)</f>
        <v>245848</v>
      </c>
      <c r="AT44" s="89">
        <f>SUM(AT45,AT48,AT56,AT69,AT76,AT79)</f>
        <v>669181</v>
      </c>
      <c r="AU44" s="89">
        <f>SUM(AU45,AU48,AU56,AU69,AU76,AU79)</f>
        <v>17546371</v>
      </c>
    </row>
    <row r="45" spans="1:47" s="37" customFormat="1" ht="24">
      <c r="A45" s="103"/>
      <c r="B45" s="74">
        <v>75601</v>
      </c>
      <c r="C45" s="113"/>
      <c r="D45" s="110" t="s">
        <v>38</v>
      </c>
      <c r="E45" s="102">
        <f aca="true" t="shared" si="58" ref="E45:K45">SUM(E46:E47)</f>
        <v>45000</v>
      </c>
      <c r="F45" s="102">
        <f t="shared" si="58"/>
        <v>0</v>
      </c>
      <c r="G45" s="102">
        <f t="shared" si="58"/>
        <v>0</v>
      </c>
      <c r="H45" s="102">
        <f t="shared" si="58"/>
        <v>45000</v>
      </c>
      <c r="I45" s="102">
        <f t="shared" si="58"/>
        <v>0</v>
      </c>
      <c r="J45" s="102">
        <f t="shared" si="58"/>
        <v>0</v>
      </c>
      <c r="K45" s="102">
        <f t="shared" si="58"/>
        <v>45000</v>
      </c>
      <c r="L45" s="102">
        <f aca="true" t="shared" si="59" ref="L45:Q45">SUM(L46:L47)</f>
        <v>0</v>
      </c>
      <c r="M45" s="102">
        <f t="shared" si="59"/>
        <v>0</v>
      </c>
      <c r="N45" s="102">
        <f t="shared" si="59"/>
        <v>45000</v>
      </c>
      <c r="O45" s="102">
        <f t="shared" si="59"/>
        <v>0</v>
      </c>
      <c r="P45" s="102">
        <f t="shared" si="59"/>
        <v>0</v>
      </c>
      <c r="Q45" s="102">
        <f t="shared" si="59"/>
        <v>45000</v>
      </c>
      <c r="R45" s="102">
        <f aca="true" t="shared" si="60" ref="R45:W45">SUM(R46:R47)</f>
        <v>0</v>
      </c>
      <c r="S45" s="102">
        <f t="shared" si="60"/>
        <v>0</v>
      </c>
      <c r="T45" s="102">
        <f t="shared" si="60"/>
        <v>45000</v>
      </c>
      <c r="U45" s="102">
        <f t="shared" si="60"/>
        <v>0</v>
      </c>
      <c r="V45" s="102">
        <f t="shared" si="60"/>
        <v>0</v>
      </c>
      <c r="W45" s="102">
        <f t="shared" si="60"/>
        <v>45000</v>
      </c>
      <c r="X45" s="102">
        <f aca="true" t="shared" si="61" ref="X45:AC45">SUM(X46:X47)</f>
        <v>0</v>
      </c>
      <c r="Y45" s="102">
        <f t="shared" si="61"/>
        <v>0</v>
      </c>
      <c r="Z45" s="102">
        <f t="shared" si="61"/>
        <v>45000</v>
      </c>
      <c r="AA45" s="102">
        <f t="shared" si="61"/>
        <v>0</v>
      </c>
      <c r="AB45" s="102">
        <f t="shared" si="61"/>
        <v>0</v>
      </c>
      <c r="AC45" s="102">
        <f t="shared" si="61"/>
        <v>45000</v>
      </c>
      <c r="AD45" s="102">
        <f aca="true" t="shared" si="62" ref="AD45:AI45">SUM(AD46:AD47)</f>
        <v>0</v>
      </c>
      <c r="AE45" s="102">
        <f t="shared" si="62"/>
        <v>0</v>
      </c>
      <c r="AF45" s="102">
        <f t="shared" si="62"/>
        <v>45000</v>
      </c>
      <c r="AG45" s="102">
        <f t="shared" si="62"/>
        <v>0</v>
      </c>
      <c r="AH45" s="102">
        <f t="shared" si="62"/>
        <v>0</v>
      </c>
      <c r="AI45" s="102">
        <f t="shared" si="62"/>
        <v>45000</v>
      </c>
      <c r="AJ45" s="102">
        <f aca="true" t="shared" si="63" ref="AJ45:AO45">SUM(AJ46:AJ47)</f>
        <v>0</v>
      </c>
      <c r="AK45" s="102">
        <f t="shared" si="63"/>
        <v>0</v>
      </c>
      <c r="AL45" s="102">
        <f t="shared" si="63"/>
        <v>45000</v>
      </c>
      <c r="AM45" s="102">
        <f t="shared" si="63"/>
        <v>0</v>
      </c>
      <c r="AN45" s="102">
        <f t="shared" si="63"/>
        <v>0</v>
      </c>
      <c r="AO45" s="102">
        <f t="shared" si="63"/>
        <v>45000</v>
      </c>
      <c r="AP45" s="102">
        <f aca="true" t="shared" si="64" ref="AP45:AU45">SUM(AP46:AP47)</f>
        <v>0</v>
      </c>
      <c r="AQ45" s="102">
        <f t="shared" si="64"/>
        <v>0</v>
      </c>
      <c r="AR45" s="102">
        <f t="shared" si="64"/>
        <v>45000</v>
      </c>
      <c r="AS45" s="102">
        <f t="shared" si="64"/>
        <v>0</v>
      </c>
      <c r="AT45" s="102">
        <f t="shared" si="64"/>
        <v>0</v>
      </c>
      <c r="AU45" s="102">
        <f t="shared" si="64"/>
        <v>45000</v>
      </c>
    </row>
    <row r="46" spans="1:47" s="37" customFormat="1" ht="36">
      <c r="A46" s="103"/>
      <c r="B46" s="74"/>
      <c r="C46" s="112" t="s">
        <v>206</v>
      </c>
      <c r="D46" s="110" t="s">
        <v>39</v>
      </c>
      <c r="E46" s="102">
        <v>44000</v>
      </c>
      <c r="F46" s="126"/>
      <c r="G46" s="126"/>
      <c r="H46" s="126">
        <f>SUM(E46+F46-G46)</f>
        <v>44000</v>
      </c>
      <c r="I46" s="126"/>
      <c r="J46" s="126"/>
      <c r="K46" s="126">
        <f>SUM(H46+I46-J46)</f>
        <v>44000</v>
      </c>
      <c r="L46" s="126"/>
      <c r="M46" s="126"/>
      <c r="N46" s="126">
        <f>SUM(K46+L46-M46)</f>
        <v>44000</v>
      </c>
      <c r="O46" s="126"/>
      <c r="P46" s="126"/>
      <c r="Q46" s="126">
        <f>SUM(N46+O46-P46)</f>
        <v>44000</v>
      </c>
      <c r="R46" s="126"/>
      <c r="S46" s="126"/>
      <c r="T46" s="126">
        <f>SUM(Q46+R46-S46)</f>
        <v>44000</v>
      </c>
      <c r="U46" s="126"/>
      <c r="V46" s="126"/>
      <c r="W46" s="126">
        <f>SUM(T46+U46-V46)</f>
        <v>44000</v>
      </c>
      <c r="X46" s="126"/>
      <c r="Y46" s="126"/>
      <c r="Z46" s="126">
        <f>SUM(W46+X46-Y46)</f>
        <v>44000</v>
      </c>
      <c r="AA46" s="126"/>
      <c r="AB46" s="126"/>
      <c r="AC46" s="126">
        <f>SUM(Z46+AA46-AB46)</f>
        <v>44000</v>
      </c>
      <c r="AD46" s="126"/>
      <c r="AE46" s="126"/>
      <c r="AF46" s="126">
        <f>SUM(AC46+AD46-AE46)</f>
        <v>44000</v>
      </c>
      <c r="AG46" s="126"/>
      <c r="AH46" s="126"/>
      <c r="AI46" s="126">
        <f>SUM(AF46+AG46-AH46)</f>
        <v>44000</v>
      </c>
      <c r="AJ46" s="126"/>
      <c r="AK46" s="126"/>
      <c r="AL46" s="126">
        <f>SUM(AI46+AJ46-AK46)</f>
        <v>44000</v>
      </c>
      <c r="AM46" s="126"/>
      <c r="AN46" s="126"/>
      <c r="AO46" s="126">
        <f>SUM(AL46+AM46-AN46)</f>
        <v>44000</v>
      </c>
      <c r="AP46" s="126"/>
      <c r="AQ46" s="126"/>
      <c r="AR46" s="126">
        <f>SUM(AO46+AP46-AQ46)</f>
        <v>44000</v>
      </c>
      <c r="AS46" s="126"/>
      <c r="AT46" s="126"/>
      <c r="AU46" s="126">
        <f>SUM(AR46+AS46-AT46)</f>
        <v>44000</v>
      </c>
    </row>
    <row r="47" spans="1:47" s="37" customFormat="1" ht="24">
      <c r="A47" s="103"/>
      <c r="B47" s="74"/>
      <c r="C47" s="112" t="s">
        <v>207</v>
      </c>
      <c r="D47" s="110" t="s">
        <v>46</v>
      </c>
      <c r="E47" s="102">
        <v>1000</v>
      </c>
      <c r="F47" s="126"/>
      <c r="G47" s="126"/>
      <c r="H47" s="126">
        <f>SUM(E47+F47-G47)</f>
        <v>1000</v>
      </c>
      <c r="I47" s="126"/>
      <c r="J47" s="126"/>
      <c r="K47" s="126">
        <f>SUM(H47+I47-J47)</f>
        <v>1000</v>
      </c>
      <c r="L47" s="126"/>
      <c r="M47" s="126"/>
      <c r="N47" s="126">
        <f>SUM(K47+L47-M47)</f>
        <v>1000</v>
      </c>
      <c r="O47" s="126"/>
      <c r="P47" s="126"/>
      <c r="Q47" s="126">
        <f>SUM(N47+O47-P47)</f>
        <v>1000</v>
      </c>
      <c r="R47" s="126"/>
      <c r="S47" s="126"/>
      <c r="T47" s="126">
        <f>SUM(Q47+R47-S47)</f>
        <v>1000</v>
      </c>
      <c r="U47" s="126"/>
      <c r="V47" s="126"/>
      <c r="W47" s="126">
        <f>SUM(T47+U47-V47)</f>
        <v>1000</v>
      </c>
      <c r="X47" s="126"/>
      <c r="Y47" s="126"/>
      <c r="Z47" s="126">
        <f>SUM(W47+X47-Y47)</f>
        <v>1000</v>
      </c>
      <c r="AA47" s="126"/>
      <c r="AB47" s="126"/>
      <c r="AC47" s="126">
        <f>SUM(Z47+AA47-AB47)</f>
        <v>1000</v>
      </c>
      <c r="AD47" s="126"/>
      <c r="AE47" s="126"/>
      <c r="AF47" s="126">
        <f>SUM(AC47+AD47-AE47)</f>
        <v>1000</v>
      </c>
      <c r="AG47" s="126"/>
      <c r="AH47" s="126"/>
      <c r="AI47" s="126">
        <f>SUM(AF47+AG47-AH47)</f>
        <v>1000</v>
      </c>
      <c r="AJ47" s="126"/>
      <c r="AK47" s="126"/>
      <c r="AL47" s="126">
        <f>SUM(AI47+AJ47-AK47)</f>
        <v>1000</v>
      </c>
      <c r="AM47" s="126"/>
      <c r="AN47" s="126"/>
      <c r="AO47" s="126">
        <f>SUM(AL47+AM47-AN47)</f>
        <v>1000</v>
      </c>
      <c r="AP47" s="126"/>
      <c r="AQ47" s="126"/>
      <c r="AR47" s="126">
        <f>SUM(AO47+AP47-AQ47)</f>
        <v>1000</v>
      </c>
      <c r="AS47" s="126"/>
      <c r="AT47" s="126"/>
      <c r="AU47" s="126">
        <f>SUM(AR47+AS47-AT47)</f>
        <v>1000</v>
      </c>
    </row>
    <row r="48" spans="1:47" s="37" customFormat="1" ht="60">
      <c r="A48" s="103"/>
      <c r="B48" s="104" t="s">
        <v>40</v>
      </c>
      <c r="C48" s="113"/>
      <c r="D48" s="110" t="s">
        <v>248</v>
      </c>
      <c r="E48" s="102">
        <f aca="true" t="shared" si="65" ref="E48:K48">SUM(E49:E55)</f>
        <v>6677340</v>
      </c>
      <c r="F48" s="102">
        <f t="shared" si="65"/>
        <v>143240</v>
      </c>
      <c r="G48" s="102">
        <f t="shared" si="65"/>
        <v>0</v>
      </c>
      <c r="H48" s="102">
        <f t="shared" si="65"/>
        <v>6820580</v>
      </c>
      <c r="I48" s="102">
        <f t="shared" si="65"/>
        <v>0</v>
      </c>
      <c r="J48" s="102">
        <f t="shared" si="65"/>
        <v>0</v>
      </c>
      <c r="K48" s="102">
        <f t="shared" si="65"/>
        <v>6820580</v>
      </c>
      <c r="L48" s="102">
        <f aca="true" t="shared" si="66" ref="L48:Q48">SUM(L49:L55)</f>
        <v>0</v>
      </c>
      <c r="M48" s="102">
        <f t="shared" si="66"/>
        <v>0</v>
      </c>
      <c r="N48" s="102">
        <f t="shared" si="66"/>
        <v>6820580</v>
      </c>
      <c r="O48" s="102">
        <f t="shared" si="66"/>
        <v>0</v>
      </c>
      <c r="P48" s="102">
        <f t="shared" si="66"/>
        <v>0</v>
      </c>
      <c r="Q48" s="102">
        <f t="shared" si="66"/>
        <v>6820580</v>
      </c>
      <c r="R48" s="102">
        <f aca="true" t="shared" si="67" ref="R48:W48">SUM(R49:R55)</f>
        <v>0</v>
      </c>
      <c r="S48" s="102">
        <f t="shared" si="67"/>
        <v>0</v>
      </c>
      <c r="T48" s="102">
        <f t="shared" si="67"/>
        <v>6820580</v>
      </c>
      <c r="U48" s="102">
        <f t="shared" si="67"/>
        <v>0</v>
      </c>
      <c r="V48" s="102">
        <f t="shared" si="67"/>
        <v>0</v>
      </c>
      <c r="W48" s="102">
        <f t="shared" si="67"/>
        <v>6820580</v>
      </c>
      <c r="X48" s="102">
        <f aca="true" t="shared" si="68" ref="X48:AC48">SUM(X49:X55)</f>
        <v>0</v>
      </c>
      <c r="Y48" s="102">
        <f t="shared" si="68"/>
        <v>0</v>
      </c>
      <c r="Z48" s="102">
        <f t="shared" si="68"/>
        <v>6820580</v>
      </c>
      <c r="AA48" s="102">
        <f t="shared" si="68"/>
        <v>0</v>
      </c>
      <c r="AB48" s="102">
        <f t="shared" si="68"/>
        <v>0</v>
      </c>
      <c r="AC48" s="102">
        <f t="shared" si="68"/>
        <v>6820580</v>
      </c>
      <c r="AD48" s="102">
        <f aca="true" t="shared" si="69" ref="AD48:AI48">SUM(AD49:AD55)</f>
        <v>0</v>
      </c>
      <c r="AE48" s="102">
        <f t="shared" si="69"/>
        <v>0</v>
      </c>
      <c r="AF48" s="102">
        <f t="shared" si="69"/>
        <v>6820580</v>
      </c>
      <c r="AG48" s="102">
        <f t="shared" si="69"/>
        <v>0</v>
      </c>
      <c r="AH48" s="102">
        <f t="shared" si="69"/>
        <v>0</v>
      </c>
      <c r="AI48" s="102">
        <f t="shared" si="69"/>
        <v>6820580</v>
      </c>
      <c r="AJ48" s="102">
        <f aca="true" t="shared" si="70" ref="AJ48:AO48">SUM(AJ49:AJ55)</f>
        <v>0</v>
      </c>
      <c r="AK48" s="102">
        <f t="shared" si="70"/>
        <v>0</v>
      </c>
      <c r="AL48" s="102">
        <f t="shared" si="70"/>
        <v>6820580</v>
      </c>
      <c r="AM48" s="102">
        <f t="shared" si="70"/>
        <v>0</v>
      </c>
      <c r="AN48" s="102">
        <f t="shared" si="70"/>
        <v>0</v>
      </c>
      <c r="AO48" s="102">
        <f t="shared" si="70"/>
        <v>6820580</v>
      </c>
      <c r="AP48" s="102">
        <f aca="true" t="shared" si="71" ref="AP48:AU48">SUM(AP49:AP55)</f>
        <v>0</v>
      </c>
      <c r="AQ48" s="102">
        <f t="shared" si="71"/>
        <v>0</v>
      </c>
      <c r="AR48" s="102">
        <f t="shared" si="71"/>
        <v>6820580</v>
      </c>
      <c r="AS48" s="102">
        <f t="shared" si="71"/>
        <v>0</v>
      </c>
      <c r="AT48" s="102">
        <f t="shared" si="71"/>
        <v>388881</v>
      </c>
      <c r="AU48" s="102">
        <f t="shared" si="71"/>
        <v>6431699</v>
      </c>
    </row>
    <row r="49" spans="1:47" s="37" customFormat="1" ht="21.75" customHeight="1">
      <c r="A49" s="103"/>
      <c r="B49" s="104"/>
      <c r="C49" s="105" t="s">
        <v>208</v>
      </c>
      <c r="D49" s="110" t="s">
        <v>41</v>
      </c>
      <c r="E49" s="102">
        <f>5996282+50000+40000</f>
        <v>6086282</v>
      </c>
      <c r="F49" s="126"/>
      <c r="G49" s="126"/>
      <c r="H49" s="126">
        <f aca="true" t="shared" si="72" ref="H49:H55">SUM(E49+F49-G49)</f>
        <v>6086282</v>
      </c>
      <c r="I49" s="126"/>
      <c r="J49" s="126"/>
      <c r="K49" s="126">
        <f aca="true" t="shared" si="73" ref="K49:K55">SUM(H49+I49-J49)</f>
        <v>6086282</v>
      </c>
      <c r="L49" s="126"/>
      <c r="M49" s="126"/>
      <c r="N49" s="126">
        <f aca="true" t="shared" si="74" ref="N49:N55">SUM(K49+L49-M49)</f>
        <v>6086282</v>
      </c>
      <c r="O49" s="126"/>
      <c r="P49" s="126"/>
      <c r="Q49" s="126">
        <f aca="true" t="shared" si="75" ref="Q49:Q55">SUM(N49+O49-P49)</f>
        <v>6086282</v>
      </c>
      <c r="R49" s="126"/>
      <c r="S49" s="126"/>
      <c r="T49" s="126">
        <f aca="true" t="shared" si="76" ref="T49:T55">SUM(Q49+R49-S49)</f>
        <v>6086282</v>
      </c>
      <c r="U49" s="126"/>
      <c r="V49" s="126"/>
      <c r="W49" s="126">
        <f aca="true" t="shared" si="77" ref="W49:W55">SUM(T49+U49-V49)</f>
        <v>6086282</v>
      </c>
      <c r="X49" s="126"/>
      <c r="Y49" s="126"/>
      <c r="Z49" s="126">
        <f aca="true" t="shared" si="78" ref="Z49:Z55">SUM(W49+X49-Y49)</f>
        <v>6086282</v>
      </c>
      <c r="AA49" s="126"/>
      <c r="AB49" s="126"/>
      <c r="AC49" s="126">
        <f aca="true" t="shared" si="79" ref="AC49:AC55">SUM(Z49+AA49-AB49)</f>
        <v>6086282</v>
      </c>
      <c r="AD49" s="126"/>
      <c r="AE49" s="126"/>
      <c r="AF49" s="126">
        <f aca="true" t="shared" si="80" ref="AF49:AF55">SUM(AC49+AD49-AE49)</f>
        <v>6086282</v>
      </c>
      <c r="AG49" s="126"/>
      <c r="AH49" s="126"/>
      <c r="AI49" s="126">
        <f aca="true" t="shared" si="81" ref="AI49:AI55">SUM(AF49+AG49-AH49)</f>
        <v>6086282</v>
      </c>
      <c r="AJ49" s="126"/>
      <c r="AK49" s="126"/>
      <c r="AL49" s="126">
        <f aca="true" t="shared" si="82" ref="AL49:AL55">SUM(AI49+AJ49-AK49)</f>
        <v>6086282</v>
      </c>
      <c r="AM49" s="126"/>
      <c r="AN49" s="126"/>
      <c r="AO49" s="126">
        <f aca="true" t="shared" si="83" ref="AO49:AO55">SUM(AL49+AM49-AN49)</f>
        <v>6086282</v>
      </c>
      <c r="AP49" s="126"/>
      <c r="AQ49" s="126"/>
      <c r="AR49" s="126">
        <f aca="true" t="shared" si="84" ref="AR49:AR55">SUM(AO49+AP49-AQ49)</f>
        <v>6086282</v>
      </c>
      <c r="AS49" s="126"/>
      <c r="AT49" s="126">
        <v>285000</v>
      </c>
      <c r="AU49" s="126">
        <f aca="true" t="shared" si="85" ref="AU49:AU55">SUM(AR49+AS49-AT49)</f>
        <v>5801282</v>
      </c>
    </row>
    <row r="50" spans="1:47" s="37" customFormat="1" ht="21.75" customHeight="1">
      <c r="A50" s="103"/>
      <c r="B50" s="104"/>
      <c r="C50" s="105" t="s">
        <v>209</v>
      </c>
      <c r="D50" s="110" t="s">
        <v>42</v>
      </c>
      <c r="E50" s="102">
        <v>26592</v>
      </c>
      <c r="F50" s="126"/>
      <c r="G50" s="126"/>
      <c r="H50" s="126">
        <f t="shared" si="72"/>
        <v>26592</v>
      </c>
      <c r="I50" s="126"/>
      <c r="J50" s="126"/>
      <c r="K50" s="126">
        <f t="shared" si="73"/>
        <v>26592</v>
      </c>
      <c r="L50" s="126"/>
      <c r="M50" s="126"/>
      <c r="N50" s="126">
        <f t="shared" si="74"/>
        <v>26592</v>
      </c>
      <c r="O50" s="126"/>
      <c r="P50" s="126"/>
      <c r="Q50" s="126">
        <f t="shared" si="75"/>
        <v>26592</v>
      </c>
      <c r="R50" s="126"/>
      <c r="S50" s="126"/>
      <c r="T50" s="126">
        <f t="shared" si="76"/>
        <v>26592</v>
      </c>
      <c r="U50" s="126"/>
      <c r="V50" s="126"/>
      <c r="W50" s="126">
        <f t="shared" si="77"/>
        <v>26592</v>
      </c>
      <c r="X50" s="126"/>
      <c r="Y50" s="126"/>
      <c r="Z50" s="126">
        <f t="shared" si="78"/>
        <v>26592</v>
      </c>
      <c r="AA50" s="126"/>
      <c r="AB50" s="126"/>
      <c r="AC50" s="126">
        <f t="shared" si="79"/>
        <v>26592</v>
      </c>
      <c r="AD50" s="126"/>
      <c r="AE50" s="126"/>
      <c r="AF50" s="126">
        <f t="shared" si="80"/>
        <v>26592</v>
      </c>
      <c r="AG50" s="126"/>
      <c r="AH50" s="126"/>
      <c r="AI50" s="126">
        <f t="shared" si="81"/>
        <v>26592</v>
      </c>
      <c r="AJ50" s="126"/>
      <c r="AK50" s="126"/>
      <c r="AL50" s="126">
        <f t="shared" si="82"/>
        <v>26592</v>
      </c>
      <c r="AM50" s="126"/>
      <c r="AN50" s="126"/>
      <c r="AO50" s="126">
        <f t="shared" si="83"/>
        <v>26592</v>
      </c>
      <c r="AP50" s="126"/>
      <c r="AQ50" s="126"/>
      <c r="AR50" s="126">
        <f t="shared" si="84"/>
        <v>26592</v>
      </c>
      <c r="AS50" s="126"/>
      <c r="AT50" s="126">
        <v>5000</v>
      </c>
      <c r="AU50" s="126">
        <f t="shared" si="85"/>
        <v>21592</v>
      </c>
    </row>
    <row r="51" spans="1:47" s="37" customFormat="1" ht="21.75" customHeight="1">
      <c r="A51" s="103"/>
      <c r="B51" s="104"/>
      <c r="C51" s="105" t="s">
        <v>210</v>
      </c>
      <c r="D51" s="110" t="s">
        <v>43</v>
      </c>
      <c r="E51" s="102">
        <v>304956</v>
      </c>
      <c r="F51" s="126"/>
      <c r="G51" s="126"/>
      <c r="H51" s="126">
        <f t="shared" si="72"/>
        <v>304956</v>
      </c>
      <c r="I51" s="126"/>
      <c r="J51" s="126"/>
      <c r="K51" s="126">
        <f t="shared" si="73"/>
        <v>304956</v>
      </c>
      <c r="L51" s="126"/>
      <c r="M51" s="126"/>
      <c r="N51" s="126">
        <f t="shared" si="74"/>
        <v>304956</v>
      </c>
      <c r="O51" s="126"/>
      <c r="P51" s="126"/>
      <c r="Q51" s="126">
        <f t="shared" si="75"/>
        <v>304956</v>
      </c>
      <c r="R51" s="126"/>
      <c r="S51" s="126"/>
      <c r="T51" s="126">
        <f t="shared" si="76"/>
        <v>304956</v>
      </c>
      <c r="U51" s="126"/>
      <c r="V51" s="126"/>
      <c r="W51" s="126">
        <f t="shared" si="77"/>
        <v>304956</v>
      </c>
      <c r="X51" s="126"/>
      <c r="Y51" s="126"/>
      <c r="Z51" s="126">
        <f t="shared" si="78"/>
        <v>304956</v>
      </c>
      <c r="AA51" s="126"/>
      <c r="AB51" s="126"/>
      <c r="AC51" s="126">
        <f t="shared" si="79"/>
        <v>304956</v>
      </c>
      <c r="AD51" s="126"/>
      <c r="AE51" s="126"/>
      <c r="AF51" s="126">
        <f t="shared" si="80"/>
        <v>304956</v>
      </c>
      <c r="AG51" s="126"/>
      <c r="AH51" s="126"/>
      <c r="AI51" s="126">
        <f t="shared" si="81"/>
        <v>304956</v>
      </c>
      <c r="AJ51" s="126"/>
      <c r="AK51" s="126"/>
      <c r="AL51" s="126">
        <f t="shared" si="82"/>
        <v>304956</v>
      </c>
      <c r="AM51" s="126"/>
      <c r="AN51" s="126"/>
      <c r="AO51" s="126">
        <f t="shared" si="83"/>
        <v>304956</v>
      </c>
      <c r="AP51" s="126"/>
      <c r="AQ51" s="126"/>
      <c r="AR51" s="126">
        <f t="shared" si="84"/>
        <v>304956</v>
      </c>
      <c r="AS51" s="126"/>
      <c r="AT51" s="126"/>
      <c r="AU51" s="126">
        <f t="shared" si="85"/>
        <v>304956</v>
      </c>
    </row>
    <row r="52" spans="1:47" s="37" customFormat="1" ht="21.75" customHeight="1">
      <c r="A52" s="103"/>
      <c r="B52" s="104"/>
      <c r="C52" s="105" t="s">
        <v>211</v>
      </c>
      <c r="D52" s="110" t="s">
        <v>44</v>
      </c>
      <c r="E52" s="102">
        <v>38000</v>
      </c>
      <c r="F52" s="126"/>
      <c r="G52" s="126"/>
      <c r="H52" s="126">
        <f t="shared" si="72"/>
        <v>38000</v>
      </c>
      <c r="I52" s="126"/>
      <c r="J52" s="126"/>
      <c r="K52" s="126">
        <f t="shared" si="73"/>
        <v>38000</v>
      </c>
      <c r="L52" s="126"/>
      <c r="M52" s="126"/>
      <c r="N52" s="126">
        <f t="shared" si="74"/>
        <v>38000</v>
      </c>
      <c r="O52" s="126"/>
      <c r="P52" s="126"/>
      <c r="Q52" s="126">
        <f t="shared" si="75"/>
        <v>38000</v>
      </c>
      <c r="R52" s="126"/>
      <c r="S52" s="126"/>
      <c r="T52" s="126">
        <f t="shared" si="76"/>
        <v>38000</v>
      </c>
      <c r="U52" s="126"/>
      <c r="V52" s="126"/>
      <c r="W52" s="126">
        <f t="shared" si="77"/>
        <v>38000</v>
      </c>
      <c r="X52" s="126"/>
      <c r="Y52" s="126"/>
      <c r="Z52" s="126">
        <f t="shared" si="78"/>
        <v>38000</v>
      </c>
      <c r="AA52" s="126"/>
      <c r="AB52" s="126"/>
      <c r="AC52" s="126">
        <f t="shared" si="79"/>
        <v>38000</v>
      </c>
      <c r="AD52" s="126"/>
      <c r="AE52" s="126"/>
      <c r="AF52" s="126">
        <f t="shared" si="80"/>
        <v>38000</v>
      </c>
      <c r="AG52" s="126"/>
      <c r="AH52" s="126"/>
      <c r="AI52" s="126">
        <f t="shared" si="81"/>
        <v>38000</v>
      </c>
      <c r="AJ52" s="126"/>
      <c r="AK52" s="126"/>
      <c r="AL52" s="126">
        <f t="shared" si="82"/>
        <v>38000</v>
      </c>
      <c r="AM52" s="126"/>
      <c r="AN52" s="126"/>
      <c r="AO52" s="126">
        <f t="shared" si="83"/>
        <v>38000</v>
      </c>
      <c r="AP52" s="126"/>
      <c r="AQ52" s="126"/>
      <c r="AR52" s="126">
        <f t="shared" si="84"/>
        <v>38000</v>
      </c>
      <c r="AS52" s="126"/>
      <c r="AT52" s="126"/>
      <c r="AU52" s="126">
        <f t="shared" si="85"/>
        <v>38000</v>
      </c>
    </row>
    <row r="53" spans="1:47" s="37" customFormat="1" ht="21.75" customHeight="1">
      <c r="A53" s="103"/>
      <c r="B53" s="104"/>
      <c r="C53" s="105" t="s">
        <v>218</v>
      </c>
      <c r="D53" s="110" t="s">
        <v>52</v>
      </c>
      <c r="E53" s="102">
        <v>40000</v>
      </c>
      <c r="F53" s="126"/>
      <c r="G53" s="126"/>
      <c r="H53" s="126">
        <f t="shared" si="72"/>
        <v>40000</v>
      </c>
      <c r="I53" s="126"/>
      <c r="J53" s="126"/>
      <c r="K53" s="126">
        <f t="shared" si="73"/>
        <v>40000</v>
      </c>
      <c r="L53" s="126"/>
      <c r="M53" s="126"/>
      <c r="N53" s="126">
        <f t="shared" si="74"/>
        <v>40000</v>
      </c>
      <c r="O53" s="126"/>
      <c r="P53" s="126"/>
      <c r="Q53" s="126">
        <f t="shared" si="75"/>
        <v>40000</v>
      </c>
      <c r="R53" s="126"/>
      <c r="S53" s="126"/>
      <c r="T53" s="126">
        <f t="shared" si="76"/>
        <v>40000</v>
      </c>
      <c r="U53" s="126"/>
      <c r="V53" s="126"/>
      <c r="W53" s="126">
        <f t="shared" si="77"/>
        <v>40000</v>
      </c>
      <c r="X53" s="126"/>
      <c r="Y53" s="126"/>
      <c r="Z53" s="126">
        <f t="shared" si="78"/>
        <v>40000</v>
      </c>
      <c r="AA53" s="126"/>
      <c r="AB53" s="126"/>
      <c r="AC53" s="126">
        <f t="shared" si="79"/>
        <v>40000</v>
      </c>
      <c r="AD53" s="126"/>
      <c r="AE53" s="126"/>
      <c r="AF53" s="126">
        <f t="shared" si="80"/>
        <v>40000</v>
      </c>
      <c r="AG53" s="126"/>
      <c r="AH53" s="126"/>
      <c r="AI53" s="126">
        <f t="shared" si="81"/>
        <v>40000</v>
      </c>
      <c r="AJ53" s="126"/>
      <c r="AK53" s="126"/>
      <c r="AL53" s="126">
        <f t="shared" si="82"/>
        <v>40000</v>
      </c>
      <c r="AM53" s="126"/>
      <c r="AN53" s="126"/>
      <c r="AO53" s="126">
        <f t="shared" si="83"/>
        <v>40000</v>
      </c>
      <c r="AP53" s="126"/>
      <c r="AQ53" s="126"/>
      <c r="AR53" s="126">
        <f t="shared" si="84"/>
        <v>40000</v>
      </c>
      <c r="AS53" s="126"/>
      <c r="AT53" s="126">
        <v>40000</v>
      </c>
      <c r="AU53" s="126">
        <f t="shared" si="85"/>
        <v>0</v>
      </c>
    </row>
    <row r="54" spans="1:47" s="37" customFormat="1" ht="28.5" customHeight="1">
      <c r="A54" s="103"/>
      <c r="B54" s="104"/>
      <c r="C54" s="100" t="s">
        <v>207</v>
      </c>
      <c r="D54" s="97" t="s">
        <v>277</v>
      </c>
      <c r="E54" s="114">
        <v>40000</v>
      </c>
      <c r="F54" s="126"/>
      <c r="G54" s="126"/>
      <c r="H54" s="126">
        <f t="shared" si="72"/>
        <v>40000</v>
      </c>
      <c r="I54" s="126"/>
      <c r="J54" s="126"/>
      <c r="K54" s="126">
        <f t="shared" si="73"/>
        <v>40000</v>
      </c>
      <c r="L54" s="126"/>
      <c r="M54" s="126"/>
      <c r="N54" s="126">
        <f t="shared" si="74"/>
        <v>40000</v>
      </c>
      <c r="O54" s="126"/>
      <c r="P54" s="126"/>
      <c r="Q54" s="126">
        <f t="shared" si="75"/>
        <v>40000</v>
      </c>
      <c r="R54" s="126"/>
      <c r="S54" s="126"/>
      <c r="T54" s="126">
        <f t="shared" si="76"/>
        <v>40000</v>
      </c>
      <c r="U54" s="126"/>
      <c r="V54" s="126"/>
      <c r="W54" s="126">
        <f t="shared" si="77"/>
        <v>40000</v>
      </c>
      <c r="X54" s="126"/>
      <c r="Y54" s="126"/>
      <c r="Z54" s="126">
        <f t="shared" si="78"/>
        <v>40000</v>
      </c>
      <c r="AA54" s="126"/>
      <c r="AB54" s="126"/>
      <c r="AC54" s="126">
        <f t="shared" si="79"/>
        <v>40000</v>
      </c>
      <c r="AD54" s="126"/>
      <c r="AE54" s="126"/>
      <c r="AF54" s="126">
        <f t="shared" si="80"/>
        <v>40000</v>
      </c>
      <c r="AG54" s="126"/>
      <c r="AH54" s="126"/>
      <c r="AI54" s="126">
        <f t="shared" si="81"/>
        <v>40000</v>
      </c>
      <c r="AJ54" s="126"/>
      <c r="AK54" s="126"/>
      <c r="AL54" s="126">
        <f t="shared" si="82"/>
        <v>40000</v>
      </c>
      <c r="AM54" s="126"/>
      <c r="AN54" s="126"/>
      <c r="AO54" s="126">
        <f t="shared" si="83"/>
        <v>40000</v>
      </c>
      <c r="AP54" s="126"/>
      <c r="AQ54" s="126"/>
      <c r="AR54" s="126">
        <f t="shared" si="84"/>
        <v>40000</v>
      </c>
      <c r="AS54" s="126"/>
      <c r="AT54" s="126">
        <v>30000</v>
      </c>
      <c r="AU54" s="126">
        <f t="shared" si="85"/>
        <v>10000</v>
      </c>
    </row>
    <row r="55" spans="1:47" s="37" customFormat="1" ht="48">
      <c r="A55" s="103"/>
      <c r="B55" s="104"/>
      <c r="C55" s="105">
        <v>2440</v>
      </c>
      <c r="D55" s="110" t="s">
        <v>233</v>
      </c>
      <c r="E55" s="102">
        <v>141510</v>
      </c>
      <c r="F55" s="126">
        <v>143240</v>
      </c>
      <c r="G55" s="126"/>
      <c r="H55" s="126">
        <f t="shared" si="72"/>
        <v>284750</v>
      </c>
      <c r="I55" s="126"/>
      <c r="J55" s="126"/>
      <c r="K55" s="126">
        <f t="shared" si="73"/>
        <v>284750</v>
      </c>
      <c r="L55" s="126"/>
      <c r="M55" s="126"/>
      <c r="N55" s="126">
        <f t="shared" si="74"/>
        <v>284750</v>
      </c>
      <c r="O55" s="126"/>
      <c r="P55" s="126"/>
      <c r="Q55" s="126">
        <f t="shared" si="75"/>
        <v>284750</v>
      </c>
      <c r="R55" s="126"/>
      <c r="S55" s="126"/>
      <c r="T55" s="126">
        <f t="shared" si="76"/>
        <v>284750</v>
      </c>
      <c r="U55" s="126"/>
      <c r="V55" s="126"/>
      <c r="W55" s="126">
        <f t="shared" si="77"/>
        <v>284750</v>
      </c>
      <c r="X55" s="126"/>
      <c r="Y55" s="126"/>
      <c r="Z55" s="126">
        <f t="shared" si="78"/>
        <v>284750</v>
      </c>
      <c r="AA55" s="126"/>
      <c r="AB55" s="126"/>
      <c r="AC55" s="126">
        <f t="shared" si="79"/>
        <v>284750</v>
      </c>
      <c r="AD55" s="126"/>
      <c r="AE55" s="126"/>
      <c r="AF55" s="126">
        <f t="shared" si="80"/>
        <v>284750</v>
      </c>
      <c r="AG55" s="126"/>
      <c r="AH55" s="126"/>
      <c r="AI55" s="126">
        <f t="shared" si="81"/>
        <v>284750</v>
      </c>
      <c r="AJ55" s="126"/>
      <c r="AK55" s="126"/>
      <c r="AL55" s="126">
        <f t="shared" si="82"/>
        <v>284750</v>
      </c>
      <c r="AM55" s="126"/>
      <c r="AN55" s="126"/>
      <c r="AO55" s="126">
        <f t="shared" si="83"/>
        <v>284750</v>
      </c>
      <c r="AP55" s="126"/>
      <c r="AQ55" s="126"/>
      <c r="AR55" s="126">
        <f t="shared" si="84"/>
        <v>284750</v>
      </c>
      <c r="AS55" s="126"/>
      <c r="AT55" s="126">
        <v>28881</v>
      </c>
      <c r="AU55" s="126">
        <f t="shared" si="85"/>
        <v>255869</v>
      </c>
    </row>
    <row r="56" spans="1:47" s="37" customFormat="1" ht="73.5" customHeight="1">
      <c r="A56" s="103"/>
      <c r="B56" s="104">
        <v>75616</v>
      </c>
      <c r="C56" s="105"/>
      <c r="D56" s="110" t="s">
        <v>249</v>
      </c>
      <c r="E56" s="102">
        <f aca="true" t="shared" si="86" ref="E56:K56">SUM(E57:E68)</f>
        <v>3106003</v>
      </c>
      <c r="F56" s="102">
        <f t="shared" si="86"/>
        <v>43000</v>
      </c>
      <c r="G56" s="102">
        <f t="shared" si="86"/>
        <v>0</v>
      </c>
      <c r="H56" s="102">
        <f t="shared" si="86"/>
        <v>3149003</v>
      </c>
      <c r="I56" s="102">
        <f t="shared" si="86"/>
        <v>0</v>
      </c>
      <c r="J56" s="102">
        <f t="shared" si="86"/>
        <v>0</v>
      </c>
      <c r="K56" s="102">
        <f t="shared" si="86"/>
        <v>3149003</v>
      </c>
      <c r="L56" s="102">
        <f aca="true" t="shared" si="87" ref="L56:Q56">SUM(L57:L68)</f>
        <v>0</v>
      </c>
      <c r="M56" s="102">
        <f t="shared" si="87"/>
        <v>0</v>
      </c>
      <c r="N56" s="102">
        <f t="shared" si="87"/>
        <v>3149003</v>
      </c>
      <c r="O56" s="102">
        <f t="shared" si="87"/>
        <v>0</v>
      </c>
      <c r="P56" s="102">
        <f t="shared" si="87"/>
        <v>0</v>
      </c>
      <c r="Q56" s="102">
        <f t="shared" si="87"/>
        <v>3149003</v>
      </c>
      <c r="R56" s="102">
        <f aca="true" t="shared" si="88" ref="R56:W56">SUM(R57:R68)</f>
        <v>0</v>
      </c>
      <c r="S56" s="102">
        <f t="shared" si="88"/>
        <v>0</v>
      </c>
      <c r="T56" s="102">
        <f t="shared" si="88"/>
        <v>3149003</v>
      </c>
      <c r="U56" s="102">
        <f t="shared" si="88"/>
        <v>0</v>
      </c>
      <c r="V56" s="102">
        <f t="shared" si="88"/>
        <v>0</v>
      </c>
      <c r="W56" s="102">
        <f t="shared" si="88"/>
        <v>3149003</v>
      </c>
      <c r="X56" s="102">
        <f aca="true" t="shared" si="89" ref="X56:AC56">SUM(X57:X68)</f>
        <v>5400</v>
      </c>
      <c r="Y56" s="102">
        <f t="shared" si="89"/>
        <v>0</v>
      </c>
      <c r="Z56" s="102">
        <f t="shared" si="89"/>
        <v>3154403</v>
      </c>
      <c r="AA56" s="102">
        <f t="shared" si="89"/>
        <v>0</v>
      </c>
      <c r="AB56" s="102">
        <f t="shared" si="89"/>
        <v>0</v>
      </c>
      <c r="AC56" s="102">
        <f t="shared" si="89"/>
        <v>3154403</v>
      </c>
      <c r="AD56" s="102">
        <f aca="true" t="shared" si="90" ref="AD56:AI56">SUM(AD57:AD68)</f>
        <v>0</v>
      </c>
      <c r="AE56" s="102">
        <f t="shared" si="90"/>
        <v>0</v>
      </c>
      <c r="AF56" s="102">
        <f t="shared" si="90"/>
        <v>3154403</v>
      </c>
      <c r="AG56" s="102">
        <f t="shared" si="90"/>
        <v>0</v>
      </c>
      <c r="AH56" s="102">
        <f t="shared" si="90"/>
        <v>0</v>
      </c>
      <c r="AI56" s="102">
        <f t="shared" si="90"/>
        <v>3154403</v>
      </c>
      <c r="AJ56" s="102">
        <f aca="true" t="shared" si="91" ref="AJ56:AO56">SUM(AJ57:AJ68)</f>
        <v>0</v>
      </c>
      <c r="AK56" s="102">
        <f t="shared" si="91"/>
        <v>0</v>
      </c>
      <c r="AL56" s="102">
        <f t="shared" si="91"/>
        <v>3154403</v>
      </c>
      <c r="AM56" s="102">
        <f t="shared" si="91"/>
        <v>0</v>
      </c>
      <c r="AN56" s="102">
        <f t="shared" si="91"/>
        <v>0</v>
      </c>
      <c r="AO56" s="102">
        <f t="shared" si="91"/>
        <v>3154403</v>
      </c>
      <c r="AP56" s="102">
        <f aca="true" t="shared" si="92" ref="AP56:AU56">SUM(AP57:AP68)</f>
        <v>0</v>
      </c>
      <c r="AQ56" s="102">
        <f t="shared" si="92"/>
        <v>0</v>
      </c>
      <c r="AR56" s="102">
        <f t="shared" si="92"/>
        <v>3154403</v>
      </c>
      <c r="AS56" s="102">
        <f t="shared" si="92"/>
        <v>238200</v>
      </c>
      <c r="AT56" s="102">
        <f t="shared" si="92"/>
        <v>250300</v>
      </c>
      <c r="AU56" s="102">
        <f t="shared" si="92"/>
        <v>3142303</v>
      </c>
    </row>
    <row r="57" spans="1:47" s="37" customFormat="1" ht="21.75" customHeight="1">
      <c r="A57" s="103"/>
      <c r="B57" s="104"/>
      <c r="C57" s="105" t="s">
        <v>208</v>
      </c>
      <c r="D57" s="110" t="s">
        <v>41</v>
      </c>
      <c r="E57" s="102">
        <f>2155845+30000+40000</f>
        <v>2225845</v>
      </c>
      <c r="F57" s="126"/>
      <c r="G57" s="126"/>
      <c r="H57" s="126">
        <f>SUM(E57+F57-G57)</f>
        <v>2225845</v>
      </c>
      <c r="I57" s="126"/>
      <c r="J57" s="126"/>
      <c r="K57" s="126">
        <f aca="true" t="shared" si="93" ref="K57:K68">SUM(H57+I57-J57)</f>
        <v>2225845</v>
      </c>
      <c r="L57" s="126"/>
      <c r="M57" s="126"/>
      <c r="N57" s="126">
        <f aca="true" t="shared" si="94" ref="N57:N68">SUM(K57+L57-M57)</f>
        <v>2225845</v>
      </c>
      <c r="O57" s="126"/>
      <c r="P57" s="126"/>
      <c r="Q57" s="126">
        <f aca="true" t="shared" si="95" ref="Q57:Q68">SUM(N57+O57-P57)</f>
        <v>2225845</v>
      </c>
      <c r="R57" s="126"/>
      <c r="S57" s="126"/>
      <c r="T57" s="126">
        <f aca="true" t="shared" si="96" ref="T57:T68">SUM(Q57+R57-S57)</f>
        <v>2225845</v>
      </c>
      <c r="U57" s="126"/>
      <c r="V57" s="126"/>
      <c r="W57" s="126">
        <f aca="true" t="shared" si="97" ref="W57:W68">SUM(T57+U57-V57)</f>
        <v>2225845</v>
      </c>
      <c r="X57" s="126"/>
      <c r="Y57" s="126"/>
      <c r="Z57" s="126">
        <f aca="true" t="shared" si="98" ref="Z57:Z68">SUM(W57+X57-Y57)</f>
        <v>2225845</v>
      </c>
      <c r="AA57" s="126"/>
      <c r="AB57" s="126"/>
      <c r="AC57" s="126">
        <f aca="true" t="shared" si="99" ref="AC57:AC68">SUM(Z57+AA57-AB57)</f>
        <v>2225845</v>
      </c>
      <c r="AD57" s="126"/>
      <c r="AE57" s="126"/>
      <c r="AF57" s="126">
        <f aca="true" t="shared" si="100" ref="AF57:AF68">SUM(AC57+AD57-AE57)</f>
        <v>2225845</v>
      </c>
      <c r="AG57" s="126"/>
      <c r="AH57" s="126"/>
      <c r="AI57" s="126">
        <f aca="true" t="shared" si="101" ref="AI57:AI68">SUM(AF57+AG57-AH57)</f>
        <v>2225845</v>
      </c>
      <c r="AJ57" s="126"/>
      <c r="AK57" s="126"/>
      <c r="AL57" s="126">
        <f aca="true" t="shared" si="102" ref="AL57:AL68">SUM(AI57+AJ57-AK57)</f>
        <v>2225845</v>
      </c>
      <c r="AM57" s="126"/>
      <c r="AN57" s="126"/>
      <c r="AO57" s="126">
        <f aca="true" t="shared" si="103" ref="AO57:AO68">SUM(AL57+AM57-AN57)</f>
        <v>2225845</v>
      </c>
      <c r="AP57" s="126"/>
      <c r="AQ57" s="126"/>
      <c r="AR57" s="126">
        <f aca="true" t="shared" si="104" ref="AR57:AR68">SUM(AO57+AP57-AQ57)</f>
        <v>2225845</v>
      </c>
      <c r="AS57" s="126"/>
      <c r="AT57" s="126">
        <v>235000</v>
      </c>
      <c r="AU57" s="126">
        <f aca="true" t="shared" si="105" ref="AU57:AU68">SUM(AR57+AS57-AT57)</f>
        <v>1990845</v>
      </c>
    </row>
    <row r="58" spans="1:47" s="37" customFormat="1" ht="21.75" customHeight="1">
      <c r="A58" s="103"/>
      <c r="B58" s="104"/>
      <c r="C58" s="105" t="s">
        <v>209</v>
      </c>
      <c r="D58" s="110" t="s">
        <v>42</v>
      </c>
      <c r="E58" s="102">
        <v>303853</v>
      </c>
      <c r="F58" s="126"/>
      <c r="G58" s="126"/>
      <c r="H58" s="126">
        <f>SUM(E58+F58-G58)</f>
        <v>303853</v>
      </c>
      <c r="I58" s="126"/>
      <c r="J58" s="126"/>
      <c r="K58" s="126">
        <f t="shared" si="93"/>
        <v>303853</v>
      </c>
      <c r="L58" s="126"/>
      <c r="M58" s="126"/>
      <c r="N58" s="126">
        <f t="shared" si="94"/>
        <v>303853</v>
      </c>
      <c r="O58" s="126"/>
      <c r="P58" s="126"/>
      <c r="Q58" s="126">
        <f t="shared" si="95"/>
        <v>303853</v>
      </c>
      <c r="R58" s="126"/>
      <c r="S58" s="126"/>
      <c r="T58" s="126">
        <f t="shared" si="96"/>
        <v>303853</v>
      </c>
      <c r="U58" s="126"/>
      <c r="V58" s="126"/>
      <c r="W58" s="126">
        <f t="shared" si="97"/>
        <v>303853</v>
      </c>
      <c r="X58" s="126"/>
      <c r="Y58" s="126"/>
      <c r="Z58" s="126">
        <f t="shared" si="98"/>
        <v>303853</v>
      </c>
      <c r="AA58" s="126"/>
      <c r="AB58" s="126"/>
      <c r="AC58" s="126">
        <f t="shared" si="99"/>
        <v>303853</v>
      </c>
      <c r="AD58" s="126"/>
      <c r="AE58" s="126"/>
      <c r="AF58" s="126">
        <f t="shared" si="100"/>
        <v>303853</v>
      </c>
      <c r="AG58" s="126"/>
      <c r="AH58" s="126"/>
      <c r="AI58" s="126">
        <f t="shared" si="101"/>
        <v>303853</v>
      </c>
      <c r="AJ58" s="126"/>
      <c r="AK58" s="126"/>
      <c r="AL58" s="126">
        <f t="shared" si="102"/>
        <v>303853</v>
      </c>
      <c r="AM58" s="126"/>
      <c r="AN58" s="126"/>
      <c r="AO58" s="126">
        <f t="shared" si="103"/>
        <v>303853</v>
      </c>
      <c r="AP58" s="126"/>
      <c r="AQ58" s="126"/>
      <c r="AR58" s="126">
        <f t="shared" si="104"/>
        <v>303853</v>
      </c>
      <c r="AS58" s="126"/>
      <c r="AT58" s="126"/>
      <c r="AU58" s="126">
        <f t="shared" si="105"/>
        <v>303853</v>
      </c>
    </row>
    <row r="59" spans="1:47" s="37" customFormat="1" ht="21.75" customHeight="1">
      <c r="A59" s="103"/>
      <c r="B59" s="104"/>
      <c r="C59" s="105" t="s">
        <v>210</v>
      </c>
      <c r="D59" s="110" t="s">
        <v>43</v>
      </c>
      <c r="E59" s="102">
        <v>8305</v>
      </c>
      <c r="F59" s="126"/>
      <c r="G59" s="126"/>
      <c r="H59" s="126">
        <f>SUM(E59+F59-G59)</f>
        <v>8305</v>
      </c>
      <c r="I59" s="126"/>
      <c r="J59" s="126"/>
      <c r="K59" s="126">
        <f t="shared" si="93"/>
        <v>8305</v>
      </c>
      <c r="L59" s="126"/>
      <c r="M59" s="126"/>
      <c r="N59" s="126">
        <f t="shared" si="94"/>
        <v>8305</v>
      </c>
      <c r="O59" s="126"/>
      <c r="P59" s="126"/>
      <c r="Q59" s="126">
        <f t="shared" si="95"/>
        <v>8305</v>
      </c>
      <c r="R59" s="126"/>
      <c r="S59" s="126"/>
      <c r="T59" s="126">
        <f t="shared" si="96"/>
        <v>8305</v>
      </c>
      <c r="U59" s="126"/>
      <c r="V59" s="126"/>
      <c r="W59" s="126">
        <f t="shared" si="97"/>
        <v>8305</v>
      </c>
      <c r="X59" s="126"/>
      <c r="Y59" s="126"/>
      <c r="Z59" s="126">
        <f t="shared" si="98"/>
        <v>8305</v>
      </c>
      <c r="AA59" s="126"/>
      <c r="AB59" s="126"/>
      <c r="AC59" s="126">
        <f t="shared" si="99"/>
        <v>8305</v>
      </c>
      <c r="AD59" s="126"/>
      <c r="AE59" s="126"/>
      <c r="AF59" s="126">
        <f t="shared" si="100"/>
        <v>8305</v>
      </c>
      <c r="AG59" s="126"/>
      <c r="AH59" s="126"/>
      <c r="AI59" s="126">
        <f t="shared" si="101"/>
        <v>8305</v>
      </c>
      <c r="AJ59" s="126"/>
      <c r="AK59" s="126"/>
      <c r="AL59" s="126">
        <f t="shared" si="102"/>
        <v>8305</v>
      </c>
      <c r="AM59" s="126"/>
      <c r="AN59" s="126"/>
      <c r="AO59" s="126">
        <f t="shared" si="103"/>
        <v>8305</v>
      </c>
      <c r="AP59" s="126"/>
      <c r="AQ59" s="126"/>
      <c r="AR59" s="126">
        <f t="shared" si="104"/>
        <v>8305</v>
      </c>
      <c r="AS59" s="126"/>
      <c r="AT59" s="126"/>
      <c r="AU59" s="126">
        <f t="shared" si="105"/>
        <v>8305</v>
      </c>
    </row>
    <row r="60" spans="1:47" s="37" customFormat="1" ht="21" customHeight="1">
      <c r="A60" s="103"/>
      <c r="B60" s="104"/>
      <c r="C60" s="105" t="s">
        <v>211</v>
      </c>
      <c r="D60" s="110" t="s">
        <v>44</v>
      </c>
      <c r="E60" s="102">
        <v>132000</v>
      </c>
      <c r="F60" s="126">
        <v>30000</v>
      </c>
      <c r="G60" s="126"/>
      <c r="H60" s="126">
        <f>SUM(E60+F60-G60)</f>
        <v>162000</v>
      </c>
      <c r="I60" s="126"/>
      <c r="J60" s="126"/>
      <c r="K60" s="126">
        <f t="shared" si="93"/>
        <v>162000</v>
      </c>
      <c r="L60" s="126"/>
      <c r="M60" s="126"/>
      <c r="N60" s="126">
        <f t="shared" si="94"/>
        <v>162000</v>
      </c>
      <c r="O60" s="126"/>
      <c r="P60" s="126"/>
      <c r="Q60" s="126">
        <f t="shared" si="95"/>
        <v>162000</v>
      </c>
      <c r="R60" s="126"/>
      <c r="S60" s="126"/>
      <c r="T60" s="126">
        <f t="shared" si="96"/>
        <v>162000</v>
      </c>
      <c r="U60" s="126"/>
      <c r="V60" s="126"/>
      <c r="W60" s="126">
        <f t="shared" si="97"/>
        <v>162000</v>
      </c>
      <c r="X60" s="126"/>
      <c r="Y60" s="126"/>
      <c r="Z60" s="126">
        <f t="shared" si="98"/>
        <v>162000</v>
      </c>
      <c r="AA60" s="126"/>
      <c r="AB60" s="126"/>
      <c r="AC60" s="126">
        <f t="shared" si="99"/>
        <v>162000</v>
      </c>
      <c r="AD60" s="126"/>
      <c r="AE60" s="126"/>
      <c r="AF60" s="126">
        <f t="shared" si="100"/>
        <v>162000</v>
      </c>
      <c r="AG60" s="126"/>
      <c r="AH60" s="126"/>
      <c r="AI60" s="126">
        <f t="shared" si="101"/>
        <v>162000</v>
      </c>
      <c r="AJ60" s="126"/>
      <c r="AK60" s="126"/>
      <c r="AL60" s="126">
        <f t="shared" si="102"/>
        <v>162000</v>
      </c>
      <c r="AM60" s="126"/>
      <c r="AN60" s="126"/>
      <c r="AO60" s="126">
        <f t="shared" si="103"/>
        <v>162000</v>
      </c>
      <c r="AP60" s="126"/>
      <c r="AQ60" s="126"/>
      <c r="AR60" s="126">
        <f t="shared" si="104"/>
        <v>162000</v>
      </c>
      <c r="AS60" s="126">
        <v>49000</v>
      </c>
      <c r="AT60" s="126"/>
      <c r="AU60" s="126">
        <f t="shared" si="105"/>
        <v>211000</v>
      </c>
    </row>
    <row r="61" spans="1:47" s="37" customFormat="1" ht="21.75" customHeight="1" hidden="1">
      <c r="A61" s="103"/>
      <c r="B61" s="104"/>
      <c r="C61" s="105" t="s">
        <v>212</v>
      </c>
      <c r="D61" s="110" t="s">
        <v>47</v>
      </c>
      <c r="E61" s="102">
        <v>0</v>
      </c>
      <c r="F61" s="126"/>
      <c r="G61" s="126"/>
      <c r="H61" s="126">
        <f>SUM(E61+F61-G61)</f>
        <v>0</v>
      </c>
      <c r="I61" s="126"/>
      <c r="J61" s="126"/>
      <c r="K61" s="126">
        <f t="shared" si="93"/>
        <v>0</v>
      </c>
      <c r="L61" s="126"/>
      <c r="M61" s="126"/>
      <c r="N61" s="126">
        <f t="shared" si="94"/>
        <v>0</v>
      </c>
      <c r="O61" s="126"/>
      <c r="P61" s="126"/>
      <c r="Q61" s="126">
        <f t="shared" si="95"/>
        <v>0</v>
      </c>
      <c r="R61" s="126"/>
      <c r="S61" s="126"/>
      <c r="T61" s="126">
        <f t="shared" si="96"/>
        <v>0</v>
      </c>
      <c r="U61" s="126"/>
      <c r="V61" s="126"/>
      <c r="W61" s="126">
        <f t="shared" si="97"/>
        <v>0</v>
      </c>
      <c r="X61" s="126"/>
      <c r="Y61" s="126"/>
      <c r="Z61" s="126">
        <f t="shared" si="98"/>
        <v>0</v>
      </c>
      <c r="AA61" s="126"/>
      <c r="AB61" s="126"/>
      <c r="AC61" s="126">
        <f t="shared" si="99"/>
        <v>0</v>
      </c>
      <c r="AD61" s="126"/>
      <c r="AE61" s="126"/>
      <c r="AF61" s="126">
        <f t="shared" si="100"/>
        <v>0</v>
      </c>
      <c r="AG61" s="126"/>
      <c r="AH61" s="126"/>
      <c r="AI61" s="126">
        <f t="shared" si="101"/>
        <v>0</v>
      </c>
      <c r="AJ61" s="126"/>
      <c r="AK61" s="126"/>
      <c r="AL61" s="126">
        <f t="shared" si="102"/>
        <v>0</v>
      </c>
      <c r="AM61" s="126"/>
      <c r="AN61" s="126"/>
      <c r="AO61" s="126">
        <f t="shared" si="103"/>
        <v>0</v>
      </c>
      <c r="AP61" s="126"/>
      <c r="AQ61" s="126"/>
      <c r="AR61" s="126">
        <f t="shared" si="104"/>
        <v>0</v>
      </c>
      <c r="AS61" s="126"/>
      <c r="AT61" s="126"/>
      <c r="AU61" s="126">
        <f t="shared" si="105"/>
        <v>0</v>
      </c>
    </row>
    <row r="62" spans="1:47" s="37" customFormat="1" ht="21.75" customHeight="1">
      <c r="A62" s="103"/>
      <c r="B62" s="104"/>
      <c r="C62" s="105" t="s">
        <v>212</v>
      </c>
      <c r="D62" s="110" t="s">
        <v>47</v>
      </c>
      <c r="E62" s="102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>
        <f t="shared" si="97"/>
        <v>0</v>
      </c>
      <c r="X62" s="126">
        <v>5400</v>
      </c>
      <c r="Y62" s="126"/>
      <c r="Z62" s="126">
        <f t="shared" si="98"/>
        <v>5400</v>
      </c>
      <c r="AA62" s="126"/>
      <c r="AB62" s="126"/>
      <c r="AC62" s="126">
        <f t="shared" si="99"/>
        <v>5400</v>
      </c>
      <c r="AD62" s="126"/>
      <c r="AE62" s="126"/>
      <c r="AF62" s="126">
        <f t="shared" si="100"/>
        <v>5400</v>
      </c>
      <c r="AG62" s="126"/>
      <c r="AH62" s="126"/>
      <c r="AI62" s="126">
        <f t="shared" si="101"/>
        <v>5400</v>
      </c>
      <c r="AJ62" s="126"/>
      <c r="AK62" s="126"/>
      <c r="AL62" s="126">
        <f t="shared" si="102"/>
        <v>5400</v>
      </c>
      <c r="AM62" s="126"/>
      <c r="AN62" s="126"/>
      <c r="AO62" s="126">
        <f t="shared" si="103"/>
        <v>5400</v>
      </c>
      <c r="AP62" s="126"/>
      <c r="AQ62" s="126"/>
      <c r="AR62" s="126">
        <f t="shared" si="104"/>
        <v>5400</v>
      </c>
      <c r="AS62" s="126">
        <v>14600</v>
      </c>
      <c r="AT62" s="126"/>
      <c r="AU62" s="126">
        <f t="shared" si="105"/>
        <v>20000</v>
      </c>
    </row>
    <row r="63" spans="1:47" s="37" customFormat="1" ht="21.75" customHeight="1">
      <c r="A63" s="103"/>
      <c r="B63" s="104"/>
      <c r="C63" s="105" t="s">
        <v>213</v>
      </c>
      <c r="D63" s="110" t="s">
        <v>48</v>
      </c>
      <c r="E63" s="102">
        <v>12000</v>
      </c>
      <c r="F63" s="126"/>
      <c r="G63" s="126"/>
      <c r="H63" s="126">
        <f aca="true" t="shared" si="106" ref="H63:H68">SUM(E63+F63-G63)</f>
        <v>12000</v>
      </c>
      <c r="I63" s="126"/>
      <c r="J63" s="126"/>
      <c r="K63" s="126">
        <f t="shared" si="93"/>
        <v>12000</v>
      </c>
      <c r="L63" s="126"/>
      <c r="M63" s="126"/>
      <c r="N63" s="126">
        <f t="shared" si="94"/>
        <v>12000</v>
      </c>
      <c r="O63" s="126"/>
      <c r="P63" s="126"/>
      <c r="Q63" s="126">
        <f t="shared" si="95"/>
        <v>12000</v>
      </c>
      <c r="R63" s="126"/>
      <c r="S63" s="126"/>
      <c r="T63" s="126">
        <f t="shared" si="96"/>
        <v>12000</v>
      </c>
      <c r="U63" s="126"/>
      <c r="V63" s="126"/>
      <c r="W63" s="126">
        <f t="shared" si="97"/>
        <v>12000</v>
      </c>
      <c r="X63" s="126"/>
      <c r="Y63" s="126"/>
      <c r="Z63" s="126">
        <f t="shared" si="98"/>
        <v>12000</v>
      </c>
      <c r="AA63" s="126"/>
      <c r="AB63" s="126"/>
      <c r="AC63" s="126">
        <f t="shared" si="99"/>
        <v>12000</v>
      </c>
      <c r="AD63" s="126"/>
      <c r="AE63" s="126"/>
      <c r="AF63" s="126">
        <f t="shared" si="100"/>
        <v>12000</v>
      </c>
      <c r="AG63" s="126"/>
      <c r="AH63" s="126"/>
      <c r="AI63" s="126">
        <f t="shared" si="101"/>
        <v>12000</v>
      </c>
      <c r="AJ63" s="126"/>
      <c r="AK63" s="126"/>
      <c r="AL63" s="126">
        <f t="shared" si="102"/>
        <v>12000</v>
      </c>
      <c r="AM63" s="126"/>
      <c r="AN63" s="126"/>
      <c r="AO63" s="126">
        <f t="shared" si="103"/>
        <v>12000</v>
      </c>
      <c r="AP63" s="126"/>
      <c r="AQ63" s="126"/>
      <c r="AR63" s="126">
        <f t="shared" si="104"/>
        <v>12000</v>
      </c>
      <c r="AS63" s="126"/>
      <c r="AT63" s="126"/>
      <c r="AU63" s="126">
        <f t="shared" si="105"/>
        <v>12000</v>
      </c>
    </row>
    <row r="64" spans="1:47" s="37" customFormat="1" ht="21.75" customHeight="1">
      <c r="A64" s="103"/>
      <c r="B64" s="104"/>
      <c r="C64" s="105" t="s">
        <v>214</v>
      </c>
      <c r="D64" s="110" t="s">
        <v>49</v>
      </c>
      <c r="E64" s="102">
        <v>58000</v>
      </c>
      <c r="F64" s="126">
        <v>13000</v>
      </c>
      <c r="G64" s="126"/>
      <c r="H64" s="126">
        <f t="shared" si="106"/>
        <v>71000</v>
      </c>
      <c r="I64" s="126"/>
      <c r="J64" s="126"/>
      <c r="K64" s="126">
        <f t="shared" si="93"/>
        <v>71000</v>
      </c>
      <c r="L64" s="126"/>
      <c r="M64" s="126"/>
      <c r="N64" s="126">
        <f t="shared" si="94"/>
        <v>71000</v>
      </c>
      <c r="O64" s="126"/>
      <c r="P64" s="126"/>
      <c r="Q64" s="126">
        <f t="shared" si="95"/>
        <v>71000</v>
      </c>
      <c r="R64" s="126"/>
      <c r="S64" s="126"/>
      <c r="T64" s="126">
        <f t="shared" si="96"/>
        <v>71000</v>
      </c>
      <c r="U64" s="126"/>
      <c r="V64" s="126"/>
      <c r="W64" s="126">
        <f t="shared" si="97"/>
        <v>71000</v>
      </c>
      <c r="X64" s="126"/>
      <c r="Y64" s="126"/>
      <c r="Z64" s="126">
        <f t="shared" si="98"/>
        <v>71000</v>
      </c>
      <c r="AA64" s="126"/>
      <c r="AB64" s="126"/>
      <c r="AC64" s="126">
        <f t="shared" si="99"/>
        <v>71000</v>
      </c>
      <c r="AD64" s="126"/>
      <c r="AE64" s="126"/>
      <c r="AF64" s="126">
        <f t="shared" si="100"/>
        <v>71000</v>
      </c>
      <c r="AG64" s="126"/>
      <c r="AH64" s="126"/>
      <c r="AI64" s="126">
        <f t="shared" si="101"/>
        <v>71000</v>
      </c>
      <c r="AJ64" s="126"/>
      <c r="AK64" s="126"/>
      <c r="AL64" s="126">
        <f t="shared" si="102"/>
        <v>71000</v>
      </c>
      <c r="AM64" s="126"/>
      <c r="AN64" s="126"/>
      <c r="AO64" s="126">
        <f t="shared" si="103"/>
        <v>71000</v>
      </c>
      <c r="AP64" s="126"/>
      <c r="AQ64" s="126"/>
      <c r="AR64" s="126">
        <f t="shared" si="104"/>
        <v>71000</v>
      </c>
      <c r="AS64" s="126"/>
      <c r="AT64" s="126"/>
      <c r="AU64" s="126">
        <f t="shared" si="105"/>
        <v>71000</v>
      </c>
    </row>
    <row r="65" spans="1:47" s="37" customFormat="1" ht="21.75" customHeight="1">
      <c r="A65" s="103"/>
      <c r="B65" s="104"/>
      <c r="C65" s="105" t="s">
        <v>215</v>
      </c>
      <c r="D65" s="110" t="s">
        <v>50</v>
      </c>
      <c r="E65" s="102">
        <v>1000</v>
      </c>
      <c r="F65" s="126"/>
      <c r="G65" s="126"/>
      <c r="H65" s="126">
        <f t="shared" si="106"/>
        <v>1000</v>
      </c>
      <c r="I65" s="126"/>
      <c r="J65" s="126"/>
      <c r="K65" s="126">
        <f t="shared" si="93"/>
        <v>1000</v>
      </c>
      <c r="L65" s="126"/>
      <c r="M65" s="126"/>
      <c r="N65" s="126">
        <f t="shared" si="94"/>
        <v>1000</v>
      </c>
      <c r="O65" s="126"/>
      <c r="P65" s="126"/>
      <c r="Q65" s="126">
        <f t="shared" si="95"/>
        <v>1000</v>
      </c>
      <c r="R65" s="126"/>
      <c r="S65" s="126"/>
      <c r="T65" s="126">
        <f t="shared" si="96"/>
        <v>1000</v>
      </c>
      <c r="U65" s="126"/>
      <c r="V65" s="126"/>
      <c r="W65" s="126">
        <f t="shared" si="97"/>
        <v>1000</v>
      </c>
      <c r="X65" s="126"/>
      <c r="Y65" s="126"/>
      <c r="Z65" s="126">
        <f t="shared" si="98"/>
        <v>1000</v>
      </c>
      <c r="AA65" s="126"/>
      <c r="AB65" s="126"/>
      <c r="AC65" s="126">
        <f t="shared" si="99"/>
        <v>1000</v>
      </c>
      <c r="AD65" s="126"/>
      <c r="AE65" s="126"/>
      <c r="AF65" s="126">
        <f t="shared" si="100"/>
        <v>1000</v>
      </c>
      <c r="AG65" s="126"/>
      <c r="AH65" s="126"/>
      <c r="AI65" s="126">
        <f t="shared" si="101"/>
        <v>1000</v>
      </c>
      <c r="AJ65" s="126"/>
      <c r="AK65" s="126"/>
      <c r="AL65" s="126">
        <f t="shared" si="102"/>
        <v>1000</v>
      </c>
      <c r="AM65" s="126"/>
      <c r="AN65" s="126"/>
      <c r="AO65" s="126">
        <f t="shared" si="103"/>
        <v>1000</v>
      </c>
      <c r="AP65" s="126"/>
      <c r="AQ65" s="126"/>
      <c r="AR65" s="126">
        <f t="shared" si="104"/>
        <v>1000</v>
      </c>
      <c r="AS65" s="126"/>
      <c r="AT65" s="126"/>
      <c r="AU65" s="126">
        <f t="shared" si="105"/>
        <v>1000</v>
      </c>
    </row>
    <row r="66" spans="1:47" s="37" customFormat="1" ht="24">
      <c r="A66" s="103"/>
      <c r="B66" s="104"/>
      <c r="C66" s="105" t="s">
        <v>216</v>
      </c>
      <c r="D66" s="110" t="s">
        <v>51</v>
      </c>
      <c r="E66" s="102">
        <v>2000</v>
      </c>
      <c r="F66" s="126"/>
      <c r="G66" s="126"/>
      <c r="H66" s="126">
        <f t="shared" si="106"/>
        <v>2000</v>
      </c>
      <c r="I66" s="126"/>
      <c r="J66" s="126"/>
      <c r="K66" s="126">
        <f t="shared" si="93"/>
        <v>2000</v>
      </c>
      <c r="L66" s="126"/>
      <c r="M66" s="126"/>
      <c r="N66" s="126">
        <f t="shared" si="94"/>
        <v>2000</v>
      </c>
      <c r="O66" s="126"/>
      <c r="P66" s="126"/>
      <c r="Q66" s="126">
        <f t="shared" si="95"/>
        <v>2000</v>
      </c>
      <c r="R66" s="126"/>
      <c r="S66" s="126"/>
      <c r="T66" s="126">
        <f t="shared" si="96"/>
        <v>2000</v>
      </c>
      <c r="U66" s="126"/>
      <c r="V66" s="126"/>
      <c r="W66" s="126">
        <f t="shared" si="97"/>
        <v>2000</v>
      </c>
      <c r="X66" s="126"/>
      <c r="Y66" s="126"/>
      <c r="Z66" s="126">
        <f t="shared" si="98"/>
        <v>2000</v>
      </c>
      <c r="AA66" s="126"/>
      <c r="AB66" s="126"/>
      <c r="AC66" s="126">
        <f t="shared" si="99"/>
        <v>2000</v>
      </c>
      <c r="AD66" s="126"/>
      <c r="AE66" s="126"/>
      <c r="AF66" s="126">
        <f t="shared" si="100"/>
        <v>2000</v>
      </c>
      <c r="AG66" s="126"/>
      <c r="AH66" s="126"/>
      <c r="AI66" s="126">
        <f t="shared" si="101"/>
        <v>2000</v>
      </c>
      <c r="AJ66" s="126"/>
      <c r="AK66" s="126"/>
      <c r="AL66" s="126">
        <f t="shared" si="102"/>
        <v>2000</v>
      </c>
      <c r="AM66" s="126"/>
      <c r="AN66" s="126"/>
      <c r="AO66" s="126">
        <f t="shared" si="103"/>
        <v>2000</v>
      </c>
      <c r="AP66" s="126"/>
      <c r="AQ66" s="126"/>
      <c r="AR66" s="126">
        <f t="shared" si="104"/>
        <v>2000</v>
      </c>
      <c r="AS66" s="126">
        <v>600</v>
      </c>
      <c r="AT66" s="126"/>
      <c r="AU66" s="126">
        <f t="shared" si="105"/>
        <v>2600</v>
      </c>
    </row>
    <row r="67" spans="1:47" s="37" customFormat="1" ht="21.75" customHeight="1">
      <c r="A67" s="103"/>
      <c r="B67" s="104"/>
      <c r="C67" s="105" t="s">
        <v>218</v>
      </c>
      <c r="D67" s="110" t="s">
        <v>52</v>
      </c>
      <c r="E67" s="102">
        <v>300000</v>
      </c>
      <c r="F67" s="126"/>
      <c r="G67" s="126"/>
      <c r="H67" s="126">
        <f t="shared" si="106"/>
        <v>300000</v>
      </c>
      <c r="I67" s="126"/>
      <c r="J67" s="126"/>
      <c r="K67" s="126">
        <f t="shared" si="93"/>
        <v>300000</v>
      </c>
      <c r="L67" s="126"/>
      <c r="M67" s="126"/>
      <c r="N67" s="126">
        <f t="shared" si="94"/>
        <v>300000</v>
      </c>
      <c r="O67" s="126"/>
      <c r="P67" s="126"/>
      <c r="Q67" s="126">
        <f t="shared" si="95"/>
        <v>300000</v>
      </c>
      <c r="R67" s="126"/>
      <c r="S67" s="126"/>
      <c r="T67" s="126">
        <f t="shared" si="96"/>
        <v>300000</v>
      </c>
      <c r="U67" s="126"/>
      <c r="V67" s="126"/>
      <c r="W67" s="126">
        <f t="shared" si="97"/>
        <v>300000</v>
      </c>
      <c r="X67" s="126"/>
      <c r="Y67" s="126"/>
      <c r="Z67" s="126">
        <f t="shared" si="98"/>
        <v>300000</v>
      </c>
      <c r="AA67" s="126"/>
      <c r="AB67" s="126"/>
      <c r="AC67" s="126">
        <f t="shared" si="99"/>
        <v>300000</v>
      </c>
      <c r="AD67" s="126"/>
      <c r="AE67" s="126"/>
      <c r="AF67" s="126">
        <f t="shared" si="100"/>
        <v>300000</v>
      </c>
      <c r="AG67" s="126"/>
      <c r="AH67" s="126"/>
      <c r="AI67" s="126">
        <f t="shared" si="101"/>
        <v>300000</v>
      </c>
      <c r="AJ67" s="126"/>
      <c r="AK67" s="126"/>
      <c r="AL67" s="126">
        <f t="shared" si="102"/>
        <v>300000</v>
      </c>
      <c r="AM67" s="126"/>
      <c r="AN67" s="126"/>
      <c r="AO67" s="126">
        <f t="shared" si="103"/>
        <v>300000</v>
      </c>
      <c r="AP67" s="126"/>
      <c r="AQ67" s="126"/>
      <c r="AR67" s="126">
        <f t="shared" si="104"/>
        <v>300000</v>
      </c>
      <c r="AS67" s="126">
        <v>174000</v>
      </c>
      <c r="AT67" s="126"/>
      <c r="AU67" s="126">
        <f t="shared" si="105"/>
        <v>474000</v>
      </c>
    </row>
    <row r="68" spans="1:47" s="37" customFormat="1" ht="21.75" customHeight="1">
      <c r="A68" s="103"/>
      <c r="B68" s="104"/>
      <c r="C68" s="105" t="s">
        <v>207</v>
      </c>
      <c r="D68" s="110" t="s">
        <v>277</v>
      </c>
      <c r="E68" s="102">
        <v>63000</v>
      </c>
      <c r="F68" s="126"/>
      <c r="G68" s="126"/>
      <c r="H68" s="126">
        <f t="shared" si="106"/>
        <v>63000</v>
      </c>
      <c r="I68" s="126"/>
      <c r="J68" s="126"/>
      <c r="K68" s="126">
        <f t="shared" si="93"/>
        <v>63000</v>
      </c>
      <c r="L68" s="126"/>
      <c r="M68" s="126"/>
      <c r="N68" s="126">
        <f t="shared" si="94"/>
        <v>63000</v>
      </c>
      <c r="O68" s="126"/>
      <c r="P68" s="126"/>
      <c r="Q68" s="126">
        <f t="shared" si="95"/>
        <v>63000</v>
      </c>
      <c r="R68" s="126"/>
      <c r="S68" s="126"/>
      <c r="T68" s="126">
        <f t="shared" si="96"/>
        <v>63000</v>
      </c>
      <c r="U68" s="126"/>
      <c r="V68" s="126"/>
      <c r="W68" s="126">
        <f t="shared" si="97"/>
        <v>63000</v>
      </c>
      <c r="X68" s="126"/>
      <c r="Y68" s="126"/>
      <c r="Z68" s="126">
        <f t="shared" si="98"/>
        <v>63000</v>
      </c>
      <c r="AA68" s="126"/>
      <c r="AB68" s="126"/>
      <c r="AC68" s="126">
        <f t="shared" si="99"/>
        <v>63000</v>
      </c>
      <c r="AD68" s="126"/>
      <c r="AE68" s="126"/>
      <c r="AF68" s="126">
        <f t="shared" si="100"/>
        <v>63000</v>
      </c>
      <c r="AG68" s="126"/>
      <c r="AH68" s="126"/>
      <c r="AI68" s="126">
        <f t="shared" si="101"/>
        <v>63000</v>
      </c>
      <c r="AJ68" s="126"/>
      <c r="AK68" s="126"/>
      <c r="AL68" s="126">
        <f t="shared" si="102"/>
        <v>63000</v>
      </c>
      <c r="AM68" s="126"/>
      <c r="AN68" s="126"/>
      <c r="AO68" s="126">
        <f t="shared" si="103"/>
        <v>63000</v>
      </c>
      <c r="AP68" s="126"/>
      <c r="AQ68" s="126"/>
      <c r="AR68" s="126">
        <f t="shared" si="104"/>
        <v>63000</v>
      </c>
      <c r="AS68" s="126"/>
      <c r="AT68" s="126">
        <v>15300</v>
      </c>
      <c r="AU68" s="126">
        <f t="shared" si="105"/>
        <v>47700</v>
      </c>
    </row>
    <row r="69" spans="1:47" s="37" customFormat="1" ht="36">
      <c r="A69" s="103"/>
      <c r="B69" s="104" t="s">
        <v>53</v>
      </c>
      <c r="C69" s="113"/>
      <c r="D69" s="110" t="s">
        <v>54</v>
      </c>
      <c r="E69" s="102">
        <f aca="true" t="shared" si="107" ref="E69:K69">SUM(E70:E74)</f>
        <v>554000</v>
      </c>
      <c r="F69" s="102">
        <f t="shared" si="107"/>
        <v>0</v>
      </c>
      <c r="G69" s="102">
        <f t="shared" si="107"/>
        <v>0</v>
      </c>
      <c r="H69" s="102">
        <f t="shared" si="107"/>
        <v>554000</v>
      </c>
      <c r="I69" s="102">
        <f t="shared" si="107"/>
        <v>0</v>
      </c>
      <c r="J69" s="102">
        <f t="shared" si="107"/>
        <v>0</v>
      </c>
      <c r="K69" s="102">
        <f t="shared" si="107"/>
        <v>554000</v>
      </c>
      <c r="L69" s="102">
        <f aca="true" t="shared" si="108" ref="L69:Q69">SUM(L70:L74)</f>
        <v>0</v>
      </c>
      <c r="M69" s="102">
        <f t="shared" si="108"/>
        <v>0</v>
      </c>
      <c r="N69" s="102">
        <f t="shared" si="108"/>
        <v>554000</v>
      </c>
      <c r="O69" s="102">
        <f t="shared" si="108"/>
        <v>0</v>
      </c>
      <c r="P69" s="102">
        <f t="shared" si="108"/>
        <v>0</v>
      </c>
      <c r="Q69" s="102">
        <f t="shared" si="108"/>
        <v>554000</v>
      </c>
      <c r="R69" s="102">
        <f aca="true" t="shared" si="109" ref="R69:W69">SUM(R70:R74)</f>
        <v>0</v>
      </c>
      <c r="S69" s="102">
        <f t="shared" si="109"/>
        <v>0</v>
      </c>
      <c r="T69" s="102">
        <f t="shared" si="109"/>
        <v>554000</v>
      </c>
      <c r="U69" s="102">
        <f t="shared" si="109"/>
        <v>0</v>
      </c>
      <c r="V69" s="102">
        <f t="shared" si="109"/>
        <v>0</v>
      </c>
      <c r="W69" s="102">
        <f t="shared" si="109"/>
        <v>554000</v>
      </c>
      <c r="X69" s="102">
        <f aca="true" t="shared" si="110" ref="X69:AC69">SUM(X70:X74)</f>
        <v>0</v>
      </c>
      <c r="Y69" s="102">
        <f t="shared" si="110"/>
        <v>0</v>
      </c>
      <c r="Z69" s="102">
        <f t="shared" si="110"/>
        <v>554000</v>
      </c>
      <c r="AA69" s="102">
        <f t="shared" si="110"/>
        <v>280000</v>
      </c>
      <c r="AB69" s="102">
        <f t="shared" si="110"/>
        <v>280000</v>
      </c>
      <c r="AC69" s="102">
        <f t="shared" si="110"/>
        <v>554000</v>
      </c>
      <c r="AD69" s="102">
        <f aca="true" t="shared" si="111" ref="AD69:AI69">SUM(AD70:AD74)</f>
        <v>0</v>
      </c>
      <c r="AE69" s="102">
        <f t="shared" si="111"/>
        <v>0</v>
      </c>
      <c r="AF69" s="102">
        <f t="shared" si="111"/>
        <v>554000</v>
      </c>
      <c r="AG69" s="102">
        <f t="shared" si="111"/>
        <v>28561</v>
      </c>
      <c r="AH69" s="102">
        <f t="shared" si="111"/>
        <v>0</v>
      </c>
      <c r="AI69" s="102">
        <f t="shared" si="111"/>
        <v>582561</v>
      </c>
      <c r="AJ69" s="102">
        <f aca="true" t="shared" si="112" ref="AJ69:AO69">SUM(AJ70:AJ74)</f>
        <v>0</v>
      </c>
      <c r="AK69" s="102">
        <f t="shared" si="112"/>
        <v>0</v>
      </c>
      <c r="AL69" s="102">
        <f t="shared" si="112"/>
        <v>582561</v>
      </c>
      <c r="AM69" s="102">
        <f t="shared" si="112"/>
        <v>0</v>
      </c>
      <c r="AN69" s="102">
        <f t="shared" si="112"/>
        <v>0</v>
      </c>
      <c r="AO69" s="102">
        <f t="shared" si="112"/>
        <v>582561</v>
      </c>
      <c r="AP69" s="102">
        <f>SUM(AP70:AP74)</f>
        <v>0</v>
      </c>
      <c r="AQ69" s="102">
        <f>SUM(AQ70:AQ74)</f>
        <v>0</v>
      </c>
      <c r="AR69" s="102">
        <f>SUM(AR70:AR75)</f>
        <v>582561</v>
      </c>
      <c r="AS69" s="102">
        <f>SUM(AS70:AS75)</f>
        <v>4033</v>
      </c>
      <c r="AT69" s="102">
        <f>SUM(AT70:AT75)</f>
        <v>30000</v>
      </c>
      <c r="AU69" s="102">
        <f>SUM(AU70:AU75)</f>
        <v>556594</v>
      </c>
    </row>
    <row r="70" spans="1:47" s="37" customFormat="1" ht="21.75" customHeight="1">
      <c r="A70" s="103"/>
      <c r="B70" s="104"/>
      <c r="C70" s="105" t="s">
        <v>219</v>
      </c>
      <c r="D70" s="110" t="s">
        <v>55</v>
      </c>
      <c r="E70" s="102">
        <v>220000</v>
      </c>
      <c r="F70" s="126"/>
      <c r="G70" s="126"/>
      <c r="H70" s="126">
        <f>SUM(E70+F70-G70)</f>
        <v>220000</v>
      </c>
      <c r="I70" s="126"/>
      <c r="J70" s="126"/>
      <c r="K70" s="126">
        <f>SUM(H70+I70-J70)</f>
        <v>220000</v>
      </c>
      <c r="L70" s="126"/>
      <c r="M70" s="126"/>
      <c r="N70" s="126">
        <f>SUM(K70+L70-M70)</f>
        <v>220000</v>
      </c>
      <c r="O70" s="126"/>
      <c r="P70" s="126"/>
      <c r="Q70" s="126">
        <f>SUM(N70+O70-P70)</f>
        <v>220000</v>
      </c>
      <c r="R70" s="126"/>
      <c r="S70" s="126"/>
      <c r="T70" s="126">
        <f>SUM(Q70+R70-S70)</f>
        <v>220000</v>
      </c>
      <c r="U70" s="126"/>
      <c r="V70" s="126"/>
      <c r="W70" s="126">
        <f>SUM(T70+U70-V70)</f>
        <v>220000</v>
      </c>
      <c r="X70" s="126"/>
      <c r="Y70" s="126"/>
      <c r="Z70" s="126">
        <f>SUM(W70+X70-Y70)</f>
        <v>220000</v>
      </c>
      <c r="AA70" s="126"/>
      <c r="AB70" s="126"/>
      <c r="AC70" s="126">
        <f>SUM(Z70+AA70-AB70)</f>
        <v>220000</v>
      </c>
      <c r="AD70" s="126"/>
      <c r="AE70" s="126"/>
      <c r="AF70" s="126">
        <f>SUM(AC70+AD70-AE70)</f>
        <v>220000</v>
      </c>
      <c r="AG70" s="126"/>
      <c r="AH70" s="126"/>
      <c r="AI70" s="126">
        <f>SUM(AF70+AG70-AH70)</f>
        <v>220000</v>
      </c>
      <c r="AJ70" s="126"/>
      <c r="AK70" s="126"/>
      <c r="AL70" s="126">
        <f>SUM(AI70+AJ70-AK70)</f>
        <v>220000</v>
      </c>
      <c r="AM70" s="126"/>
      <c r="AN70" s="126"/>
      <c r="AO70" s="126">
        <f>SUM(AL70+AM70-AN70)</f>
        <v>220000</v>
      </c>
      <c r="AP70" s="126"/>
      <c r="AQ70" s="126"/>
      <c r="AR70" s="126">
        <f>SUM(AO70+AP70-AQ70)</f>
        <v>220000</v>
      </c>
      <c r="AS70" s="126"/>
      <c r="AT70" s="126"/>
      <c r="AU70" s="126">
        <f aca="true" t="shared" si="113" ref="AU70:AU75">SUM(AR70+AS70-AT70)</f>
        <v>220000</v>
      </c>
    </row>
    <row r="71" spans="1:47" s="37" customFormat="1" ht="21.75" customHeight="1">
      <c r="A71" s="103"/>
      <c r="B71" s="104"/>
      <c r="C71" s="105" t="s">
        <v>217</v>
      </c>
      <c r="D71" s="110" t="s">
        <v>45</v>
      </c>
      <c r="E71" s="102">
        <v>14000</v>
      </c>
      <c r="F71" s="126"/>
      <c r="G71" s="126"/>
      <c r="H71" s="126">
        <f>SUM(E71+F71-G71)</f>
        <v>14000</v>
      </c>
      <c r="I71" s="126"/>
      <c r="J71" s="126"/>
      <c r="K71" s="126">
        <f>SUM(H71+I71-J71)</f>
        <v>14000</v>
      </c>
      <c r="L71" s="126"/>
      <c r="M71" s="126"/>
      <c r="N71" s="126">
        <f>SUM(K71+L71-M71)</f>
        <v>14000</v>
      </c>
      <c r="O71" s="126"/>
      <c r="P71" s="126"/>
      <c r="Q71" s="126">
        <f>SUM(N71+O71-P71)</f>
        <v>14000</v>
      </c>
      <c r="R71" s="126"/>
      <c r="S71" s="126"/>
      <c r="T71" s="126">
        <f>SUM(Q71+R71-S71)</f>
        <v>14000</v>
      </c>
      <c r="U71" s="126"/>
      <c r="V71" s="126"/>
      <c r="W71" s="126">
        <f>SUM(T71+U71-V71)</f>
        <v>14000</v>
      </c>
      <c r="X71" s="126"/>
      <c r="Y71" s="126"/>
      <c r="Z71" s="126">
        <f>SUM(W71+X71-Y71)</f>
        <v>14000</v>
      </c>
      <c r="AA71" s="126"/>
      <c r="AB71" s="126"/>
      <c r="AC71" s="126">
        <f>SUM(Z71+AA71-AB71)</f>
        <v>14000</v>
      </c>
      <c r="AD71" s="126"/>
      <c r="AE71" s="126"/>
      <c r="AF71" s="126">
        <f>SUM(AC71+AD71-AE71)</f>
        <v>14000</v>
      </c>
      <c r="AG71" s="126"/>
      <c r="AH71" s="126"/>
      <c r="AI71" s="126">
        <f>SUM(AF71+AG71-AH71)</f>
        <v>14000</v>
      </c>
      <c r="AJ71" s="126"/>
      <c r="AK71" s="126"/>
      <c r="AL71" s="126">
        <f>SUM(AI71+AJ71-AK71)</f>
        <v>14000</v>
      </c>
      <c r="AM71" s="126"/>
      <c r="AN71" s="126"/>
      <c r="AO71" s="126">
        <f>SUM(AL71+AM71-AN71)</f>
        <v>14000</v>
      </c>
      <c r="AP71" s="126"/>
      <c r="AQ71" s="126"/>
      <c r="AR71" s="126">
        <f>SUM(AO71+AP71-AQ71)</f>
        <v>14000</v>
      </c>
      <c r="AS71" s="126">
        <v>3000</v>
      </c>
      <c r="AT71" s="126"/>
      <c r="AU71" s="126">
        <f t="shared" si="113"/>
        <v>17000</v>
      </c>
    </row>
    <row r="72" spans="1:47" s="37" customFormat="1" ht="22.5" hidden="1">
      <c r="A72" s="103"/>
      <c r="B72" s="104"/>
      <c r="C72" s="105" t="s">
        <v>223</v>
      </c>
      <c r="D72" s="110" t="s">
        <v>70</v>
      </c>
      <c r="E72" s="102">
        <v>280000</v>
      </c>
      <c r="F72" s="126"/>
      <c r="G72" s="126"/>
      <c r="H72" s="126">
        <f>SUM(E72+F72-G72)</f>
        <v>280000</v>
      </c>
      <c r="I72" s="126"/>
      <c r="J72" s="126"/>
      <c r="K72" s="126">
        <f>SUM(H72+I72-J72)</f>
        <v>280000</v>
      </c>
      <c r="L72" s="126"/>
      <c r="M72" s="126"/>
      <c r="N72" s="126">
        <f>SUM(K72+L72-M72)</f>
        <v>280000</v>
      </c>
      <c r="O72" s="126"/>
      <c r="P72" s="126"/>
      <c r="Q72" s="126">
        <f>SUM(N72+O72-P72)</f>
        <v>280000</v>
      </c>
      <c r="R72" s="126"/>
      <c r="S72" s="126"/>
      <c r="T72" s="126">
        <f>SUM(Q72+R72-S72)</f>
        <v>280000</v>
      </c>
      <c r="U72" s="126"/>
      <c r="V72" s="126"/>
      <c r="W72" s="126">
        <f>SUM(T72+U72-V72)</f>
        <v>280000</v>
      </c>
      <c r="X72" s="126"/>
      <c r="Y72" s="126"/>
      <c r="Z72" s="126">
        <f>SUM(W72+X72-Y72)</f>
        <v>280000</v>
      </c>
      <c r="AA72" s="126"/>
      <c r="AB72" s="126">
        <v>280000</v>
      </c>
      <c r="AC72" s="126">
        <f>SUM(Z72+AA72-AB72)</f>
        <v>0</v>
      </c>
      <c r="AD72" s="126"/>
      <c r="AE72" s="126"/>
      <c r="AF72" s="126">
        <f>SUM(AC72+AD72-AE72)</f>
        <v>0</v>
      </c>
      <c r="AG72" s="126"/>
      <c r="AH72" s="126"/>
      <c r="AI72" s="126">
        <f>SUM(AF72+AG72-AH72)</f>
        <v>0</v>
      </c>
      <c r="AJ72" s="126"/>
      <c r="AK72" s="126"/>
      <c r="AL72" s="126">
        <f>SUM(AI72+AJ72-AK72)</f>
        <v>0</v>
      </c>
      <c r="AM72" s="126"/>
      <c r="AN72" s="126"/>
      <c r="AO72" s="126">
        <f>SUM(AL72+AM72-AN72)</f>
        <v>0</v>
      </c>
      <c r="AP72" s="126"/>
      <c r="AQ72" s="126"/>
      <c r="AR72" s="126">
        <f>SUM(AO72+AP72-AQ72)</f>
        <v>0</v>
      </c>
      <c r="AS72" s="126"/>
      <c r="AT72" s="126"/>
      <c r="AU72" s="126">
        <f t="shared" si="113"/>
        <v>0</v>
      </c>
    </row>
    <row r="73" spans="1:47" s="37" customFormat="1" ht="24">
      <c r="A73" s="103"/>
      <c r="B73" s="104"/>
      <c r="C73" s="105" t="s">
        <v>223</v>
      </c>
      <c r="D73" s="110" t="s">
        <v>575</v>
      </c>
      <c r="E73" s="102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>
        <v>0</v>
      </c>
      <c r="AA73" s="126">
        <v>280000</v>
      </c>
      <c r="AB73" s="126"/>
      <c r="AC73" s="126">
        <f>SUM(Z73+AA73-AB73)</f>
        <v>280000</v>
      </c>
      <c r="AD73" s="126"/>
      <c r="AE73" s="126"/>
      <c r="AF73" s="126">
        <f>SUM(AC73+AD73-AE73)</f>
        <v>280000</v>
      </c>
      <c r="AG73" s="126">
        <v>28561</v>
      </c>
      <c r="AH73" s="126"/>
      <c r="AI73" s="126">
        <f>SUM(AF73+AG73-AH73)</f>
        <v>308561</v>
      </c>
      <c r="AJ73" s="126"/>
      <c r="AK73" s="126"/>
      <c r="AL73" s="126">
        <f>SUM(AI73+AJ73-AK73)</f>
        <v>308561</v>
      </c>
      <c r="AM73" s="126"/>
      <c r="AN73" s="126"/>
      <c r="AO73" s="126">
        <f>SUM(AL73+AM73-AN73)</f>
        <v>308561</v>
      </c>
      <c r="AP73" s="126"/>
      <c r="AQ73" s="126"/>
      <c r="AR73" s="126">
        <f>SUM(AO73+AP73-AQ73)</f>
        <v>308561</v>
      </c>
      <c r="AS73" s="126"/>
      <c r="AT73" s="126"/>
      <c r="AU73" s="126">
        <f t="shared" si="113"/>
        <v>308561</v>
      </c>
    </row>
    <row r="74" spans="1:47" s="37" customFormat="1" ht="52.5" customHeight="1">
      <c r="A74" s="103"/>
      <c r="B74" s="104"/>
      <c r="C74" s="105" t="s">
        <v>200</v>
      </c>
      <c r="D74" s="110" t="s">
        <v>11</v>
      </c>
      <c r="E74" s="102">
        <v>40000</v>
      </c>
      <c r="F74" s="126"/>
      <c r="G74" s="126"/>
      <c r="H74" s="126">
        <f>SUM(E74+F74-G74)</f>
        <v>40000</v>
      </c>
      <c r="I74" s="126"/>
      <c r="J74" s="126"/>
      <c r="K74" s="126">
        <f>SUM(H74+I74-J74)</f>
        <v>40000</v>
      </c>
      <c r="L74" s="126"/>
      <c r="M74" s="126"/>
      <c r="N74" s="126">
        <f>SUM(K74+L74-M74)</f>
        <v>40000</v>
      </c>
      <c r="O74" s="126"/>
      <c r="P74" s="126"/>
      <c r="Q74" s="126">
        <f>SUM(N74+O74-P74)</f>
        <v>40000</v>
      </c>
      <c r="R74" s="126"/>
      <c r="S74" s="126"/>
      <c r="T74" s="126">
        <f>SUM(Q74+R74-S74)</f>
        <v>40000</v>
      </c>
      <c r="U74" s="126"/>
      <c r="V74" s="126"/>
      <c r="W74" s="126">
        <f>SUM(T74+U74-V74)</f>
        <v>40000</v>
      </c>
      <c r="X74" s="126"/>
      <c r="Y74" s="126"/>
      <c r="Z74" s="126">
        <f>SUM(W74+X74-Y74)</f>
        <v>40000</v>
      </c>
      <c r="AA74" s="126"/>
      <c r="AB74" s="126"/>
      <c r="AC74" s="126">
        <f>SUM(Z74+AA74-AB74)</f>
        <v>40000</v>
      </c>
      <c r="AD74" s="126"/>
      <c r="AE74" s="126"/>
      <c r="AF74" s="126">
        <f>SUM(AC74+AD74-AE74)</f>
        <v>40000</v>
      </c>
      <c r="AG74" s="126"/>
      <c r="AH74" s="126"/>
      <c r="AI74" s="126">
        <f>SUM(AF74+AG74-AH74)</f>
        <v>40000</v>
      </c>
      <c r="AJ74" s="126"/>
      <c r="AK74" s="126"/>
      <c r="AL74" s="126">
        <f>SUM(AI74+AJ74-AK74)</f>
        <v>40000</v>
      </c>
      <c r="AM74" s="126"/>
      <c r="AN74" s="126"/>
      <c r="AO74" s="126">
        <f>SUM(AL74+AM74-AN74)</f>
        <v>40000</v>
      </c>
      <c r="AP74" s="126"/>
      <c r="AQ74" s="126"/>
      <c r="AR74" s="126">
        <f>SUM(AO74+AP74-AQ74)</f>
        <v>40000</v>
      </c>
      <c r="AS74" s="126"/>
      <c r="AT74" s="126">
        <v>30000</v>
      </c>
      <c r="AU74" s="126">
        <f t="shared" si="113"/>
        <v>10000</v>
      </c>
    </row>
    <row r="75" spans="1:47" s="37" customFormat="1" ht="24">
      <c r="A75" s="103"/>
      <c r="B75" s="104"/>
      <c r="C75" s="105" t="s">
        <v>207</v>
      </c>
      <c r="D75" s="110" t="s">
        <v>277</v>
      </c>
      <c r="E75" s="102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>
        <v>0</v>
      </c>
      <c r="AS75" s="126">
        <v>1033</v>
      </c>
      <c r="AT75" s="126"/>
      <c r="AU75" s="126">
        <f t="shared" si="113"/>
        <v>1033</v>
      </c>
    </row>
    <row r="76" spans="1:47" s="37" customFormat="1" ht="24">
      <c r="A76" s="103"/>
      <c r="B76" s="104" t="s">
        <v>56</v>
      </c>
      <c r="C76" s="113"/>
      <c r="D76" s="110" t="s">
        <v>57</v>
      </c>
      <c r="E76" s="102">
        <f aca="true" t="shared" si="114" ref="E76:K76">SUM(E77:E78)</f>
        <v>7198275</v>
      </c>
      <c r="F76" s="102">
        <f t="shared" si="114"/>
        <v>97000</v>
      </c>
      <c r="G76" s="102">
        <f t="shared" si="114"/>
        <v>0</v>
      </c>
      <c r="H76" s="102">
        <f t="shared" si="114"/>
        <v>7295275</v>
      </c>
      <c r="I76" s="102">
        <f t="shared" si="114"/>
        <v>0</v>
      </c>
      <c r="J76" s="102">
        <f t="shared" si="114"/>
        <v>0</v>
      </c>
      <c r="K76" s="102">
        <f t="shared" si="114"/>
        <v>7295275</v>
      </c>
      <c r="L76" s="102">
        <f aca="true" t="shared" si="115" ref="L76:Q76">SUM(L77:L78)</f>
        <v>0</v>
      </c>
      <c r="M76" s="102">
        <f t="shared" si="115"/>
        <v>0</v>
      </c>
      <c r="N76" s="102">
        <f t="shared" si="115"/>
        <v>7295275</v>
      </c>
      <c r="O76" s="102">
        <f t="shared" si="115"/>
        <v>71885</v>
      </c>
      <c r="P76" s="102">
        <f t="shared" si="115"/>
        <v>0</v>
      </c>
      <c r="Q76" s="102">
        <f t="shared" si="115"/>
        <v>7367160</v>
      </c>
      <c r="R76" s="102">
        <f aca="true" t="shared" si="116" ref="R76:W76">SUM(R77:R78)</f>
        <v>0</v>
      </c>
      <c r="S76" s="102">
        <f t="shared" si="116"/>
        <v>0</v>
      </c>
      <c r="T76" s="102">
        <f t="shared" si="116"/>
        <v>7367160</v>
      </c>
      <c r="U76" s="102">
        <f t="shared" si="116"/>
        <v>0</v>
      </c>
      <c r="V76" s="102">
        <f t="shared" si="116"/>
        <v>0</v>
      </c>
      <c r="W76" s="102">
        <f t="shared" si="116"/>
        <v>7367160</v>
      </c>
      <c r="X76" s="102">
        <f aca="true" t="shared" si="117" ref="X76:AC76">SUM(X77:X78)</f>
        <v>0</v>
      </c>
      <c r="Y76" s="102">
        <f t="shared" si="117"/>
        <v>0</v>
      </c>
      <c r="Z76" s="102">
        <f t="shared" si="117"/>
        <v>7367160</v>
      </c>
      <c r="AA76" s="102">
        <f t="shared" si="117"/>
        <v>0</v>
      </c>
      <c r="AB76" s="102">
        <f t="shared" si="117"/>
        <v>0</v>
      </c>
      <c r="AC76" s="102">
        <f t="shared" si="117"/>
        <v>7367160</v>
      </c>
      <c r="AD76" s="102">
        <f aca="true" t="shared" si="118" ref="AD76:AI76">SUM(AD77:AD78)</f>
        <v>0</v>
      </c>
      <c r="AE76" s="102">
        <f t="shared" si="118"/>
        <v>0</v>
      </c>
      <c r="AF76" s="102">
        <f t="shared" si="118"/>
        <v>7367160</v>
      </c>
      <c r="AG76" s="102">
        <f t="shared" si="118"/>
        <v>0</v>
      </c>
      <c r="AH76" s="102">
        <f t="shared" si="118"/>
        <v>0</v>
      </c>
      <c r="AI76" s="102">
        <f t="shared" si="118"/>
        <v>7367160</v>
      </c>
      <c r="AJ76" s="102">
        <f aca="true" t="shared" si="119" ref="AJ76:AO76">SUM(AJ77:AJ78)</f>
        <v>0</v>
      </c>
      <c r="AK76" s="102">
        <f t="shared" si="119"/>
        <v>0</v>
      </c>
      <c r="AL76" s="102">
        <f t="shared" si="119"/>
        <v>7367160</v>
      </c>
      <c r="AM76" s="102">
        <f t="shared" si="119"/>
        <v>0</v>
      </c>
      <c r="AN76" s="102">
        <f t="shared" si="119"/>
        <v>0</v>
      </c>
      <c r="AO76" s="102">
        <f t="shared" si="119"/>
        <v>7367160</v>
      </c>
      <c r="AP76" s="102">
        <f aca="true" t="shared" si="120" ref="AP76:AU76">SUM(AP77:AP78)</f>
        <v>0</v>
      </c>
      <c r="AQ76" s="102">
        <f t="shared" si="120"/>
        <v>0</v>
      </c>
      <c r="AR76" s="102">
        <f t="shared" si="120"/>
        <v>7367160</v>
      </c>
      <c r="AS76" s="102">
        <f t="shared" si="120"/>
        <v>0</v>
      </c>
      <c r="AT76" s="102">
        <f t="shared" si="120"/>
        <v>0</v>
      </c>
      <c r="AU76" s="102">
        <f t="shared" si="120"/>
        <v>7367160</v>
      </c>
    </row>
    <row r="77" spans="1:47" s="37" customFormat="1" ht="21.75" customHeight="1">
      <c r="A77" s="103"/>
      <c r="B77" s="104"/>
      <c r="C77" s="105" t="s">
        <v>220</v>
      </c>
      <c r="D77" s="110" t="s">
        <v>58</v>
      </c>
      <c r="E77" s="102">
        <v>6620275</v>
      </c>
      <c r="F77" s="126"/>
      <c r="G77" s="126"/>
      <c r="H77" s="126">
        <f>SUM(E77+F77-G77)</f>
        <v>6620275</v>
      </c>
      <c r="I77" s="126"/>
      <c r="J77" s="126"/>
      <c r="K77" s="126">
        <f>SUM(H77+I77-J77)</f>
        <v>6620275</v>
      </c>
      <c r="L77" s="126"/>
      <c r="M77" s="126"/>
      <c r="N77" s="126">
        <f>SUM(K77+L77-M77)</f>
        <v>6620275</v>
      </c>
      <c r="O77" s="126">
        <v>71885</v>
      </c>
      <c r="P77" s="126"/>
      <c r="Q77" s="126">
        <f>SUM(N77+O77-P77)</f>
        <v>6692160</v>
      </c>
      <c r="R77" s="126"/>
      <c r="S77" s="126"/>
      <c r="T77" s="126">
        <f>SUM(Q77+R77-S77)</f>
        <v>6692160</v>
      </c>
      <c r="U77" s="126"/>
      <c r="V77" s="126"/>
      <c r="W77" s="126">
        <f>SUM(T77+U77-V77)</f>
        <v>6692160</v>
      </c>
      <c r="X77" s="126"/>
      <c r="Y77" s="126"/>
      <c r="Z77" s="126">
        <f>SUM(W77+X77-Y77)</f>
        <v>6692160</v>
      </c>
      <c r="AA77" s="126"/>
      <c r="AB77" s="126"/>
      <c r="AC77" s="126">
        <f>SUM(Z77+AA77-AB77)</f>
        <v>6692160</v>
      </c>
      <c r="AD77" s="126"/>
      <c r="AE77" s="126"/>
      <c r="AF77" s="126">
        <f>SUM(AC77+AD77-AE77)</f>
        <v>6692160</v>
      </c>
      <c r="AG77" s="126"/>
      <c r="AH77" s="126"/>
      <c r="AI77" s="126">
        <f>SUM(AF77+AG77-AH77)</f>
        <v>6692160</v>
      </c>
      <c r="AJ77" s="126"/>
      <c r="AK77" s="126"/>
      <c r="AL77" s="126">
        <f>SUM(AI77+AJ77-AK77)</f>
        <v>6692160</v>
      </c>
      <c r="AM77" s="126"/>
      <c r="AN77" s="126"/>
      <c r="AO77" s="126">
        <f>SUM(AL77+AM77-AN77)</f>
        <v>6692160</v>
      </c>
      <c r="AP77" s="126"/>
      <c r="AQ77" s="126"/>
      <c r="AR77" s="126">
        <f>SUM(AO77+AP77-AQ77)</f>
        <v>6692160</v>
      </c>
      <c r="AS77" s="126"/>
      <c r="AT77" s="126"/>
      <c r="AU77" s="126">
        <f>SUM(AR77+AS77-AT77)</f>
        <v>6692160</v>
      </c>
    </row>
    <row r="78" spans="1:47" s="37" customFormat="1" ht="21.75" customHeight="1">
      <c r="A78" s="103"/>
      <c r="B78" s="104"/>
      <c r="C78" s="105" t="s">
        <v>221</v>
      </c>
      <c r="D78" s="110" t="s">
        <v>59</v>
      </c>
      <c r="E78" s="102">
        <f>528000+50000</f>
        <v>578000</v>
      </c>
      <c r="F78" s="126">
        <v>97000</v>
      </c>
      <c r="G78" s="126"/>
      <c r="H78" s="126">
        <f>SUM(E78+F78-G78)</f>
        <v>675000</v>
      </c>
      <c r="I78" s="126"/>
      <c r="J78" s="126"/>
      <c r="K78" s="126">
        <f>SUM(H78+I78-J78)</f>
        <v>675000</v>
      </c>
      <c r="L78" s="126"/>
      <c r="M78" s="126"/>
      <c r="N78" s="126">
        <f>SUM(K78+L78-M78)</f>
        <v>675000</v>
      </c>
      <c r="O78" s="126"/>
      <c r="P78" s="126"/>
      <c r="Q78" s="126">
        <f>SUM(N78+O78-P78)</f>
        <v>675000</v>
      </c>
      <c r="R78" s="126"/>
      <c r="S78" s="126"/>
      <c r="T78" s="126">
        <f>SUM(Q78+R78-S78)</f>
        <v>675000</v>
      </c>
      <c r="U78" s="126"/>
      <c r="V78" s="126"/>
      <c r="W78" s="126">
        <f>SUM(T78+U78-V78)</f>
        <v>675000</v>
      </c>
      <c r="X78" s="126"/>
      <c r="Y78" s="126"/>
      <c r="Z78" s="126">
        <f>SUM(W78+X78-Y78)</f>
        <v>675000</v>
      </c>
      <c r="AA78" s="126"/>
      <c r="AB78" s="126"/>
      <c r="AC78" s="126">
        <f>SUM(Z78+AA78-AB78)</f>
        <v>675000</v>
      </c>
      <c r="AD78" s="126"/>
      <c r="AE78" s="126"/>
      <c r="AF78" s="126">
        <f>SUM(AC78+AD78-AE78)</f>
        <v>675000</v>
      </c>
      <c r="AG78" s="126"/>
      <c r="AH78" s="126"/>
      <c r="AI78" s="126">
        <f>SUM(AF78+AG78-AH78)</f>
        <v>675000</v>
      </c>
      <c r="AJ78" s="126"/>
      <c r="AK78" s="126"/>
      <c r="AL78" s="126">
        <f>SUM(AI78+AJ78-AK78)</f>
        <v>675000</v>
      </c>
      <c r="AM78" s="126"/>
      <c r="AN78" s="126"/>
      <c r="AO78" s="126">
        <f>SUM(AL78+AM78-AN78)</f>
        <v>675000</v>
      </c>
      <c r="AP78" s="126"/>
      <c r="AQ78" s="126"/>
      <c r="AR78" s="126">
        <f>SUM(AO78+AP78-AQ78)</f>
        <v>675000</v>
      </c>
      <c r="AS78" s="126"/>
      <c r="AT78" s="126"/>
      <c r="AU78" s="126">
        <f>SUM(AR78+AS78-AT78)</f>
        <v>675000</v>
      </c>
    </row>
    <row r="79" spans="1:47" s="37" customFormat="1" ht="36">
      <c r="A79" s="103"/>
      <c r="B79" s="104">
        <v>75647</v>
      </c>
      <c r="C79" s="105"/>
      <c r="D79" s="56" t="s">
        <v>227</v>
      </c>
      <c r="E79" s="102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>
        <f>SUM(AR80)</f>
        <v>0</v>
      </c>
      <c r="AS79" s="126">
        <f>SUM(AS80)</f>
        <v>3615</v>
      </c>
      <c r="AT79" s="126">
        <f>SUM(AT80)</f>
        <v>0</v>
      </c>
      <c r="AU79" s="126">
        <f>SUM(AU80)</f>
        <v>3615</v>
      </c>
    </row>
    <row r="80" spans="1:47" s="37" customFormat="1" ht="21.75" customHeight="1">
      <c r="A80" s="103"/>
      <c r="B80" s="104"/>
      <c r="C80" s="105" t="s">
        <v>204</v>
      </c>
      <c r="D80" s="110" t="s">
        <v>19</v>
      </c>
      <c r="E80" s="102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>
        <v>0</v>
      </c>
      <c r="AS80" s="126">
        <v>3615</v>
      </c>
      <c r="AT80" s="126"/>
      <c r="AU80" s="126">
        <f>AR80+AS80-AT80</f>
        <v>3615</v>
      </c>
    </row>
    <row r="81" spans="1:47" s="8" customFormat="1" ht="24.75" customHeight="1">
      <c r="A81" s="46" t="s">
        <v>60</v>
      </c>
      <c r="B81" s="4"/>
      <c r="C81" s="5"/>
      <c r="D81" s="47" t="s">
        <v>61</v>
      </c>
      <c r="E81" s="89">
        <f aca="true" t="shared" si="121" ref="E81:K81">SUM(E82,E84,E86,E89)</f>
        <v>13918997</v>
      </c>
      <c r="F81" s="89">
        <f t="shared" si="121"/>
        <v>0</v>
      </c>
      <c r="G81" s="89">
        <f t="shared" si="121"/>
        <v>0</v>
      </c>
      <c r="H81" s="89">
        <f t="shared" si="121"/>
        <v>13918997</v>
      </c>
      <c r="I81" s="89">
        <f t="shared" si="121"/>
        <v>0</v>
      </c>
      <c r="J81" s="89">
        <f t="shared" si="121"/>
        <v>0</v>
      </c>
      <c r="K81" s="89">
        <f t="shared" si="121"/>
        <v>13918997</v>
      </c>
      <c r="L81" s="89">
        <f aca="true" t="shared" si="122" ref="L81:Q81">SUM(L82,L84,L86,L89)</f>
        <v>0</v>
      </c>
      <c r="M81" s="89">
        <f t="shared" si="122"/>
        <v>0</v>
      </c>
      <c r="N81" s="89">
        <f t="shared" si="122"/>
        <v>13918997</v>
      </c>
      <c r="O81" s="89">
        <f t="shared" si="122"/>
        <v>1002518</v>
      </c>
      <c r="P81" s="89">
        <f t="shared" si="122"/>
        <v>0</v>
      </c>
      <c r="Q81" s="89">
        <f t="shared" si="122"/>
        <v>14921515</v>
      </c>
      <c r="R81" s="89">
        <f aca="true" t="shared" si="123" ref="R81:W81">SUM(R82,R84,R86,R89)</f>
        <v>0</v>
      </c>
      <c r="S81" s="89">
        <f t="shared" si="123"/>
        <v>0</v>
      </c>
      <c r="T81" s="89">
        <f t="shared" si="123"/>
        <v>14921515</v>
      </c>
      <c r="U81" s="89">
        <f t="shared" si="123"/>
        <v>0</v>
      </c>
      <c r="V81" s="89">
        <f t="shared" si="123"/>
        <v>0</v>
      </c>
      <c r="W81" s="89">
        <f t="shared" si="123"/>
        <v>14921515</v>
      </c>
      <c r="X81" s="89">
        <f aca="true" t="shared" si="124" ref="X81:AC81">SUM(X82,X84,X86,X89)</f>
        <v>5000</v>
      </c>
      <c r="Y81" s="89">
        <f t="shared" si="124"/>
        <v>0</v>
      </c>
      <c r="Z81" s="89">
        <f t="shared" si="124"/>
        <v>14926515</v>
      </c>
      <c r="AA81" s="89">
        <f t="shared" si="124"/>
        <v>0</v>
      </c>
      <c r="AB81" s="89">
        <f t="shared" si="124"/>
        <v>0</v>
      </c>
      <c r="AC81" s="89">
        <f t="shared" si="124"/>
        <v>14926515</v>
      </c>
      <c r="AD81" s="89">
        <f aca="true" t="shared" si="125" ref="AD81:AI81">SUM(AD82,AD84,AD86,AD89)</f>
        <v>0</v>
      </c>
      <c r="AE81" s="89">
        <f t="shared" si="125"/>
        <v>0</v>
      </c>
      <c r="AF81" s="89">
        <f t="shared" si="125"/>
        <v>14926515</v>
      </c>
      <c r="AG81" s="89">
        <f t="shared" si="125"/>
        <v>0</v>
      </c>
      <c r="AH81" s="89">
        <f t="shared" si="125"/>
        <v>0</v>
      </c>
      <c r="AI81" s="89">
        <f t="shared" si="125"/>
        <v>14926515</v>
      </c>
      <c r="AJ81" s="89">
        <f aca="true" t="shared" si="126" ref="AJ81:AO81">SUM(AJ82,AJ84,AJ86,AJ89)</f>
        <v>0</v>
      </c>
      <c r="AK81" s="89">
        <f t="shared" si="126"/>
        <v>0</v>
      </c>
      <c r="AL81" s="89">
        <f t="shared" si="126"/>
        <v>14926515</v>
      </c>
      <c r="AM81" s="89">
        <f t="shared" si="126"/>
        <v>0</v>
      </c>
      <c r="AN81" s="89">
        <f t="shared" si="126"/>
        <v>0</v>
      </c>
      <c r="AO81" s="89">
        <f t="shared" si="126"/>
        <v>14926515</v>
      </c>
      <c r="AP81" s="89">
        <f aca="true" t="shared" si="127" ref="AP81:AU81">SUM(AP82,AP84,AP86,AP89)</f>
        <v>0</v>
      </c>
      <c r="AQ81" s="89">
        <f t="shared" si="127"/>
        <v>0</v>
      </c>
      <c r="AR81" s="89">
        <f t="shared" si="127"/>
        <v>14926515</v>
      </c>
      <c r="AS81" s="89">
        <f t="shared" si="127"/>
        <v>83204</v>
      </c>
      <c r="AT81" s="89">
        <f t="shared" si="127"/>
        <v>0</v>
      </c>
      <c r="AU81" s="89">
        <f t="shared" si="127"/>
        <v>15009719</v>
      </c>
    </row>
    <row r="82" spans="1:47" s="37" customFormat="1" ht="36">
      <c r="A82" s="103"/>
      <c r="B82" s="104" t="s">
        <v>62</v>
      </c>
      <c r="C82" s="113"/>
      <c r="D82" s="110" t="s">
        <v>63</v>
      </c>
      <c r="E82" s="102">
        <f aca="true" t="shared" si="128" ref="E82:AU82">SUM(E83)</f>
        <v>10347873</v>
      </c>
      <c r="F82" s="102">
        <f t="shared" si="128"/>
        <v>0</v>
      </c>
      <c r="G82" s="102">
        <f t="shared" si="128"/>
        <v>0</v>
      </c>
      <c r="H82" s="102">
        <f t="shared" si="128"/>
        <v>10347873</v>
      </c>
      <c r="I82" s="102">
        <f t="shared" si="128"/>
        <v>0</v>
      </c>
      <c r="J82" s="102">
        <f t="shared" si="128"/>
        <v>0</v>
      </c>
      <c r="K82" s="102">
        <f t="shared" si="128"/>
        <v>10347873</v>
      </c>
      <c r="L82" s="102">
        <f t="shared" si="128"/>
        <v>0</v>
      </c>
      <c r="M82" s="102">
        <f t="shared" si="128"/>
        <v>0</v>
      </c>
      <c r="N82" s="102">
        <f t="shared" si="128"/>
        <v>10347873</v>
      </c>
      <c r="O82" s="102">
        <f t="shared" si="128"/>
        <v>1002518</v>
      </c>
      <c r="P82" s="102">
        <f t="shared" si="128"/>
        <v>0</v>
      </c>
      <c r="Q82" s="102">
        <f t="shared" si="128"/>
        <v>11350391</v>
      </c>
      <c r="R82" s="102">
        <f t="shared" si="128"/>
        <v>0</v>
      </c>
      <c r="S82" s="102">
        <f t="shared" si="128"/>
        <v>0</v>
      </c>
      <c r="T82" s="102">
        <f t="shared" si="128"/>
        <v>11350391</v>
      </c>
      <c r="U82" s="102">
        <f t="shared" si="128"/>
        <v>0</v>
      </c>
      <c r="V82" s="102">
        <f t="shared" si="128"/>
        <v>0</v>
      </c>
      <c r="W82" s="102">
        <f t="shared" si="128"/>
        <v>11350391</v>
      </c>
      <c r="X82" s="102">
        <f t="shared" si="128"/>
        <v>0</v>
      </c>
      <c r="Y82" s="102">
        <f t="shared" si="128"/>
        <v>0</v>
      </c>
      <c r="Z82" s="102">
        <f t="shared" si="128"/>
        <v>11350391</v>
      </c>
      <c r="AA82" s="102">
        <f t="shared" si="128"/>
        <v>0</v>
      </c>
      <c r="AB82" s="102">
        <f t="shared" si="128"/>
        <v>0</v>
      </c>
      <c r="AC82" s="102">
        <f t="shared" si="128"/>
        <v>11350391</v>
      </c>
      <c r="AD82" s="102">
        <f t="shared" si="128"/>
        <v>0</v>
      </c>
      <c r="AE82" s="102">
        <f t="shared" si="128"/>
        <v>0</v>
      </c>
      <c r="AF82" s="102">
        <f t="shared" si="128"/>
        <v>11350391</v>
      </c>
      <c r="AG82" s="102">
        <f t="shared" si="128"/>
        <v>0</v>
      </c>
      <c r="AH82" s="102">
        <f t="shared" si="128"/>
        <v>0</v>
      </c>
      <c r="AI82" s="102">
        <f t="shared" si="128"/>
        <v>11350391</v>
      </c>
      <c r="AJ82" s="102">
        <f t="shared" si="128"/>
        <v>0</v>
      </c>
      <c r="AK82" s="102">
        <f t="shared" si="128"/>
        <v>0</v>
      </c>
      <c r="AL82" s="102">
        <f t="shared" si="128"/>
        <v>11350391</v>
      </c>
      <c r="AM82" s="102">
        <f t="shared" si="128"/>
        <v>0</v>
      </c>
      <c r="AN82" s="102">
        <f t="shared" si="128"/>
        <v>0</v>
      </c>
      <c r="AO82" s="102">
        <f t="shared" si="128"/>
        <v>11350391</v>
      </c>
      <c r="AP82" s="102">
        <f t="shared" si="128"/>
        <v>0</v>
      </c>
      <c r="AQ82" s="102">
        <f t="shared" si="128"/>
        <v>0</v>
      </c>
      <c r="AR82" s="102">
        <f t="shared" si="128"/>
        <v>11350391</v>
      </c>
      <c r="AS82" s="102">
        <f t="shared" si="128"/>
        <v>53957</v>
      </c>
      <c r="AT82" s="102">
        <f t="shared" si="128"/>
        <v>0</v>
      </c>
      <c r="AU82" s="102">
        <f t="shared" si="128"/>
        <v>11404348</v>
      </c>
    </row>
    <row r="83" spans="1:47" s="37" customFormat="1" ht="24" customHeight="1">
      <c r="A83" s="103"/>
      <c r="B83" s="104"/>
      <c r="C83" s="105">
        <v>2920</v>
      </c>
      <c r="D83" s="110" t="s">
        <v>64</v>
      </c>
      <c r="E83" s="102">
        <v>10347873</v>
      </c>
      <c r="F83" s="126"/>
      <c r="G83" s="126"/>
      <c r="H83" s="126">
        <f>SUM(E83+F83-G83)</f>
        <v>10347873</v>
      </c>
      <c r="I83" s="126"/>
      <c r="J83" s="126"/>
      <c r="K83" s="126">
        <f>SUM(H83+I83-J83)</f>
        <v>10347873</v>
      </c>
      <c r="L83" s="126"/>
      <c r="M83" s="126"/>
      <c r="N83" s="126">
        <f>SUM(K83+L83-M83)</f>
        <v>10347873</v>
      </c>
      <c r="O83" s="126">
        <v>1002518</v>
      </c>
      <c r="P83" s="126"/>
      <c r="Q83" s="126">
        <f>SUM(N83+O83-P83)</f>
        <v>11350391</v>
      </c>
      <c r="R83" s="126"/>
      <c r="S83" s="126"/>
      <c r="T83" s="126">
        <f>SUM(Q83+R83-S83)</f>
        <v>11350391</v>
      </c>
      <c r="U83" s="126"/>
      <c r="V83" s="126"/>
      <c r="W83" s="126">
        <f>SUM(T83+U83-V83)</f>
        <v>11350391</v>
      </c>
      <c r="X83" s="126"/>
      <c r="Y83" s="126"/>
      <c r="Z83" s="126">
        <f>SUM(W83+X83-Y83)</f>
        <v>11350391</v>
      </c>
      <c r="AA83" s="126"/>
      <c r="AB83" s="126"/>
      <c r="AC83" s="126">
        <f>SUM(Z83+AA83-AB83)</f>
        <v>11350391</v>
      </c>
      <c r="AD83" s="126"/>
      <c r="AE83" s="126"/>
      <c r="AF83" s="126">
        <f>SUM(AC83+AD83-AE83)</f>
        <v>11350391</v>
      </c>
      <c r="AG83" s="126"/>
      <c r="AH83" s="126"/>
      <c r="AI83" s="126">
        <f>SUM(AF83+AG83-AH83)</f>
        <v>11350391</v>
      </c>
      <c r="AJ83" s="126"/>
      <c r="AK83" s="126"/>
      <c r="AL83" s="126">
        <f>SUM(AI83+AJ83-AK83)</f>
        <v>11350391</v>
      </c>
      <c r="AM83" s="126"/>
      <c r="AN83" s="126"/>
      <c r="AO83" s="126">
        <f>SUM(AL83+AM83-AN83)</f>
        <v>11350391</v>
      </c>
      <c r="AP83" s="126"/>
      <c r="AQ83" s="126"/>
      <c r="AR83" s="126">
        <f>SUM(AO83+AP83-AQ83)</f>
        <v>11350391</v>
      </c>
      <c r="AS83" s="126">
        <v>53957</v>
      </c>
      <c r="AT83" s="126"/>
      <c r="AU83" s="126">
        <f>SUM(AR83+AS83-AT83)</f>
        <v>11404348</v>
      </c>
    </row>
    <row r="84" spans="1:47" s="37" customFormat="1" ht="21.75" customHeight="1">
      <c r="A84" s="103"/>
      <c r="B84" s="104" t="s">
        <v>235</v>
      </c>
      <c r="C84" s="113"/>
      <c r="D84" s="110" t="s">
        <v>234</v>
      </c>
      <c r="E84" s="102">
        <f aca="true" t="shared" si="129" ref="E84:AU84">SUM(E85)</f>
        <v>2703600</v>
      </c>
      <c r="F84" s="102">
        <f t="shared" si="129"/>
        <v>0</v>
      </c>
      <c r="G84" s="102">
        <f t="shared" si="129"/>
        <v>0</v>
      </c>
      <c r="H84" s="102">
        <f t="shared" si="129"/>
        <v>2703600</v>
      </c>
      <c r="I84" s="102">
        <f t="shared" si="129"/>
        <v>0</v>
      </c>
      <c r="J84" s="102">
        <f t="shared" si="129"/>
        <v>0</v>
      </c>
      <c r="K84" s="102">
        <f t="shared" si="129"/>
        <v>2703600</v>
      </c>
      <c r="L84" s="102">
        <f t="shared" si="129"/>
        <v>0</v>
      </c>
      <c r="M84" s="102">
        <f t="shared" si="129"/>
        <v>0</v>
      </c>
      <c r="N84" s="102">
        <f t="shared" si="129"/>
        <v>2703600</v>
      </c>
      <c r="O84" s="102">
        <f t="shared" si="129"/>
        <v>0</v>
      </c>
      <c r="P84" s="102">
        <f t="shared" si="129"/>
        <v>0</v>
      </c>
      <c r="Q84" s="102">
        <f t="shared" si="129"/>
        <v>2703600</v>
      </c>
      <c r="R84" s="102">
        <f t="shared" si="129"/>
        <v>0</v>
      </c>
      <c r="S84" s="102">
        <f t="shared" si="129"/>
        <v>0</v>
      </c>
      <c r="T84" s="102">
        <f t="shared" si="129"/>
        <v>2703600</v>
      </c>
      <c r="U84" s="102">
        <f t="shared" si="129"/>
        <v>0</v>
      </c>
      <c r="V84" s="102">
        <f t="shared" si="129"/>
        <v>0</v>
      </c>
      <c r="W84" s="102">
        <f t="shared" si="129"/>
        <v>2703600</v>
      </c>
      <c r="X84" s="102">
        <f t="shared" si="129"/>
        <v>0</v>
      </c>
      <c r="Y84" s="102">
        <f t="shared" si="129"/>
        <v>0</v>
      </c>
      <c r="Z84" s="102">
        <f t="shared" si="129"/>
        <v>2703600</v>
      </c>
      <c r="AA84" s="102">
        <f t="shared" si="129"/>
        <v>0</v>
      </c>
      <c r="AB84" s="102">
        <f t="shared" si="129"/>
        <v>0</v>
      </c>
      <c r="AC84" s="102">
        <f t="shared" si="129"/>
        <v>2703600</v>
      </c>
      <c r="AD84" s="102">
        <f t="shared" si="129"/>
        <v>0</v>
      </c>
      <c r="AE84" s="102">
        <f t="shared" si="129"/>
        <v>0</v>
      </c>
      <c r="AF84" s="102">
        <f t="shared" si="129"/>
        <v>2703600</v>
      </c>
      <c r="AG84" s="102">
        <f t="shared" si="129"/>
        <v>0</v>
      </c>
      <c r="AH84" s="102">
        <f t="shared" si="129"/>
        <v>0</v>
      </c>
      <c r="AI84" s="102">
        <f t="shared" si="129"/>
        <v>2703600</v>
      </c>
      <c r="AJ84" s="102">
        <f t="shared" si="129"/>
        <v>0</v>
      </c>
      <c r="AK84" s="102">
        <f t="shared" si="129"/>
        <v>0</v>
      </c>
      <c r="AL84" s="102">
        <f t="shared" si="129"/>
        <v>2703600</v>
      </c>
      <c r="AM84" s="102">
        <f t="shared" si="129"/>
        <v>0</v>
      </c>
      <c r="AN84" s="102">
        <f t="shared" si="129"/>
        <v>0</v>
      </c>
      <c r="AO84" s="102">
        <f t="shared" si="129"/>
        <v>2703600</v>
      </c>
      <c r="AP84" s="102">
        <f t="shared" si="129"/>
        <v>0</v>
      </c>
      <c r="AQ84" s="102">
        <f t="shared" si="129"/>
        <v>0</v>
      </c>
      <c r="AR84" s="102">
        <f t="shared" si="129"/>
        <v>2703600</v>
      </c>
      <c r="AS84" s="102">
        <f t="shared" si="129"/>
        <v>0</v>
      </c>
      <c r="AT84" s="102">
        <f t="shared" si="129"/>
        <v>0</v>
      </c>
      <c r="AU84" s="102">
        <f t="shared" si="129"/>
        <v>2703600</v>
      </c>
    </row>
    <row r="85" spans="1:47" s="37" customFormat="1" ht="25.5" customHeight="1">
      <c r="A85" s="103"/>
      <c r="B85" s="104"/>
      <c r="C85" s="105">
        <v>2920</v>
      </c>
      <c r="D85" s="110" t="s">
        <v>64</v>
      </c>
      <c r="E85" s="102">
        <v>2703600</v>
      </c>
      <c r="F85" s="126"/>
      <c r="G85" s="126"/>
      <c r="H85" s="126">
        <f>SUM(E85+F85-G85)</f>
        <v>2703600</v>
      </c>
      <c r="I85" s="126"/>
      <c r="J85" s="126"/>
      <c r="K85" s="126">
        <f>SUM(H85+I85-J85)</f>
        <v>2703600</v>
      </c>
      <c r="L85" s="126"/>
      <c r="M85" s="126"/>
      <c r="N85" s="126">
        <f>SUM(K85+L85-M85)</f>
        <v>2703600</v>
      </c>
      <c r="O85" s="126"/>
      <c r="P85" s="126"/>
      <c r="Q85" s="126">
        <f>SUM(N85+O85-P85)</f>
        <v>2703600</v>
      </c>
      <c r="R85" s="126"/>
      <c r="S85" s="126"/>
      <c r="T85" s="126">
        <f>SUM(Q85+R85-S85)</f>
        <v>2703600</v>
      </c>
      <c r="U85" s="126"/>
      <c r="V85" s="126"/>
      <c r="W85" s="126">
        <f>SUM(T85+U85-V85)</f>
        <v>2703600</v>
      </c>
      <c r="X85" s="126"/>
      <c r="Y85" s="126"/>
      <c r="Z85" s="126">
        <f>SUM(W85+X85-Y85)</f>
        <v>2703600</v>
      </c>
      <c r="AA85" s="126"/>
      <c r="AB85" s="126"/>
      <c r="AC85" s="126">
        <f>SUM(Z85+AA85-AB85)</f>
        <v>2703600</v>
      </c>
      <c r="AD85" s="126"/>
      <c r="AE85" s="126"/>
      <c r="AF85" s="126">
        <f>SUM(AC85+AD85-AE85)</f>
        <v>2703600</v>
      </c>
      <c r="AG85" s="126"/>
      <c r="AH85" s="126"/>
      <c r="AI85" s="126">
        <f>SUM(AF85+AG85-AH85)</f>
        <v>2703600</v>
      </c>
      <c r="AJ85" s="126"/>
      <c r="AK85" s="126"/>
      <c r="AL85" s="126">
        <f>SUM(AI85+AJ85-AK85)</f>
        <v>2703600</v>
      </c>
      <c r="AM85" s="126"/>
      <c r="AN85" s="126"/>
      <c r="AO85" s="126">
        <f>SUM(AL85+AM85-AN85)</f>
        <v>2703600</v>
      </c>
      <c r="AP85" s="126"/>
      <c r="AQ85" s="126"/>
      <c r="AR85" s="126">
        <f>SUM(AO85+AP85-AQ85)</f>
        <v>2703600</v>
      </c>
      <c r="AS85" s="126"/>
      <c r="AT85" s="126"/>
      <c r="AU85" s="126">
        <f>SUM(AR85+AS85-AT85)</f>
        <v>2703600</v>
      </c>
    </row>
    <row r="86" spans="1:47" s="37" customFormat="1" ht="21" customHeight="1">
      <c r="A86" s="103"/>
      <c r="B86" s="104">
        <v>75814</v>
      </c>
      <c r="C86" s="113"/>
      <c r="D86" s="110" t="s">
        <v>65</v>
      </c>
      <c r="E86" s="102">
        <f aca="true" t="shared" si="130" ref="E86:AQ86">SUM(E87)</f>
        <v>5000</v>
      </c>
      <c r="F86" s="102">
        <f t="shared" si="130"/>
        <v>0</v>
      </c>
      <c r="G86" s="102">
        <f t="shared" si="130"/>
        <v>0</v>
      </c>
      <c r="H86" s="102">
        <f t="shared" si="130"/>
        <v>5000</v>
      </c>
      <c r="I86" s="102">
        <f t="shared" si="130"/>
        <v>0</v>
      </c>
      <c r="J86" s="102">
        <f t="shared" si="130"/>
        <v>0</v>
      </c>
      <c r="K86" s="102">
        <f t="shared" si="130"/>
        <v>5000</v>
      </c>
      <c r="L86" s="102">
        <f t="shared" si="130"/>
        <v>0</v>
      </c>
      <c r="M86" s="102">
        <f t="shared" si="130"/>
        <v>0</v>
      </c>
      <c r="N86" s="102">
        <f t="shared" si="130"/>
        <v>5000</v>
      </c>
      <c r="O86" s="102">
        <f t="shared" si="130"/>
        <v>0</v>
      </c>
      <c r="P86" s="102">
        <f t="shared" si="130"/>
        <v>0</v>
      </c>
      <c r="Q86" s="102">
        <f t="shared" si="130"/>
        <v>5000</v>
      </c>
      <c r="R86" s="102">
        <f t="shared" si="130"/>
        <v>0</v>
      </c>
      <c r="S86" s="102">
        <f t="shared" si="130"/>
        <v>0</v>
      </c>
      <c r="T86" s="102">
        <f t="shared" si="130"/>
        <v>5000</v>
      </c>
      <c r="U86" s="102">
        <f t="shared" si="130"/>
        <v>0</v>
      </c>
      <c r="V86" s="102">
        <f t="shared" si="130"/>
        <v>0</v>
      </c>
      <c r="W86" s="102">
        <f t="shared" si="130"/>
        <v>5000</v>
      </c>
      <c r="X86" s="102">
        <f t="shared" si="130"/>
        <v>5000</v>
      </c>
      <c r="Y86" s="102">
        <f t="shared" si="130"/>
        <v>0</v>
      </c>
      <c r="Z86" s="102">
        <f t="shared" si="130"/>
        <v>10000</v>
      </c>
      <c r="AA86" s="102">
        <f t="shared" si="130"/>
        <v>0</v>
      </c>
      <c r="AB86" s="102">
        <f t="shared" si="130"/>
        <v>0</v>
      </c>
      <c r="AC86" s="102">
        <f t="shared" si="130"/>
        <v>10000</v>
      </c>
      <c r="AD86" s="102">
        <f t="shared" si="130"/>
        <v>0</v>
      </c>
      <c r="AE86" s="102">
        <f t="shared" si="130"/>
        <v>0</v>
      </c>
      <c r="AF86" s="102">
        <f t="shared" si="130"/>
        <v>10000</v>
      </c>
      <c r="AG86" s="102">
        <f t="shared" si="130"/>
        <v>0</v>
      </c>
      <c r="AH86" s="102">
        <f t="shared" si="130"/>
        <v>0</v>
      </c>
      <c r="AI86" s="102">
        <f t="shared" si="130"/>
        <v>10000</v>
      </c>
      <c r="AJ86" s="102">
        <f t="shared" si="130"/>
        <v>0</v>
      </c>
      <c r="AK86" s="102">
        <f t="shared" si="130"/>
        <v>0</v>
      </c>
      <c r="AL86" s="102">
        <f t="shared" si="130"/>
        <v>10000</v>
      </c>
      <c r="AM86" s="102">
        <f t="shared" si="130"/>
        <v>0</v>
      </c>
      <c r="AN86" s="102">
        <f t="shared" si="130"/>
        <v>0</v>
      </c>
      <c r="AO86" s="102">
        <f t="shared" si="130"/>
        <v>10000</v>
      </c>
      <c r="AP86" s="102">
        <f t="shared" si="130"/>
        <v>0</v>
      </c>
      <c r="AQ86" s="102">
        <f t="shared" si="130"/>
        <v>0</v>
      </c>
      <c r="AR86" s="102">
        <f>SUM(AR87:AR88)</f>
        <v>10000</v>
      </c>
      <c r="AS86" s="102">
        <f>SUM(AS87:AS88)</f>
        <v>29247</v>
      </c>
      <c r="AT86" s="102">
        <f>SUM(AT87:AT88)</f>
        <v>0</v>
      </c>
      <c r="AU86" s="102">
        <f>SUM(AU87:AU88)</f>
        <v>39247</v>
      </c>
    </row>
    <row r="87" spans="1:47" s="37" customFormat="1" ht="21.75" customHeight="1">
      <c r="A87" s="103"/>
      <c r="B87" s="104"/>
      <c r="C87" s="105" t="s">
        <v>203</v>
      </c>
      <c r="D87" s="110" t="s">
        <v>18</v>
      </c>
      <c r="E87" s="102">
        <v>5000</v>
      </c>
      <c r="F87" s="126"/>
      <c r="G87" s="126"/>
      <c r="H87" s="126">
        <f>SUM(E87+F87-G87)</f>
        <v>5000</v>
      </c>
      <c r="I87" s="126"/>
      <c r="J87" s="126"/>
      <c r="K87" s="126">
        <f>SUM(H87+I87-J87)</f>
        <v>5000</v>
      </c>
      <c r="L87" s="126"/>
      <c r="M87" s="126"/>
      <c r="N87" s="126">
        <f>SUM(K87+L87-M87)</f>
        <v>5000</v>
      </c>
      <c r="O87" s="126"/>
      <c r="P87" s="126"/>
      <c r="Q87" s="126">
        <f>SUM(N87+O87-P87)</f>
        <v>5000</v>
      </c>
      <c r="R87" s="126"/>
      <c r="S87" s="126"/>
      <c r="T87" s="126">
        <f>SUM(Q87+R87-S87)</f>
        <v>5000</v>
      </c>
      <c r="U87" s="126"/>
      <c r="V87" s="126"/>
      <c r="W87" s="126">
        <f>SUM(T87+U87-V87)</f>
        <v>5000</v>
      </c>
      <c r="X87" s="126">
        <v>5000</v>
      </c>
      <c r="Y87" s="126"/>
      <c r="Z87" s="126">
        <f>SUM(W87+X87-Y87)</f>
        <v>10000</v>
      </c>
      <c r="AA87" s="126"/>
      <c r="AB87" s="126"/>
      <c r="AC87" s="126">
        <f>SUM(Z87+AA87-AB87)</f>
        <v>10000</v>
      </c>
      <c r="AD87" s="126"/>
      <c r="AE87" s="126"/>
      <c r="AF87" s="126">
        <f>SUM(AC87+AD87-AE87)</f>
        <v>10000</v>
      </c>
      <c r="AG87" s="126"/>
      <c r="AH87" s="126"/>
      <c r="AI87" s="126">
        <f>SUM(AF87+AG87-AH87)</f>
        <v>10000</v>
      </c>
      <c r="AJ87" s="126"/>
      <c r="AK87" s="126"/>
      <c r="AL87" s="126">
        <f>SUM(AI87+AJ87-AK87)</f>
        <v>10000</v>
      </c>
      <c r="AM87" s="126"/>
      <c r="AN87" s="126"/>
      <c r="AO87" s="126">
        <f>SUM(AL87+AM87-AN87)</f>
        <v>10000</v>
      </c>
      <c r="AP87" s="126"/>
      <c r="AQ87" s="126"/>
      <c r="AR87" s="126">
        <f>SUM(AO87+AP87-AQ87)</f>
        <v>10000</v>
      </c>
      <c r="AS87" s="126">
        <v>4000</v>
      </c>
      <c r="AT87" s="126"/>
      <c r="AU87" s="126">
        <f>SUM(AR87+AS87-AT87)</f>
        <v>14000</v>
      </c>
    </row>
    <row r="88" spans="1:47" s="37" customFormat="1" ht="21.75" customHeight="1">
      <c r="A88" s="103"/>
      <c r="B88" s="104"/>
      <c r="C88" s="105" t="s">
        <v>204</v>
      </c>
      <c r="D88" s="110" t="s">
        <v>19</v>
      </c>
      <c r="E88" s="102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>
        <v>0</v>
      </c>
      <c r="AS88" s="126">
        <v>25247</v>
      </c>
      <c r="AT88" s="126"/>
      <c r="AU88" s="126">
        <f>SUM(AR88+AS88-AT88)</f>
        <v>25247</v>
      </c>
    </row>
    <row r="89" spans="1:47" s="37" customFormat="1" ht="20.25" customHeight="1">
      <c r="A89" s="103"/>
      <c r="B89" s="104" t="s">
        <v>298</v>
      </c>
      <c r="C89" s="113"/>
      <c r="D89" s="110" t="s">
        <v>299</v>
      </c>
      <c r="E89" s="102">
        <f aca="true" t="shared" si="131" ref="E89:AU89">SUM(E90)</f>
        <v>862524</v>
      </c>
      <c r="F89" s="102">
        <f t="shared" si="131"/>
        <v>0</v>
      </c>
      <c r="G89" s="102">
        <f t="shared" si="131"/>
        <v>0</v>
      </c>
      <c r="H89" s="102">
        <f t="shared" si="131"/>
        <v>862524</v>
      </c>
      <c r="I89" s="102">
        <f t="shared" si="131"/>
        <v>0</v>
      </c>
      <c r="J89" s="102">
        <f t="shared" si="131"/>
        <v>0</v>
      </c>
      <c r="K89" s="102">
        <f t="shared" si="131"/>
        <v>862524</v>
      </c>
      <c r="L89" s="102">
        <f t="shared" si="131"/>
        <v>0</v>
      </c>
      <c r="M89" s="102">
        <f t="shared" si="131"/>
        <v>0</v>
      </c>
      <c r="N89" s="102">
        <f t="shared" si="131"/>
        <v>862524</v>
      </c>
      <c r="O89" s="102">
        <f t="shared" si="131"/>
        <v>0</v>
      </c>
      <c r="P89" s="102">
        <f t="shared" si="131"/>
        <v>0</v>
      </c>
      <c r="Q89" s="102">
        <f t="shared" si="131"/>
        <v>862524</v>
      </c>
      <c r="R89" s="102">
        <f t="shared" si="131"/>
        <v>0</v>
      </c>
      <c r="S89" s="102">
        <f t="shared" si="131"/>
        <v>0</v>
      </c>
      <c r="T89" s="102">
        <f t="shared" si="131"/>
        <v>862524</v>
      </c>
      <c r="U89" s="102">
        <f t="shared" si="131"/>
        <v>0</v>
      </c>
      <c r="V89" s="102">
        <f t="shared" si="131"/>
        <v>0</v>
      </c>
      <c r="W89" s="102">
        <f t="shared" si="131"/>
        <v>862524</v>
      </c>
      <c r="X89" s="102">
        <f t="shared" si="131"/>
        <v>0</v>
      </c>
      <c r="Y89" s="102">
        <f t="shared" si="131"/>
        <v>0</v>
      </c>
      <c r="Z89" s="102">
        <f t="shared" si="131"/>
        <v>862524</v>
      </c>
      <c r="AA89" s="102">
        <f t="shared" si="131"/>
        <v>0</v>
      </c>
      <c r="AB89" s="102">
        <f t="shared" si="131"/>
        <v>0</v>
      </c>
      <c r="AC89" s="102">
        <f t="shared" si="131"/>
        <v>862524</v>
      </c>
      <c r="AD89" s="102">
        <f t="shared" si="131"/>
        <v>0</v>
      </c>
      <c r="AE89" s="102">
        <f t="shared" si="131"/>
        <v>0</v>
      </c>
      <c r="AF89" s="102">
        <f t="shared" si="131"/>
        <v>862524</v>
      </c>
      <c r="AG89" s="102">
        <f t="shared" si="131"/>
        <v>0</v>
      </c>
      <c r="AH89" s="102">
        <f t="shared" si="131"/>
        <v>0</v>
      </c>
      <c r="AI89" s="102">
        <f t="shared" si="131"/>
        <v>862524</v>
      </c>
      <c r="AJ89" s="102">
        <f t="shared" si="131"/>
        <v>0</v>
      </c>
      <c r="AK89" s="102">
        <f t="shared" si="131"/>
        <v>0</v>
      </c>
      <c r="AL89" s="102">
        <f t="shared" si="131"/>
        <v>862524</v>
      </c>
      <c r="AM89" s="102">
        <f t="shared" si="131"/>
        <v>0</v>
      </c>
      <c r="AN89" s="102">
        <f t="shared" si="131"/>
        <v>0</v>
      </c>
      <c r="AO89" s="102">
        <f t="shared" si="131"/>
        <v>862524</v>
      </c>
      <c r="AP89" s="102">
        <f t="shared" si="131"/>
        <v>0</v>
      </c>
      <c r="AQ89" s="102">
        <f t="shared" si="131"/>
        <v>0</v>
      </c>
      <c r="AR89" s="102">
        <f t="shared" si="131"/>
        <v>862524</v>
      </c>
      <c r="AS89" s="102">
        <f t="shared" si="131"/>
        <v>0</v>
      </c>
      <c r="AT89" s="102">
        <f t="shared" si="131"/>
        <v>0</v>
      </c>
      <c r="AU89" s="102">
        <f t="shared" si="131"/>
        <v>862524</v>
      </c>
    </row>
    <row r="90" spans="1:47" s="37" customFormat="1" ht="25.5" customHeight="1">
      <c r="A90" s="103"/>
      <c r="B90" s="104"/>
      <c r="C90" s="105">
        <v>2920</v>
      </c>
      <c r="D90" s="110" t="s">
        <v>64</v>
      </c>
      <c r="E90" s="102">
        <v>862524</v>
      </c>
      <c r="F90" s="126"/>
      <c r="G90" s="126"/>
      <c r="H90" s="126">
        <f>SUM(E90+F90-G90)</f>
        <v>862524</v>
      </c>
      <c r="I90" s="126"/>
      <c r="J90" s="126"/>
      <c r="K90" s="126">
        <f>SUM(H90+I90-J90)</f>
        <v>862524</v>
      </c>
      <c r="L90" s="126"/>
      <c r="M90" s="126"/>
      <c r="N90" s="126">
        <f>SUM(K90+L90-M90)</f>
        <v>862524</v>
      </c>
      <c r="O90" s="126"/>
      <c r="P90" s="126"/>
      <c r="Q90" s="126">
        <f>SUM(N90+O90-P90)</f>
        <v>862524</v>
      </c>
      <c r="R90" s="126"/>
      <c r="S90" s="126"/>
      <c r="T90" s="126">
        <f>SUM(Q90+R90-S90)</f>
        <v>862524</v>
      </c>
      <c r="U90" s="126"/>
      <c r="V90" s="126"/>
      <c r="W90" s="126">
        <f>SUM(T90+U90-V90)</f>
        <v>862524</v>
      </c>
      <c r="X90" s="126"/>
      <c r="Y90" s="126"/>
      <c r="Z90" s="126">
        <f>SUM(W90+X90-Y90)</f>
        <v>862524</v>
      </c>
      <c r="AA90" s="126"/>
      <c r="AB90" s="126"/>
      <c r="AC90" s="126">
        <f>SUM(Z90+AA90-AB90)</f>
        <v>862524</v>
      </c>
      <c r="AD90" s="126"/>
      <c r="AE90" s="126"/>
      <c r="AF90" s="126">
        <f>SUM(AC90+AD90-AE90)</f>
        <v>862524</v>
      </c>
      <c r="AG90" s="126"/>
      <c r="AH90" s="126"/>
      <c r="AI90" s="126">
        <f>SUM(AF90+AG90-AH90)</f>
        <v>862524</v>
      </c>
      <c r="AJ90" s="126"/>
      <c r="AK90" s="126"/>
      <c r="AL90" s="126">
        <f>SUM(AI90+AJ90-AK90)</f>
        <v>862524</v>
      </c>
      <c r="AM90" s="126"/>
      <c r="AN90" s="126"/>
      <c r="AO90" s="126">
        <f>SUM(AL90+AM90-AN90)</f>
        <v>862524</v>
      </c>
      <c r="AP90" s="126"/>
      <c r="AQ90" s="126"/>
      <c r="AR90" s="126">
        <f>SUM(AO90+AP90-AQ90)</f>
        <v>862524</v>
      </c>
      <c r="AS90" s="126"/>
      <c r="AT90" s="126"/>
      <c r="AU90" s="126">
        <f>SUM(AR90+AS90-AT90)</f>
        <v>862524</v>
      </c>
    </row>
    <row r="91" spans="1:47" s="9" customFormat="1" ht="25.5" customHeight="1">
      <c r="A91" s="51" t="s">
        <v>127</v>
      </c>
      <c r="B91" s="52"/>
      <c r="C91" s="53"/>
      <c r="D91" s="54" t="s">
        <v>128</v>
      </c>
      <c r="E91" s="245"/>
      <c r="F91" s="30"/>
      <c r="G91" s="30"/>
      <c r="H91" s="244">
        <f aca="true" t="shared" si="132" ref="H91:N91">SUM(H92,H101,H99)</f>
        <v>0</v>
      </c>
      <c r="I91" s="244">
        <f t="shared" si="132"/>
        <v>60125</v>
      </c>
      <c r="J91" s="244">
        <f t="shared" si="132"/>
        <v>0</v>
      </c>
      <c r="K91" s="244">
        <f t="shared" si="132"/>
        <v>60125</v>
      </c>
      <c r="L91" s="244">
        <f t="shared" si="132"/>
        <v>0</v>
      </c>
      <c r="M91" s="244">
        <f t="shared" si="132"/>
        <v>0</v>
      </c>
      <c r="N91" s="244">
        <f t="shared" si="132"/>
        <v>60125</v>
      </c>
      <c r="O91" s="244">
        <f aca="true" t="shared" si="133" ref="O91:T91">SUM(O92,O101,O99)</f>
        <v>0</v>
      </c>
      <c r="P91" s="244">
        <f t="shared" si="133"/>
        <v>0</v>
      </c>
      <c r="Q91" s="244">
        <f t="shared" si="133"/>
        <v>60125</v>
      </c>
      <c r="R91" s="244">
        <f t="shared" si="133"/>
        <v>0</v>
      </c>
      <c r="S91" s="244">
        <f t="shared" si="133"/>
        <v>0</v>
      </c>
      <c r="T91" s="244">
        <f t="shared" si="133"/>
        <v>60125</v>
      </c>
      <c r="U91" s="244">
        <f>SUM(U92,U101,U99)</f>
        <v>8835</v>
      </c>
      <c r="V91" s="244">
        <f>SUM(V92,V101,V99)</f>
        <v>0</v>
      </c>
      <c r="W91" s="244">
        <f>SUM(W92,W101,W99)</f>
        <v>68960</v>
      </c>
      <c r="X91" s="244">
        <f>SUM(X92,X101,X99)</f>
        <v>2356</v>
      </c>
      <c r="Y91" s="244">
        <f>SUM(Y92,Y101,Y99)</f>
        <v>0</v>
      </c>
      <c r="Z91" s="244">
        <f aca="true" t="shared" si="134" ref="Z91:AF91">SUM(Z92,Z101,Z99,Z106)</f>
        <v>71316</v>
      </c>
      <c r="AA91" s="244">
        <f t="shared" si="134"/>
        <v>27951</v>
      </c>
      <c r="AB91" s="244">
        <f t="shared" si="134"/>
        <v>0</v>
      </c>
      <c r="AC91" s="244">
        <f t="shared" si="134"/>
        <v>99267</v>
      </c>
      <c r="AD91" s="244">
        <f t="shared" si="134"/>
        <v>0</v>
      </c>
      <c r="AE91" s="244">
        <f t="shared" si="134"/>
        <v>0</v>
      </c>
      <c r="AF91" s="244">
        <f t="shared" si="134"/>
        <v>99267</v>
      </c>
      <c r="AG91" s="244">
        <f aca="true" t="shared" si="135" ref="AG91:AL91">SUM(AG92,AG101,AG99,AG106)</f>
        <v>3290</v>
      </c>
      <c r="AH91" s="244">
        <f t="shared" si="135"/>
        <v>0</v>
      </c>
      <c r="AI91" s="244">
        <f t="shared" si="135"/>
        <v>102557</v>
      </c>
      <c r="AJ91" s="244">
        <f t="shared" si="135"/>
        <v>16082</v>
      </c>
      <c r="AK91" s="244">
        <f t="shared" si="135"/>
        <v>0</v>
      </c>
      <c r="AL91" s="244">
        <f t="shared" si="135"/>
        <v>118639</v>
      </c>
      <c r="AM91" s="244">
        <f aca="true" t="shared" si="136" ref="AM91:AR91">SUM(AM92,AM101,AM99,AM106)</f>
        <v>418</v>
      </c>
      <c r="AN91" s="244">
        <f t="shared" si="136"/>
        <v>0</v>
      </c>
      <c r="AO91" s="244">
        <f t="shared" si="136"/>
        <v>119057</v>
      </c>
      <c r="AP91" s="244">
        <f t="shared" si="136"/>
        <v>51493</v>
      </c>
      <c r="AQ91" s="244">
        <f t="shared" si="136"/>
        <v>0</v>
      </c>
      <c r="AR91" s="244">
        <f t="shared" si="136"/>
        <v>170550</v>
      </c>
      <c r="AS91" s="244">
        <f>SUM(AS92,AS101,AS99,AS106)</f>
        <v>47728</v>
      </c>
      <c r="AT91" s="244">
        <f>SUM(AT92,AT101,AT99,AT106)</f>
        <v>3000</v>
      </c>
      <c r="AU91" s="244">
        <f>SUM(AU92,AU101,AU99,AU106)</f>
        <v>215278</v>
      </c>
    </row>
    <row r="92" spans="1:47" s="37" customFormat="1" ht="20.25" customHeight="1">
      <c r="A92" s="98"/>
      <c r="B92" s="249" t="s">
        <v>129</v>
      </c>
      <c r="C92" s="120"/>
      <c r="D92" s="56" t="s">
        <v>66</v>
      </c>
      <c r="E92" s="127"/>
      <c r="F92" s="126"/>
      <c r="G92" s="126"/>
      <c r="H92" s="165">
        <f aca="true" t="shared" si="137" ref="H92:N92">SUM(H93:H98)</f>
        <v>0</v>
      </c>
      <c r="I92" s="165">
        <f t="shared" si="137"/>
        <v>46136</v>
      </c>
      <c r="J92" s="165">
        <f t="shared" si="137"/>
        <v>0</v>
      </c>
      <c r="K92" s="165">
        <f t="shared" si="137"/>
        <v>46136</v>
      </c>
      <c r="L92" s="165">
        <f t="shared" si="137"/>
        <v>0</v>
      </c>
      <c r="M92" s="165">
        <f t="shared" si="137"/>
        <v>0</v>
      </c>
      <c r="N92" s="165">
        <f t="shared" si="137"/>
        <v>46136</v>
      </c>
      <c r="O92" s="165">
        <f aca="true" t="shared" si="138" ref="O92:T92">SUM(O93:O98)</f>
        <v>0</v>
      </c>
      <c r="P92" s="165">
        <f t="shared" si="138"/>
        <v>0</v>
      </c>
      <c r="Q92" s="165">
        <f t="shared" si="138"/>
        <v>46136</v>
      </c>
      <c r="R92" s="165">
        <f t="shared" si="138"/>
        <v>0</v>
      </c>
      <c r="S92" s="165">
        <f t="shared" si="138"/>
        <v>0</v>
      </c>
      <c r="T92" s="165">
        <f t="shared" si="138"/>
        <v>46136</v>
      </c>
      <c r="U92" s="165">
        <f aca="true" t="shared" si="139" ref="U92:Z92">SUM(U93:U98)</f>
        <v>8835</v>
      </c>
      <c r="V92" s="165">
        <f t="shared" si="139"/>
        <v>0</v>
      </c>
      <c r="W92" s="165">
        <f t="shared" si="139"/>
        <v>54971</v>
      </c>
      <c r="X92" s="165">
        <f t="shared" si="139"/>
        <v>2356</v>
      </c>
      <c r="Y92" s="165">
        <f t="shared" si="139"/>
        <v>0</v>
      </c>
      <c r="Z92" s="165">
        <f t="shared" si="139"/>
        <v>57327</v>
      </c>
      <c r="AA92" s="165">
        <f aca="true" t="shared" si="140" ref="AA92:AF92">SUM(AA93:AA98)</f>
        <v>0</v>
      </c>
      <c r="AB92" s="165">
        <f t="shared" si="140"/>
        <v>0</v>
      </c>
      <c r="AC92" s="165">
        <f t="shared" si="140"/>
        <v>57327</v>
      </c>
      <c r="AD92" s="165">
        <f t="shared" si="140"/>
        <v>0</v>
      </c>
      <c r="AE92" s="165">
        <f t="shared" si="140"/>
        <v>0</v>
      </c>
      <c r="AF92" s="165">
        <f t="shared" si="140"/>
        <v>57327</v>
      </c>
      <c r="AG92" s="165">
        <f aca="true" t="shared" si="141" ref="AG92:AL92">SUM(AG93:AG98)</f>
        <v>3290</v>
      </c>
      <c r="AH92" s="165">
        <f t="shared" si="141"/>
        <v>0</v>
      </c>
      <c r="AI92" s="165">
        <f t="shared" si="141"/>
        <v>60617</v>
      </c>
      <c r="AJ92" s="165">
        <f t="shared" si="141"/>
        <v>16082</v>
      </c>
      <c r="AK92" s="165">
        <f t="shared" si="141"/>
        <v>0</v>
      </c>
      <c r="AL92" s="165">
        <f t="shared" si="141"/>
        <v>76699</v>
      </c>
      <c r="AM92" s="165">
        <f aca="true" t="shared" si="142" ref="AM92:AR92">SUM(AM93:AM98)</f>
        <v>418</v>
      </c>
      <c r="AN92" s="165">
        <f t="shared" si="142"/>
        <v>0</v>
      </c>
      <c r="AO92" s="165">
        <f t="shared" si="142"/>
        <v>77117</v>
      </c>
      <c r="AP92" s="165">
        <f t="shared" si="142"/>
        <v>0</v>
      </c>
      <c r="AQ92" s="165">
        <f t="shared" si="142"/>
        <v>0</v>
      </c>
      <c r="AR92" s="165">
        <f t="shared" si="142"/>
        <v>77117</v>
      </c>
      <c r="AS92" s="165">
        <f>SUM(AS93:AS98)</f>
        <v>32690</v>
      </c>
      <c r="AT92" s="165">
        <f>SUM(AT93:AT98)</f>
        <v>0</v>
      </c>
      <c r="AU92" s="165">
        <f>SUM(AU93:AU98)</f>
        <v>109807</v>
      </c>
    </row>
    <row r="93" spans="1:47" s="37" customFormat="1" ht="84">
      <c r="A93" s="116"/>
      <c r="B93" s="98"/>
      <c r="C93" s="100" t="s">
        <v>202</v>
      </c>
      <c r="D93" s="110" t="s">
        <v>71</v>
      </c>
      <c r="E93" s="127"/>
      <c r="F93" s="126"/>
      <c r="G93" s="126"/>
      <c r="H93" s="165">
        <v>0</v>
      </c>
      <c r="I93" s="165">
        <v>36560</v>
      </c>
      <c r="J93" s="165"/>
      <c r="K93" s="165">
        <f>SUM(H93+I93-J93)</f>
        <v>36560</v>
      </c>
      <c r="L93" s="165"/>
      <c r="M93" s="165"/>
      <c r="N93" s="165">
        <f>SUM(K93+L93-M93)</f>
        <v>36560</v>
      </c>
      <c r="O93" s="165"/>
      <c r="P93" s="165"/>
      <c r="Q93" s="165">
        <f>SUM(N93+O93-P93)</f>
        <v>36560</v>
      </c>
      <c r="R93" s="165"/>
      <c r="S93" s="165"/>
      <c r="T93" s="165">
        <f>SUM(Q93+R93-S93)</f>
        <v>36560</v>
      </c>
      <c r="U93" s="165"/>
      <c r="V93" s="165"/>
      <c r="W93" s="165">
        <f>SUM(T93+U93-V93)</f>
        <v>36560</v>
      </c>
      <c r="X93" s="165"/>
      <c r="Y93" s="165"/>
      <c r="Z93" s="165">
        <f>SUM(W93+X93-Y93)</f>
        <v>36560</v>
      </c>
      <c r="AA93" s="165"/>
      <c r="AB93" s="165"/>
      <c r="AC93" s="165">
        <f>SUM(Z93+AA93-AB93)</f>
        <v>36560</v>
      </c>
      <c r="AD93" s="165"/>
      <c r="AE93" s="165"/>
      <c r="AF93" s="165">
        <f>SUM(AC93+AD93-AE93)</f>
        <v>36560</v>
      </c>
      <c r="AG93" s="165"/>
      <c r="AH93" s="165"/>
      <c r="AI93" s="165">
        <f>SUM(AF93+AG93-AH93)</f>
        <v>36560</v>
      </c>
      <c r="AJ93" s="165"/>
      <c r="AK93" s="165"/>
      <c r="AL93" s="165">
        <f>SUM(AI93+AJ93-AK93)</f>
        <v>36560</v>
      </c>
      <c r="AM93" s="165"/>
      <c r="AN93" s="165"/>
      <c r="AO93" s="165">
        <f>SUM(AL93+AM93-AN93)</f>
        <v>36560</v>
      </c>
      <c r="AP93" s="165"/>
      <c r="AQ93" s="165"/>
      <c r="AR93" s="165">
        <f>SUM(AO93+AP93-AQ93)</f>
        <v>36560</v>
      </c>
      <c r="AS93" s="165"/>
      <c r="AT93" s="165"/>
      <c r="AU93" s="165">
        <f aca="true" t="shared" si="143" ref="AU93:AU98">SUM(AR93+AS93-AT93)</f>
        <v>36560</v>
      </c>
    </row>
    <row r="94" spans="1:47" s="37" customFormat="1" ht="22.5" customHeight="1">
      <c r="A94" s="116"/>
      <c r="B94" s="250"/>
      <c r="C94" s="100" t="s">
        <v>204</v>
      </c>
      <c r="D94" s="110" t="s">
        <v>19</v>
      </c>
      <c r="E94" s="127"/>
      <c r="F94" s="126"/>
      <c r="G94" s="126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>
        <v>0</v>
      </c>
      <c r="AG94" s="165">
        <v>3290</v>
      </c>
      <c r="AH94" s="165"/>
      <c r="AI94" s="165">
        <f>SUM(AF94+AG94-AH94)</f>
        <v>3290</v>
      </c>
      <c r="AJ94" s="165"/>
      <c r="AK94" s="165"/>
      <c r="AL94" s="165">
        <f>SUM(AI94+AJ94-AK94)</f>
        <v>3290</v>
      </c>
      <c r="AM94" s="165"/>
      <c r="AN94" s="165"/>
      <c r="AO94" s="165">
        <f>SUM(AL94+AM94-AN94)</f>
        <v>3290</v>
      </c>
      <c r="AP94" s="165"/>
      <c r="AQ94" s="165"/>
      <c r="AR94" s="165">
        <f>SUM(AO94+AP94-AQ94)</f>
        <v>3290</v>
      </c>
      <c r="AS94" s="165">
        <v>31710</v>
      </c>
      <c r="AT94" s="165"/>
      <c r="AU94" s="165">
        <f t="shared" si="143"/>
        <v>35000</v>
      </c>
    </row>
    <row r="95" spans="1:47" s="37" customFormat="1" ht="50.25" customHeight="1">
      <c r="A95" s="116"/>
      <c r="B95" s="250"/>
      <c r="C95" s="100">
        <v>2030</v>
      </c>
      <c r="D95" s="110" t="s">
        <v>279</v>
      </c>
      <c r="E95" s="127"/>
      <c r="F95" s="126"/>
      <c r="G95" s="126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>
        <v>0</v>
      </c>
      <c r="U95" s="165">
        <v>8835</v>
      </c>
      <c r="V95" s="165"/>
      <c r="W95" s="165">
        <f>SUM(T95+U95-V95)</f>
        <v>8835</v>
      </c>
      <c r="X95" s="165">
        <v>2356</v>
      </c>
      <c r="Y95" s="165"/>
      <c r="Z95" s="165">
        <f>SUM(W95+X95-Y95)</f>
        <v>11191</v>
      </c>
      <c r="AA95" s="165"/>
      <c r="AB95" s="165"/>
      <c r="AC95" s="165">
        <f>SUM(Z95+AA95-AB95)</f>
        <v>11191</v>
      </c>
      <c r="AD95" s="165"/>
      <c r="AE95" s="165"/>
      <c r="AF95" s="165">
        <f>SUM(AC95+AD95-AE95)</f>
        <v>11191</v>
      </c>
      <c r="AG95" s="165"/>
      <c r="AH95" s="165"/>
      <c r="AI95" s="165">
        <f>SUM(AF95+AG95-AH95)</f>
        <v>11191</v>
      </c>
      <c r="AJ95" s="165">
        <v>16082</v>
      </c>
      <c r="AK95" s="165"/>
      <c r="AL95" s="165">
        <f>SUM(AI95+AJ95-AK95)</f>
        <v>27273</v>
      </c>
      <c r="AM95" s="165">
        <v>418</v>
      </c>
      <c r="AN95" s="165"/>
      <c r="AO95" s="165">
        <f>SUM(AL95+AM95-AN95)</f>
        <v>27691</v>
      </c>
      <c r="AP95" s="165"/>
      <c r="AQ95" s="165"/>
      <c r="AR95" s="165">
        <f>SUM(AO95+AP95-AQ95)</f>
        <v>27691</v>
      </c>
      <c r="AS95" s="165"/>
      <c r="AT95" s="165"/>
      <c r="AU95" s="165">
        <f t="shared" si="143"/>
        <v>27691</v>
      </c>
    </row>
    <row r="96" spans="1:47" s="37" customFormat="1" ht="60">
      <c r="A96" s="116"/>
      <c r="B96" s="250"/>
      <c r="C96" s="100">
        <v>2310</v>
      </c>
      <c r="D96" s="56" t="s">
        <v>699</v>
      </c>
      <c r="E96" s="127"/>
      <c r="F96" s="126"/>
      <c r="G96" s="126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>
        <v>0</v>
      </c>
      <c r="AS96" s="165">
        <v>980</v>
      </c>
      <c r="AT96" s="165"/>
      <c r="AU96" s="165">
        <f t="shared" si="143"/>
        <v>980</v>
      </c>
    </row>
    <row r="97" spans="1:47" s="37" customFormat="1" ht="58.5" customHeight="1">
      <c r="A97" s="120"/>
      <c r="B97" s="250"/>
      <c r="C97" s="100">
        <v>2320</v>
      </c>
      <c r="D97" s="56" t="s">
        <v>447</v>
      </c>
      <c r="E97" s="127"/>
      <c r="F97" s="126"/>
      <c r="G97" s="126"/>
      <c r="H97" s="165">
        <v>0</v>
      </c>
      <c r="I97" s="126">
        <v>600</v>
      </c>
      <c r="J97" s="126"/>
      <c r="K97" s="165">
        <f>SUM(H97+I97-J97)</f>
        <v>600</v>
      </c>
      <c r="L97" s="126"/>
      <c r="M97" s="126"/>
      <c r="N97" s="165">
        <f>SUM(K97+L97-M97)</f>
        <v>600</v>
      </c>
      <c r="O97" s="126"/>
      <c r="P97" s="126"/>
      <c r="Q97" s="165">
        <f>SUM(N97+O97-P97)</f>
        <v>600</v>
      </c>
      <c r="R97" s="126"/>
      <c r="S97" s="126"/>
      <c r="T97" s="165">
        <f>SUM(Q97+R97-S97)</f>
        <v>600</v>
      </c>
      <c r="U97" s="126"/>
      <c r="V97" s="126"/>
      <c r="W97" s="165">
        <f>SUM(T97+U97-V97)</f>
        <v>600</v>
      </c>
      <c r="X97" s="126"/>
      <c r="Y97" s="126"/>
      <c r="Z97" s="165">
        <f>SUM(W97+X97-Y97)</f>
        <v>600</v>
      </c>
      <c r="AA97" s="126"/>
      <c r="AB97" s="126"/>
      <c r="AC97" s="165">
        <f>SUM(Z97+AA97-AB97)</f>
        <v>600</v>
      </c>
      <c r="AD97" s="126"/>
      <c r="AE97" s="126"/>
      <c r="AF97" s="165">
        <f>SUM(AC97+AD97-AE97)</f>
        <v>600</v>
      </c>
      <c r="AG97" s="126"/>
      <c r="AH97" s="126"/>
      <c r="AI97" s="165">
        <f>SUM(AF97+AG97-AH97)</f>
        <v>600</v>
      </c>
      <c r="AJ97" s="126"/>
      <c r="AK97" s="126"/>
      <c r="AL97" s="165">
        <f>SUM(AI97+AJ97-AK97)</f>
        <v>600</v>
      </c>
      <c r="AM97" s="126"/>
      <c r="AN97" s="126"/>
      <c r="AO97" s="165">
        <f>SUM(AL97+AM97-AN97)</f>
        <v>600</v>
      </c>
      <c r="AP97" s="126"/>
      <c r="AQ97" s="126"/>
      <c r="AR97" s="165">
        <f>SUM(AO97+AP97-AQ97)</f>
        <v>600</v>
      </c>
      <c r="AS97" s="126"/>
      <c r="AT97" s="126"/>
      <c r="AU97" s="165">
        <f t="shared" si="143"/>
        <v>600</v>
      </c>
    </row>
    <row r="98" spans="1:47" s="37" customFormat="1" ht="51" customHeight="1">
      <c r="A98" s="120"/>
      <c r="B98" s="98"/>
      <c r="C98" s="100">
        <v>2440</v>
      </c>
      <c r="D98" s="110" t="s">
        <v>233</v>
      </c>
      <c r="E98" s="127"/>
      <c r="F98" s="126"/>
      <c r="G98" s="126"/>
      <c r="H98" s="165">
        <v>0</v>
      </c>
      <c r="I98" s="126">
        <v>8976</v>
      </c>
      <c r="J98" s="126"/>
      <c r="K98" s="165">
        <f>SUM(H98+I98-J98)</f>
        <v>8976</v>
      </c>
      <c r="L98" s="126"/>
      <c r="M98" s="126"/>
      <c r="N98" s="165">
        <f>SUM(K98+L98-M98)</f>
        <v>8976</v>
      </c>
      <c r="O98" s="126"/>
      <c r="P98" s="126"/>
      <c r="Q98" s="165">
        <f>SUM(N98+O98-P98)</f>
        <v>8976</v>
      </c>
      <c r="R98" s="126"/>
      <c r="S98" s="126"/>
      <c r="T98" s="165">
        <f>SUM(Q98+R98-S98)</f>
        <v>8976</v>
      </c>
      <c r="U98" s="126"/>
      <c r="V98" s="126"/>
      <c r="W98" s="165">
        <f>SUM(T98+U98-V98)</f>
        <v>8976</v>
      </c>
      <c r="X98" s="126"/>
      <c r="Y98" s="126"/>
      <c r="Z98" s="165">
        <f>SUM(W98+X98-Y98)</f>
        <v>8976</v>
      </c>
      <c r="AA98" s="126"/>
      <c r="AB98" s="126"/>
      <c r="AC98" s="165">
        <f>SUM(Z98+AA98-AB98)</f>
        <v>8976</v>
      </c>
      <c r="AD98" s="126"/>
      <c r="AE98" s="126"/>
      <c r="AF98" s="165">
        <f>SUM(AC98+AD98-AE98)</f>
        <v>8976</v>
      </c>
      <c r="AG98" s="126"/>
      <c r="AH98" s="126"/>
      <c r="AI98" s="165">
        <f>SUM(AF98+AG98-AH98)</f>
        <v>8976</v>
      </c>
      <c r="AJ98" s="126"/>
      <c r="AK98" s="126"/>
      <c r="AL98" s="165">
        <f>SUM(AI98+AJ98-AK98)</f>
        <v>8976</v>
      </c>
      <c r="AM98" s="126"/>
      <c r="AN98" s="126"/>
      <c r="AO98" s="165">
        <f>SUM(AL98+AM98-AN98)</f>
        <v>8976</v>
      </c>
      <c r="AP98" s="126"/>
      <c r="AQ98" s="126"/>
      <c r="AR98" s="165">
        <f>SUM(AO98+AP98-AQ98)</f>
        <v>8976</v>
      </c>
      <c r="AS98" s="126"/>
      <c r="AT98" s="126"/>
      <c r="AU98" s="165">
        <f t="shared" si="143"/>
        <v>8976</v>
      </c>
    </row>
    <row r="99" spans="1:47" s="37" customFormat="1" ht="23.25" customHeight="1">
      <c r="A99" s="120"/>
      <c r="B99" s="98">
        <v>80104</v>
      </c>
      <c r="C99" s="100"/>
      <c r="D99" s="110" t="s">
        <v>353</v>
      </c>
      <c r="E99" s="127"/>
      <c r="F99" s="126"/>
      <c r="G99" s="126"/>
      <c r="H99" s="165">
        <f aca="true" t="shared" si="144" ref="H99:AU99">SUM(H100)</f>
        <v>0</v>
      </c>
      <c r="I99" s="165">
        <f t="shared" si="144"/>
        <v>3560</v>
      </c>
      <c r="J99" s="165">
        <f t="shared" si="144"/>
        <v>0</v>
      </c>
      <c r="K99" s="165">
        <f t="shared" si="144"/>
        <v>3560</v>
      </c>
      <c r="L99" s="165">
        <f t="shared" si="144"/>
        <v>0</v>
      </c>
      <c r="M99" s="165">
        <f t="shared" si="144"/>
        <v>0</v>
      </c>
      <c r="N99" s="165">
        <f t="shared" si="144"/>
        <v>3560</v>
      </c>
      <c r="O99" s="165">
        <f t="shared" si="144"/>
        <v>0</v>
      </c>
      <c r="P99" s="165">
        <f t="shared" si="144"/>
        <v>0</v>
      </c>
      <c r="Q99" s="165">
        <f t="shared" si="144"/>
        <v>3560</v>
      </c>
      <c r="R99" s="165">
        <f t="shared" si="144"/>
        <v>0</v>
      </c>
      <c r="S99" s="165">
        <f t="shared" si="144"/>
        <v>0</v>
      </c>
      <c r="T99" s="165">
        <f t="shared" si="144"/>
        <v>3560</v>
      </c>
      <c r="U99" s="165">
        <f t="shared" si="144"/>
        <v>0</v>
      </c>
      <c r="V99" s="165">
        <f t="shared" si="144"/>
        <v>0</v>
      </c>
      <c r="W99" s="165">
        <f t="shared" si="144"/>
        <v>3560</v>
      </c>
      <c r="X99" s="165">
        <f t="shared" si="144"/>
        <v>0</v>
      </c>
      <c r="Y99" s="165">
        <f t="shared" si="144"/>
        <v>0</v>
      </c>
      <c r="Z99" s="165">
        <f t="shared" si="144"/>
        <v>3560</v>
      </c>
      <c r="AA99" s="165">
        <f t="shared" si="144"/>
        <v>0</v>
      </c>
      <c r="AB99" s="165">
        <f t="shared" si="144"/>
        <v>0</v>
      </c>
      <c r="AC99" s="165">
        <f t="shared" si="144"/>
        <v>3560</v>
      </c>
      <c r="AD99" s="165">
        <f t="shared" si="144"/>
        <v>0</v>
      </c>
      <c r="AE99" s="165">
        <f t="shared" si="144"/>
        <v>0</v>
      </c>
      <c r="AF99" s="165">
        <f t="shared" si="144"/>
        <v>3560</v>
      </c>
      <c r="AG99" s="165">
        <f t="shared" si="144"/>
        <v>0</v>
      </c>
      <c r="AH99" s="165">
        <f t="shared" si="144"/>
        <v>0</v>
      </c>
      <c r="AI99" s="165">
        <f t="shared" si="144"/>
        <v>3560</v>
      </c>
      <c r="AJ99" s="165">
        <f t="shared" si="144"/>
        <v>0</v>
      </c>
      <c r="AK99" s="165">
        <f t="shared" si="144"/>
        <v>0</v>
      </c>
      <c r="AL99" s="165">
        <f t="shared" si="144"/>
        <v>3560</v>
      </c>
      <c r="AM99" s="165">
        <f t="shared" si="144"/>
        <v>0</v>
      </c>
      <c r="AN99" s="165">
        <f t="shared" si="144"/>
        <v>0</v>
      </c>
      <c r="AO99" s="165">
        <f t="shared" si="144"/>
        <v>3560</v>
      </c>
      <c r="AP99" s="165">
        <f t="shared" si="144"/>
        <v>0</v>
      </c>
      <c r="AQ99" s="165">
        <f t="shared" si="144"/>
        <v>0</v>
      </c>
      <c r="AR99" s="165">
        <f t="shared" si="144"/>
        <v>3560</v>
      </c>
      <c r="AS99" s="165">
        <f t="shared" si="144"/>
        <v>1540</v>
      </c>
      <c r="AT99" s="165">
        <f t="shared" si="144"/>
        <v>0</v>
      </c>
      <c r="AU99" s="165">
        <f t="shared" si="144"/>
        <v>5100</v>
      </c>
    </row>
    <row r="100" spans="1:47" s="37" customFormat="1" ht="84">
      <c r="A100" s="120"/>
      <c r="B100" s="98"/>
      <c r="C100" s="100" t="s">
        <v>202</v>
      </c>
      <c r="D100" s="110" t="s">
        <v>71</v>
      </c>
      <c r="E100" s="127"/>
      <c r="F100" s="126"/>
      <c r="G100" s="126"/>
      <c r="H100" s="165">
        <v>0</v>
      </c>
      <c r="I100" s="126">
        <v>3560</v>
      </c>
      <c r="J100" s="126"/>
      <c r="K100" s="165">
        <f>SUM(H100+I100-J100)</f>
        <v>3560</v>
      </c>
      <c r="L100" s="126"/>
      <c r="M100" s="126"/>
      <c r="N100" s="165">
        <f>SUM(K100+L100-M100)</f>
        <v>3560</v>
      </c>
      <c r="O100" s="126"/>
      <c r="P100" s="126"/>
      <c r="Q100" s="165">
        <f>SUM(N100+O100-P100)</f>
        <v>3560</v>
      </c>
      <c r="R100" s="126"/>
      <c r="S100" s="126"/>
      <c r="T100" s="165">
        <f>SUM(Q100+R100-S100)</f>
        <v>3560</v>
      </c>
      <c r="U100" s="126"/>
      <c r="V100" s="126"/>
      <c r="W100" s="165">
        <f>SUM(T100+U100-V100)</f>
        <v>3560</v>
      </c>
      <c r="X100" s="126"/>
      <c r="Y100" s="126"/>
      <c r="Z100" s="165">
        <f>SUM(W100+X100-Y100)</f>
        <v>3560</v>
      </c>
      <c r="AA100" s="126"/>
      <c r="AB100" s="126"/>
      <c r="AC100" s="165">
        <f>SUM(Z100+AA100-AB100)</f>
        <v>3560</v>
      </c>
      <c r="AD100" s="126"/>
      <c r="AE100" s="126"/>
      <c r="AF100" s="165">
        <f>SUM(AC100+AD100-AE100)</f>
        <v>3560</v>
      </c>
      <c r="AG100" s="126"/>
      <c r="AH100" s="126"/>
      <c r="AI100" s="165">
        <f>SUM(AF100+AG100-AH100)</f>
        <v>3560</v>
      </c>
      <c r="AJ100" s="126"/>
      <c r="AK100" s="126"/>
      <c r="AL100" s="165">
        <f>SUM(AI100+AJ100-AK100)</f>
        <v>3560</v>
      </c>
      <c r="AM100" s="126"/>
      <c r="AN100" s="126"/>
      <c r="AO100" s="165">
        <f>SUM(AL100+AM100-AN100)</f>
        <v>3560</v>
      </c>
      <c r="AP100" s="126"/>
      <c r="AQ100" s="126"/>
      <c r="AR100" s="165">
        <f>SUM(AO100+AP100-AQ100)</f>
        <v>3560</v>
      </c>
      <c r="AS100" s="126">
        <v>1540</v>
      </c>
      <c r="AT100" s="126"/>
      <c r="AU100" s="165">
        <f>SUM(AR100+AS100-AT100)</f>
        <v>5100</v>
      </c>
    </row>
    <row r="101" spans="1:47" s="37" customFormat="1" ht="25.5" customHeight="1">
      <c r="A101" s="120"/>
      <c r="B101" s="98">
        <v>80110</v>
      </c>
      <c r="C101" s="100"/>
      <c r="D101" s="97" t="s">
        <v>67</v>
      </c>
      <c r="E101" s="127"/>
      <c r="F101" s="126"/>
      <c r="G101" s="126"/>
      <c r="H101" s="165">
        <f aca="true" t="shared" si="145" ref="H101:N101">SUM(H102:H104)</f>
        <v>0</v>
      </c>
      <c r="I101" s="165">
        <f t="shared" si="145"/>
        <v>10429</v>
      </c>
      <c r="J101" s="165">
        <f t="shared" si="145"/>
        <v>0</v>
      </c>
      <c r="K101" s="165">
        <f t="shared" si="145"/>
        <v>10429</v>
      </c>
      <c r="L101" s="165">
        <f t="shared" si="145"/>
        <v>0</v>
      </c>
      <c r="M101" s="165">
        <f t="shared" si="145"/>
        <v>0</v>
      </c>
      <c r="N101" s="165">
        <f t="shared" si="145"/>
        <v>10429</v>
      </c>
      <c r="O101" s="165">
        <f aca="true" t="shared" si="146" ref="O101:T101">SUM(O102:O104)</f>
        <v>0</v>
      </c>
      <c r="P101" s="165">
        <f t="shared" si="146"/>
        <v>0</v>
      </c>
      <c r="Q101" s="165">
        <f t="shared" si="146"/>
        <v>10429</v>
      </c>
      <c r="R101" s="165">
        <f t="shared" si="146"/>
        <v>0</v>
      </c>
      <c r="S101" s="165">
        <f t="shared" si="146"/>
        <v>0</v>
      </c>
      <c r="T101" s="165">
        <f t="shared" si="146"/>
        <v>10429</v>
      </c>
      <c r="U101" s="165">
        <f aca="true" t="shared" si="147" ref="U101:Z101">SUM(U102:U104)</f>
        <v>0</v>
      </c>
      <c r="V101" s="165">
        <f t="shared" si="147"/>
        <v>0</v>
      </c>
      <c r="W101" s="165">
        <f t="shared" si="147"/>
        <v>10429</v>
      </c>
      <c r="X101" s="165">
        <f t="shared" si="147"/>
        <v>0</v>
      </c>
      <c r="Y101" s="165">
        <f t="shared" si="147"/>
        <v>0</v>
      </c>
      <c r="Z101" s="165">
        <f t="shared" si="147"/>
        <v>10429</v>
      </c>
      <c r="AA101" s="165">
        <f aca="true" t="shared" si="148" ref="AA101:AF101">SUM(AA102:AA104)</f>
        <v>0</v>
      </c>
      <c r="AB101" s="165">
        <f t="shared" si="148"/>
        <v>0</v>
      </c>
      <c r="AC101" s="165">
        <f t="shared" si="148"/>
        <v>10429</v>
      </c>
      <c r="AD101" s="165">
        <f t="shared" si="148"/>
        <v>0</v>
      </c>
      <c r="AE101" s="165">
        <f t="shared" si="148"/>
        <v>0</v>
      </c>
      <c r="AF101" s="165">
        <f t="shared" si="148"/>
        <v>10429</v>
      </c>
      <c r="AG101" s="165">
        <f aca="true" t="shared" si="149" ref="AG101:AL101">SUM(AG102:AG104)</f>
        <v>0</v>
      </c>
      <c r="AH101" s="165">
        <f t="shared" si="149"/>
        <v>0</v>
      </c>
      <c r="AI101" s="165">
        <f t="shared" si="149"/>
        <v>10429</v>
      </c>
      <c r="AJ101" s="165">
        <f t="shared" si="149"/>
        <v>0</v>
      </c>
      <c r="AK101" s="165">
        <f t="shared" si="149"/>
        <v>0</v>
      </c>
      <c r="AL101" s="165">
        <f t="shared" si="149"/>
        <v>10429</v>
      </c>
      <c r="AM101" s="165">
        <f>SUM(AM102:AM104)</f>
        <v>0</v>
      </c>
      <c r="AN101" s="165">
        <f>SUM(AN102:AN104)</f>
        <v>0</v>
      </c>
      <c r="AO101" s="165">
        <f>SUM(AO102:AO104)</f>
        <v>10429</v>
      </c>
      <c r="AP101" s="165">
        <f>SUM(AP102:AP104)</f>
        <v>0</v>
      </c>
      <c r="AQ101" s="165">
        <f>SUM(AQ102:AQ104)</f>
        <v>0</v>
      </c>
      <c r="AR101" s="165">
        <f>SUM(AR102:AR105)</f>
        <v>10429</v>
      </c>
      <c r="AS101" s="165">
        <f>SUM(AS102:AS105)</f>
        <v>13498</v>
      </c>
      <c r="AT101" s="165">
        <f>SUM(AT102:AT105)</f>
        <v>3000</v>
      </c>
      <c r="AU101" s="165">
        <f>SUM(AU102:AU105)</f>
        <v>20927</v>
      </c>
    </row>
    <row r="102" spans="1:47" s="37" customFormat="1" ht="84">
      <c r="A102" s="120"/>
      <c r="B102" s="98"/>
      <c r="C102" s="100" t="s">
        <v>202</v>
      </c>
      <c r="D102" s="110" t="s">
        <v>71</v>
      </c>
      <c r="E102" s="127"/>
      <c r="F102" s="126"/>
      <c r="G102" s="126"/>
      <c r="H102" s="165">
        <v>0</v>
      </c>
      <c r="I102" s="165">
        <v>9829</v>
      </c>
      <c r="J102" s="165"/>
      <c r="K102" s="165">
        <f>SUM(H102+I102-J102)</f>
        <v>9829</v>
      </c>
      <c r="L102" s="165"/>
      <c r="M102" s="165"/>
      <c r="N102" s="165">
        <f>SUM(K102+L102-M102)</f>
        <v>9829</v>
      </c>
      <c r="O102" s="165"/>
      <c r="P102" s="165"/>
      <c r="Q102" s="165">
        <f>SUM(N102+O102-P102)</f>
        <v>9829</v>
      </c>
      <c r="R102" s="165"/>
      <c r="S102" s="165"/>
      <c r="T102" s="165">
        <f>SUM(Q102+R102-S102)</f>
        <v>9829</v>
      </c>
      <c r="U102" s="165"/>
      <c r="V102" s="165"/>
      <c r="W102" s="165">
        <f>SUM(T102+U102-V102)</f>
        <v>9829</v>
      </c>
      <c r="X102" s="165"/>
      <c r="Y102" s="165"/>
      <c r="Z102" s="165">
        <f>SUM(W102+X102-Y102)</f>
        <v>9829</v>
      </c>
      <c r="AA102" s="165"/>
      <c r="AB102" s="165"/>
      <c r="AC102" s="165">
        <f>SUM(Z102+AA102-AB102)</f>
        <v>9829</v>
      </c>
      <c r="AD102" s="165"/>
      <c r="AE102" s="165"/>
      <c r="AF102" s="165">
        <f>SUM(AC102+AD102-AE102)</f>
        <v>9829</v>
      </c>
      <c r="AG102" s="165"/>
      <c r="AH102" s="165"/>
      <c r="AI102" s="165">
        <f>SUM(AF102+AG102-AH102)</f>
        <v>9829</v>
      </c>
      <c r="AJ102" s="165"/>
      <c r="AK102" s="165"/>
      <c r="AL102" s="165">
        <f>SUM(AI102+AJ102-AK102)</f>
        <v>9829</v>
      </c>
      <c r="AM102" s="165"/>
      <c r="AN102" s="165"/>
      <c r="AO102" s="165">
        <f>SUM(AL102+AM102-AN102)</f>
        <v>9829</v>
      </c>
      <c r="AP102" s="165"/>
      <c r="AQ102" s="165"/>
      <c r="AR102" s="165">
        <f>SUM(AO102+AP102-AQ102)</f>
        <v>9829</v>
      </c>
      <c r="AS102" s="165"/>
      <c r="AT102" s="165">
        <v>3000</v>
      </c>
      <c r="AU102" s="165">
        <f>SUM(AR102+AS102-AT102)</f>
        <v>6829</v>
      </c>
    </row>
    <row r="103" spans="1:47" s="37" customFormat="1" ht="20.25" customHeight="1">
      <c r="A103" s="120"/>
      <c r="B103" s="98"/>
      <c r="C103" s="100" t="s">
        <v>204</v>
      </c>
      <c r="D103" s="110" t="s">
        <v>19</v>
      </c>
      <c r="E103" s="127"/>
      <c r="F103" s="126"/>
      <c r="G103" s="126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>
        <v>0</v>
      </c>
      <c r="AS103" s="165">
        <v>618</v>
      </c>
      <c r="AT103" s="165"/>
      <c r="AU103" s="165">
        <f>SUM(AR103+AS103-AT103)</f>
        <v>618</v>
      </c>
    </row>
    <row r="104" spans="1:47" s="37" customFormat="1" ht="60">
      <c r="A104" s="120"/>
      <c r="B104" s="98"/>
      <c r="C104" s="100">
        <v>2320</v>
      </c>
      <c r="D104" s="56" t="s">
        <v>447</v>
      </c>
      <c r="E104" s="127"/>
      <c r="F104" s="126"/>
      <c r="G104" s="126"/>
      <c r="H104" s="165">
        <v>0</v>
      </c>
      <c r="I104" s="126">
        <v>600</v>
      </c>
      <c r="J104" s="126"/>
      <c r="K104" s="165">
        <f>SUM(H104+I104-J104)</f>
        <v>600</v>
      </c>
      <c r="L104" s="126"/>
      <c r="M104" s="126"/>
      <c r="N104" s="165">
        <f>SUM(K104+L104-M104)</f>
        <v>600</v>
      </c>
      <c r="O104" s="126"/>
      <c r="P104" s="126"/>
      <c r="Q104" s="165">
        <f>SUM(N104+O104-P104)</f>
        <v>600</v>
      </c>
      <c r="R104" s="126"/>
      <c r="S104" s="126"/>
      <c r="T104" s="165">
        <f>SUM(Q104+R104-S104)</f>
        <v>600</v>
      </c>
      <c r="U104" s="126"/>
      <c r="V104" s="126"/>
      <c r="W104" s="165">
        <f>SUM(T104+U104-V104)</f>
        <v>600</v>
      </c>
      <c r="X104" s="126"/>
      <c r="Y104" s="126"/>
      <c r="Z104" s="165">
        <f>SUM(W104+X104-Y104)</f>
        <v>600</v>
      </c>
      <c r="AA104" s="126"/>
      <c r="AB104" s="126"/>
      <c r="AC104" s="165">
        <f>SUM(Z104+AA104-AB104)</f>
        <v>600</v>
      </c>
      <c r="AD104" s="126"/>
      <c r="AE104" s="126"/>
      <c r="AF104" s="165">
        <f>SUM(AC104+AD104-AE104)</f>
        <v>600</v>
      </c>
      <c r="AG104" s="126"/>
      <c r="AH104" s="126"/>
      <c r="AI104" s="165">
        <f>SUM(AF104+AG104-AH104)</f>
        <v>600</v>
      </c>
      <c r="AJ104" s="126"/>
      <c r="AK104" s="126"/>
      <c r="AL104" s="165">
        <f>SUM(AI104+AJ104-AK104)</f>
        <v>600</v>
      </c>
      <c r="AM104" s="126"/>
      <c r="AN104" s="126"/>
      <c r="AO104" s="165">
        <f>SUM(AL104+AM104-AN104)</f>
        <v>600</v>
      </c>
      <c r="AP104" s="126"/>
      <c r="AQ104" s="126"/>
      <c r="AR104" s="165">
        <f>SUM(AO104+AP104-AQ104)</f>
        <v>600</v>
      </c>
      <c r="AS104" s="126"/>
      <c r="AT104" s="126"/>
      <c r="AU104" s="165">
        <f>SUM(AR104+AS104-AT104)</f>
        <v>600</v>
      </c>
    </row>
    <row r="105" spans="1:47" s="37" customFormat="1" ht="60">
      <c r="A105" s="121"/>
      <c r="B105" s="98"/>
      <c r="C105" s="100">
        <v>2705</v>
      </c>
      <c r="D105" s="97" t="s">
        <v>708</v>
      </c>
      <c r="E105" s="127"/>
      <c r="F105" s="126"/>
      <c r="G105" s="126"/>
      <c r="H105" s="165"/>
      <c r="I105" s="126"/>
      <c r="J105" s="126"/>
      <c r="K105" s="165"/>
      <c r="L105" s="126"/>
      <c r="M105" s="126"/>
      <c r="N105" s="165"/>
      <c r="O105" s="126"/>
      <c r="P105" s="126"/>
      <c r="Q105" s="165"/>
      <c r="R105" s="126"/>
      <c r="S105" s="126"/>
      <c r="T105" s="165"/>
      <c r="U105" s="126"/>
      <c r="V105" s="126"/>
      <c r="W105" s="165"/>
      <c r="X105" s="126"/>
      <c r="Y105" s="126"/>
      <c r="Z105" s="165"/>
      <c r="AA105" s="126"/>
      <c r="AB105" s="126"/>
      <c r="AC105" s="165"/>
      <c r="AD105" s="126"/>
      <c r="AE105" s="126"/>
      <c r="AF105" s="165"/>
      <c r="AG105" s="126"/>
      <c r="AH105" s="126"/>
      <c r="AI105" s="165"/>
      <c r="AJ105" s="126"/>
      <c r="AK105" s="126"/>
      <c r="AL105" s="165"/>
      <c r="AM105" s="126"/>
      <c r="AN105" s="126"/>
      <c r="AO105" s="165"/>
      <c r="AP105" s="126"/>
      <c r="AQ105" s="126"/>
      <c r="AR105" s="165">
        <v>0</v>
      </c>
      <c r="AS105" s="126">
        <v>12880</v>
      </c>
      <c r="AT105" s="126"/>
      <c r="AU105" s="165">
        <f>SUM(AR105+AS105-AT105)</f>
        <v>12880</v>
      </c>
    </row>
    <row r="106" spans="1:47" s="37" customFormat="1" ht="21.75" customHeight="1">
      <c r="A106" s="121"/>
      <c r="B106" s="98">
        <v>80195</v>
      </c>
      <c r="C106" s="100"/>
      <c r="D106" s="97" t="s">
        <v>10</v>
      </c>
      <c r="E106" s="127"/>
      <c r="F106" s="126"/>
      <c r="G106" s="126"/>
      <c r="H106" s="165"/>
      <c r="I106" s="126"/>
      <c r="J106" s="126"/>
      <c r="K106" s="165"/>
      <c r="L106" s="126"/>
      <c r="M106" s="126"/>
      <c r="N106" s="165"/>
      <c r="O106" s="126"/>
      <c r="P106" s="126"/>
      <c r="Q106" s="165"/>
      <c r="R106" s="126"/>
      <c r="S106" s="126"/>
      <c r="T106" s="165"/>
      <c r="U106" s="126"/>
      <c r="V106" s="126"/>
      <c r="W106" s="165"/>
      <c r="X106" s="126"/>
      <c r="Y106" s="126"/>
      <c r="Z106" s="165">
        <f aca="true" t="shared" si="150" ref="Z106:AU106">SUM(Z107)</f>
        <v>0</v>
      </c>
      <c r="AA106" s="165">
        <f t="shared" si="150"/>
        <v>27951</v>
      </c>
      <c r="AB106" s="165">
        <f t="shared" si="150"/>
        <v>0</v>
      </c>
      <c r="AC106" s="165">
        <f t="shared" si="150"/>
        <v>27951</v>
      </c>
      <c r="AD106" s="165">
        <f t="shared" si="150"/>
        <v>0</v>
      </c>
      <c r="AE106" s="165">
        <f t="shared" si="150"/>
        <v>0</v>
      </c>
      <c r="AF106" s="165">
        <f t="shared" si="150"/>
        <v>27951</v>
      </c>
      <c r="AG106" s="165">
        <f t="shared" si="150"/>
        <v>0</v>
      </c>
      <c r="AH106" s="165">
        <f t="shared" si="150"/>
        <v>0</v>
      </c>
      <c r="AI106" s="165">
        <f t="shared" si="150"/>
        <v>27951</v>
      </c>
      <c r="AJ106" s="165">
        <f t="shared" si="150"/>
        <v>0</v>
      </c>
      <c r="AK106" s="165">
        <f t="shared" si="150"/>
        <v>0</v>
      </c>
      <c r="AL106" s="165">
        <f t="shared" si="150"/>
        <v>27951</v>
      </c>
      <c r="AM106" s="165">
        <f t="shared" si="150"/>
        <v>0</v>
      </c>
      <c r="AN106" s="165">
        <f t="shared" si="150"/>
        <v>0</v>
      </c>
      <c r="AO106" s="165">
        <f t="shared" si="150"/>
        <v>27951</v>
      </c>
      <c r="AP106" s="165">
        <f t="shared" si="150"/>
        <v>51493</v>
      </c>
      <c r="AQ106" s="165">
        <f t="shared" si="150"/>
        <v>0</v>
      </c>
      <c r="AR106" s="165">
        <f t="shared" si="150"/>
        <v>79444</v>
      </c>
      <c r="AS106" s="165">
        <f t="shared" si="150"/>
        <v>0</v>
      </c>
      <c r="AT106" s="165">
        <f t="shared" si="150"/>
        <v>0</v>
      </c>
      <c r="AU106" s="165">
        <f t="shared" si="150"/>
        <v>79444</v>
      </c>
    </row>
    <row r="107" spans="1:47" s="37" customFormat="1" ht="48">
      <c r="A107" s="121"/>
      <c r="B107" s="98"/>
      <c r="C107" s="100">
        <v>2030</v>
      </c>
      <c r="D107" s="110" t="s">
        <v>279</v>
      </c>
      <c r="E107" s="127"/>
      <c r="F107" s="126"/>
      <c r="G107" s="126"/>
      <c r="H107" s="165"/>
      <c r="I107" s="126"/>
      <c r="J107" s="126"/>
      <c r="K107" s="165"/>
      <c r="L107" s="126"/>
      <c r="M107" s="126"/>
      <c r="N107" s="165"/>
      <c r="O107" s="126"/>
      <c r="P107" s="126"/>
      <c r="Q107" s="165"/>
      <c r="R107" s="126"/>
      <c r="S107" s="126"/>
      <c r="T107" s="165"/>
      <c r="U107" s="126"/>
      <c r="V107" s="126"/>
      <c r="W107" s="165"/>
      <c r="X107" s="126"/>
      <c r="Y107" s="126"/>
      <c r="Z107" s="165">
        <v>0</v>
      </c>
      <c r="AA107" s="126">
        <v>27951</v>
      </c>
      <c r="AB107" s="126"/>
      <c r="AC107" s="165">
        <f>SUM(Z107+AA107-AB107)</f>
        <v>27951</v>
      </c>
      <c r="AD107" s="126"/>
      <c r="AE107" s="126"/>
      <c r="AF107" s="165">
        <f>SUM(AC107+AD107-AE107)</f>
        <v>27951</v>
      </c>
      <c r="AG107" s="126"/>
      <c r="AH107" s="126"/>
      <c r="AI107" s="165">
        <f>SUM(AF107+AG107-AH107)</f>
        <v>27951</v>
      </c>
      <c r="AJ107" s="126"/>
      <c r="AK107" s="126"/>
      <c r="AL107" s="165">
        <f>SUM(AI107+AJ107-AK107)</f>
        <v>27951</v>
      </c>
      <c r="AM107" s="126"/>
      <c r="AN107" s="126"/>
      <c r="AO107" s="165">
        <f>SUM(AL107+AM107-AN107)</f>
        <v>27951</v>
      </c>
      <c r="AP107" s="126">
        <v>51493</v>
      </c>
      <c r="AQ107" s="126"/>
      <c r="AR107" s="165">
        <f>SUM(AO107+AP107-AQ107)</f>
        <v>79444</v>
      </c>
      <c r="AS107" s="126"/>
      <c r="AT107" s="126"/>
      <c r="AU107" s="165">
        <f>SUM(AR107+AS107-AT107)</f>
        <v>79444</v>
      </c>
    </row>
    <row r="108" spans="1:47" s="8" customFormat="1" ht="24.75" customHeight="1">
      <c r="A108" s="46" t="s">
        <v>195</v>
      </c>
      <c r="B108" s="4"/>
      <c r="C108" s="5"/>
      <c r="D108" s="47" t="s">
        <v>238</v>
      </c>
      <c r="E108" s="89">
        <f aca="true" t="shared" si="151" ref="E108:AH108">SUM(E109,E114,E116,E119,E125,E111)</f>
        <v>7108846</v>
      </c>
      <c r="F108" s="89">
        <f t="shared" si="151"/>
        <v>5507000</v>
      </c>
      <c r="G108" s="89">
        <f t="shared" si="151"/>
        <v>5507000</v>
      </c>
      <c r="H108" s="89">
        <f t="shared" si="151"/>
        <v>7108846</v>
      </c>
      <c r="I108" s="89">
        <f t="shared" si="151"/>
        <v>0</v>
      </c>
      <c r="J108" s="89">
        <f t="shared" si="151"/>
        <v>0</v>
      </c>
      <c r="K108" s="89">
        <f t="shared" si="151"/>
        <v>7108846</v>
      </c>
      <c r="L108" s="89">
        <f t="shared" si="151"/>
        <v>48100</v>
      </c>
      <c r="M108" s="89">
        <f t="shared" si="151"/>
        <v>71300</v>
      </c>
      <c r="N108" s="89">
        <f t="shared" si="151"/>
        <v>7085646</v>
      </c>
      <c r="O108" s="89">
        <f t="shared" si="151"/>
        <v>0</v>
      </c>
      <c r="P108" s="89">
        <f t="shared" si="151"/>
        <v>0</v>
      </c>
      <c r="Q108" s="89">
        <f t="shared" si="151"/>
        <v>7085646</v>
      </c>
      <c r="R108" s="89">
        <f t="shared" si="151"/>
        <v>341277</v>
      </c>
      <c r="S108" s="89">
        <f t="shared" si="151"/>
        <v>0</v>
      </c>
      <c r="T108" s="89">
        <f t="shared" si="151"/>
        <v>7426923</v>
      </c>
      <c r="U108" s="89">
        <f t="shared" si="151"/>
        <v>51010</v>
      </c>
      <c r="V108" s="89">
        <f t="shared" si="151"/>
        <v>0</v>
      </c>
      <c r="W108" s="89">
        <f t="shared" si="151"/>
        <v>7477933</v>
      </c>
      <c r="X108" s="89">
        <f t="shared" si="151"/>
        <v>344402</v>
      </c>
      <c r="Y108" s="89">
        <f t="shared" si="151"/>
        <v>70000</v>
      </c>
      <c r="Z108" s="89">
        <f t="shared" si="151"/>
        <v>7752335</v>
      </c>
      <c r="AA108" s="89">
        <f t="shared" si="151"/>
        <v>0</v>
      </c>
      <c r="AB108" s="89">
        <f t="shared" si="151"/>
        <v>0</v>
      </c>
      <c r="AC108" s="89">
        <f t="shared" si="151"/>
        <v>7752335</v>
      </c>
      <c r="AD108" s="89">
        <f t="shared" si="151"/>
        <v>138594</v>
      </c>
      <c r="AE108" s="89">
        <f t="shared" si="151"/>
        <v>0</v>
      </c>
      <c r="AF108" s="89">
        <f t="shared" si="151"/>
        <v>7890929</v>
      </c>
      <c r="AG108" s="89">
        <f t="shared" si="151"/>
        <v>0</v>
      </c>
      <c r="AH108" s="89">
        <f t="shared" si="151"/>
        <v>0</v>
      </c>
      <c r="AI108" s="89">
        <f aca="true" t="shared" si="152" ref="AI108:AO108">SUM(AI109,AI114,AI116,AI119,AI125,AI111,AI123)</f>
        <v>7890929</v>
      </c>
      <c r="AJ108" s="89">
        <f t="shared" si="152"/>
        <v>747197</v>
      </c>
      <c r="AK108" s="89">
        <f t="shared" si="152"/>
        <v>0</v>
      </c>
      <c r="AL108" s="89">
        <f t="shared" si="152"/>
        <v>8638126</v>
      </c>
      <c r="AM108" s="89">
        <f t="shared" si="152"/>
        <v>326670</v>
      </c>
      <c r="AN108" s="89">
        <f t="shared" si="152"/>
        <v>0</v>
      </c>
      <c r="AO108" s="89">
        <f t="shared" si="152"/>
        <v>8964796</v>
      </c>
      <c r="AP108" s="89">
        <f aca="true" t="shared" si="153" ref="AP108:AU108">SUM(AP109,AP114,AP116,AP119,AP125,AP111,AP123)</f>
        <v>0</v>
      </c>
      <c r="AQ108" s="89">
        <f t="shared" si="153"/>
        <v>0</v>
      </c>
      <c r="AR108" s="89">
        <f t="shared" si="153"/>
        <v>8964796</v>
      </c>
      <c r="AS108" s="89">
        <f t="shared" si="153"/>
        <v>69602</v>
      </c>
      <c r="AT108" s="89">
        <f t="shared" si="153"/>
        <v>0</v>
      </c>
      <c r="AU108" s="89">
        <f t="shared" si="153"/>
        <v>9034398</v>
      </c>
    </row>
    <row r="109" spans="1:47" s="37" customFormat="1" ht="45" hidden="1">
      <c r="A109" s="103"/>
      <c r="B109" s="74">
        <v>85212</v>
      </c>
      <c r="C109" s="112"/>
      <c r="D109" s="110" t="s">
        <v>275</v>
      </c>
      <c r="E109" s="102">
        <f aca="true" t="shared" si="154" ref="E109:AU109">SUM(E110)</f>
        <v>5507000</v>
      </c>
      <c r="F109" s="102">
        <f t="shared" si="154"/>
        <v>0</v>
      </c>
      <c r="G109" s="102">
        <f t="shared" si="154"/>
        <v>5507000</v>
      </c>
      <c r="H109" s="102">
        <f t="shared" si="154"/>
        <v>0</v>
      </c>
      <c r="I109" s="102">
        <f t="shared" si="154"/>
        <v>0</v>
      </c>
      <c r="J109" s="102">
        <f t="shared" si="154"/>
        <v>0</v>
      </c>
      <c r="K109" s="102">
        <f t="shared" si="154"/>
        <v>0</v>
      </c>
      <c r="L109" s="102">
        <f t="shared" si="154"/>
        <v>0</v>
      </c>
      <c r="M109" s="102">
        <f t="shared" si="154"/>
        <v>0</v>
      </c>
      <c r="N109" s="102">
        <f t="shared" si="154"/>
        <v>0</v>
      </c>
      <c r="O109" s="102">
        <f t="shared" si="154"/>
        <v>0</v>
      </c>
      <c r="P109" s="102">
        <f t="shared" si="154"/>
        <v>0</v>
      </c>
      <c r="Q109" s="102">
        <f t="shared" si="154"/>
        <v>0</v>
      </c>
      <c r="R109" s="102">
        <f t="shared" si="154"/>
        <v>0</v>
      </c>
      <c r="S109" s="102">
        <f t="shared" si="154"/>
        <v>0</v>
      </c>
      <c r="T109" s="102">
        <f t="shared" si="154"/>
        <v>0</v>
      </c>
      <c r="U109" s="102">
        <f t="shared" si="154"/>
        <v>0</v>
      </c>
      <c r="V109" s="102">
        <f t="shared" si="154"/>
        <v>0</v>
      </c>
      <c r="W109" s="102">
        <f t="shared" si="154"/>
        <v>0</v>
      </c>
      <c r="X109" s="102">
        <f t="shared" si="154"/>
        <v>0</v>
      </c>
      <c r="Y109" s="102">
        <f t="shared" si="154"/>
        <v>0</v>
      </c>
      <c r="Z109" s="102">
        <f t="shared" si="154"/>
        <v>0</v>
      </c>
      <c r="AA109" s="102">
        <f t="shared" si="154"/>
        <v>0</v>
      </c>
      <c r="AB109" s="102">
        <f t="shared" si="154"/>
        <v>0</v>
      </c>
      <c r="AC109" s="102">
        <f t="shared" si="154"/>
        <v>0</v>
      </c>
      <c r="AD109" s="102">
        <f t="shared" si="154"/>
        <v>0</v>
      </c>
      <c r="AE109" s="102">
        <f t="shared" si="154"/>
        <v>0</v>
      </c>
      <c r="AF109" s="102">
        <f t="shared" si="154"/>
        <v>0</v>
      </c>
      <c r="AG109" s="102">
        <f t="shared" si="154"/>
        <v>0</v>
      </c>
      <c r="AH109" s="102">
        <f t="shared" si="154"/>
        <v>0</v>
      </c>
      <c r="AI109" s="102">
        <f t="shared" si="154"/>
        <v>0</v>
      </c>
      <c r="AJ109" s="102">
        <f t="shared" si="154"/>
        <v>0</v>
      </c>
      <c r="AK109" s="102">
        <f t="shared" si="154"/>
        <v>0</v>
      </c>
      <c r="AL109" s="102">
        <f t="shared" si="154"/>
        <v>0</v>
      </c>
      <c r="AM109" s="102">
        <f t="shared" si="154"/>
        <v>0</v>
      </c>
      <c r="AN109" s="102">
        <f t="shared" si="154"/>
        <v>0</v>
      </c>
      <c r="AO109" s="102">
        <f t="shared" si="154"/>
        <v>0</v>
      </c>
      <c r="AP109" s="102">
        <f t="shared" si="154"/>
        <v>0</v>
      </c>
      <c r="AQ109" s="102">
        <f t="shared" si="154"/>
        <v>0</v>
      </c>
      <c r="AR109" s="102">
        <f t="shared" si="154"/>
        <v>0</v>
      </c>
      <c r="AS109" s="102">
        <f t="shared" si="154"/>
        <v>0</v>
      </c>
      <c r="AT109" s="102">
        <f t="shared" si="154"/>
        <v>0</v>
      </c>
      <c r="AU109" s="102">
        <f t="shared" si="154"/>
        <v>0</v>
      </c>
    </row>
    <row r="110" spans="1:47" s="37" customFormat="1" ht="67.5" hidden="1">
      <c r="A110" s="103"/>
      <c r="B110" s="74"/>
      <c r="C110" s="112">
        <v>2010</v>
      </c>
      <c r="D110" s="110" t="s">
        <v>296</v>
      </c>
      <c r="E110" s="102">
        <v>5507000</v>
      </c>
      <c r="F110" s="126"/>
      <c r="G110" s="126">
        <v>5507000</v>
      </c>
      <c r="H110" s="126">
        <f>SUM(E110+F110-G110)</f>
        <v>0</v>
      </c>
      <c r="I110" s="126"/>
      <c r="J110" s="126"/>
      <c r="K110" s="126">
        <f>SUM(H110+I110-J110)</f>
        <v>0</v>
      </c>
      <c r="L110" s="126"/>
      <c r="M110" s="126"/>
      <c r="N110" s="126">
        <f>SUM(K110+L110-M110)</f>
        <v>0</v>
      </c>
      <c r="O110" s="126"/>
      <c r="P110" s="126"/>
      <c r="Q110" s="126">
        <f>SUM(N110+O110-P110)</f>
        <v>0</v>
      </c>
      <c r="R110" s="126"/>
      <c r="S110" s="126"/>
      <c r="T110" s="126">
        <f>SUM(Q110+R110-S110)</f>
        <v>0</v>
      </c>
      <c r="U110" s="126"/>
      <c r="V110" s="126"/>
      <c r="W110" s="126">
        <f>SUM(T110+U110-V110)</f>
        <v>0</v>
      </c>
      <c r="X110" s="126"/>
      <c r="Y110" s="126"/>
      <c r="Z110" s="126">
        <f>SUM(W110+X110-Y110)</f>
        <v>0</v>
      </c>
      <c r="AA110" s="126"/>
      <c r="AB110" s="126"/>
      <c r="AC110" s="126">
        <f>SUM(Z110+AA110-AB110)</f>
        <v>0</v>
      </c>
      <c r="AD110" s="126"/>
      <c r="AE110" s="126"/>
      <c r="AF110" s="126">
        <f>SUM(AC110+AD110-AE110)</f>
        <v>0</v>
      </c>
      <c r="AG110" s="126"/>
      <c r="AH110" s="126"/>
      <c r="AI110" s="126">
        <f>SUM(AF110+AG110-AH110)</f>
        <v>0</v>
      </c>
      <c r="AJ110" s="126"/>
      <c r="AK110" s="126"/>
      <c r="AL110" s="126">
        <f>SUM(AI110+AJ110-AK110)</f>
        <v>0</v>
      </c>
      <c r="AM110" s="126"/>
      <c r="AN110" s="126"/>
      <c r="AO110" s="126">
        <f>SUM(AL110+AM110-AN110)</f>
        <v>0</v>
      </c>
      <c r="AP110" s="126"/>
      <c r="AQ110" s="126"/>
      <c r="AR110" s="126">
        <f>SUM(AO110+AP110-AQ110)</f>
        <v>0</v>
      </c>
      <c r="AS110" s="126"/>
      <c r="AT110" s="126"/>
      <c r="AU110" s="126">
        <f>SUM(AR110+AS110-AT110)</f>
        <v>0</v>
      </c>
    </row>
    <row r="111" spans="1:47" s="37" customFormat="1" ht="57" customHeight="1">
      <c r="A111" s="103"/>
      <c r="B111" s="74">
        <v>85212</v>
      </c>
      <c r="C111" s="112"/>
      <c r="D111" s="110" t="s">
        <v>362</v>
      </c>
      <c r="E111" s="102">
        <f aca="true" t="shared" si="155" ref="E111:V111">SUM(E113)</f>
        <v>0</v>
      </c>
      <c r="F111" s="102">
        <f t="shared" si="155"/>
        <v>5507000</v>
      </c>
      <c r="G111" s="102">
        <f t="shared" si="155"/>
        <v>0</v>
      </c>
      <c r="H111" s="102">
        <f t="shared" si="155"/>
        <v>5507000</v>
      </c>
      <c r="I111" s="102">
        <f t="shared" si="155"/>
        <v>0</v>
      </c>
      <c r="J111" s="102">
        <f t="shared" si="155"/>
        <v>0</v>
      </c>
      <c r="K111" s="102">
        <f t="shared" si="155"/>
        <v>5507000</v>
      </c>
      <c r="L111" s="102">
        <f t="shared" si="155"/>
        <v>48100</v>
      </c>
      <c r="M111" s="102">
        <f t="shared" si="155"/>
        <v>0</v>
      </c>
      <c r="N111" s="102">
        <f t="shared" si="155"/>
        <v>5555100</v>
      </c>
      <c r="O111" s="102">
        <f t="shared" si="155"/>
        <v>0</v>
      </c>
      <c r="P111" s="102">
        <f t="shared" si="155"/>
        <v>0</v>
      </c>
      <c r="Q111" s="102">
        <f t="shared" si="155"/>
        <v>5555100</v>
      </c>
      <c r="R111" s="102">
        <f t="shared" si="155"/>
        <v>0</v>
      </c>
      <c r="S111" s="102">
        <f t="shared" si="155"/>
        <v>0</v>
      </c>
      <c r="T111" s="102">
        <f t="shared" si="155"/>
        <v>5555100</v>
      </c>
      <c r="U111" s="102">
        <f t="shared" si="155"/>
        <v>0</v>
      </c>
      <c r="V111" s="102">
        <f t="shared" si="155"/>
        <v>0</v>
      </c>
      <c r="W111" s="102">
        <f aca="true" t="shared" si="156" ref="W111:AC111">SUM(W112:W113)</f>
        <v>5555100</v>
      </c>
      <c r="X111" s="102">
        <f t="shared" si="156"/>
        <v>5700</v>
      </c>
      <c r="Y111" s="102">
        <f t="shared" si="156"/>
        <v>0</v>
      </c>
      <c r="Z111" s="102">
        <f t="shared" si="156"/>
        <v>5560800</v>
      </c>
      <c r="AA111" s="102">
        <f t="shared" si="156"/>
        <v>0</v>
      </c>
      <c r="AB111" s="102">
        <f t="shared" si="156"/>
        <v>0</v>
      </c>
      <c r="AC111" s="102">
        <f t="shared" si="156"/>
        <v>5560800</v>
      </c>
      <c r="AD111" s="102">
        <f aca="true" t="shared" si="157" ref="AD111:AI111">SUM(AD112:AD113)</f>
        <v>0</v>
      </c>
      <c r="AE111" s="102">
        <f t="shared" si="157"/>
        <v>0</v>
      </c>
      <c r="AF111" s="102">
        <f t="shared" si="157"/>
        <v>5560800</v>
      </c>
      <c r="AG111" s="102">
        <f t="shared" si="157"/>
        <v>0</v>
      </c>
      <c r="AH111" s="102">
        <f t="shared" si="157"/>
        <v>0</v>
      </c>
      <c r="AI111" s="102">
        <f t="shared" si="157"/>
        <v>5560800</v>
      </c>
      <c r="AJ111" s="102">
        <f aca="true" t="shared" si="158" ref="AJ111:AO111">SUM(AJ112:AJ113)</f>
        <v>505100</v>
      </c>
      <c r="AK111" s="102">
        <f t="shared" si="158"/>
        <v>0</v>
      </c>
      <c r="AL111" s="102">
        <f t="shared" si="158"/>
        <v>6065900</v>
      </c>
      <c r="AM111" s="102">
        <f t="shared" si="158"/>
        <v>267800</v>
      </c>
      <c r="AN111" s="102">
        <f t="shared" si="158"/>
        <v>0</v>
      </c>
      <c r="AO111" s="102">
        <f t="shared" si="158"/>
        <v>6333700</v>
      </c>
      <c r="AP111" s="102">
        <f aca="true" t="shared" si="159" ref="AP111:AU111">SUM(AP112:AP113)</f>
        <v>0</v>
      </c>
      <c r="AQ111" s="102">
        <f t="shared" si="159"/>
        <v>0</v>
      </c>
      <c r="AR111" s="102">
        <f t="shared" si="159"/>
        <v>6333700</v>
      </c>
      <c r="AS111" s="102">
        <f t="shared" si="159"/>
        <v>4300</v>
      </c>
      <c r="AT111" s="102">
        <f t="shared" si="159"/>
        <v>0</v>
      </c>
      <c r="AU111" s="102">
        <f t="shared" si="159"/>
        <v>6338000</v>
      </c>
    </row>
    <row r="112" spans="1:47" s="37" customFormat="1" ht="18.75" customHeight="1">
      <c r="A112" s="103"/>
      <c r="B112" s="74"/>
      <c r="C112" s="112" t="s">
        <v>204</v>
      </c>
      <c r="D112" s="110" t="s">
        <v>544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>
        <v>0</v>
      </c>
      <c r="X112" s="102">
        <v>5700</v>
      </c>
      <c r="Y112" s="102"/>
      <c r="Z112" s="126">
        <f>SUM(W112+X112-Y112)</f>
        <v>5700</v>
      </c>
      <c r="AA112" s="102"/>
      <c r="AB112" s="102"/>
      <c r="AC112" s="126">
        <f>SUM(Z112+AA112-AB112)</f>
        <v>5700</v>
      </c>
      <c r="AD112" s="102"/>
      <c r="AE112" s="102"/>
      <c r="AF112" s="126">
        <f>SUM(AC112+AD112-AE112)</f>
        <v>5700</v>
      </c>
      <c r="AG112" s="102"/>
      <c r="AH112" s="102"/>
      <c r="AI112" s="126">
        <f>SUM(AF112+AG112-AH112)</f>
        <v>5700</v>
      </c>
      <c r="AJ112" s="102"/>
      <c r="AK112" s="102"/>
      <c r="AL112" s="126">
        <f>SUM(AI112+AJ112-AK112)</f>
        <v>5700</v>
      </c>
      <c r="AM112" s="102"/>
      <c r="AN112" s="102"/>
      <c r="AO112" s="126">
        <f>SUM(AL112+AM112-AN112)</f>
        <v>5700</v>
      </c>
      <c r="AP112" s="102"/>
      <c r="AQ112" s="102"/>
      <c r="AR112" s="126">
        <f>SUM(AO112+AP112-AQ112)</f>
        <v>5700</v>
      </c>
      <c r="AS112" s="102">
        <v>4300</v>
      </c>
      <c r="AT112" s="102"/>
      <c r="AU112" s="126">
        <f>SUM(AR112+AS112-AT112)</f>
        <v>10000</v>
      </c>
    </row>
    <row r="113" spans="1:47" s="37" customFormat="1" ht="60">
      <c r="A113" s="103"/>
      <c r="B113" s="74"/>
      <c r="C113" s="112">
        <v>2010</v>
      </c>
      <c r="D113" s="110" t="s">
        <v>445</v>
      </c>
      <c r="E113" s="102">
        <v>0</v>
      </c>
      <c r="F113" s="126">
        <v>5507000</v>
      </c>
      <c r="G113" s="126"/>
      <c r="H113" s="126">
        <f>SUM(E113+F113-G113)</f>
        <v>5507000</v>
      </c>
      <c r="I113" s="126"/>
      <c r="J113" s="126"/>
      <c r="K113" s="126">
        <f>SUM(H113+I113-J113)</f>
        <v>5507000</v>
      </c>
      <c r="L113" s="126">
        <v>48100</v>
      </c>
      <c r="M113" s="126"/>
      <c r="N113" s="126">
        <f>SUM(K113+L113-M113)</f>
        <v>5555100</v>
      </c>
      <c r="O113" s="126"/>
      <c r="P113" s="126"/>
      <c r="Q113" s="126">
        <f>SUM(N113+O113-P113)</f>
        <v>5555100</v>
      </c>
      <c r="R113" s="126"/>
      <c r="S113" s="126"/>
      <c r="T113" s="126">
        <f>SUM(Q113+R113-S113)</f>
        <v>5555100</v>
      </c>
      <c r="U113" s="126"/>
      <c r="V113" s="126"/>
      <c r="W113" s="126">
        <f>SUM(T113+U113-V113)</f>
        <v>5555100</v>
      </c>
      <c r="X113" s="126"/>
      <c r="Y113" s="126"/>
      <c r="Z113" s="126">
        <f>SUM(W113+X113-Y113)</f>
        <v>5555100</v>
      </c>
      <c r="AA113" s="126"/>
      <c r="AB113" s="126"/>
      <c r="AC113" s="126">
        <f>SUM(Z113+AA113-AB113)</f>
        <v>5555100</v>
      </c>
      <c r="AD113" s="126"/>
      <c r="AE113" s="126"/>
      <c r="AF113" s="126">
        <f>SUM(AC113+AD113-AE113)</f>
        <v>5555100</v>
      </c>
      <c r="AG113" s="126"/>
      <c r="AH113" s="126"/>
      <c r="AI113" s="126">
        <f>SUM(AF113+AG113-AH113)</f>
        <v>5555100</v>
      </c>
      <c r="AJ113" s="126">
        <v>505100</v>
      </c>
      <c r="AK113" s="126"/>
      <c r="AL113" s="126">
        <f>SUM(AI113+AJ113-AK113)</f>
        <v>6060200</v>
      </c>
      <c r="AM113" s="126">
        <f>250800+17000</f>
        <v>267800</v>
      </c>
      <c r="AN113" s="126"/>
      <c r="AO113" s="126">
        <f>SUM(AL113+AM113-AN113)</f>
        <v>6328000</v>
      </c>
      <c r="AP113" s="126"/>
      <c r="AQ113" s="126"/>
      <c r="AR113" s="126">
        <f>SUM(AO113+AP113-AQ113)</f>
        <v>6328000</v>
      </c>
      <c r="AS113" s="126"/>
      <c r="AT113" s="126"/>
      <c r="AU113" s="126">
        <f>SUM(AR113+AS113-AT113)</f>
        <v>6328000</v>
      </c>
    </row>
    <row r="114" spans="1:47" s="37" customFormat="1" ht="60">
      <c r="A114" s="103"/>
      <c r="B114" s="74">
        <v>85213</v>
      </c>
      <c r="C114" s="113"/>
      <c r="D114" s="110" t="s">
        <v>278</v>
      </c>
      <c r="E114" s="102">
        <f aca="true" t="shared" si="160" ref="E114:AU114">SUM(E115)</f>
        <v>74700</v>
      </c>
      <c r="F114" s="102">
        <f t="shared" si="160"/>
        <v>0</v>
      </c>
      <c r="G114" s="102">
        <f t="shared" si="160"/>
        <v>0</v>
      </c>
      <c r="H114" s="102">
        <f t="shared" si="160"/>
        <v>74700</v>
      </c>
      <c r="I114" s="102">
        <f t="shared" si="160"/>
        <v>0</v>
      </c>
      <c r="J114" s="102">
        <f t="shared" si="160"/>
        <v>0</v>
      </c>
      <c r="K114" s="102">
        <f t="shared" si="160"/>
        <v>74700</v>
      </c>
      <c r="L114" s="102">
        <f t="shared" si="160"/>
        <v>0</v>
      </c>
      <c r="M114" s="102">
        <f t="shared" si="160"/>
        <v>0</v>
      </c>
      <c r="N114" s="102">
        <f t="shared" si="160"/>
        <v>74700</v>
      </c>
      <c r="O114" s="102">
        <f t="shared" si="160"/>
        <v>0</v>
      </c>
      <c r="P114" s="102">
        <f t="shared" si="160"/>
        <v>0</v>
      </c>
      <c r="Q114" s="102">
        <f t="shared" si="160"/>
        <v>74700</v>
      </c>
      <c r="R114" s="102">
        <f t="shared" si="160"/>
        <v>0</v>
      </c>
      <c r="S114" s="102">
        <f t="shared" si="160"/>
        <v>0</v>
      </c>
      <c r="T114" s="102">
        <f t="shared" si="160"/>
        <v>74700</v>
      </c>
      <c r="U114" s="102">
        <f t="shared" si="160"/>
        <v>0</v>
      </c>
      <c r="V114" s="102">
        <f t="shared" si="160"/>
        <v>0</v>
      </c>
      <c r="W114" s="102">
        <f t="shared" si="160"/>
        <v>74700</v>
      </c>
      <c r="X114" s="102">
        <f t="shared" si="160"/>
        <v>0</v>
      </c>
      <c r="Y114" s="102">
        <f t="shared" si="160"/>
        <v>0</v>
      </c>
      <c r="Z114" s="102">
        <f t="shared" si="160"/>
        <v>74700</v>
      </c>
      <c r="AA114" s="102">
        <f t="shared" si="160"/>
        <v>0</v>
      </c>
      <c r="AB114" s="102">
        <f t="shared" si="160"/>
        <v>0</v>
      </c>
      <c r="AC114" s="102">
        <f t="shared" si="160"/>
        <v>74700</v>
      </c>
      <c r="AD114" s="102">
        <f t="shared" si="160"/>
        <v>0</v>
      </c>
      <c r="AE114" s="102">
        <f t="shared" si="160"/>
        <v>0</v>
      </c>
      <c r="AF114" s="102">
        <f t="shared" si="160"/>
        <v>74700</v>
      </c>
      <c r="AG114" s="102">
        <f t="shared" si="160"/>
        <v>0</v>
      </c>
      <c r="AH114" s="102">
        <f t="shared" si="160"/>
        <v>0</v>
      </c>
      <c r="AI114" s="102">
        <f t="shared" si="160"/>
        <v>74700</v>
      </c>
      <c r="AJ114" s="102">
        <f t="shared" si="160"/>
        <v>0</v>
      </c>
      <c r="AK114" s="102">
        <f t="shared" si="160"/>
        <v>0</v>
      </c>
      <c r="AL114" s="102">
        <f t="shared" si="160"/>
        <v>74700</v>
      </c>
      <c r="AM114" s="102">
        <f t="shared" si="160"/>
        <v>0</v>
      </c>
      <c r="AN114" s="102">
        <f t="shared" si="160"/>
        <v>0</v>
      </c>
      <c r="AO114" s="102">
        <f t="shared" si="160"/>
        <v>74700</v>
      </c>
      <c r="AP114" s="102">
        <f t="shared" si="160"/>
        <v>0</v>
      </c>
      <c r="AQ114" s="102">
        <f t="shared" si="160"/>
        <v>0</v>
      </c>
      <c r="AR114" s="102">
        <f t="shared" si="160"/>
        <v>74700</v>
      </c>
      <c r="AS114" s="102">
        <f t="shared" si="160"/>
        <v>0</v>
      </c>
      <c r="AT114" s="102">
        <f t="shared" si="160"/>
        <v>0</v>
      </c>
      <c r="AU114" s="102">
        <f t="shared" si="160"/>
        <v>74700</v>
      </c>
    </row>
    <row r="115" spans="1:47" s="37" customFormat="1" ht="60">
      <c r="A115" s="103"/>
      <c r="B115" s="74"/>
      <c r="C115" s="113">
        <v>2010</v>
      </c>
      <c r="D115" s="110" t="s">
        <v>445</v>
      </c>
      <c r="E115" s="102">
        <v>74700</v>
      </c>
      <c r="F115" s="126"/>
      <c r="G115" s="126"/>
      <c r="H115" s="126">
        <f>SUM(E115+F115-G115)</f>
        <v>74700</v>
      </c>
      <c r="I115" s="126"/>
      <c r="J115" s="126"/>
      <c r="K115" s="126">
        <f>SUM(H115+I115-J115)</f>
        <v>74700</v>
      </c>
      <c r="L115" s="126"/>
      <c r="M115" s="126"/>
      <c r="N115" s="126">
        <f>SUM(K115+L115-M115)</f>
        <v>74700</v>
      </c>
      <c r="O115" s="126"/>
      <c r="P115" s="126"/>
      <c r="Q115" s="126">
        <f>SUM(N115+O115-P115)</f>
        <v>74700</v>
      </c>
      <c r="R115" s="126"/>
      <c r="S115" s="126"/>
      <c r="T115" s="126">
        <f>SUM(Q115+R115-S115)</f>
        <v>74700</v>
      </c>
      <c r="U115" s="126"/>
      <c r="V115" s="126"/>
      <c r="W115" s="126">
        <f>SUM(T115+U115-V115)</f>
        <v>74700</v>
      </c>
      <c r="X115" s="126"/>
      <c r="Y115" s="126"/>
      <c r="Z115" s="126">
        <f>SUM(W115+X115-Y115)</f>
        <v>74700</v>
      </c>
      <c r="AA115" s="126"/>
      <c r="AB115" s="126"/>
      <c r="AC115" s="126">
        <f>SUM(Z115+AA115-AB115)</f>
        <v>74700</v>
      </c>
      <c r="AD115" s="126"/>
      <c r="AE115" s="126"/>
      <c r="AF115" s="126">
        <f>SUM(AC115+AD115-AE115)</f>
        <v>74700</v>
      </c>
      <c r="AG115" s="126"/>
      <c r="AH115" s="126"/>
      <c r="AI115" s="126">
        <f>SUM(AF115+AG115-AH115)</f>
        <v>74700</v>
      </c>
      <c r="AJ115" s="126"/>
      <c r="AK115" s="126"/>
      <c r="AL115" s="126">
        <f>SUM(AI115+AJ115-AK115)</f>
        <v>74700</v>
      </c>
      <c r="AM115" s="126"/>
      <c r="AN115" s="126"/>
      <c r="AO115" s="126">
        <f>SUM(AL115+AM115-AN115)</f>
        <v>74700</v>
      </c>
      <c r="AP115" s="126"/>
      <c r="AQ115" s="126"/>
      <c r="AR115" s="126">
        <f>SUM(AO115+AP115-AQ115)</f>
        <v>74700</v>
      </c>
      <c r="AS115" s="126"/>
      <c r="AT115" s="126"/>
      <c r="AU115" s="126">
        <f>SUM(AR115+AS115-AT115)</f>
        <v>74700</v>
      </c>
    </row>
    <row r="116" spans="1:47" s="37" customFormat="1" ht="24">
      <c r="A116" s="103"/>
      <c r="B116" s="104" t="s">
        <v>196</v>
      </c>
      <c r="C116" s="113"/>
      <c r="D116" s="110" t="s">
        <v>72</v>
      </c>
      <c r="E116" s="102">
        <f aca="true" t="shared" si="161" ref="E116:K116">SUM(E117:E118)</f>
        <v>1005400</v>
      </c>
      <c r="F116" s="102">
        <f t="shared" si="161"/>
        <v>0</v>
      </c>
      <c r="G116" s="102">
        <f t="shared" si="161"/>
        <v>0</v>
      </c>
      <c r="H116" s="102">
        <f t="shared" si="161"/>
        <v>1005400</v>
      </c>
      <c r="I116" s="102">
        <f t="shared" si="161"/>
        <v>0</v>
      </c>
      <c r="J116" s="102">
        <f t="shared" si="161"/>
        <v>0</v>
      </c>
      <c r="K116" s="102">
        <f t="shared" si="161"/>
        <v>1005400</v>
      </c>
      <c r="L116" s="102">
        <f aca="true" t="shared" si="162" ref="L116:Q116">SUM(L117:L118)</f>
        <v>0</v>
      </c>
      <c r="M116" s="102">
        <f t="shared" si="162"/>
        <v>71300</v>
      </c>
      <c r="N116" s="102">
        <f t="shared" si="162"/>
        <v>934100</v>
      </c>
      <c r="O116" s="102">
        <f t="shared" si="162"/>
        <v>0</v>
      </c>
      <c r="P116" s="102">
        <f t="shared" si="162"/>
        <v>0</v>
      </c>
      <c r="Q116" s="102">
        <f t="shared" si="162"/>
        <v>934100</v>
      </c>
      <c r="R116" s="102">
        <f aca="true" t="shared" si="163" ref="R116:W116">SUM(R117:R118)</f>
        <v>0</v>
      </c>
      <c r="S116" s="102">
        <f t="shared" si="163"/>
        <v>0</v>
      </c>
      <c r="T116" s="102">
        <f t="shared" si="163"/>
        <v>934100</v>
      </c>
      <c r="U116" s="102">
        <f t="shared" si="163"/>
        <v>51010</v>
      </c>
      <c r="V116" s="102">
        <f t="shared" si="163"/>
        <v>0</v>
      </c>
      <c r="W116" s="102">
        <f t="shared" si="163"/>
        <v>985110</v>
      </c>
      <c r="X116" s="102">
        <f aca="true" t="shared" si="164" ref="X116:AC116">SUM(X117:X118)</f>
        <v>2000</v>
      </c>
      <c r="Y116" s="102">
        <f t="shared" si="164"/>
        <v>70000</v>
      </c>
      <c r="Z116" s="102">
        <f t="shared" si="164"/>
        <v>917110</v>
      </c>
      <c r="AA116" s="102">
        <f t="shared" si="164"/>
        <v>0</v>
      </c>
      <c r="AB116" s="102">
        <f t="shared" si="164"/>
        <v>0</v>
      </c>
      <c r="AC116" s="102">
        <f t="shared" si="164"/>
        <v>917110</v>
      </c>
      <c r="AD116" s="102">
        <f aca="true" t="shared" si="165" ref="AD116:AI116">SUM(AD117:AD118)</f>
        <v>51130</v>
      </c>
      <c r="AE116" s="102">
        <f t="shared" si="165"/>
        <v>0</v>
      </c>
      <c r="AF116" s="102">
        <f t="shared" si="165"/>
        <v>968240</v>
      </c>
      <c r="AG116" s="102">
        <f t="shared" si="165"/>
        <v>0</v>
      </c>
      <c r="AH116" s="102">
        <f t="shared" si="165"/>
        <v>0</v>
      </c>
      <c r="AI116" s="102">
        <f t="shared" si="165"/>
        <v>968240</v>
      </c>
      <c r="AJ116" s="102">
        <f aca="true" t="shared" si="166" ref="AJ116:AO116">SUM(AJ117:AJ118)</f>
        <v>0</v>
      </c>
      <c r="AK116" s="102">
        <f t="shared" si="166"/>
        <v>0</v>
      </c>
      <c r="AL116" s="102">
        <f t="shared" si="166"/>
        <v>968240</v>
      </c>
      <c r="AM116" s="102">
        <f t="shared" si="166"/>
        <v>58870</v>
      </c>
      <c r="AN116" s="102">
        <f t="shared" si="166"/>
        <v>0</v>
      </c>
      <c r="AO116" s="102">
        <f t="shared" si="166"/>
        <v>1027110</v>
      </c>
      <c r="AP116" s="102">
        <f aca="true" t="shared" si="167" ref="AP116:AU116">SUM(AP117:AP118)</f>
        <v>0</v>
      </c>
      <c r="AQ116" s="102">
        <f t="shared" si="167"/>
        <v>0</v>
      </c>
      <c r="AR116" s="102">
        <f t="shared" si="167"/>
        <v>1027110</v>
      </c>
      <c r="AS116" s="102">
        <f t="shared" si="167"/>
        <v>0</v>
      </c>
      <c r="AT116" s="102">
        <f t="shared" si="167"/>
        <v>0</v>
      </c>
      <c r="AU116" s="102">
        <f t="shared" si="167"/>
        <v>1027110</v>
      </c>
    </row>
    <row r="117" spans="1:47" s="37" customFormat="1" ht="60">
      <c r="A117" s="103"/>
      <c r="B117" s="104"/>
      <c r="C117" s="105">
        <v>2010</v>
      </c>
      <c r="D117" s="110" t="s">
        <v>445</v>
      </c>
      <c r="E117" s="102">
        <v>569300</v>
      </c>
      <c r="F117" s="126"/>
      <c r="G117" s="126"/>
      <c r="H117" s="126">
        <f>SUM(E117+F117-G117)</f>
        <v>569300</v>
      </c>
      <c r="I117" s="126"/>
      <c r="J117" s="126"/>
      <c r="K117" s="126">
        <f>SUM(H117+I117-J117)</f>
        <v>569300</v>
      </c>
      <c r="L117" s="126"/>
      <c r="M117" s="126">
        <v>69300</v>
      </c>
      <c r="N117" s="126">
        <f>SUM(K117+L117-M117)</f>
        <v>500000</v>
      </c>
      <c r="O117" s="126"/>
      <c r="P117" s="126"/>
      <c r="Q117" s="126">
        <f>SUM(N117+O117-P117)</f>
        <v>500000</v>
      </c>
      <c r="R117" s="126"/>
      <c r="S117" s="126"/>
      <c r="T117" s="126">
        <f>SUM(Q117+R117-S117)</f>
        <v>500000</v>
      </c>
      <c r="U117" s="126"/>
      <c r="V117" s="126"/>
      <c r="W117" s="126">
        <f>SUM(T117+U117-V117)</f>
        <v>500000</v>
      </c>
      <c r="X117" s="126"/>
      <c r="Y117" s="126">
        <v>70000</v>
      </c>
      <c r="Z117" s="126">
        <f>SUM(W117+X117-Y117)</f>
        <v>430000</v>
      </c>
      <c r="AA117" s="126"/>
      <c r="AB117" s="126"/>
      <c r="AC117" s="126">
        <f>SUM(Z117+AA117-AB117)</f>
        <v>430000</v>
      </c>
      <c r="AD117" s="126"/>
      <c r="AE117" s="126"/>
      <c r="AF117" s="126">
        <f>SUM(AC117+AD117-AE117)</f>
        <v>430000</v>
      </c>
      <c r="AG117" s="126"/>
      <c r="AH117" s="126"/>
      <c r="AI117" s="126">
        <f>SUM(AF117+AG117-AH117)</f>
        <v>430000</v>
      </c>
      <c r="AJ117" s="126"/>
      <c r="AK117" s="126"/>
      <c r="AL117" s="126">
        <f>SUM(AI117+AJ117-AK117)</f>
        <v>430000</v>
      </c>
      <c r="AM117" s="126"/>
      <c r="AN117" s="126"/>
      <c r="AO117" s="126">
        <f>SUM(AL117+AM117-AN117)</f>
        <v>430000</v>
      </c>
      <c r="AP117" s="126"/>
      <c r="AQ117" s="126"/>
      <c r="AR117" s="126">
        <f>SUM(AO117+AP117-AQ117)</f>
        <v>430000</v>
      </c>
      <c r="AS117" s="126"/>
      <c r="AT117" s="126"/>
      <c r="AU117" s="126">
        <f>SUM(AR117+AS117-AT117)</f>
        <v>430000</v>
      </c>
    </row>
    <row r="118" spans="1:47" s="37" customFormat="1" ht="48">
      <c r="A118" s="103"/>
      <c r="B118" s="104"/>
      <c r="C118" s="105">
        <v>2030</v>
      </c>
      <c r="D118" s="110" t="s">
        <v>279</v>
      </c>
      <c r="E118" s="102">
        <v>436100</v>
      </c>
      <c r="F118" s="126"/>
      <c r="G118" s="126"/>
      <c r="H118" s="126">
        <f>SUM(E118+F118-G118)</f>
        <v>436100</v>
      </c>
      <c r="I118" s="126"/>
      <c r="J118" s="126"/>
      <c r="K118" s="126">
        <f>SUM(H118+I118-J118)</f>
        <v>436100</v>
      </c>
      <c r="L118" s="126"/>
      <c r="M118" s="126">
        <v>2000</v>
      </c>
      <c r="N118" s="126">
        <f>SUM(K118+L118-M118)</f>
        <v>434100</v>
      </c>
      <c r="O118" s="126"/>
      <c r="P118" s="126"/>
      <c r="Q118" s="126">
        <f>SUM(N118+O118-P118)</f>
        <v>434100</v>
      </c>
      <c r="R118" s="126"/>
      <c r="S118" s="126"/>
      <c r="T118" s="126">
        <f>SUM(Q118+R118-S118)</f>
        <v>434100</v>
      </c>
      <c r="U118" s="126">
        <v>51010</v>
      </c>
      <c r="V118" s="126"/>
      <c r="W118" s="126">
        <f>SUM(T118+U118-V118)</f>
        <v>485110</v>
      </c>
      <c r="X118" s="126">
        <v>2000</v>
      </c>
      <c r="Y118" s="126"/>
      <c r="Z118" s="126">
        <f>SUM(W118+X118-Y118)</f>
        <v>487110</v>
      </c>
      <c r="AA118" s="126"/>
      <c r="AB118" s="126"/>
      <c r="AC118" s="126">
        <f>SUM(Z118+AA118-AB118)</f>
        <v>487110</v>
      </c>
      <c r="AD118" s="126">
        <v>51130</v>
      </c>
      <c r="AE118" s="126"/>
      <c r="AF118" s="126">
        <f>SUM(AC118+AD118-AE118)</f>
        <v>538240</v>
      </c>
      <c r="AG118" s="126"/>
      <c r="AH118" s="126"/>
      <c r="AI118" s="126">
        <f>SUM(AF118+AG118-AH118)</f>
        <v>538240</v>
      </c>
      <c r="AJ118" s="126"/>
      <c r="AK118" s="126"/>
      <c r="AL118" s="126">
        <f>SUM(AI118+AJ118-AK118)</f>
        <v>538240</v>
      </c>
      <c r="AM118" s="126">
        <f>22489+36381</f>
        <v>58870</v>
      </c>
      <c r="AN118" s="126"/>
      <c r="AO118" s="126">
        <f>SUM(AL118+AM118-AN118)</f>
        <v>597110</v>
      </c>
      <c r="AP118" s="126"/>
      <c r="AQ118" s="126"/>
      <c r="AR118" s="126">
        <f>SUM(AO118+AP118-AQ118)</f>
        <v>597110</v>
      </c>
      <c r="AS118" s="126"/>
      <c r="AT118" s="126"/>
      <c r="AU118" s="126">
        <f>SUM(AR118+AS118-AT118)</f>
        <v>597110</v>
      </c>
    </row>
    <row r="119" spans="1:47" s="37" customFormat="1" ht="24.75" customHeight="1">
      <c r="A119" s="103"/>
      <c r="B119" s="104" t="s">
        <v>197</v>
      </c>
      <c r="C119" s="113"/>
      <c r="D119" s="110" t="s">
        <v>74</v>
      </c>
      <c r="E119" s="102">
        <f aca="true" t="shared" si="168" ref="E119:K119">SUM(E120:E122)</f>
        <v>380200</v>
      </c>
      <c r="F119" s="102">
        <f t="shared" si="168"/>
        <v>0</v>
      </c>
      <c r="G119" s="102">
        <f t="shared" si="168"/>
        <v>0</v>
      </c>
      <c r="H119" s="102">
        <f t="shared" si="168"/>
        <v>380200</v>
      </c>
      <c r="I119" s="102">
        <f t="shared" si="168"/>
        <v>0</v>
      </c>
      <c r="J119" s="102">
        <f t="shared" si="168"/>
        <v>0</v>
      </c>
      <c r="K119" s="102">
        <f t="shared" si="168"/>
        <v>380200</v>
      </c>
      <c r="L119" s="102">
        <f aca="true" t="shared" si="169" ref="L119:Q119">SUM(L120:L122)</f>
        <v>0</v>
      </c>
      <c r="M119" s="102">
        <f t="shared" si="169"/>
        <v>0</v>
      </c>
      <c r="N119" s="102">
        <f t="shared" si="169"/>
        <v>380200</v>
      </c>
      <c r="O119" s="102">
        <f t="shared" si="169"/>
        <v>0</v>
      </c>
      <c r="P119" s="102">
        <f t="shared" si="169"/>
        <v>0</v>
      </c>
      <c r="Q119" s="102">
        <f t="shared" si="169"/>
        <v>380200</v>
      </c>
      <c r="R119" s="102">
        <f aca="true" t="shared" si="170" ref="R119:W119">SUM(R120:R122)</f>
        <v>27000</v>
      </c>
      <c r="S119" s="102">
        <f t="shared" si="170"/>
        <v>0</v>
      </c>
      <c r="T119" s="102">
        <f t="shared" si="170"/>
        <v>407200</v>
      </c>
      <c r="U119" s="102">
        <f t="shared" si="170"/>
        <v>0</v>
      </c>
      <c r="V119" s="102">
        <f t="shared" si="170"/>
        <v>0</v>
      </c>
      <c r="W119" s="102">
        <f t="shared" si="170"/>
        <v>407200</v>
      </c>
      <c r="X119" s="102">
        <f aca="true" t="shared" si="171" ref="X119:AC119">SUM(X120:X122)</f>
        <v>0</v>
      </c>
      <c r="Y119" s="102">
        <f t="shared" si="171"/>
        <v>0</v>
      </c>
      <c r="Z119" s="102">
        <f t="shared" si="171"/>
        <v>407200</v>
      </c>
      <c r="AA119" s="102">
        <f t="shared" si="171"/>
        <v>0</v>
      </c>
      <c r="AB119" s="102">
        <f t="shared" si="171"/>
        <v>0</v>
      </c>
      <c r="AC119" s="102">
        <f t="shared" si="171"/>
        <v>407200</v>
      </c>
      <c r="AD119" s="102">
        <f aca="true" t="shared" si="172" ref="AD119:AI119">SUM(AD120:AD122)</f>
        <v>0</v>
      </c>
      <c r="AE119" s="102">
        <f t="shared" si="172"/>
        <v>0</v>
      </c>
      <c r="AF119" s="102">
        <f t="shared" si="172"/>
        <v>407200</v>
      </c>
      <c r="AG119" s="102">
        <f t="shared" si="172"/>
        <v>0</v>
      </c>
      <c r="AH119" s="102">
        <f t="shared" si="172"/>
        <v>0</v>
      </c>
      <c r="AI119" s="102">
        <f t="shared" si="172"/>
        <v>407200</v>
      </c>
      <c r="AJ119" s="102">
        <f aca="true" t="shared" si="173" ref="AJ119:AO119">SUM(AJ120:AJ122)</f>
        <v>0</v>
      </c>
      <c r="AK119" s="102">
        <f t="shared" si="173"/>
        <v>0</v>
      </c>
      <c r="AL119" s="102">
        <f t="shared" si="173"/>
        <v>407200</v>
      </c>
      <c r="AM119" s="102">
        <f t="shared" si="173"/>
        <v>0</v>
      </c>
      <c r="AN119" s="102">
        <f t="shared" si="173"/>
        <v>0</v>
      </c>
      <c r="AO119" s="102">
        <f t="shared" si="173"/>
        <v>407200</v>
      </c>
      <c r="AP119" s="102">
        <f aca="true" t="shared" si="174" ref="AP119:AU119">SUM(AP120:AP122)</f>
        <v>0</v>
      </c>
      <c r="AQ119" s="102">
        <f t="shared" si="174"/>
        <v>0</v>
      </c>
      <c r="AR119" s="102">
        <f t="shared" si="174"/>
        <v>407200</v>
      </c>
      <c r="AS119" s="102">
        <f t="shared" si="174"/>
        <v>65302</v>
      </c>
      <c r="AT119" s="102">
        <f t="shared" si="174"/>
        <v>0</v>
      </c>
      <c r="AU119" s="102">
        <f t="shared" si="174"/>
        <v>472502</v>
      </c>
    </row>
    <row r="120" spans="1:47" s="37" customFormat="1" ht="22.5" customHeight="1">
      <c r="A120" s="103"/>
      <c r="B120" s="104"/>
      <c r="C120" s="112" t="s">
        <v>255</v>
      </c>
      <c r="D120" s="110" t="s">
        <v>256</v>
      </c>
      <c r="E120" s="102">
        <v>68000</v>
      </c>
      <c r="F120" s="126"/>
      <c r="G120" s="126"/>
      <c r="H120" s="126">
        <f>SUM(E120+F120-G120)</f>
        <v>68000</v>
      </c>
      <c r="I120" s="126"/>
      <c r="J120" s="126"/>
      <c r="K120" s="126">
        <f>SUM(H120+I120-J120)</f>
        <v>68000</v>
      </c>
      <c r="L120" s="126"/>
      <c r="M120" s="126"/>
      <c r="N120" s="126">
        <f>SUM(K120+L120-M120)</f>
        <v>68000</v>
      </c>
      <c r="O120" s="126"/>
      <c r="P120" s="126"/>
      <c r="Q120" s="126">
        <f>SUM(N120+O120-P120)</f>
        <v>68000</v>
      </c>
      <c r="R120" s="126"/>
      <c r="S120" s="126"/>
      <c r="T120" s="126">
        <f>SUM(Q120+R120-S120)</f>
        <v>68000</v>
      </c>
      <c r="U120" s="126"/>
      <c r="V120" s="126"/>
      <c r="W120" s="126">
        <f>SUM(T120+U120-V120)</f>
        <v>68000</v>
      </c>
      <c r="X120" s="126"/>
      <c r="Y120" s="126"/>
      <c r="Z120" s="126">
        <f>SUM(W120+X120-Y120)</f>
        <v>68000</v>
      </c>
      <c r="AA120" s="126"/>
      <c r="AB120" s="126"/>
      <c r="AC120" s="126">
        <f>SUM(Z120+AA120-AB120)</f>
        <v>68000</v>
      </c>
      <c r="AD120" s="126"/>
      <c r="AE120" s="126"/>
      <c r="AF120" s="126">
        <f>SUM(AC120+AD120-AE120)</f>
        <v>68000</v>
      </c>
      <c r="AG120" s="126"/>
      <c r="AH120" s="126"/>
      <c r="AI120" s="126">
        <f>SUM(AF120+AG120-AH120)</f>
        <v>68000</v>
      </c>
      <c r="AJ120" s="126"/>
      <c r="AK120" s="126"/>
      <c r="AL120" s="126">
        <f>SUM(AI120+AJ120-AK120)</f>
        <v>68000</v>
      </c>
      <c r="AM120" s="126"/>
      <c r="AN120" s="126"/>
      <c r="AO120" s="126">
        <f>SUM(AL120+AM120-AN120)</f>
        <v>68000</v>
      </c>
      <c r="AP120" s="126"/>
      <c r="AQ120" s="126"/>
      <c r="AR120" s="126">
        <f>SUM(AO120+AP120-AQ120)</f>
        <v>68000</v>
      </c>
      <c r="AS120" s="126">
        <v>61768</v>
      </c>
      <c r="AT120" s="126"/>
      <c r="AU120" s="126">
        <f>SUM(AR120+AS120-AT120)</f>
        <v>129768</v>
      </c>
    </row>
    <row r="121" spans="1:47" s="37" customFormat="1" ht="22.5" customHeight="1">
      <c r="A121" s="103"/>
      <c r="B121" s="104"/>
      <c r="C121" s="112" t="s">
        <v>204</v>
      </c>
      <c r="D121" s="110" t="s">
        <v>19</v>
      </c>
      <c r="E121" s="102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>
        <v>0</v>
      </c>
      <c r="AS121" s="126">
        <v>3534</v>
      </c>
      <c r="AT121" s="126"/>
      <c r="AU121" s="126">
        <f>SUM(AR121+AS121-AT121)</f>
        <v>3534</v>
      </c>
    </row>
    <row r="122" spans="1:47" s="37" customFormat="1" ht="48">
      <c r="A122" s="103"/>
      <c r="B122" s="104"/>
      <c r="C122" s="105">
        <v>2030</v>
      </c>
      <c r="D122" s="110" t="s">
        <v>279</v>
      </c>
      <c r="E122" s="102">
        <v>312200</v>
      </c>
      <c r="F122" s="126"/>
      <c r="G122" s="126"/>
      <c r="H122" s="126">
        <f>SUM(E122+F122-G122)</f>
        <v>312200</v>
      </c>
      <c r="I122" s="126"/>
      <c r="J122" s="126"/>
      <c r="K122" s="126">
        <f>SUM(H122+I122-J122)</f>
        <v>312200</v>
      </c>
      <c r="L122" s="126"/>
      <c r="M122" s="126"/>
      <c r="N122" s="126">
        <f>SUM(K122+L122-M122)</f>
        <v>312200</v>
      </c>
      <c r="O122" s="126"/>
      <c r="P122" s="126"/>
      <c r="Q122" s="126">
        <f>SUM(N122+O122-P122)</f>
        <v>312200</v>
      </c>
      <c r="R122" s="126">
        <v>27000</v>
      </c>
      <c r="S122" s="126"/>
      <c r="T122" s="126">
        <f>SUM(Q122+R122-S122)</f>
        <v>339200</v>
      </c>
      <c r="U122" s="126"/>
      <c r="V122" s="126"/>
      <c r="W122" s="126">
        <f>SUM(T122+U122-V122)</f>
        <v>339200</v>
      </c>
      <c r="X122" s="126"/>
      <c r="Y122" s="126"/>
      <c r="Z122" s="126">
        <f>SUM(W122+X122-Y122)</f>
        <v>339200</v>
      </c>
      <c r="AA122" s="126"/>
      <c r="AB122" s="126"/>
      <c r="AC122" s="126">
        <f>SUM(Z122+AA122-AB122)</f>
        <v>339200</v>
      </c>
      <c r="AD122" s="126"/>
      <c r="AE122" s="126"/>
      <c r="AF122" s="126">
        <f>SUM(AC122+AD122-AE122)</f>
        <v>339200</v>
      </c>
      <c r="AG122" s="126"/>
      <c r="AH122" s="126"/>
      <c r="AI122" s="126">
        <f>SUM(AF122+AG122-AH122)</f>
        <v>339200</v>
      </c>
      <c r="AJ122" s="126"/>
      <c r="AK122" s="126"/>
      <c r="AL122" s="126">
        <f>SUM(AI122+AJ122-AK122)</f>
        <v>339200</v>
      </c>
      <c r="AM122" s="126"/>
      <c r="AN122" s="126"/>
      <c r="AO122" s="126">
        <f>SUM(AL122+AM122-AN122)</f>
        <v>339200</v>
      </c>
      <c r="AP122" s="126"/>
      <c r="AQ122" s="126"/>
      <c r="AR122" s="126">
        <f>SUM(AO122+AP122-AQ122)</f>
        <v>339200</v>
      </c>
      <c r="AS122" s="126"/>
      <c r="AT122" s="126"/>
      <c r="AU122" s="126">
        <f>SUM(AR122+AS122-AT122)</f>
        <v>339200</v>
      </c>
    </row>
    <row r="123" spans="1:47" s="37" customFormat="1" ht="24">
      <c r="A123" s="103"/>
      <c r="B123" s="104">
        <v>85278</v>
      </c>
      <c r="C123" s="105"/>
      <c r="D123" s="110" t="s">
        <v>657</v>
      </c>
      <c r="E123" s="102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>
        <f aca="true" t="shared" si="175" ref="AI123:AU123">SUM(AI124)</f>
        <v>0</v>
      </c>
      <c r="AJ123" s="126">
        <f t="shared" si="175"/>
        <v>242097</v>
      </c>
      <c r="AK123" s="126">
        <f t="shared" si="175"/>
        <v>0</v>
      </c>
      <c r="AL123" s="126">
        <f t="shared" si="175"/>
        <v>242097</v>
      </c>
      <c r="AM123" s="126">
        <f t="shared" si="175"/>
        <v>0</v>
      </c>
      <c r="AN123" s="126">
        <f t="shared" si="175"/>
        <v>0</v>
      </c>
      <c r="AO123" s="126">
        <f t="shared" si="175"/>
        <v>242097</v>
      </c>
      <c r="AP123" s="126">
        <f t="shared" si="175"/>
        <v>0</v>
      </c>
      <c r="AQ123" s="126">
        <f t="shared" si="175"/>
        <v>0</v>
      </c>
      <c r="AR123" s="126">
        <f t="shared" si="175"/>
        <v>242097</v>
      </c>
      <c r="AS123" s="126">
        <f t="shared" si="175"/>
        <v>0</v>
      </c>
      <c r="AT123" s="126">
        <f t="shared" si="175"/>
        <v>0</v>
      </c>
      <c r="AU123" s="126">
        <f t="shared" si="175"/>
        <v>242097</v>
      </c>
    </row>
    <row r="124" spans="1:47" s="37" customFormat="1" ht="60">
      <c r="A124" s="103"/>
      <c r="B124" s="104"/>
      <c r="C124" s="105">
        <v>2010</v>
      </c>
      <c r="D124" s="110" t="s">
        <v>445</v>
      </c>
      <c r="E124" s="102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>
        <v>0</v>
      </c>
      <c r="AJ124" s="126">
        <v>242097</v>
      </c>
      <c r="AK124" s="126"/>
      <c r="AL124" s="126">
        <f>AI124+AJ124-AK124</f>
        <v>242097</v>
      </c>
      <c r="AM124" s="126"/>
      <c r="AN124" s="126"/>
      <c r="AO124" s="126">
        <f>AL124+AM124-AN124</f>
        <v>242097</v>
      </c>
      <c r="AP124" s="126"/>
      <c r="AQ124" s="126"/>
      <c r="AR124" s="126">
        <f>AO124+AP124-AQ124</f>
        <v>242097</v>
      </c>
      <c r="AS124" s="126"/>
      <c r="AT124" s="126"/>
      <c r="AU124" s="126">
        <f>AR124+AS124-AT124</f>
        <v>242097</v>
      </c>
    </row>
    <row r="125" spans="1:47" s="37" customFormat="1" ht="24" customHeight="1">
      <c r="A125" s="103"/>
      <c r="B125" s="104">
        <v>85295</v>
      </c>
      <c r="C125" s="105"/>
      <c r="D125" s="110" t="s">
        <v>282</v>
      </c>
      <c r="E125" s="102">
        <f aca="true" t="shared" si="176" ref="E125:AU125">SUM(E126)</f>
        <v>141546</v>
      </c>
      <c r="F125" s="102">
        <f t="shared" si="176"/>
        <v>0</v>
      </c>
      <c r="G125" s="102">
        <f t="shared" si="176"/>
        <v>0</v>
      </c>
      <c r="H125" s="102">
        <f t="shared" si="176"/>
        <v>141546</v>
      </c>
      <c r="I125" s="102">
        <f t="shared" si="176"/>
        <v>0</v>
      </c>
      <c r="J125" s="102">
        <f t="shared" si="176"/>
        <v>0</v>
      </c>
      <c r="K125" s="102">
        <f t="shared" si="176"/>
        <v>141546</v>
      </c>
      <c r="L125" s="102">
        <f t="shared" si="176"/>
        <v>0</v>
      </c>
      <c r="M125" s="102">
        <f t="shared" si="176"/>
        <v>0</v>
      </c>
      <c r="N125" s="102">
        <f t="shared" si="176"/>
        <v>141546</v>
      </c>
      <c r="O125" s="102">
        <f t="shared" si="176"/>
        <v>0</v>
      </c>
      <c r="P125" s="102">
        <f t="shared" si="176"/>
        <v>0</v>
      </c>
      <c r="Q125" s="102">
        <f t="shared" si="176"/>
        <v>141546</v>
      </c>
      <c r="R125" s="102">
        <f t="shared" si="176"/>
        <v>314277</v>
      </c>
      <c r="S125" s="102">
        <f t="shared" si="176"/>
        <v>0</v>
      </c>
      <c r="T125" s="102">
        <f t="shared" si="176"/>
        <v>455823</v>
      </c>
      <c r="U125" s="102">
        <f t="shared" si="176"/>
        <v>0</v>
      </c>
      <c r="V125" s="102">
        <f t="shared" si="176"/>
        <v>0</v>
      </c>
      <c r="W125" s="102">
        <f t="shared" si="176"/>
        <v>455823</v>
      </c>
      <c r="X125" s="102">
        <f t="shared" si="176"/>
        <v>336702</v>
      </c>
      <c r="Y125" s="102">
        <f t="shared" si="176"/>
        <v>0</v>
      </c>
      <c r="Z125" s="102">
        <f t="shared" si="176"/>
        <v>792525</v>
      </c>
      <c r="AA125" s="102">
        <f t="shared" si="176"/>
        <v>0</v>
      </c>
      <c r="AB125" s="102">
        <f t="shared" si="176"/>
        <v>0</v>
      </c>
      <c r="AC125" s="102">
        <f t="shared" si="176"/>
        <v>792525</v>
      </c>
      <c r="AD125" s="102">
        <f t="shared" si="176"/>
        <v>87464</v>
      </c>
      <c r="AE125" s="102">
        <f t="shared" si="176"/>
        <v>0</v>
      </c>
      <c r="AF125" s="102">
        <f t="shared" si="176"/>
        <v>879989</v>
      </c>
      <c r="AG125" s="102">
        <f t="shared" si="176"/>
        <v>0</v>
      </c>
      <c r="AH125" s="102">
        <f t="shared" si="176"/>
        <v>0</v>
      </c>
      <c r="AI125" s="102">
        <f t="shared" si="176"/>
        <v>879989</v>
      </c>
      <c r="AJ125" s="102">
        <f t="shared" si="176"/>
        <v>0</v>
      </c>
      <c r="AK125" s="102">
        <f t="shared" si="176"/>
        <v>0</v>
      </c>
      <c r="AL125" s="102">
        <f t="shared" si="176"/>
        <v>879989</v>
      </c>
      <c r="AM125" s="102">
        <f t="shared" si="176"/>
        <v>0</v>
      </c>
      <c r="AN125" s="102">
        <f t="shared" si="176"/>
        <v>0</v>
      </c>
      <c r="AO125" s="102">
        <f t="shared" si="176"/>
        <v>879989</v>
      </c>
      <c r="AP125" s="102">
        <f t="shared" si="176"/>
        <v>0</v>
      </c>
      <c r="AQ125" s="102">
        <f t="shared" si="176"/>
        <v>0</v>
      </c>
      <c r="AR125" s="102">
        <f t="shared" si="176"/>
        <v>879989</v>
      </c>
      <c r="AS125" s="102">
        <f t="shared" si="176"/>
        <v>0</v>
      </c>
      <c r="AT125" s="102">
        <f t="shared" si="176"/>
        <v>0</v>
      </c>
      <c r="AU125" s="102">
        <f t="shared" si="176"/>
        <v>879989</v>
      </c>
    </row>
    <row r="126" spans="1:47" s="37" customFormat="1" ht="48">
      <c r="A126" s="103"/>
      <c r="B126" s="104"/>
      <c r="C126" s="105">
        <v>2030</v>
      </c>
      <c r="D126" s="110" t="s">
        <v>449</v>
      </c>
      <c r="E126" s="102">
        <v>141546</v>
      </c>
      <c r="F126" s="126"/>
      <c r="G126" s="126"/>
      <c r="H126" s="126">
        <f>SUM(E126+F126-G126)</f>
        <v>141546</v>
      </c>
      <c r="I126" s="126"/>
      <c r="J126" s="126"/>
      <c r="K126" s="126">
        <f>SUM(H126+I126-J126)</f>
        <v>141546</v>
      </c>
      <c r="L126" s="126"/>
      <c r="M126" s="126"/>
      <c r="N126" s="126">
        <f>SUM(K126+L126-M126)</f>
        <v>141546</v>
      </c>
      <c r="O126" s="126"/>
      <c r="P126" s="126"/>
      <c r="Q126" s="126">
        <f>SUM(N126+O126-P126)</f>
        <v>141546</v>
      </c>
      <c r="R126" s="126">
        <v>314277</v>
      </c>
      <c r="S126" s="126"/>
      <c r="T126" s="126">
        <f>SUM(Q126+R126-S126)</f>
        <v>455823</v>
      </c>
      <c r="U126" s="126"/>
      <c r="V126" s="126"/>
      <c r="W126" s="126">
        <f>SUM(T126+U126-V126)</f>
        <v>455823</v>
      </c>
      <c r="X126" s="126">
        <v>336702</v>
      </c>
      <c r="Y126" s="126"/>
      <c r="Z126" s="126">
        <f>SUM(W126+X126-Y126)</f>
        <v>792525</v>
      </c>
      <c r="AA126" s="126"/>
      <c r="AB126" s="126"/>
      <c r="AC126" s="126">
        <f>SUM(Z126+AA126-AB126)</f>
        <v>792525</v>
      </c>
      <c r="AD126" s="126">
        <v>87464</v>
      </c>
      <c r="AE126" s="126"/>
      <c r="AF126" s="126">
        <f>SUM(AC126+AD126-AE126)</f>
        <v>879989</v>
      </c>
      <c r="AG126" s="126"/>
      <c r="AH126" s="126"/>
      <c r="AI126" s="126">
        <f>SUM(AF126+AG126-AH126)</f>
        <v>879989</v>
      </c>
      <c r="AJ126" s="126"/>
      <c r="AK126" s="126"/>
      <c r="AL126" s="126">
        <f>SUM(AI126+AJ126-AK126)</f>
        <v>879989</v>
      </c>
      <c r="AM126" s="126"/>
      <c r="AN126" s="126"/>
      <c r="AO126" s="126">
        <f>SUM(AL126+AM126-AN126)</f>
        <v>879989</v>
      </c>
      <c r="AP126" s="126"/>
      <c r="AQ126" s="126"/>
      <c r="AR126" s="126">
        <f>SUM(AO126+AP126-AQ126)</f>
        <v>879989</v>
      </c>
      <c r="AS126" s="126"/>
      <c r="AT126" s="126"/>
      <c r="AU126" s="126">
        <f>SUM(AR126+AS126-AT126)</f>
        <v>879989</v>
      </c>
    </row>
    <row r="127" spans="1:47" s="59" customFormat="1" ht="23.25" customHeight="1">
      <c r="A127" s="46">
        <v>854</v>
      </c>
      <c r="B127" s="49"/>
      <c r="C127" s="50"/>
      <c r="D127" s="47" t="s">
        <v>75</v>
      </c>
      <c r="E127" s="89"/>
      <c r="F127" s="60"/>
      <c r="G127" s="60"/>
      <c r="H127" s="60">
        <f>SUM(H128)</f>
        <v>0</v>
      </c>
      <c r="I127" s="60">
        <f aca="true" t="shared" si="177" ref="I127:X127">SUM(I128)</f>
        <v>36940</v>
      </c>
      <c r="J127" s="60">
        <f t="shared" si="177"/>
        <v>0</v>
      </c>
      <c r="K127" s="60">
        <f t="shared" si="177"/>
        <v>36940</v>
      </c>
      <c r="L127" s="60">
        <f t="shared" si="177"/>
        <v>0</v>
      </c>
      <c r="M127" s="60">
        <f t="shared" si="177"/>
        <v>0</v>
      </c>
      <c r="N127" s="60">
        <f t="shared" si="177"/>
        <v>36940</v>
      </c>
      <c r="O127" s="60">
        <f t="shared" si="177"/>
        <v>0</v>
      </c>
      <c r="P127" s="60">
        <f t="shared" si="177"/>
        <v>0</v>
      </c>
      <c r="Q127" s="60">
        <f t="shared" si="177"/>
        <v>36940</v>
      </c>
      <c r="R127" s="60">
        <f t="shared" si="177"/>
        <v>96494</v>
      </c>
      <c r="S127" s="60">
        <f t="shared" si="177"/>
        <v>0</v>
      </c>
      <c r="T127" s="60">
        <f t="shared" si="177"/>
        <v>133434</v>
      </c>
      <c r="U127" s="60">
        <f t="shared" si="177"/>
        <v>68101</v>
      </c>
      <c r="V127" s="60">
        <f t="shared" si="177"/>
        <v>0</v>
      </c>
      <c r="W127" s="60">
        <f t="shared" si="177"/>
        <v>201535</v>
      </c>
      <c r="X127" s="60">
        <f t="shared" si="177"/>
        <v>0</v>
      </c>
      <c r="Y127" s="60">
        <f aca="true" t="shared" si="178" ref="Y127:AM127">SUM(Y128)</f>
        <v>0</v>
      </c>
      <c r="Z127" s="60">
        <f t="shared" si="178"/>
        <v>201535</v>
      </c>
      <c r="AA127" s="60">
        <f t="shared" si="178"/>
        <v>0</v>
      </c>
      <c r="AB127" s="60">
        <f t="shared" si="178"/>
        <v>0</v>
      </c>
      <c r="AC127" s="60">
        <f t="shared" si="178"/>
        <v>201535</v>
      </c>
      <c r="AD127" s="60">
        <f t="shared" si="178"/>
        <v>0</v>
      </c>
      <c r="AE127" s="60">
        <f t="shared" si="178"/>
        <v>0</v>
      </c>
      <c r="AF127" s="60">
        <f t="shared" si="178"/>
        <v>201535</v>
      </c>
      <c r="AG127" s="60">
        <f t="shared" si="178"/>
        <v>0</v>
      </c>
      <c r="AH127" s="60">
        <f t="shared" si="178"/>
        <v>0</v>
      </c>
      <c r="AI127" s="60">
        <f t="shared" si="178"/>
        <v>201535</v>
      </c>
      <c r="AJ127" s="60">
        <f t="shared" si="178"/>
        <v>241384</v>
      </c>
      <c r="AK127" s="60">
        <f t="shared" si="178"/>
        <v>0</v>
      </c>
      <c r="AL127" s="60">
        <f t="shared" si="178"/>
        <v>442919</v>
      </c>
      <c r="AM127" s="60">
        <f t="shared" si="178"/>
        <v>84047</v>
      </c>
      <c r="AN127" s="60">
        <f aca="true" t="shared" si="179" ref="AN127:AU127">SUM(AN128)</f>
        <v>0</v>
      </c>
      <c r="AO127" s="60">
        <f t="shared" si="179"/>
        <v>526966</v>
      </c>
      <c r="AP127" s="60">
        <f t="shared" si="179"/>
        <v>0</v>
      </c>
      <c r="AQ127" s="60">
        <f t="shared" si="179"/>
        <v>0</v>
      </c>
      <c r="AR127" s="60">
        <f t="shared" si="179"/>
        <v>526966</v>
      </c>
      <c r="AS127" s="60">
        <f t="shared" si="179"/>
        <v>165</v>
      </c>
      <c r="AT127" s="60">
        <f t="shared" si="179"/>
        <v>0</v>
      </c>
      <c r="AU127" s="60">
        <f t="shared" si="179"/>
        <v>527131</v>
      </c>
    </row>
    <row r="128" spans="1:47" s="37" customFormat="1" ht="20.25" customHeight="1">
      <c r="A128" s="103"/>
      <c r="B128" s="104">
        <v>85415</v>
      </c>
      <c r="C128" s="105"/>
      <c r="D128" s="110" t="s">
        <v>415</v>
      </c>
      <c r="E128" s="102"/>
      <c r="F128" s="126"/>
      <c r="G128" s="126"/>
      <c r="H128" s="126">
        <f aca="true" t="shared" si="180" ref="H128:AQ128">SUM(H130)</f>
        <v>0</v>
      </c>
      <c r="I128" s="126">
        <f t="shared" si="180"/>
        <v>36940</v>
      </c>
      <c r="J128" s="126">
        <f t="shared" si="180"/>
        <v>0</v>
      </c>
      <c r="K128" s="126">
        <f t="shared" si="180"/>
        <v>36940</v>
      </c>
      <c r="L128" s="126">
        <f t="shared" si="180"/>
        <v>0</v>
      </c>
      <c r="M128" s="126">
        <f t="shared" si="180"/>
        <v>0</v>
      </c>
      <c r="N128" s="126">
        <f t="shared" si="180"/>
        <v>36940</v>
      </c>
      <c r="O128" s="126">
        <f t="shared" si="180"/>
        <v>0</v>
      </c>
      <c r="P128" s="126">
        <f t="shared" si="180"/>
        <v>0</v>
      </c>
      <c r="Q128" s="126">
        <f t="shared" si="180"/>
        <v>36940</v>
      </c>
      <c r="R128" s="126">
        <f t="shared" si="180"/>
        <v>96494</v>
      </c>
      <c r="S128" s="126">
        <f t="shared" si="180"/>
        <v>0</v>
      </c>
      <c r="T128" s="126">
        <f t="shared" si="180"/>
        <v>133434</v>
      </c>
      <c r="U128" s="126">
        <f t="shared" si="180"/>
        <v>68101</v>
      </c>
      <c r="V128" s="126">
        <f t="shared" si="180"/>
        <v>0</v>
      </c>
      <c r="W128" s="126">
        <f t="shared" si="180"/>
        <v>201535</v>
      </c>
      <c r="X128" s="126">
        <f t="shared" si="180"/>
        <v>0</v>
      </c>
      <c r="Y128" s="126">
        <f t="shared" si="180"/>
        <v>0</v>
      </c>
      <c r="Z128" s="126">
        <f t="shared" si="180"/>
        <v>201535</v>
      </c>
      <c r="AA128" s="126">
        <f t="shared" si="180"/>
        <v>0</v>
      </c>
      <c r="AB128" s="126">
        <f t="shared" si="180"/>
        <v>0</v>
      </c>
      <c r="AC128" s="126">
        <f t="shared" si="180"/>
        <v>201535</v>
      </c>
      <c r="AD128" s="126">
        <f t="shared" si="180"/>
        <v>0</v>
      </c>
      <c r="AE128" s="126">
        <f t="shared" si="180"/>
        <v>0</v>
      </c>
      <c r="AF128" s="126">
        <f t="shared" si="180"/>
        <v>201535</v>
      </c>
      <c r="AG128" s="126">
        <f t="shared" si="180"/>
        <v>0</v>
      </c>
      <c r="AH128" s="126">
        <f t="shared" si="180"/>
        <v>0</v>
      </c>
      <c r="AI128" s="126">
        <f t="shared" si="180"/>
        <v>201535</v>
      </c>
      <c r="AJ128" s="126">
        <f t="shared" si="180"/>
        <v>241384</v>
      </c>
      <c r="AK128" s="126">
        <f t="shared" si="180"/>
        <v>0</v>
      </c>
      <c r="AL128" s="126">
        <f t="shared" si="180"/>
        <v>442919</v>
      </c>
      <c r="AM128" s="126">
        <f t="shared" si="180"/>
        <v>84047</v>
      </c>
      <c r="AN128" s="126">
        <f t="shared" si="180"/>
        <v>0</v>
      </c>
      <c r="AO128" s="126">
        <f t="shared" si="180"/>
        <v>526966</v>
      </c>
      <c r="AP128" s="126">
        <f t="shared" si="180"/>
        <v>0</v>
      </c>
      <c r="AQ128" s="126">
        <f t="shared" si="180"/>
        <v>0</v>
      </c>
      <c r="AR128" s="126">
        <f>SUM(AR129:AR130)</f>
        <v>526966</v>
      </c>
      <c r="AS128" s="126">
        <f>SUM(AS129:AS130)</f>
        <v>165</v>
      </c>
      <c r="AT128" s="126">
        <f>SUM(AT129:AT130)</f>
        <v>0</v>
      </c>
      <c r="AU128" s="126">
        <f>SUM(AU129:AU130)</f>
        <v>527131</v>
      </c>
    </row>
    <row r="129" spans="1:47" s="37" customFormat="1" ht="20.25" customHeight="1">
      <c r="A129" s="103"/>
      <c r="B129" s="104"/>
      <c r="C129" s="105" t="s">
        <v>204</v>
      </c>
      <c r="D129" s="110" t="s">
        <v>19</v>
      </c>
      <c r="E129" s="102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>
        <v>0</v>
      </c>
      <c r="AS129" s="126">
        <v>165</v>
      </c>
      <c r="AT129" s="126"/>
      <c r="AU129" s="126">
        <f>SUM(AR129+AS129-AT129)</f>
        <v>165</v>
      </c>
    </row>
    <row r="130" spans="1:47" s="37" customFormat="1" ht="48">
      <c r="A130" s="103"/>
      <c r="B130" s="104"/>
      <c r="C130" s="105">
        <v>2030</v>
      </c>
      <c r="D130" s="110" t="s">
        <v>279</v>
      </c>
      <c r="E130" s="102"/>
      <c r="F130" s="126"/>
      <c r="G130" s="126"/>
      <c r="H130" s="126">
        <v>0</v>
      </c>
      <c r="I130" s="126">
        <v>36940</v>
      </c>
      <c r="J130" s="126"/>
      <c r="K130" s="126">
        <f>SUM(H130+I130-J130)</f>
        <v>36940</v>
      </c>
      <c r="L130" s="126"/>
      <c r="M130" s="126"/>
      <c r="N130" s="126">
        <f>SUM(K130+L130-M130)</f>
        <v>36940</v>
      </c>
      <c r="O130" s="126"/>
      <c r="P130" s="126"/>
      <c r="Q130" s="126">
        <f>SUM(N130+O130-P130)</f>
        <v>36940</v>
      </c>
      <c r="R130" s="126">
        <v>96494</v>
      </c>
      <c r="S130" s="126"/>
      <c r="T130" s="126">
        <f>SUM(Q130+R130-S130)</f>
        <v>133434</v>
      </c>
      <c r="U130" s="126">
        <v>68101</v>
      </c>
      <c r="V130" s="126"/>
      <c r="W130" s="126">
        <f>SUM(T130+U130-V130)</f>
        <v>201535</v>
      </c>
      <c r="X130" s="126"/>
      <c r="Y130" s="126"/>
      <c r="Z130" s="126">
        <f>SUM(W130+X130-Y130)</f>
        <v>201535</v>
      </c>
      <c r="AA130" s="126"/>
      <c r="AB130" s="126"/>
      <c r="AC130" s="126">
        <f>SUM(Z130+AA130-AB130)</f>
        <v>201535</v>
      </c>
      <c r="AD130" s="126"/>
      <c r="AE130" s="126"/>
      <c r="AF130" s="126">
        <f>SUM(AC130+AD130-AE130)</f>
        <v>201535</v>
      </c>
      <c r="AG130" s="126"/>
      <c r="AH130" s="126"/>
      <c r="AI130" s="126">
        <f>SUM(AF130+AG130-AH130)</f>
        <v>201535</v>
      </c>
      <c r="AJ130" s="126">
        <v>241384</v>
      </c>
      <c r="AK130" s="126"/>
      <c r="AL130" s="126">
        <f>SUM(AI130+AJ130-AK130)</f>
        <v>442919</v>
      </c>
      <c r="AM130" s="126">
        <f>21577+62470</f>
        <v>84047</v>
      </c>
      <c r="AN130" s="126"/>
      <c r="AO130" s="126">
        <f>SUM(AL130+AM130-AN130)</f>
        <v>526966</v>
      </c>
      <c r="AP130" s="126"/>
      <c r="AQ130" s="126"/>
      <c r="AR130" s="126">
        <f>SUM(AO130+AP130-AQ130)</f>
        <v>526966</v>
      </c>
      <c r="AS130" s="126"/>
      <c r="AT130" s="126"/>
      <c r="AU130" s="126">
        <f>SUM(AR130+AS130-AT130)</f>
        <v>526966</v>
      </c>
    </row>
    <row r="131" spans="1:47" s="9" customFormat="1" ht="24.75" customHeight="1">
      <c r="A131" s="46">
        <v>900</v>
      </c>
      <c r="B131" s="49"/>
      <c r="C131" s="50"/>
      <c r="D131" s="47" t="s">
        <v>77</v>
      </c>
      <c r="E131" s="89">
        <f aca="true" t="shared" si="181" ref="E131:K131">SUM(E132,E137)</f>
        <v>11000</v>
      </c>
      <c r="F131" s="89">
        <f t="shared" si="181"/>
        <v>0</v>
      </c>
      <c r="G131" s="89">
        <f t="shared" si="181"/>
        <v>0</v>
      </c>
      <c r="H131" s="89">
        <f t="shared" si="181"/>
        <v>11000</v>
      </c>
      <c r="I131" s="89">
        <f t="shared" si="181"/>
        <v>3357524</v>
      </c>
      <c r="J131" s="89">
        <f t="shared" si="181"/>
        <v>0</v>
      </c>
      <c r="K131" s="89">
        <f t="shared" si="181"/>
        <v>3368524</v>
      </c>
      <c r="L131" s="89">
        <f aca="true" t="shared" si="182" ref="L131:Q131">SUM(L132,L137)</f>
        <v>0</v>
      </c>
      <c r="M131" s="89">
        <f t="shared" si="182"/>
        <v>0</v>
      </c>
      <c r="N131" s="89">
        <f t="shared" si="182"/>
        <v>3368524</v>
      </c>
      <c r="O131" s="89">
        <f t="shared" si="182"/>
        <v>0</v>
      </c>
      <c r="P131" s="89">
        <f t="shared" si="182"/>
        <v>0</v>
      </c>
      <c r="Q131" s="89">
        <f t="shared" si="182"/>
        <v>3368524</v>
      </c>
      <c r="R131" s="89">
        <f>SUM(R132,R137)</f>
        <v>82645</v>
      </c>
      <c r="S131" s="89">
        <f>SUM(S132,S137)</f>
        <v>0</v>
      </c>
      <c r="T131" s="89">
        <f>SUM(T132,T137)</f>
        <v>3451169</v>
      </c>
      <c r="U131" s="89">
        <f>SUM(U132,U137)</f>
        <v>0</v>
      </c>
      <c r="V131" s="89">
        <f>SUM(V132,V137)</f>
        <v>0</v>
      </c>
      <c r="W131" s="89">
        <f aca="true" t="shared" si="183" ref="W131:AC131">SUM(W132,W137,W135)</f>
        <v>3451169</v>
      </c>
      <c r="X131" s="89">
        <f t="shared" si="183"/>
        <v>715</v>
      </c>
      <c r="Y131" s="89">
        <f t="shared" si="183"/>
        <v>0</v>
      </c>
      <c r="Z131" s="89">
        <f t="shared" si="183"/>
        <v>3451884</v>
      </c>
      <c r="AA131" s="89">
        <f t="shared" si="183"/>
        <v>3331872</v>
      </c>
      <c r="AB131" s="89">
        <f t="shared" si="183"/>
        <v>0</v>
      </c>
      <c r="AC131" s="89">
        <f t="shared" si="183"/>
        <v>6783756</v>
      </c>
      <c r="AD131" s="89">
        <f aca="true" t="shared" si="184" ref="AD131:AI131">SUM(AD132,AD137,AD135)</f>
        <v>0</v>
      </c>
      <c r="AE131" s="89">
        <f t="shared" si="184"/>
        <v>0</v>
      </c>
      <c r="AF131" s="89">
        <f t="shared" si="184"/>
        <v>6783756</v>
      </c>
      <c r="AG131" s="89">
        <f t="shared" si="184"/>
        <v>622245</v>
      </c>
      <c r="AH131" s="89">
        <f t="shared" si="184"/>
        <v>0</v>
      </c>
      <c r="AI131" s="89">
        <f t="shared" si="184"/>
        <v>7406001</v>
      </c>
      <c r="AJ131" s="89">
        <f aca="true" t="shared" si="185" ref="AJ131:AO131">SUM(AJ132,AJ137,AJ135)</f>
        <v>0</v>
      </c>
      <c r="AK131" s="89">
        <f t="shared" si="185"/>
        <v>0</v>
      </c>
      <c r="AL131" s="89">
        <f t="shared" si="185"/>
        <v>7406001</v>
      </c>
      <c r="AM131" s="89">
        <f t="shared" si="185"/>
        <v>0</v>
      </c>
      <c r="AN131" s="89">
        <f t="shared" si="185"/>
        <v>0</v>
      </c>
      <c r="AO131" s="89">
        <f t="shared" si="185"/>
        <v>7406001</v>
      </c>
      <c r="AP131" s="89">
        <f aca="true" t="shared" si="186" ref="AP131:AU131">SUM(AP132,AP137,AP135)</f>
        <v>0</v>
      </c>
      <c r="AQ131" s="89">
        <f t="shared" si="186"/>
        <v>0</v>
      </c>
      <c r="AR131" s="89">
        <f t="shared" si="186"/>
        <v>7406001</v>
      </c>
      <c r="AS131" s="89">
        <f t="shared" si="186"/>
        <v>2376</v>
      </c>
      <c r="AT131" s="89">
        <f t="shared" si="186"/>
        <v>0</v>
      </c>
      <c r="AU131" s="89">
        <f t="shared" si="186"/>
        <v>7408377</v>
      </c>
    </row>
    <row r="132" spans="1:47" s="37" customFormat="1" ht="21.75" customHeight="1">
      <c r="A132" s="103"/>
      <c r="B132" s="104">
        <v>90001</v>
      </c>
      <c r="C132" s="105"/>
      <c r="D132" s="110" t="s">
        <v>78</v>
      </c>
      <c r="E132" s="102">
        <f>SUM(E133:E133)</f>
        <v>5000</v>
      </c>
      <c r="F132" s="102">
        <f>SUM(F133:F133)</f>
        <v>0</v>
      </c>
      <c r="G132" s="102">
        <f>SUM(G133:G133)</f>
        <v>0</v>
      </c>
      <c r="H132" s="102">
        <f aca="true" t="shared" si="187" ref="H132:N132">SUM(H133:H134)</f>
        <v>5000</v>
      </c>
      <c r="I132" s="102">
        <f t="shared" si="187"/>
        <v>3357524</v>
      </c>
      <c r="J132" s="102">
        <f t="shared" si="187"/>
        <v>0</v>
      </c>
      <c r="K132" s="102">
        <f t="shared" si="187"/>
        <v>3362524</v>
      </c>
      <c r="L132" s="102">
        <f t="shared" si="187"/>
        <v>0</v>
      </c>
      <c r="M132" s="102">
        <f t="shared" si="187"/>
        <v>0</v>
      </c>
      <c r="N132" s="102">
        <f t="shared" si="187"/>
        <v>3362524</v>
      </c>
      <c r="O132" s="102">
        <f aca="true" t="shared" si="188" ref="O132:T132">SUM(O133:O134)</f>
        <v>0</v>
      </c>
      <c r="P132" s="102">
        <f t="shared" si="188"/>
        <v>0</v>
      </c>
      <c r="Q132" s="102">
        <f t="shared" si="188"/>
        <v>3362524</v>
      </c>
      <c r="R132" s="102">
        <f t="shared" si="188"/>
        <v>82645</v>
      </c>
      <c r="S132" s="102">
        <f t="shared" si="188"/>
        <v>0</v>
      </c>
      <c r="T132" s="102">
        <f t="shared" si="188"/>
        <v>3445169</v>
      </c>
      <c r="U132" s="102">
        <f aca="true" t="shared" si="189" ref="U132:Z132">SUM(U133:U134)</f>
        <v>0</v>
      </c>
      <c r="V132" s="102">
        <f t="shared" si="189"/>
        <v>0</v>
      </c>
      <c r="W132" s="102">
        <f t="shared" si="189"/>
        <v>3445169</v>
      </c>
      <c r="X132" s="102">
        <f t="shared" si="189"/>
        <v>0</v>
      </c>
      <c r="Y132" s="102">
        <f t="shared" si="189"/>
        <v>0</v>
      </c>
      <c r="Z132" s="102">
        <f t="shared" si="189"/>
        <v>3445169</v>
      </c>
      <c r="AA132" s="102">
        <f aca="true" t="shared" si="190" ref="AA132:AF132">SUM(AA133:AA134)</f>
        <v>3331872</v>
      </c>
      <c r="AB132" s="102">
        <f t="shared" si="190"/>
        <v>0</v>
      </c>
      <c r="AC132" s="102">
        <f t="shared" si="190"/>
        <v>6777041</v>
      </c>
      <c r="AD132" s="102">
        <f t="shared" si="190"/>
        <v>0</v>
      </c>
      <c r="AE132" s="102">
        <f t="shared" si="190"/>
        <v>0</v>
      </c>
      <c r="AF132" s="102">
        <f t="shared" si="190"/>
        <v>6777041</v>
      </c>
      <c r="AG132" s="102">
        <f aca="true" t="shared" si="191" ref="AG132:AL132">SUM(AG133:AG134)</f>
        <v>622245</v>
      </c>
      <c r="AH132" s="102">
        <f t="shared" si="191"/>
        <v>0</v>
      </c>
      <c r="AI132" s="102">
        <f t="shared" si="191"/>
        <v>7399286</v>
      </c>
      <c r="AJ132" s="102">
        <f t="shared" si="191"/>
        <v>0</v>
      </c>
      <c r="AK132" s="102">
        <f t="shared" si="191"/>
        <v>0</v>
      </c>
      <c r="AL132" s="102">
        <f t="shared" si="191"/>
        <v>7399286</v>
      </c>
      <c r="AM132" s="102">
        <f aca="true" t="shared" si="192" ref="AM132:AR132">SUM(AM133:AM134)</f>
        <v>0</v>
      </c>
      <c r="AN132" s="102">
        <f t="shared" si="192"/>
        <v>0</v>
      </c>
      <c r="AO132" s="102">
        <f t="shared" si="192"/>
        <v>7399286</v>
      </c>
      <c r="AP132" s="102">
        <f t="shared" si="192"/>
        <v>0</v>
      </c>
      <c r="AQ132" s="102">
        <f t="shared" si="192"/>
        <v>0</v>
      </c>
      <c r="AR132" s="102">
        <f t="shared" si="192"/>
        <v>7399286</v>
      </c>
      <c r="AS132" s="102">
        <f>SUM(AS133:AS134)</f>
        <v>2000</v>
      </c>
      <c r="AT132" s="102">
        <f>SUM(AT133:AT134)</f>
        <v>0</v>
      </c>
      <c r="AU132" s="102">
        <f>SUM(AU133:AU134)</f>
        <v>7401286</v>
      </c>
    </row>
    <row r="133" spans="1:47" s="37" customFormat="1" ht="18.75" customHeight="1">
      <c r="A133" s="103"/>
      <c r="B133" s="104"/>
      <c r="C133" s="105" t="s">
        <v>204</v>
      </c>
      <c r="D133" s="110" t="s">
        <v>19</v>
      </c>
      <c r="E133" s="102">
        <v>5000</v>
      </c>
      <c r="F133" s="126"/>
      <c r="G133" s="126"/>
      <c r="H133" s="126">
        <f>SUM(E133+F133-G133)</f>
        <v>5000</v>
      </c>
      <c r="I133" s="126"/>
      <c r="J133" s="126"/>
      <c r="K133" s="126">
        <f>SUM(H133+I133-J133)</f>
        <v>5000</v>
      </c>
      <c r="L133" s="126"/>
      <c r="M133" s="126"/>
      <c r="N133" s="126">
        <f>SUM(K133+L133-M133)</f>
        <v>5000</v>
      </c>
      <c r="O133" s="126"/>
      <c r="P133" s="126"/>
      <c r="Q133" s="126">
        <f>SUM(N133+O133-P133)</f>
        <v>5000</v>
      </c>
      <c r="R133" s="126"/>
      <c r="S133" s="126"/>
      <c r="T133" s="126">
        <f>SUM(Q133+R133-S133)</f>
        <v>5000</v>
      </c>
      <c r="U133" s="126"/>
      <c r="V133" s="126"/>
      <c r="W133" s="126">
        <f>SUM(T133+U133-V133)</f>
        <v>5000</v>
      </c>
      <c r="X133" s="126"/>
      <c r="Y133" s="126"/>
      <c r="Z133" s="126">
        <f>SUM(W133+X133-Y133)</f>
        <v>5000</v>
      </c>
      <c r="AA133" s="126"/>
      <c r="AB133" s="126"/>
      <c r="AC133" s="126">
        <f>SUM(Z133+AA133-AB133)</f>
        <v>5000</v>
      </c>
      <c r="AD133" s="126"/>
      <c r="AE133" s="126"/>
      <c r="AF133" s="126">
        <f>SUM(AC133+AD133-AE133)</f>
        <v>5000</v>
      </c>
      <c r="AG133" s="126"/>
      <c r="AH133" s="126"/>
      <c r="AI133" s="126">
        <f>SUM(AF133+AG133-AH133)</f>
        <v>5000</v>
      </c>
      <c r="AJ133" s="126"/>
      <c r="AK133" s="126"/>
      <c r="AL133" s="126">
        <f>SUM(AI133+AJ133-AK133)</f>
        <v>5000</v>
      </c>
      <c r="AM133" s="126"/>
      <c r="AN133" s="126"/>
      <c r="AO133" s="126">
        <f>SUM(AL133+AM133-AN133)</f>
        <v>5000</v>
      </c>
      <c r="AP133" s="126"/>
      <c r="AQ133" s="126"/>
      <c r="AR133" s="126">
        <f>SUM(AO133+AP133-AQ133)</f>
        <v>5000</v>
      </c>
      <c r="AS133" s="126">
        <v>2000</v>
      </c>
      <c r="AT133" s="126"/>
      <c r="AU133" s="126">
        <f>SUM(AR133+AS133-AT133)</f>
        <v>7000</v>
      </c>
    </row>
    <row r="134" spans="1:47" s="37" customFormat="1" ht="60">
      <c r="A134" s="103"/>
      <c r="B134" s="104"/>
      <c r="C134" s="105">
        <v>6298</v>
      </c>
      <c r="D134" s="110" t="s">
        <v>403</v>
      </c>
      <c r="E134" s="102"/>
      <c r="F134" s="126"/>
      <c r="G134" s="126"/>
      <c r="H134" s="126">
        <v>0</v>
      </c>
      <c r="I134" s="126">
        <v>3357524</v>
      </c>
      <c r="J134" s="126"/>
      <c r="K134" s="126">
        <f>SUM(H134+I134-J134)</f>
        <v>3357524</v>
      </c>
      <c r="L134" s="126"/>
      <c r="M134" s="126"/>
      <c r="N134" s="126">
        <f>SUM(K134+L134-M134)</f>
        <v>3357524</v>
      </c>
      <c r="O134" s="126"/>
      <c r="P134" s="126"/>
      <c r="Q134" s="126">
        <f>SUM(N134+O134-P134)</f>
        <v>3357524</v>
      </c>
      <c r="R134" s="126">
        <v>82645</v>
      </c>
      <c r="S134" s="126"/>
      <c r="T134" s="126">
        <f>SUM(Q134+R134-S134)</f>
        <v>3440169</v>
      </c>
      <c r="U134" s="126"/>
      <c r="V134" s="126"/>
      <c r="W134" s="126">
        <f>SUM(T134+U134-V134)</f>
        <v>3440169</v>
      </c>
      <c r="X134" s="126"/>
      <c r="Y134" s="126"/>
      <c r="Z134" s="126">
        <f>SUM(W134+X134-Y134)</f>
        <v>3440169</v>
      </c>
      <c r="AA134" s="126">
        <f>1938448+1393424</f>
        <v>3331872</v>
      </c>
      <c r="AB134" s="126"/>
      <c r="AC134" s="126">
        <f>SUM(Z134+AA134-AB134)</f>
        <v>6772041</v>
      </c>
      <c r="AD134" s="126"/>
      <c r="AE134" s="126"/>
      <c r="AF134" s="126">
        <f>SUM(AC134+AD134-AE134)</f>
        <v>6772041</v>
      </c>
      <c r="AG134" s="126">
        <v>622245</v>
      </c>
      <c r="AH134" s="126"/>
      <c r="AI134" s="126">
        <f>SUM(AF134+AG134-AH134)</f>
        <v>7394286</v>
      </c>
      <c r="AJ134" s="126"/>
      <c r="AK134" s="126"/>
      <c r="AL134" s="126">
        <f>SUM(AI134+AJ134-AK134)</f>
        <v>7394286</v>
      </c>
      <c r="AM134" s="126"/>
      <c r="AN134" s="126"/>
      <c r="AO134" s="126">
        <f>SUM(AL134+AM134-AN134)</f>
        <v>7394286</v>
      </c>
      <c r="AP134" s="126"/>
      <c r="AQ134" s="126"/>
      <c r="AR134" s="126">
        <f>SUM(AO134+AP134-AQ134)</f>
        <v>7394286</v>
      </c>
      <c r="AS134" s="126"/>
      <c r="AT134" s="126"/>
      <c r="AU134" s="126">
        <f>SUM(AR134+AS134-AT134)</f>
        <v>7394286</v>
      </c>
    </row>
    <row r="135" spans="1:47" s="37" customFormat="1" ht="19.5" customHeight="1">
      <c r="A135" s="103"/>
      <c r="B135" s="104">
        <v>90002</v>
      </c>
      <c r="C135" s="105"/>
      <c r="D135" s="110" t="s">
        <v>547</v>
      </c>
      <c r="E135" s="102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>
        <f aca="true" t="shared" si="193" ref="W135:AU135">SUM(W136)</f>
        <v>0</v>
      </c>
      <c r="X135" s="126">
        <f t="shared" si="193"/>
        <v>715</v>
      </c>
      <c r="Y135" s="126">
        <f t="shared" si="193"/>
        <v>0</v>
      </c>
      <c r="Z135" s="126">
        <f t="shared" si="193"/>
        <v>715</v>
      </c>
      <c r="AA135" s="126">
        <f t="shared" si="193"/>
        <v>0</v>
      </c>
      <c r="AB135" s="126">
        <f t="shared" si="193"/>
        <v>0</v>
      </c>
      <c r="AC135" s="126">
        <f t="shared" si="193"/>
        <v>715</v>
      </c>
      <c r="AD135" s="126">
        <f t="shared" si="193"/>
        <v>0</v>
      </c>
      <c r="AE135" s="126">
        <f t="shared" si="193"/>
        <v>0</v>
      </c>
      <c r="AF135" s="126">
        <f t="shared" si="193"/>
        <v>715</v>
      </c>
      <c r="AG135" s="126">
        <f t="shared" si="193"/>
        <v>0</v>
      </c>
      <c r="AH135" s="126">
        <f t="shared" si="193"/>
        <v>0</v>
      </c>
      <c r="AI135" s="126">
        <f t="shared" si="193"/>
        <v>715</v>
      </c>
      <c r="AJ135" s="126">
        <f t="shared" si="193"/>
        <v>0</v>
      </c>
      <c r="AK135" s="126">
        <f t="shared" si="193"/>
        <v>0</v>
      </c>
      <c r="AL135" s="126">
        <f t="shared" si="193"/>
        <v>715</v>
      </c>
      <c r="AM135" s="126">
        <f t="shared" si="193"/>
        <v>0</v>
      </c>
      <c r="AN135" s="126">
        <f t="shared" si="193"/>
        <v>0</v>
      </c>
      <c r="AO135" s="126">
        <f t="shared" si="193"/>
        <v>715</v>
      </c>
      <c r="AP135" s="126">
        <f t="shared" si="193"/>
        <v>0</v>
      </c>
      <c r="AQ135" s="126">
        <f t="shared" si="193"/>
        <v>0</v>
      </c>
      <c r="AR135" s="126">
        <f t="shared" si="193"/>
        <v>715</v>
      </c>
      <c r="AS135" s="126">
        <f t="shared" si="193"/>
        <v>376</v>
      </c>
      <c r="AT135" s="126">
        <f t="shared" si="193"/>
        <v>0</v>
      </c>
      <c r="AU135" s="126">
        <f t="shared" si="193"/>
        <v>1091</v>
      </c>
    </row>
    <row r="136" spans="1:47" s="37" customFormat="1" ht="19.5" customHeight="1">
      <c r="A136" s="103"/>
      <c r="B136" s="104"/>
      <c r="C136" s="105" t="s">
        <v>545</v>
      </c>
      <c r="D136" s="110" t="s">
        <v>546</v>
      </c>
      <c r="E136" s="102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>
        <v>0</v>
      </c>
      <c r="X136" s="126">
        <v>715</v>
      </c>
      <c r="Y136" s="126"/>
      <c r="Z136" s="126">
        <f>SUM(W136+X136-Y136)</f>
        <v>715</v>
      </c>
      <c r="AA136" s="126"/>
      <c r="AB136" s="126"/>
      <c r="AC136" s="126">
        <f>SUM(Z136+AA136-AB136)</f>
        <v>715</v>
      </c>
      <c r="AD136" s="126"/>
      <c r="AE136" s="126"/>
      <c r="AF136" s="126">
        <f>SUM(AC136+AD136-AE136)</f>
        <v>715</v>
      </c>
      <c r="AG136" s="126"/>
      <c r="AH136" s="126"/>
      <c r="AI136" s="126">
        <f>SUM(AF136+AG136-AH136)</f>
        <v>715</v>
      </c>
      <c r="AJ136" s="126"/>
      <c r="AK136" s="126"/>
      <c r="AL136" s="126">
        <f>SUM(AI136+AJ136-AK136)</f>
        <v>715</v>
      </c>
      <c r="AM136" s="126"/>
      <c r="AN136" s="126"/>
      <c r="AO136" s="126">
        <f>SUM(AL136+AM136-AN136)</f>
        <v>715</v>
      </c>
      <c r="AP136" s="126"/>
      <c r="AQ136" s="126"/>
      <c r="AR136" s="126">
        <f>SUM(AO136+AP136-AQ136)</f>
        <v>715</v>
      </c>
      <c r="AS136" s="126">
        <v>376</v>
      </c>
      <c r="AT136" s="126"/>
      <c r="AU136" s="126">
        <f>SUM(AR136+AS136-AT136)</f>
        <v>1091</v>
      </c>
    </row>
    <row r="137" spans="1:47" s="37" customFormat="1" ht="22.5" customHeight="1">
      <c r="A137" s="103"/>
      <c r="B137" s="104">
        <v>90095</v>
      </c>
      <c r="C137" s="105"/>
      <c r="D137" s="110" t="s">
        <v>10</v>
      </c>
      <c r="E137" s="102">
        <f aca="true" t="shared" si="194" ref="E137:AU137">SUM(E138)</f>
        <v>6000</v>
      </c>
      <c r="F137" s="102">
        <f t="shared" si="194"/>
        <v>0</v>
      </c>
      <c r="G137" s="102">
        <f t="shared" si="194"/>
        <v>0</v>
      </c>
      <c r="H137" s="102">
        <f t="shared" si="194"/>
        <v>6000</v>
      </c>
      <c r="I137" s="102">
        <f t="shared" si="194"/>
        <v>0</v>
      </c>
      <c r="J137" s="102">
        <f t="shared" si="194"/>
        <v>0</v>
      </c>
      <c r="K137" s="102">
        <f t="shared" si="194"/>
        <v>6000</v>
      </c>
      <c r="L137" s="102">
        <f t="shared" si="194"/>
        <v>0</v>
      </c>
      <c r="M137" s="102">
        <f t="shared" si="194"/>
        <v>0</v>
      </c>
      <c r="N137" s="102">
        <f t="shared" si="194"/>
        <v>6000</v>
      </c>
      <c r="O137" s="102">
        <f t="shared" si="194"/>
        <v>0</v>
      </c>
      <c r="P137" s="102">
        <f t="shared" si="194"/>
        <v>0</v>
      </c>
      <c r="Q137" s="102">
        <f t="shared" si="194"/>
        <v>6000</v>
      </c>
      <c r="R137" s="102">
        <f t="shared" si="194"/>
        <v>0</v>
      </c>
      <c r="S137" s="102">
        <f t="shared" si="194"/>
        <v>0</v>
      </c>
      <c r="T137" s="102">
        <f t="shared" si="194"/>
        <v>6000</v>
      </c>
      <c r="U137" s="102">
        <f t="shared" si="194"/>
        <v>0</v>
      </c>
      <c r="V137" s="102">
        <f t="shared" si="194"/>
        <v>0</v>
      </c>
      <c r="W137" s="102">
        <f t="shared" si="194"/>
        <v>6000</v>
      </c>
      <c r="X137" s="102">
        <f t="shared" si="194"/>
        <v>0</v>
      </c>
      <c r="Y137" s="102">
        <f t="shared" si="194"/>
        <v>0</v>
      </c>
      <c r="Z137" s="102">
        <f t="shared" si="194"/>
        <v>6000</v>
      </c>
      <c r="AA137" s="102">
        <f t="shared" si="194"/>
        <v>0</v>
      </c>
      <c r="AB137" s="102">
        <f t="shared" si="194"/>
        <v>0</v>
      </c>
      <c r="AC137" s="102">
        <f t="shared" si="194"/>
        <v>6000</v>
      </c>
      <c r="AD137" s="102">
        <f t="shared" si="194"/>
        <v>0</v>
      </c>
      <c r="AE137" s="102">
        <f t="shared" si="194"/>
        <v>0</v>
      </c>
      <c r="AF137" s="102">
        <f t="shared" si="194"/>
        <v>6000</v>
      </c>
      <c r="AG137" s="102">
        <f t="shared" si="194"/>
        <v>0</v>
      </c>
      <c r="AH137" s="102">
        <f t="shared" si="194"/>
        <v>0</v>
      </c>
      <c r="AI137" s="102">
        <f t="shared" si="194"/>
        <v>6000</v>
      </c>
      <c r="AJ137" s="102">
        <f t="shared" si="194"/>
        <v>0</v>
      </c>
      <c r="AK137" s="102">
        <f t="shared" si="194"/>
        <v>0</v>
      </c>
      <c r="AL137" s="102">
        <f t="shared" si="194"/>
        <v>6000</v>
      </c>
      <c r="AM137" s="102">
        <f t="shared" si="194"/>
        <v>0</v>
      </c>
      <c r="AN137" s="102">
        <f t="shared" si="194"/>
        <v>0</v>
      </c>
      <c r="AO137" s="102">
        <f t="shared" si="194"/>
        <v>6000</v>
      </c>
      <c r="AP137" s="102">
        <f t="shared" si="194"/>
        <v>0</v>
      </c>
      <c r="AQ137" s="102">
        <f t="shared" si="194"/>
        <v>0</v>
      </c>
      <c r="AR137" s="102">
        <f t="shared" si="194"/>
        <v>6000</v>
      </c>
      <c r="AS137" s="102">
        <f t="shared" si="194"/>
        <v>0</v>
      </c>
      <c r="AT137" s="102">
        <f t="shared" si="194"/>
        <v>0</v>
      </c>
      <c r="AU137" s="102">
        <f t="shared" si="194"/>
        <v>6000</v>
      </c>
    </row>
    <row r="138" spans="1:47" s="37" customFormat="1" ht="33" customHeight="1">
      <c r="A138" s="103"/>
      <c r="B138" s="104"/>
      <c r="C138" s="105" t="s">
        <v>222</v>
      </c>
      <c r="D138" s="110" t="s">
        <v>79</v>
      </c>
      <c r="E138" s="102">
        <v>6000</v>
      </c>
      <c r="F138" s="126"/>
      <c r="G138" s="126"/>
      <c r="H138" s="126">
        <f>SUM(E138+F138-G138)</f>
        <v>6000</v>
      </c>
      <c r="I138" s="126"/>
      <c r="J138" s="126"/>
      <c r="K138" s="126">
        <f>SUM(H138+I138-J138)</f>
        <v>6000</v>
      </c>
      <c r="L138" s="126"/>
      <c r="M138" s="126"/>
      <c r="N138" s="126">
        <f>SUM(K138+L138-M138)</f>
        <v>6000</v>
      </c>
      <c r="O138" s="126"/>
      <c r="P138" s="126"/>
      <c r="Q138" s="126">
        <f>SUM(N138+O138-P138)</f>
        <v>6000</v>
      </c>
      <c r="R138" s="126"/>
      <c r="S138" s="126"/>
      <c r="T138" s="126">
        <f>SUM(Q138+R138-S138)</f>
        <v>6000</v>
      </c>
      <c r="U138" s="126"/>
      <c r="V138" s="126"/>
      <c r="W138" s="126">
        <f>SUM(T138+U138-V138)</f>
        <v>6000</v>
      </c>
      <c r="X138" s="126"/>
      <c r="Y138" s="126"/>
      <c r="Z138" s="126">
        <f>SUM(W138+X138-Y138)</f>
        <v>6000</v>
      </c>
      <c r="AA138" s="126"/>
      <c r="AB138" s="126"/>
      <c r="AC138" s="126">
        <f>SUM(Z138+AA138-AB138)</f>
        <v>6000</v>
      </c>
      <c r="AD138" s="126"/>
      <c r="AE138" s="126"/>
      <c r="AF138" s="126">
        <f>SUM(AC138+AD138-AE138)</f>
        <v>6000</v>
      </c>
      <c r="AG138" s="126"/>
      <c r="AH138" s="126"/>
      <c r="AI138" s="126">
        <f>SUM(AF138+AG138-AH138)</f>
        <v>6000</v>
      </c>
      <c r="AJ138" s="126"/>
      <c r="AK138" s="126"/>
      <c r="AL138" s="126">
        <f>SUM(AI138+AJ138-AK138)</f>
        <v>6000</v>
      </c>
      <c r="AM138" s="126"/>
      <c r="AN138" s="126"/>
      <c r="AO138" s="126">
        <f>SUM(AL138+AM138-AN138)</f>
        <v>6000</v>
      </c>
      <c r="AP138" s="126"/>
      <c r="AQ138" s="126"/>
      <c r="AR138" s="126">
        <f>SUM(AO138+AP138-AQ138)</f>
        <v>6000</v>
      </c>
      <c r="AS138" s="126"/>
      <c r="AT138" s="126"/>
      <c r="AU138" s="126">
        <f>SUM(AR138+AS138-AT138)</f>
        <v>6000</v>
      </c>
    </row>
    <row r="139" spans="1:47" s="9" customFormat="1" ht="32.25" customHeight="1">
      <c r="A139" s="46" t="s">
        <v>80</v>
      </c>
      <c r="B139" s="4"/>
      <c r="C139" s="5"/>
      <c r="D139" s="47" t="s">
        <v>86</v>
      </c>
      <c r="E139" s="89">
        <f>SUM(E142)</f>
        <v>45000</v>
      </c>
      <c r="F139" s="89">
        <f>SUM(F142)</f>
        <v>0</v>
      </c>
      <c r="G139" s="89">
        <f>SUM(G142)</f>
        <v>0</v>
      </c>
      <c r="H139" s="89">
        <f aca="true" t="shared" si="195" ref="H139:N139">SUM(H142,H140,H144,)</f>
        <v>45000</v>
      </c>
      <c r="I139" s="89">
        <f t="shared" si="195"/>
        <v>6000</v>
      </c>
      <c r="J139" s="89">
        <f t="shared" si="195"/>
        <v>0</v>
      </c>
      <c r="K139" s="89">
        <f t="shared" si="195"/>
        <v>51000</v>
      </c>
      <c r="L139" s="89">
        <f t="shared" si="195"/>
        <v>0</v>
      </c>
      <c r="M139" s="89">
        <f t="shared" si="195"/>
        <v>0</v>
      </c>
      <c r="N139" s="89">
        <f t="shared" si="195"/>
        <v>51000</v>
      </c>
      <c r="O139" s="89">
        <f aca="true" t="shared" si="196" ref="O139:T139">SUM(O142,O140,O144,)</f>
        <v>0</v>
      </c>
      <c r="P139" s="89">
        <f t="shared" si="196"/>
        <v>0</v>
      </c>
      <c r="Q139" s="89">
        <f t="shared" si="196"/>
        <v>51000</v>
      </c>
      <c r="R139" s="89">
        <f t="shared" si="196"/>
        <v>0</v>
      </c>
      <c r="S139" s="89">
        <f t="shared" si="196"/>
        <v>0</v>
      </c>
      <c r="T139" s="89">
        <f t="shared" si="196"/>
        <v>51000</v>
      </c>
      <c r="U139" s="89">
        <f aca="true" t="shared" si="197" ref="U139:Z139">SUM(U142,U140,U144,)</f>
        <v>0</v>
      </c>
      <c r="V139" s="89">
        <f t="shared" si="197"/>
        <v>0</v>
      </c>
      <c r="W139" s="89">
        <f t="shared" si="197"/>
        <v>51000</v>
      </c>
      <c r="X139" s="89">
        <f t="shared" si="197"/>
        <v>0</v>
      </c>
      <c r="Y139" s="89">
        <f t="shared" si="197"/>
        <v>0</v>
      </c>
      <c r="Z139" s="89">
        <f t="shared" si="197"/>
        <v>51000</v>
      </c>
      <c r="AA139" s="89">
        <f aca="true" t="shared" si="198" ref="AA139:AF139">SUM(AA142,AA140,AA144,)</f>
        <v>0</v>
      </c>
      <c r="AB139" s="89">
        <f t="shared" si="198"/>
        <v>0</v>
      </c>
      <c r="AC139" s="89">
        <f t="shared" si="198"/>
        <v>51000</v>
      </c>
      <c r="AD139" s="89">
        <f t="shared" si="198"/>
        <v>0</v>
      </c>
      <c r="AE139" s="89">
        <f t="shared" si="198"/>
        <v>0</v>
      </c>
      <c r="AF139" s="89">
        <f t="shared" si="198"/>
        <v>51000</v>
      </c>
      <c r="AG139" s="89">
        <f aca="true" t="shared" si="199" ref="AG139:AL139">SUM(AG142,AG140,AG144,)</f>
        <v>0</v>
      </c>
      <c r="AH139" s="89">
        <f t="shared" si="199"/>
        <v>0</v>
      </c>
      <c r="AI139" s="89">
        <f t="shared" si="199"/>
        <v>51000</v>
      </c>
      <c r="AJ139" s="89">
        <f t="shared" si="199"/>
        <v>0</v>
      </c>
      <c r="AK139" s="89">
        <f t="shared" si="199"/>
        <v>0</v>
      </c>
      <c r="AL139" s="89">
        <f t="shared" si="199"/>
        <v>51000</v>
      </c>
      <c r="AM139" s="89">
        <f aca="true" t="shared" si="200" ref="AM139:AR139">SUM(AM142,AM140,AM144,)</f>
        <v>0</v>
      </c>
      <c r="AN139" s="89">
        <f t="shared" si="200"/>
        <v>0</v>
      </c>
      <c r="AO139" s="89">
        <f t="shared" si="200"/>
        <v>51000</v>
      </c>
      <c r="AP139" s="89">
        <f t="shared" si="200"/>
        <v>0</v>
      </c>
      <c r="AQ139" s="89">
        <f t="shared" si="200"/>
        <v>0</v>
      </c>
      <c r="AR139" s="89">
        <f t="shared" si="200"/>
        <v>51000</v>
      </c>
      <c r="AS139" s="89">
        <f>SUM(AS142,AS140,AS144,)</f>
        <v>0</v>
      </c>
      <c r="AT139" s="89">
        <f>SUM(AT142,AT140,AT144,)</f>
        <v>0</v>
      </c>
      <c r="AU139" s="89">
        <f>SUM(AU142,AU140,AU144,)</f>
        <v>51000</v>
      </c>
    </row>
    <row r="140" spans="1:47" s="9" customFormat="1" ht="29.25" customHeight="1">
      <c r="A140" s="46"/>
      <c r="B140" s="120">
        <v>92109</v>
      </c>
      <c r="C140" s="99"/>
      <c r="D140" s="56" t="s">
        <v>450</v>
      </c>
      <c r="E140" s="125"/>
      <c r="F140" s="125"/>
      <c r="G140" s="125"/>
      <c r="H140" s="125">
        <f aca="true" t="shared" si="201" ref="H140:AU140">SUM(H141)</f>
        <v>0</v>
      </c>
      <c r="I140" s="125">
        <f t="shared" si="201"/>
        <v>4000</v>
      </c>
      <c r="J140" s="125">
        <f t="shared" si="201"/>
        <v>0</v>
      </c>
      <c r="K140" s="125">
        <f t="shared" si="201"/>
        <v>4000</v>
      </c>
      <c r="L140" s="125">
        <f t="shared" si="201"/>
        <v>0</v>
      </c>
      <c r="M140" s="125">
        <f t="shared" si="201"/>
        <v>0</v>
      </c>
      <c r="N140" s="125">
        <f t="shared" si="201"/>
        <v>4000</v>
      </c>
      <c r="O140" s="125">
        <f t="shared" si="201"/>
        <v>0</v>
      </c>
      <c r="P140" s="125">
        <f t="shared" si="201"/>
        <v>0</v>
      </c>
      <c r="Q140" s="125">
        <f t="shared" si="201"/>
        <v>4000</v>
      </c>
      <c r="R140" s="125">
        <f t="shared" si="201"/>
        <v>0</v>
      </c>
      <c r="S140" s="125">
        <f t="shared" si="201"/>
        <v>0</v>
      </c>
      <c r="T140" s="125">
        <f t="shared" si="201"/>
        <v>4000</v>
      </c>
      <c r="U140" s="125">
        <f t="shared" si="201"/>
        <v>0</v>
      </c>
      <c r="V140" s="125">
        <f t="shared" si="201"/>
        <v>0</v>
      </c>
      <c r="W140" s="125">
        <f t="shared" si="201"/>
        <v>4000</v>
      </c>
      <c r="X140" s="125">
        <f t="shared" si="201"/>
        <v>0</v>
      </c>
      <c r="Y140" s="125">
        <f t="shared" si="201"/>
        <v>0</v>
      </c>
      <c r="Z140" s="125">
        <f t="shared" si="201"/>
        <v>4000</v>
      </c>
      <c r="AA140" s="125">
        <f t="shared" si="201"/>
        <v>0</v>
      </c>
      <c r="AB140" s="125">
        <f t="shared" si="201"/>
        <v>0</v>
      </c>
      <c r="AC140" s="125">
        <f t="shared" si="201"/>
        <v>4000</v>
      </c>
      <c r="AD140" s="125">
        <f t="shared" si="201"/>
        <v>0</v>
      </c>
      <c r="AE140" s="125">
        <f t="shared" si="201"/>
        <v>0</v>
      </c>
      <c r="AF140" s="125">
        <f t="shared" si="201"/>
        <v>4000</v>
      </c>
      <c r="AG140" s="125">
        <f t="shared" si="201"/>
        <v>0</v>
      </c>
      <c r="AH140" s="125">
        <f t="shared" si="201"/>
        <v>0</v>
      </c>
      <c r="AI140" s="125">
        <f t="shared" si="201"/>
        <v>4000</v>
      </c>
      <c r="AJ140" s="125">
        <f t="shared" si="201"/>
        <v>0</v>
      </c>
      <c r="AK140" s="125">
        <f t="shared" si="201"/>
        <v>0</v>
      </c>
      <c r="AL140" s="125">
        <f t="shared" si="201"/>
        <v>4000</v>
      </c>
      <c r="AM140" s="125">
        <f t="shared" si="201"/>
        <v>0</v>
      </c>
      <c r="AN140" s="125">
        <f t="shared" si="201"/>
        <v>0</v>
      </c>
      <c r="AO140" s="125">
        <f t="shared" si="201"/>
        <v>4000</v>
      </c>
      <c r="AP140" s="125">
        <f t="shared" si="201"/>
        <v>0</v>
      </c>
      <c r="AQ140" s="125">
        <f t="shared" si="201"/>
        <v>0</v>
      </c>
      <c r="AR140" s="125">
        <f t="shared" si="201"/>
        <v>4000</v>
      </c>
      <c r="AS140" s="125">
        <f t="shared" si="201"/>
        <v>0</v>
      </c>
      <c r="AT140" s="125">
        <f t="shared" si="201"/>
        <v>0</v>
      </c>
      <c r="AU140" s="125">
        <f t="shared" si="201"/>
        <v>4000</v>
      </c>
    </row>
    <row r="141" spans="1:47" s="9" customFormat="1" ht="66" customHeight="1">
      <c r="A141" s="46"/>
      <c r="B141" s="43"/>
      <c r="C141" s="100">
        <v>2320</v>
      </c>
      <c r="D141" s="56" t="s">
        <v>447</v>
      </c>
      <c r="E141" s="94"/>
      <c r="F141" s="94"/>
      <c r="G141" s="94"/>
      <c r="H141" s="125">
        <v>0</v>
      </c>
      <c r="I141" s="125">
        <f>3500+500</f>
        <v>4000</v>
      </c>
      <c r="J141" s="125"/>
      <c r="K141" s="125">
        <f>SUM(H141+I141-J141)</f>
        <v>4000</v>
      </c>
      <c r="L141" s="125"/>
      <c r="M141" s="125"/>
      <c r="N141" s="125">
        <f>SUM(K141+L141-M141)</f>
        <v>4000</v>
      </c>
      <c r="O141" s="125"/>
      <c r="P141" s="125"/>
      <c r="Q141" s="125">
        <f>SUM(N141+O141-P141)</f>
        <v>4000</v>
      </c>
      <c r="R141" s="125"/>
      <c r="S141" s="125"/>
      <c r="T141" s="125">
        <f>SUM(Q141+R141-S141)</f>
        <v>4000</v>
      </c>
      <c r="U141" s="125"/>
      <c r="V141" s="125"/>
      <c r="W141" s="125">
        <f>SUM(T141+U141-V141)</f>
        <v>4000</v>
      </c>
      <c r="X141" s="125"/>
      <c r="Y141" s="125"/>
      <c r="Z141" s="125">
        <f>SUM(W141+X141-Y141)</f>
        <v>4000</v>
      </c>
      <c r="AA141" s="125"/>
      <c r="AB141" s="125"/>
      <c r="AC141" s="125">
        <f>SUM(Z141+AA141-AB141)</f>
        <v>4000</v>
      </c>
      <c r="AD141" s="125"/>
      <c r="AE141" s="125"/>
      <c r="AF141" s="125">
        <f>SUM(AC141+AD141-AE141)</f>
        <v>4000</v>
      </c>
      <c r="AG141" s="125"/>
      <c r="AH141" s="125"/>
      <c r="AI141" s="125">
        <f>SUM(AF141+AG141-AH141)</f>
        <v>4000</v>
      </c>
      <c r="AJ141" s="125"/>
      <c r="AK141" s="125"/>
      <c r="AL141" s="125">
        <f>SUM(AI141+AJ141-AK141)</f>
        <v>4000</v>
      </c>
      <c r="AM141" s="125"/>
      <c r="AN141" s="125"/>
      <c r="AO141" s="125">
        <f>SUM(AL141+AM141-AN141)</f>
        <v>4000</v>
      </c>
      <c r="AP141" s="125"/>
      <c r="AQ141" s="125"/>
      <c r="AR141" s="125">
        <f>SUM(AO141+AP141-AQ141)</f>
        <v>4000</v>
      </c>
      <c r="AS141" s="125"/>
      <c r="AT141" s="125"/>
      <c r="AU141" s="125">
        <f>SUM(AR141+AS141-AT141)</f>
        <v>4000</v>
      </c>
    </row>
    <row r="142" spans="1:47" s="37" customFormat="1" ht="21" customHeight="1">
      <c r="A142" s="103"/>
      <c r="B142" s="104" t="s">
        <v>81</v>
      </c>
      <c r="C142" s="113"/>
      <c r="D142" s="110" t="s">
        <v>82</v>
      </c>
      <c r="E142" s="102">
        <f aca="true" t="shared" si="202" ref="E142:AU142">SUM(E143)</f>
        <v>45000</v>
      </c>
      <c r="F142" s="102">
        <f t="shared" si="202"/>
        <v>0</v>
      </c>
      <c r="G142" s="102">
        <f t="shared" si="202"/>
        <v>0</v>
      </c>
      <c r="H142" s="102">
        <f t="shared" si="202"/>
        <v>45000</v>
      </c>
      <c r="I142" s="102">
        <f t="shared" si="202"/>
        <v>0</v>
      </c>
      <c r="J142" s="102">
        <f t="shared" si="202"/>
        <v>0</v>
      </c>
      <c r="K142" s="102">
        <f t="shared" si="202"/>
        <v>45000</v>
      </c>
      <c r="L142" s="102">
        <f t="shared" si="202"/>
        <v>0</v>
      </c>
      <c r="M142" s="102">
        <f t="shared" si="202"/>
        <v>0</v>
      </c>
      <c r="N142" s="102">
        <f t="shared" si="202"/>
        <v>45000</v>
      </c>
      <c r="O142" s="102">
        <f t="shared" si="202"/>
        <v>0</v>
      </c>
      <c r="P142" s="102">
        <f t="shared" si="202"/>
        <v>0</v>
      </c>
      <c r="Q142" s="102">
        <f t="shared" si="202"/>
        <v>45000</v>
      </c>
      <c r="R142" s="102">
        <f t="shared" si="202"/>
        <v>0</v>
      </c>
      <c r="S142" s="102">
        <f t="shared" si="202"/>
        <v>0</v>
      </c>
      <c r="T142" s="102">
        <f t="shared" si="202"/>
        <v>45000</v>
      </c>
      <c r="U142" s="102">
        <f t="shared" si="202"/>
        <v>0</v>
      </c>
      <c r="V142" s="102">
        <f t="shared" si="202"/>
        <v>0</v>
      </c>
      <c r="W142" s="102">
        <f t="shared" si="202"/>
        <v>45000</v>
      </c>
      <c r="X142" s="102">
        <f t="shared" si="202"/>
        <v>0</v>
      </c>
      <c r="Y142" s="102">
        <f t="shared" si="202"/>
        <v>0</v>
      </c>
      <c r="Z142" s="102">
        <f t="shared" si="202"/>
        <v>45000</v>
      </c>
      <c r="AA142" s="102">
        <f t="shared" si="202"/>
        <v>0</v>
      </c>
      <c r="AB142" s="102">
        <f t="shared" si="202"/>
        <v>0</v>
      </c>
      <c r="AC142" s="102">
        <f t="shared" si="202"/>
        <v>45000</v>
      </c>
      <c r="AD142" s="102">
        <f t="shared" si="202"/>
        <v>0</v>
      </c>
      <c r="AE142" s="102">
        <f t="shared" si="202"/>
        <v>0</v>
      </c>
      <c r="AF142" s="102">
        <f t="shared" si="202"/>
        <v>45000</v>
      </c>
      <c r="AG142" s="102">
        <f t="shared" si="202"/>
        <v>0</v>
      </c>
      <c r="AH142" s="102">
        <f t="shared" si="202"/>
        <v>0</v>
      </c>
      <c r="AI142" s="102">
        <f t="shared" si="202"/>
        <v>45000</v>
      </c>
      <c r="AJ142" s="102">
        <f t="shared" si="202"/>
        <v>0</v>
      </c>
      <c r="AK142" s="102">
        <f t="shared" si="202"/>
        <v>0</v>
      </c>
      <c r="AL142" s="102">
        <f t="shared" si="202"/>
        <v>45000</v>
      </c>
      <c r="AM142" s="102">
        <f t="shared" si="202"/>
        <v>0</v>
      </c>
      <c r="AN142" s="102">
        <f t="shared" si="202"/>
        <v>0</v>
      </c>
      <c r="AO142" s="102">
        <f t="shared" si="202"/>
        <v>45000</v>
      </c>
      <c r="AP142" s="102">
        <f t="shared" si="202"/>
        <v>0</v>
      </c>
      <c r="AQ142" s="102">
        <f t="shared" si="202"/>
        <v>0</v>
      </c>
      <c r="AR142" s="102">
        <f t="shared" si="202"/>
        <v>45000</v>
      </c>
      <c r="AS142" s="102">
        <f t="shared" si="202"/>
        <v>0</v>
      </c>
      <c r="AT142" s="102">
        <f t="shared" si="202"/>
        <v>0</v>
      </c>
      <c r="AU142" s="102">
        <f t="shared" si="202"/>
        <v>45000</v>
      </c>
    </row>
    <row r="143" spans="1:47" s="37" customFormat="1" ht="63" customHeight="1">
      <c r="A143" s="104"/>
      <c r="B143" s="104"/>
      <c r="C143" s="105">
        <v>2320</v>
      </c>
      <c r="D143" s="110" t="s">
        <v>447</v>
      </c>
      <c r="E143" s="102">
        <v>45000</v>
      </c>
      <c r="F143" s="126"/>
      <c r="G143" s="126"/>
      <c r="H143" s="126">
        <f>SUM(E143+F143-G143)</f>
        <v>45000</v>
      </c>
      <c r="I143" s="126"/>
      <c r="J143" s="126"/>
      <c r="K143" s="126">
        <f>SUM(H143+I143-J143)</f>
        <v>45000</v>
      </c>
      <c r="L143" s="126"/>
      <c r="M143" s="126"/>
      <c r="N143" s="126">
        <f>SUM(K143+L143-M143)</f>
        <v>45000</v>
      </c>
      <c r="O143" s="126"/>
      <c r="P143" s="126"/>
      <c r="Q143" s="126">
        <f>SUM(N143+O143-P143)</f>
        <v>45000</v>
      </c>
      <c r="R143" s="126"/>
      <c r="S143" s="126"/>
      <c r="T143" s="126">
        <f>SUM(Q143+R143-S143)</f>
        <v>45000</v>
      </c>
      <c r="U143" s="126"/>
      <c r="V143" s="126"/>
      <c r="W143" s="126">
        <f>SUM(T143+U143-V143)</f>
        <v>45000</v>
      </c>
      <c r="X143" s="126"/>
      <c r="Y143" s="126"/>
      <c r="Z143" s="126">
        <f>SUM(W143+X143-Y143)</f>
        <v>45000</v>
      </c>
      <c r="AA143" s="126"/>
      <c r="AB143" s="126"/>
      <c r="AC143" s="126">
        <f>SUM(Z143+AA143-AB143)</f>
        <v>45000</v>
      </c>
      <c r="AD143" s="126"/>
      <c r="AE143" s="126"/>
      <c r="AF143" s="126">
        <f>SUM(AC143+AD143-AE143)</f>
        <v>45000</v>
      </c>
      <c r="AG143" s="126"/>
      <c r="AH143" s="126"/>
      <c r="AI143" s="126">
        <f>SUM(AF143+AG143-AH143)</f>
        <v>45000</v>
      </c>
      <c r="AJ143" s="126"/>
      <c r="AK143" s="126"/>
      <c r="AL143" s="126">
        <f>SUM(AI143+AJ143-AK143)</f>
        <v>45000</v>
      </c>
      <c r="AM143" s="126"/>
      <c r="AN143" s="126"/>
      <c r="AO143" s="126">
        <f>SUM(AL143+AM143-AN143)</f>
        <v>45000</v>
      </c>
      <c r="AP143" s="126"/>
      <c r="AQ143" s="126"/>
      <c r="AR143" s="126">
        <f>SUM(AO143+AP143-AQ143)</f>
        <v>45000</v>
      </c>
      <c r="AS143" s="126"/>
      <c r="AT143" s="126"/>
      <c r="AU143" s="126">
        <f>SUM(AR143+AS143-AT143)</f>
        <v>45000</v>
      </c>
    </row>
    <row r="144" spans="1:47" s="37" customFormat="1" ht="21.75" customHeight="1">
      <c r="A144" s="104"/>
      <c r="B144" s="98">
        <v>92118</v>
      </c>
      <c r="C144" s="98"/>
      <c r="D144" s="97" t="s">
        <v>164</v>
      </c>
      <c r="E144" s="102"/>
      <c r="F144" s="126"/>
      <c r="G144" s="126"/>
      <c r="H144" s="126">
        <f aca="true" t="shared" si="203" ref="H144:AU144">SUM(H145)</f>
        <v>0</v>
      </c>
      <c r="I144" s="126">
        <f t="shared" si="203"/>
        <v>2000</v>
      </c>
      <c r="J144" s="126">
        <f t="shared" si="203"/>
        <v>0</v>
      </c>
      <c r="K144" s="126">
        <f t="shared" si="203"/>
        <v>2000</v>
      </c>
      <c r="L144" s="126">
        <f t="shared" si="203"/>
        <v>0</v>
      </c>
      <c r="M144" s="126">
        <f t="shared" si="203"/>
        <v>0</v>
      </c>
      <c r="N144" s="126">
        <f t="shared" si="203"/>
        <v>2000</v>
      </c>
      <c r="O144" s="126">
        <f t="shared" si="203"/>
        <v>0</v>
      </c>
      <c r="P144" s="126">
        <f t="shared" si="203"/>
        <v>0</v>
      </c>
      <c r="Q144" s="126">
        <f t="shared" si="203"/>
        <v>2000</v>
      </c>
      <c r="R144" s="126">
        <f t="shared" si="203"/>
        <v>0</v>
      </c>
      <c r="S144" s="126">
        <f t="shared" si="203"/>
        <v>0</v>
      </c>
      <c r="T144" s="126">
        <f t="shared" si="203"/>
        <v>2000</v>
      </c>
      <c r="U144" s="126">
        <f t="shared" si="203"/>
        <v>0</v>
      </c>
      <c r="V144" s="126">
        <f t="shared" si="203"/>
        <v>0</v>
      </c>
      <c r="W144" s="126">
        <f t="shared" si="203"/>
        <v>2000</v>
      </c>
      <c r="X144" s="126">
        <f t="shared" si="203"/>
        <v>0</v>
      </c>
      <c r="Y144" s="126">
        <f t="shared" si="203"/>
        <v>0</v>
      </c>
      <c r="Z144" s="126">
        <f t="shared" si="203"/>
        <v>2000</v>
      </c>
      <c r="AA144" s="126">
        <f t="shared" si="203"/>
        <v>0</v>
      </c>
      <c r="AB144" s="126">
        <f t="shared" si="203"/>
        <v>0</v>
      </c>
      <c r="AC144" s="126">
        <f t="shared" si="203"/>
        <v>2000</v>
      </c>
      <c r="AD144" s="126">
        <f t="shared" si="203"/>
        <v>0</v>
      </c>
      <c r="AE144" s="126">
        <f t="shared" si="203"/>
        <v>0</v>
      </c>
      <c r="AF144" s="126">
        <f t="shared" si="203"/>
        <v>2000</v>
      </c>
      <c r="AG144" s="126">
        <f t="shared" si="203"/>
        <v>0</v>
      </c>
      <c r="AH144" s="126">
        <f t="shared" si="203"/>
        <v>0</v>
      </c>
      <c r="AI144" s="126">
        <f t="shared" si="203"/>
        <v>2000</v>
      </c>
      <c r="AJ144" s="126">
        <f t="shared" si="203"/>
        <v>0</v>
      </c>
      <c r="AK144" s="126">
        <f t="shared" si="203"/>
        <v>0</v>
      </c>
      <c r="AL144" s="126">
        <f t="shared" si="203"/>
        <v>2000</v>
      </c>
      <c r="AM144" s="126">
        <f t="shared" si="203"/>
        <v>0</v>
      </c>
      <c r="AN144" s="126">
        <f t="shared" si="203"/>
        <v>0</v>
      </c>
      <c r="AO144" s="126">
        <f t="shared" si="203"/>
        <v>2000</v>
      </c>
      <c r="AP144" s="126">
        <f t="shared" si="203"/>
        <v>0</v>
      </c>
      <c r="AQ144" s="126">
        <f t="shared" si="203"/>
        <v>0</v>
      </c>
      <c r="AR144" s="126">
        <f t="shared" si="203"/>
        <v>2000</v>
      </c>
      <c r="AS144" s="126">
        <f t="shared" si="203"/>
        <v>0</v>
      </c>
      <c r="AT144" s="126">
        <f t="shared" si="203"/>
        <v>0</v>
      </c>
      <c r="AU144" s="126">
        <f t="shared" si="203"/>
        <v>2000</v>
      </c>
    </row>
    <row r="145" spans="1:47" s="37" customFormat="1" ht="66" customHeight="1">
      <c r="A145" s="104"/>
      <c r="B145" s="98"/>
      <c r="C145" s="98">
        <v>2320</v>
      </c>
      <c r="D145" s="56" t="s">
        <v>447</v>
      </c>
      <c r="E145" s="102"/>
      <c r="F145" s="126"/>
      <c r="G145" s="126"/>
      <c r="H145" s="126">
        <v>0</v>
      </c>
      <c r="I145" s="126">
        <f>500+1000+500</f>
        <v>2000</v>
      </c>
      <c r="J145" s="126"/>
      <c r="K145" s="126">
        <f>SUM(H145+I145-J145)</f>
        <v>2000</v>
      </c>
      <c r="L145" s="126"/>
      <c r="M145" s="126"/>
      <c r="N145" s="126">
        <f>SUM(K145+L145-M145)</f>
        <v>2000</v>
      </c>
      <c r="O145" s="126"/>
      <c r="P145" s="126"/>
      <c r="Q145" s="126">
        <f>SUM(N145+O145-P145)</f>
        <v>2000</v>
      </c>
      <c r="R145" s="126"/>
      <c r="S145" s="126"/>
      <c r="T145" s="126">
        <f>SUM(Q145+R145-S145)</f>
        <v>2000</v>
      </c>
      <c r="U145" s="126"/>
      <c r="V145" s="126"/>
      <c r="W145" s="126">
        <f>SUM(T145+U145-V145)</f>
        <v>2000</v>
      </c>
      <c r="X145" s="126"/>
      <c r="Y145" s="126"/>
      <c r="Z145" s="126">
        <f>SUM(W145+X145-Y145)</f>
        <v>2000</v>
      </c>
      <c r="AA145" s="126"/>
      <c r="AB145" s="126"/>
      <c r="AC145" s="126">
        <f>SUM(Z145+AA145-AB145)</f>
        <v>2000</v>
      </c>
      <c r="AD145" s="126"/>
      <c r="AE145" s="126"/>
      <c r="AF145" s="126">
        <f>SUM(AC145+AD145-AE145)</f>
        <v>2000</v>
      </c>
      <c r="AG145" s="126"/>
      <c r="AH145" s="126"/>
      <c r="AI145" s="126">
        <f>SUM(AF145+AG145-AH145)</f>
        <v>2000</v>
      </c>
      <c r="AJ145" s="126"/>
      <c r="AK145" s="126"/>
      <c r="AL145" s="126">
        <f>SUM(AI145+AJ145-AK145)</f>
        <v>2000</v>
      </c>
      <c r="AM145" s="126"/>
      <c r="AN145" s="126"/>
      <c r="AO145" s="126">
        <f>SUM(AL145+AM145-AN145)</f>
        <v>2000</v>
      </c>
      <c r="AP145" s="126"/>
      <c r="AQ145" s="126"/>
      <c r="AR145" s="126">
        <f>SUM(AO145+AP145-AQ145)</f>
        <v>2000</v>
      </c>
      <c r="AS145" s="126"/>
      <c r="AT145" s="126"/>
      <c r="AU145" s="126">
        <f>SUM(AR145+AS145-AT145)</f>
        <v>2000</v>
      </c>
    </row>
    <row r="146" spans="1:47" s="37" customFormat="1" ht="27" customHeight="1">
      <c r="A146" s="51" t="s">
        <v>165</v>
      </c>
      <c r="B146" s="52"/>
      <c r="C146" s="53"/>
      <c r="D146" s="54" t="s">
        <v>83</v>
      </c>
      <c r="E146" s="141"/>
      <c r="F146" s="60"/>
      <c r="G146" s="60"/>
      <c r="H146" s="244">
        <f>SUM(H147)</f>
        <v>0</v>
      </c>
      <c r="I146" s="244">
        <f aca="true" t="shared" si="204" ref="I146:X147">SUM(I147)</f>
        <v>4600</v>
      </c>
      <c r="J146" s="244">
        <f t="shared" si="204"/>
        <v>0</v>
      </c>
      <c r="K146" s="244">
        <f t="shared" si="204"/>
        <v>4600</v>
      </c>
      <c r="L146" s="244">
        <f t="shared" si="204"/>
        <v>0</v>
      </c>
      <c r="M146" s="244">
        <f t="shared" si="204"/>
        <v>0</v>
      </c>
      <c r="N146" s="244">
        <f t="shared" si="204"/>
        <v>4600</v>
      </c>
      <c r="O146" s="244">
        <f t="shared" si="204"/>
        <v>0</v>
      </c>
      <c r="P146" s="244">
        <f t="shared" si="204"/>
        <v>0</v>
      </c>
      <c r="Q146" s="244">
        <f t="shared" si="204"/>
        <v>4600</v>
      </c>
      <c r="R146" s="244">
        <f t="shared" si="204"/>
        <v>30800</v>
      </c>
      <c r="S146" s="244">
        <f t="shared" si="204"/>
        <v>0</v>
      </c>
      <c r="T146" s="244">
        <f t="shared" si="204"/>
        <v>35400</v>
      </c>
      <c r="U146" s="244">
        <f t="shared" si="204"/>
        <v>1500</v>
      </c>
      <c r="V146" s="244">
        <f t="shared" si="204"/>
        <v>2500</v>
      </c>
      <c r="W146" s="244">
        <f t="shared" si="204"/>
        <v>34400</v>
      </c>
      <c r="X146" s="244">
        <f t="shared" si="204"/>
        <v>0</v>
      </c>
      <c r="Y146" s="244">
        <f aca="true" t="shared" si="205" ref="Y146:AU146">SUM(Y147)</f>
        <v>0</v>
      </c>
      <c r="Z146" s="244">
        <f t="shared" si="205"/>
        <v>34400</v>
      </c>
      <c r="AA146" s="244">
        <f t="shared" si="205"/>
        <v>0</v>
      </c>
      <c r="AB146" s="244">
        <f t="shared" si="205"/>
        <v>0</v>
      </c>
      <c r="AC146" s="244">
        <f t="shared" si="205"/>
        <v>34400</v>
      </c>
      <c r="AD146" s="244">
        <f t="shared" si="205"/>
        <v>0</v>
      </c>
      <c r="AE146" s="244">
        <f t="shared" si="205"/>
        <v>0</v>
      </c>
      <c r="AF146" s="244">
        <f t="shared" si="205"/>
        <v>34400</v>
      </c>
      <c r="AG146" s="244">
        <f t="shared" si="205"/>
        <v>0</v>
      </c>
      <c r="AH146" s="244">
        <f t="shared" si="205"/>
        <v>0</v>
      </c>
      <c r="AI146" s="244">
        <f t="shared" si="205"/>
        <v>34400</v>
      </c>
      <c r="AJ146" s="244">
        <f t="shared" si="205"/>
        <v>0</v>
      </c>
      <c r="AK146" s="244">
        <f t="shared" si="205"/>
        <v>0</v>
      </c>
      <c r="AL146" s="244">
        <f t="shared" si="205"/>
        <v>34400</v>
      </c>
      <c r="AM146" s="244">
        <f t="shared" si="205"/>
        <v>0</v>
      </c>
      <c r="AN146" s="244">
        <f t="shared" si="205"/>
        <v>0</v>
      </c>
      <c r="AO146" s="244">
        <f t="shared" si="205"/>
        <v>34400</v>
      </c>
      <c r="AP146" s="244">
        <f t="shared" si="205"/>
        <v>0</v>
      </c>
      <c r="AQ146" s="244">
        <f t="shared" si="205"/>
        <v>0</v>
      </c>
      <c r="AR146" s="244">
        <f t="shared" si="205"/>
        <v>34400</v>
      </c>
      <c r="AS146" s="244">
        <f t="shared" si="205"/>
        <v>0</v>
      </c>
      <c r="AT146" s="244">
        <f t="shared" si="205"/>
        <v>0</v>
      </c>
      <c r="AU146" s="244">
        <f t="shared" si="205"/>
        <v>34400</v>
      </c>
    </row>
    <row r="147" spans="1:47" s="37" customFormat="1" ht="26.25" customHeight="1">
      <c r="A147" s="98"/>
      <c r="B147" s="98">
        <v>92605</v>
      </c>
      <c r="C147" s="98"/>
      <c r="D147" s="56" t="s">
        <v>84</v>
      </c>
      <c r="E147" s="127"/>
      <c r="F147" s="126"/>
      <c r="G147" s="126"/>
      <c r="H147" s="165">
        <f>SUM(H148)</f>
        <v>0</v>
      </c>
      <c r="I147" s="165">
        <f t="shared" si="204"/>
        <v>4600</v>
      </c>
      <c r="J147" s="165">
        <f t="shared" si="204"/>
        <v>0</v>
      </c>
      <c r="K147" s="165">
        <f t="shared" si="204"/>
        <v>4600</v>
      </c>
      <c r="L147" s="165">
        <f t="shared" si="204"/>
        <v>0</v>
      </c>
      <c r="M147" s="165">
        <f t="shared" si="204"/>
        <v>0</v>
      </c>
      <c r="N147" s="165">
        <f t="shared" si="204"/>
        <v>4600</v>
      </c>
      <c r="O147" s="165">
        <f t="shared" si="204"/>
        <v>0</v>
      </c>
      <c r="P147" s="165">
        <f t="shared" si="204"/>
        <v>0</v>
      </c>
      <c r="Q147" s="165">
        <f aca="true" t="shared" si="206" ref="Q147:W147">SUM(Q148:Q149)</f>
        <v>4600</v>
      </c>
      <c r="R147" s="165">
        <f t="shared" si="206"/>
        <v>30800</v>
      </c>
      <c r="S147" s="165">
        <f t="shared" si="206"/>
        <v>0</v>
      </c>
      <c r="T147" s="165">
        <f t="shared" si="206"/>
        <v>35400</v>
      </c>
      <c r="U147" s="165">
        <f t="shared" si="206"/>
        <v>1500</v>
      </c>
      <c r="V147" s="165">
        <f t="shared" si="206"/>
        <v>2500</v>
      </c>
      <c r="W147" s="165">
        <f t="shared" si="206"/>
        <v>34400</v>
      </c>
      <c r="X147" s="165">
        <f aca="true" t="shared" si="207" ref="X147:AC147">SUM(X148:X149)</f>
        <v>0</v>
      </c>
      <c r="Y147" s="165">
        <f t="shared" si="207"/>
        <v>0</v>
      </c>
      <c r="Z147" s="165">
        <f t="shared" si="207"/>
        <v>34400</v>
      </c>
      <c r="AA147" s="165">
        <f t="shared" si="207"/>
        <v>0</v>
      </c>
      <c r="AB147" s="165">
        <f t="shared" si="207"/>
        <v>0</v>
      </c>
      <c r="AC147" s="165">
        <f t="shared" si="207"/>
        <v>34400</v>
      </c>
      <c r="AD147" s="165">
        <f aca="true" t="shared" si="208" ref="AD147:AI147">SUM(AD148:AD149)</f>
        <v>0</v>
      </c>
      <c r="AE147" s="165">
        <f t="shared" si="208"/>
        <v>0</v>
      </c>
      <c r="AF147" s="165">
        <f t="shared" si="208"/>
        <v>34400</v>
      </c>
      <c r="AG147" s="165">
        <f t="shared" si="208"/>
        <v>0</v>
      </c>
      <c r="AH147" s="165">
        <f t="shared" si="208"/>
        <v>0</v>
      </c>
      <c r="AI147" s="165">
        <f t="shared" si="208"/>
        <v>34400</v>
      </c>
      <c r="AJ147" s="165">
        <f aca="true" t="shared" si="209" ref="AJ147:AO147">SUM(AJ148:AJ149)</f>
        <v>0</v>
      </c>
      <c r="AK147" s="165">
        <f t="shared" si="209"/>
        <v>0</v>
      </c>
      <c r="AL147" s="165">
        <f t="shared" si="209"/>
        <v>34400</v>
      </c>
      <c r="AM147" s="165">
        <f t="shared" si="209"/>
        <v>0</v>
      </c>
      <c r="AN147" s="165">
        <f t="shared" si="209"/>
        <v>0</v>
      </c>
      <c r="AO147" s="165">
        <f t="shared" si="209"/>
        <v>34400</v>
      </c>
      <c r="AP147" s="165">
        <f aca="true" t="shared" si="210" ref="AP147:AU147">SUM(AP148:AP149)</f>
        <v>0</v>
      </c>
      <c r="AQ147" s="165">
        <f t="shared" si="210"/>
        <v>0</v>
      </c>
      <c r="AR147" s="165">
        <f t="shared" si="210"/>
        <v>34400</v>
      </c>
      <c r="AS147" s="165">
        <f t="shared" si="210"/>
        <v>0</v>
      </c>
      <c r="AT147" s="165">
        <f t="shared" si="210"/>
        <v>0</v>
      </c>
      <c r="AU147" s="165">
        <f t="shared" si="210"/>
        <v>34400</v>
      </c>
    </row>
    <row r="148" spans="1:47" s="37" customFormat="1" ht="62.25" customHeight="1">
      <c r="A148" s="98"/>
      <c r="B148" s="98"/>
      <c r="C148" s="98">
        <v>2320</v>
      </c>
      <c r="D148" s="56" t="s">
        <v>447</v>
      </c>
      <c r="E148" s="127"/>
      <c r="F148" s="126"/>
      <c r="G148" s="126"/>
      <c r="H148" s="165">
        <v>0</v>
      </c>
      <c r="I148" s="126">
        <f>1500+2500+600</f>
        <v>4600</v>
      </c>
      <c r="J148" s="126"/>
      <c r="K148" s="165">
        <f>SUM(H148+I148-J148)</f>
        <v>4600</v>
      </c>
      <c r="L148" s="126"/>
      <c r="M148" s="126"/>
      <c r="N148" s="165">
        <f>SUM(K148+L148-M148)</f>
        <v>4600</v>
      </c>
      <c r="O148" s="126"/>
      <c r="P148" s="126"/>
      <c r="Q148" s="165">
        <f>SUM(N148+O148-P148)</f>
        <v>4600</v>
      </c>
      <c r="R148" s="126"/>
      <c r="S148" s="126"/>
      <c r="T148" s="165">
        <f>SUM(Q148+R148-S148)</f>
        <v>4600</v>
      </c>
      <c r="U148" s="126">
        <v>1500</v>
      </c>
      <c r="V148" s="126">
        <v>2500</v>
      </c>
      <c r="W148" s="165">
        <f>SUM(T148+U148-V148)</f>
        <v>3600</v>
      </c>
      <c r="X148" s="126"/>
      <c r="Y148" s="126"/>
      <c r="Z148" s="165">
        <f>SUM(W148+X148-Y148)</f>
        <v>3600</v>
      </c>
      <c r="AA148" s="126"/>
      <c r="AB148" s="126"/>
      <c r="AC148" s="165">
        <f>SUM(Z148+AA148-AB148)</f>
        <v>3600</v>
      </c>
      <c r="AD148" s="126"/>
      <c r="AE148" s="126"/>
      <c r="AF148" s="165">
        <f>SUM(AC148+AD148-AE148)</f>
        <v>3600</v>
      </c>
      <c r="AG148" s="126"/>
      <c r="AH148" s="126"/>
      <c r="AI148" s="165">
        <f>SUM(AF148+AG148-AH148)</f>
        <v>3600</v>
      </c>
      <c r="AJ148" s="126"/>
      <c r="AK148" s="126"/>
      <c r="AL148" s="165">
        <f>SUM(AI148+AJ148-AK148)</f>
        <v>3600</v>
      </c>
      <c r="AM148" s="126"/>
      <c r="AN148" s="126"/>
      <c r="AO148" s="165">
        <f>SUM(AL148+AM148-AN148)</f>
        <v>3600</v>
      </c>
      <c r="AP148" s="126"/>
      <c r="AQ148" s="126"/>
      <c r="AR148" s="165">
        <f>SUM(AO148+AP148-AQ148)</f>
        <v>3600</v>
      </c>
      <c r="AS148" s="126"/>
      <c r="AT148" s="126"/>
      <c r="AU148" s="165">
        <f>SUM(AR148+AS148-AT148)</f>
        <v>3600</v>
      </c>
    </row>
    <row r="149" spans="1:47" s="37" customFormat="1" ht="54" customHeight="1">
      <c r="A149" s="98"/>
      <c r="B149" s="98"/>
      <c r="C149" s="98">
        <v>2440</v>
      </c>
      <c r="D149" s="97" t="s">
        <v>233</v>
      </c>
      <c r="E149" s="127"/>
      <c r="F149" s="126"/>
      <c r="G149" s="126"/>
      <c r="H149" s="165"/>
      <c r="I149" s="126"/>
      <c r="J149" s="126"/>
      <c r="K149" s="165"/>
      <c r="L149" s="126"/>
      <c r="M149" s="126"/>
      <c r="N149" s="165"/>
      <c r="O149" s="126"/>
      <c r="P149" s="126"/>
      <c r="Q149" s="165">
        <v>0</v>
      </c>
      <c r="R149" s="126">
        <v>30800</v>
      </c>
      <c r="S149" s="126"/>
      <c r="T149" s="165">
        <f>SUM(Q149+R149-S149)</f>
        <v>30800</v>
      </c>
      <c r="U149" s="126"/>
      <c r="V149" s="126"/>
      <c r="W149" s="165">
        <f>SUM(T149+U149-V149)</f>
        <v>30800</v>
      </c>
      <c r="X149" s="126"/>
      <c r="Y149" s="126"/>
      <c r="Z149" s="165">
        <f>SUM(W149+X149-Y149)</f>
        <v>30800</v>
      </c>
      <c r="AA149" s="126"/>
      <c r="AB149" s="126"/>
      <c r="AC149" s="165">
        <f>SUM(Z149+AA149-AB149)</f>
        <v>30800</v>
      </c>
      <c r="AD149" s="126"/>
      <c r="AE149" s="126"/>
      <c r="AF149" s="165">
        <f>SUM(AC149+AD149-AE149)</f>
        <v>30800</v>
      </c>
      <c r="AG149" s="126"/>
      <c r="AH149" s="126"/>
      <c r="AI149" s="165">
        <f>SUM(AF149+AG149-AH149)</f>
        <v>30800</v>
      </c>
      <c r="AJ149" s="126"/>
      <c r="AK149" s="126"/>
      <c r="AL149" s="165">
        <f>SUM(AI149+AJ149-AK149)</f>
        <v>30800</v>
      </c>
      <c r="AM149" s="126"/>
      <c r="AN149" s="126"/>
      <c r="AO149" s="165">
        <f>SUM(AL149+AM149-AN149)</f>
        <v>30800</v>
      </c>
      <c r="AP149" s="126"/>
      <c r="AQ149" s="126"/>
      <c r="AR149" s="165">
        <f>SUM(AO149+AP149-AQ149)</f>
        <v>30800</v>
      </c>
      <c r="AS149" s="126"/>
      <c r="AT149" s="126"/>
      <c r="AU149" s="165">
        <f>SUM(AR149+AS149-AT149)</f>
        <v>30800</v>
      </c>
    </row>
    <row r="150" spans="1:47" ht="26.25" customHeight="1">
      <c r="A150" s="20"/>
      <c r="B150" s="21"/>
      <c r="C150" s="22"/>
      <c r="D150" s="23" t="s">
        <v>85</v>
      </c>
      <c r="E150" s="89">
        <f>SUM(E12,E15,E18,E26,E32,E37,E44,E81,E108,E131,E139)</f>
        <v>40289741</v>
      </c>
      <c r="F150" s="89">
        <f>SUM(F12,F15,F18,F26,F32,F37,F44,F81,F108,F131,F139)</f>
        <v>5800240</v>
      </c>
      <c r="G150" s="89">
        <f>SUM(G12,G15,G18,G26,G32,G37,G44,G81,G108,G131,G139)</f>
        <v>5507100</v>
      </c>
      <c r="H150" s="89">
        <f aca="true" t="shared" si="211" ref="H150:AH150">SUM(H12,H15,H18,H26,H32,H37,H44,H81,H91,H108,H127,H131,H139,H146,)</f>
        <v>40582881</v>
      </c>
      <c r="I150" s="89">
        <f t="shared" si="211"/>
        <v>3465189</v>
      </c>
      <c r="J150" s="89">
        <f t="shared" si="211"/>
        <v>0</v>
      </c>
      <c r="K150" s="89">
        <f t="shared" si="211"/>
        <v>44048070</v>
      </c>
      <c r="L150" s="89">
        <f t="shared" si="211"/>
        <v>48100</v>
      </c>
      <c r="M150" s="89">
        <f t="shared" si="211"/>
        <v>71300</v>
      </c>
      <c r="N150" s="89">
        <f t="shared" si="211"/>
        <v>44024870</v>
      </c>
      <c r="O150" s="89">
        <f t="shared" si="211"/>
        <v>1074403</v>
      </c>
      <c r="P150" s="89">
        <f t="shared" si="211"/>
        <v>0</v>
      </c>
      <c r="Q150" s="89">
        <f t="shared" si="211"/>
        <v>45099273</v>
      </c>
      <c r="R150" s="89">
        <f t="shared" si="211"/>
        <v>551216</v>
      </c>
      <c r="S150" s="89">
        <f t="shared" si="211"/>
        <v>0</v>
      </c>
      <c r="T150" s="89">
        <f t="shared" si="211"/>
        <v>45650489</v>
      </c>
      <c r="U150" s="89">
        <f t="shared" si="211"/>
        <v>129446</v>
      </c>
      <c r="V150" s="89">
        <f t="shared" si="211"/>
        <v>2500</v>
      </c>
      <c r="W150" s="89">
        <f t="shared" si="211"/>
        <v>45777435</v>
      </c>
      <c r="X150" s="89">
        <f t="shared" si="211"/>
        <v>628358</v>
      </c>
      <c r="Y150" s="89">
        <f t="shared" si="211"/>
        <v>70000</v>
      </c>
      <c r="Z150" s="89">
        <f t="shared" si="211"/>
        <v>46335793</v>
      </c>
      <c r="AA150" s="89">
        <f t="shared" si="211"/>
        <v>3643323</v>
      </c>
      <c r="AB150" s="89">
        <f t="shared" si="211"/>
        <v>283500</v>
      </c>
      <c r="AC150" s="89">
        <f t="shared" si="211"/>
        <v>49695616</v>
      </c>
      <c r="AD150" s="89">
        <f t="shared" si="211"/>
        <v>217834</v>
      </c>
      <c r="AE150" s="89">
        <f t="shared" si="211"/>
        <v>0</v>
      </c>
      <c r="AF150" s="89">
        <f t="shared" si="211"/>
        <v>49913450</v>
      </c>
      <c r="AG150" s="89">
        <f t="shared" si="211"/>
        <v>654096</v>
      </c>
      <c r="AH150" s="89">
        <f t="shared" si="211"/>
        <v>0</v>
      </c>
      <c r="AI150" s="89">
        <f aca="true" t="shared" si="212" ref="AI150:AO150">SUM(AI12,AI15,AI18,AI26,AI32,AI37,AI44,AI81,AI91,AI108,AI127,AI131,AI139,AI146,AI9)</f>
        <v>50567546</v>
      </c>
      <c r="AJ150" s="89">
        <f t="shared" si="212"/>
        <v>1070234</v>
      </c>
      <c r="AK150" s="89">
        <f t="shared" si="212"/>
        <v>0</v>
      </c>
      <c r="AL150" s="89">
        <f t="shared" si="212"/>
        <v>51637780</v>
      </c>
      <c r="AM150" s="89">
        <f t="shared" si="212"/>
        <v>428301</v>
      </c>
      <c r="AN150" s="89">
        <f t="shared" si="212"/>
        <v>0</v>
      </c>
      <c r="AO150" s="89">
        <f t="shared" si="212"/>
        <v>52066081</v>
      </c>
      <c r="AP150" s="89">
        <f aca="true" t="shared" si="213" ref="AP150:AU150">SUM(AP12,AP15,AP18,AP26,AP32,AP37,AP44,AP81,AP91,AP108,AP127,AP131,AP139,AP146,AP9)</f>
        <v>51493</v>
      </c>
      <c r="AQ150" s="89">
        <f t="shared" si="213"/>
        <v>0</v>
      </c>
      <c r="AR150" s="89">
        <f t="shared" si="213"/>
        <v>52117574</v>
      </c>
      <c r="AS150" s="89">
        <f t="shared" si="213"/>
        <v>970382</v>
      </c>
      <c r="AT150" s="89">
        <f t="shared" si="213"/>
        <v>672181</v>
      </c>
      <c r="AU150" s="89">
        <f t="shared" si="213"/>
        <v>52415775</v>
      </c>
    </row>
    <row r="151" ht="12.75"/>
    <row r="152" spans="4:22" ht="12.75">
      <c r="D152" s="152"/>
      <c r="G152" s="76">
        <f>SUM(F150-G150)</f>
        <v>293140</v>
      </c>
      <c r="V152" s="76">
        <f>SUM(U150-V150)</f>
        <v>126946</v>
      </c>
    </row>
    <row r="153" spans="4:47" ht="12.75">
      <c r="D153" s="152"/>
      <c r="I153" s="179"/>
      <c r="K153" s="178"/>
      <c r="L153" s="179"/>
      <c r="N153" s="178"/>
      <c r="O153" s="179"/>
      <c r="Q153" s="178" t="s">
        <v>479</v>
      </c>
      <c r="R153" s="179">
        <v>314277</v>
      </c>
      <c r="T153" s="178" t="s">
        <v>511</v>
      </c>
      <c r="U153" s="179">
        <v>51010</v>
      </c>
      <c r="W153" s="178"/>
      <c r="X153" s="179"/>
      <c r="Y153" s="76">
        <f>SUM(X150-Y150)</f>
        <v>558358</v>
      </c>
      <c r="Z153" s="178"/>
      <c r="AA153" s="179"/>
      <c r="AC153" s="178"/>
      <c r="AD153" s="179"/>
      <c r="AF153" s="178"/>
      <c r="AG153" s="179"/>
      <c r="AI153" s="178"/>
      <c r="AJ153" s="179">
        <v>505100</v>
      </c>
      <c r="AK153" s="76" t="s">
        <v>660</v>
      </c>
      <c r="AL153" s="178"/>
      <c r="AM153" s="179"/>
      <c r="AO153" s="178"/>
      <c r="AP153" s="179"/>
      <c r="AR153" s="178"/>
      <c r="AS153" s="179"/>
      <c r="AT153" s="76">
        <f>SUM(AS150-AT150)</f>
        <v>298201</v>
      </c>
      <c r="AU153" s="178"/>
    </row>
    <row r="154" spans="4:45" ht="12.75">
      <c r="D154" s="152"/>
      <c r="I154" s="179"/>
      <c r="L154" s="179"/>
      <c r="O154" s="179"/>
      <c r="Q154" t="s">
        <v>480</v>
      </c>
      <c r="R154" s="179">
        <v>27000</v>
      </c>
      <c r="T154" t="s">
        <v>527</v>
      </c>
      <c r="U154" s="179">
        <v>1500</v>
      </c>
      <c r="V154" s="76">
        <v>2500</v>
      </c>
      <c r="X154" s="179"/>
      <c r="AA154" s="179"/>
      <c r="AD154" s="179"/>
      <c r="AG154" s="304">
        <v>622245</v>
      </c>
      <c r="AJ154" s="304">
        <v>242097</v>
      </c>
      <c r="AK154" s="76" t="s">
        <v>658</v>
      </c>
      <c r="AM154" s="304"/>
      <c r="AP154" s="304"/>
      <c r="AS154" s="304"/>
    </row>
    <row r="155" spans="4:45" ht="12.75">
      <c r="D155" s="152"/>
      <c r="I155" s="179"/>
      <c r="L155" s="179"/>
      <c r="O155" s="179"/>
      <c r="R155" s="179"/>
      <c r="T155" t="s">
        <v>533</v>
      </c>
      <c r="U155" s="276">
        <v>68101</v>
      </c>
      <c r="X155" s="276"/>
      <c r="AA155" s="276"/>
      <c r="AD155" s="276"/>
      <c r="AG155" s="304">
        <v>28561</v>
      </c>
      <c r="AJ155" s="304">
        <v>241384</v>
      </c>
      <c r="AK155" s="76" t="s">
        <v>659</v>
      </c>
      <c r="AM155" s="304"/>
      <c r="AN155" s="76">
        <v>17000</v>
      </c>
      <c r="AO155" t="s">
        <v>667</v>
      </c>
      <c r="AP155" s="304"/>
      <c r="AS155" s="304"/>
    </row>
    <row r="156" spans="4:45" ht="12.75">
      <c r="D156" s="152"/>
      <c r="I156" s="179"/>
      <c r="L156" s="179"/>
      <c r="O156" s="179"/>
      <c r="R156" s="179"/>
      <c r="U156" s="276"/>
      <c r="X156" s="276"/>
      <c r="AA156" s="276"/>
      <c r="AD156" s="276"/>
      <c r="AG156" s="304">
        <v>3290</v>
      </c>
      <c r="AJ156" s="304"/>
      <c r="AM156" s="304"/>
      <c r="AN156" s="76">
        <v>250800</v>
      </c>
      <c r="AO156" t="s">
        <v>667</v>
      </c>
      <c r="AP156" s="304"/>
      <c r="AS156" s="304"/>
    </row>
    <row r="157" spans="4:45" ht="12.75">
      <c r="D157" s="152"/>
      <c r="I157" s="179"/>
      <c r="L157" s="179"/>
      <c r="O157" s="179"/>
      <c r="R157" s="179"/>
      <c r="T157" t="s">
        <v>532</v>
      </c>
      <c r="U157" s="276">
        <v>8835</v>
      </c>
      <c r="X157" s="276"/>
      <c r="AA157" s="276"/>
      <c r="AD157" s="276"/>
      <c r="AG157" s="260">
        <f>SUM(AG154:AG156)</f>
        <v>654096</v>
      </c>
      <c r="AJ157" s="260"/>
      <c r="AM157" s="260"/>
      <c r="AN157" s="76">
        <v>418</v>
      </c>
      <c r="AO157" t="s">
        <v>662</v>
      </c>
      <c r="AP157" s="260"/>
      <c r="AS157" s="260"/>
    </row>
    <row r="158" spans="4:46" ht="12.75">
      <c r="D158" s="152"/>
      <c r="I158" s="179"/>
      <c r="L158" s="179"/>
      <c r="O158" s="179"/>
      <c r="Q158" t="s">
        <v>481</v>
      </c>
      <c r="R158" s="179">
        <v>96494</v>
      </c>
      <c r="U158" s="260">
        <f>SUM(U153:U157)</f>
        <v>129446</v>
      </c>
      <c r="V158" s="260">
        <f>SUM(V153:V154)</f>
        <v>2500</v>
      </c>
      <c r="X158" s="260"/>
      <c r="Y158" s="260"/>
      <c r="AA158" s="260"/>
      <c r="AB158" s="260"/>
      <c r="AD158" s="260"/>
      <c r="AE158" s="260"/>
      <c r="AG158" s="260"/>
      <c r="AH158" s="260"/>
      <c r="AJ158" s="260"/>
      <c r="AK158" s="260"/>
      <c r="AM158" s="260"/>
      <c r="AN158" s="304">
        <v>22489</v>
      </c>
      <c r="AO158" t="s">
        <v>668</v>
      </c>
      <c r="AP158" s="260"/>
      <c r="AQ158" s="304"/>
      <c r="AS158" s="260"/>
      <c r="AT158" s="304"/>
    </row>
    <row r="159" spans="4:45" ht="12.75">
      <c r="D159" s="152"/>
      <c r="I159" s="179"/>
      <c r="L159" s="179"/>
      <c r="O159" s="179"/>
      <c r="Q159" t="s">
        <v>482</v>
      </c>
      <c r="R159" s="179">
        <v>30800</v>
      </c>
      <c r="U159" s="179"/>
      <c r="X159" s="179"/>
      <c r="AA159" s="179"/>
      <c r="AD159" s="179"/>
      <c r="AG159" s="260"/>
      <c r="AJ159" s="260"/>
      <c r="AM159" s="260"/>
      <c r="AN159" s="76">
        <v>21577</v>
      </c>
      <c r="AO159" t="s">
        <v>659</v>
      </c>
      <c r="AP159" s="260"/>
      <c r="AS159" s="260"/>
    </row>
    <row r="160" spans="4:45" ht="12.75">
      <c r="D160" s="152"/>
      <c r="I160" s="179"/>
      <c r="L160" s="179"/>
      <c r="O160" s="179"/>
      <c r="R160" s="179"/>
      <c r="U160" s="179"/>
      <c r="X160" s="179"/>
      <c r="AA160" s="179"/>
      <c r="AD160" s="179"/>
      <c r="AG160" s="260"/>
      <c r="AJ160" s="260"/>
      <c r="AM160" s="260"/>
      <c r="AN160" s="76">
        <v>17166</v>
      </c>
      <c r="AO160" t="s">
        <v>674</v>
      </c>
      <c r="AP160" s="260"/>
      <c r="AS160" s="260"/>
    </row>
    <row r="161" spans="4:45" ht="12.75">
      <c r="D161" s="152"/>
      <c r="I161" s="179"/>
      <c r="L161" s="179"/>
      <c r="O161" s="179"/>
      <c r="R161" s="179"/>
      <c r="U161" s="179"/>
      <c r="X161" s="179"/>
      <c r="AA161" s="179"/>
      <c r="AD161" s="179"/>
      <c r="AG161" s="260"/>
      <c r="AJ161" s="260"/>
      <c r="AM161" s="260"/>
      <c r="AN161" s="76">
        <v>36381</v>
      </c>
      <c r="AO161" t="s">
        <v>676</v>
      </c>
      <c r="AP161" s="260"/>
      <c r="AS161" s="260"/>
    </row>
    <row r="162" spans="4:45" ht="12.75">
      <c r="D162" s="152"/>
      <c r="I162" s="179"/>
      <c r="L162" s="179"/>
      <c r="O162" s="179"/>
      <c r="R162" s="179"/>
      <c r="U162" s="179"/>
      <c r="X162" s="179"/>
      <c r="AA162" s="179"/>
      <c r="AD162" s="179"/>
      <c r="AG162" s="260"/>
      <c r="AJ162" s="260"/>
      <c r="AM162" s="260"/>
      <c r="AN162" s="76">
        <v>62470</v>
      </c>
      <c r="AO162" t="s">
        <v>659</v>
      </c>
      <c r="AP162" s="260"/>
      <c r="AS162" s="260"/>
    </row>
    <row r="163" spans="4:46" ht="12.75">
      <c r="D163" s="152"/>
      <c r="I163" s="179"/>
      <c r="L163" s="179"/>
      <c r="O163" s="179"/>
      <c r="Q163" t="s">
        <v>502</v>
      </c>
      <c r="R163" s="179">
        <v>82645</v>
      </c>
      <c r="U163" s="179"/>
      <c r="V163" s="76">
        <f>SUM(U158-V158)</f>
        <v>126946</v>
      </c>
      <c r="X163" s="179"/>
      <c r="AA163" s="179"/>
      <c r="AD163" s="179"/>
      <c r="AG163" s="260">
        <f>SUM(AG155:AG156)</f>
        <v>31851</v>
      </c>
      <c r="AJ163" s="260"/>
      <c r="AM163" s="260"/>
      <c r="AN163" s="138">
        <f>SUM(AN155:AN162)</f>
        <v>428301</v>
      </c>
      <c r="AP163" s="260"/>
      <c r="AQ163" s="138"/>
      <c r="AS163" s="260"/>
      <c r="AT163" s="138"/>
    </row>
    <row r="164" spans="4:45" ht="12.75">
      <c r="D164" s="152"/>
      <c r="I164" s="179"/>
      <c r="L164" s="179"/>
      <c r="O164" s="179"/>
      <c r="R164" s="179"/>
      <c r="U164" s="179"/>
      <c r="X164" s="179"/>
      <c r="AA164" s="179"/>
      <c r="AD164" s="179"/>
      <c r="AG164" s="179"/>
      <c r="AJ164" s="179"/>
      <c r="AM164" s="179"/>
      <c r="AP164" s="179"/>
      <c r="AS164" s="179"/>
    </row>
    <row r="165" spans="4:46" ht="12.75">
      <c r="D165" s="152"/>
      <c r="G165" s="138"/>
      <c r="I165" s="179"/>
      <c r="J165" s="138"/>
      <c r="L165" s="179"/>
      <c r="M165" s="138"/>
      <c r="O165" s="179"/>
      <c r="P165" s="138"/>
      <c r="R165" s="260">
        <f>SUM(R153:R163)</f>
        <v>551216</v>
      </c>
      <c r="S165" s="138"/>
      <c r="U165" s="260"/>
      <c r="V165" s="138"/>
      <c r="X165" s="260"/>
      <c r="Y165" s="138"/>
      <c r="AA165" s="260"/>
      <c r="AB165" s="260"/>
      <c r="AD165" s="260"/>
      <c r="AE165" s="260"/>
      <c r="AG165" s="260"/>
      <c r="AH165" s="260"/>
      <c r="AJ165" s="260"/>
      <c r="AK165" s="260"/>
      <c r="AM165" s="260"/>
      <c r="AN165" s="260"/>
      <c r="AP165" s="260"/>
      <c r="AQ165" s="260"/>
      <c r="AS165" s="260"/>
      <c r="AT165" s="260"/>
    </row>
    <row r="166" spans="4:45" ht="12.75">
      <c r="D166" s="152"/>
      <c r="I166" s="179"/>
      <c r="L166" s="179"/>
      <c r="O166" s="179"/>
      <c r="R166" s="179"/>
      <c r="U166" s="179"/>
      <c r="X166" s="179"/>
      <c r="AA166" s="179"/>
      <c r="AD166" s="179"/>
      <c r="AG166" s="179"/>
      <c r="AJ166" s="179"/>
      <c r="AM166" s="179"/>
      <c r="AP166" s="179"/>
      <c r="AS166" s="179"/>
    </row>
    <row r="167" spans="4:46" ht="12.75">
      <c r="D167" s="152"/>
      <c r="I167" s="179"/>
      <c r="J167" s="138"/>
      <c r="L167" s="179"/>
      <c r="M167" s="138"/>
      <c r="O167" s="179"/>
      <c r="P167" s="138"/>
      <c r="R167" s="179"/>
      <c r="S167" s="138"/>
      <c r="U167" s="179"/>
      <c r="V167" s="138"/>
      <c r="X167" s="179"/>
      <c r="Y167" s="138"/>
      <c r="AA167" s="179"/>
      <c r="AB167" s="138"/>
      <c r="AD167" s="179"/>
      <c r="AE167" s="138"/>
      <c r="AG167" s="179"/>
      <c r="AH167" s="138"/>
      <c r="AJ167" s="179"/>
      <c r="AK167" s="138"/>
      <c r="AM167" s="179"/>
      <c r="AN167" s="138"/>
      <c r="AP167" s="179"/>
      <c r="AQ167" s="138"/>
      <c r="AS167" s="179"/>
      <c r="AT167" s="138"/>
    </row>
    <row r="168" spans="4:46" ht="12.75">
      <c r="D168" s="152"/>
      <c r="J168" s="138"/>
      <c r="M168" s="138"/>
      <c r="P168" s="138"/>
      <c r="S168" s="138"/>
      <c r="V168" s="138"/>
      <c r="Y168" s="138"/>
      <c r="AB168" s="138"/>
      <c r="AE168" s="138"/>
      <c r="AH168" s="138"/>
      <c r="AK168" s="138"/>
      <c r="AN168" s="138"/>
      <c r="AQ168" s="138"/>
      <c r="AT168" s="138"/>
    </row>
    <row r="169" spans="4:45" ht="12.75">
      <c r="D169" s="152"/>
      <c r="I169" s="138"/>
      <c r="L169" s="138"/>
      <c r="O169" s="138"/>
      <c r="R169" s="138"/>
      <c r="U169" s="138"/>
      <c r="X169" s="138"/>
      <c r="AA169" s="138"/>
      <c r="AD169" s="138"/>
      <c r="AG169" s="138"/>
      <c r="AJ169" s="138"/>
      <c r="AM169" s="138"/>
      <c r="AP169" s="138"/>
      <c r="AS169" s="138"/>
    </row>
    <row r="170" ht="12.75">
      <c r="D170" s="152"/>
    </row>
    <row r="171" ht="12.75">
      <c r="D171" s="152"/>
    </row>
    <row r="172" spans="4:47" ht="12.75">
      <c r="D172" s="152"/>
      <c r="H172" s="76"/>
      <c r="K172" s="76"/>
      <c r="N172" s="76"/>
      <c r="Q172" s="76"/>
      <c r="T172" s="76"/>
      <c r="W172" s="76"/>
      <c r="Z172" s="76"/>
      <c r="AC172" s="76"/>
      <c r="AF172" s="76"/>
      <c r="AI172" s="76"/>
      <c r="AL172" s="76"/>
      <c r="AO172" s="76"/>
      <c r="AR172" s="76"/>
      <c r="AU172" s="76"/>
    </row>
    <row r="173" ht="12.75">
      <c r="D173" s="152"/>
    </row>
    <row r="174" ht="12.75">
      <c r="D174" s="152"/>
    </row>
    <row r="175" ht="12.75">
      <c r="D175" s="152"/>
    </row>
    <row r="176" ht="12.75">
      <c r="D176" s="151"/>
    </row>
    <row r="189" ht="12.75">
      <c r="E189" s="79"/>
    </row>
    <row r="190" ht="12.75">
      <c r="E190" s="79"/>
    </row>
  </sheetData>
  <sheetProtection/>
  <mergeCells count="1">
    <mergeCell ref="A6:D6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&amp;C&amp;8Dochody - str.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14.00390625" style="0" customWidth="1"/>
    <col min="5" max="5" width="10.625" style="0" customWidth="1"/>
    <col min="6" max="6" width="13.00390625" style="0" customWidth="1"/>
    <col min="7" max="7" width="11.125" style="0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9:10" ht="12.75">
      <c r="I1" s="160" t="s">
        <v>1</v>
      </c>
      <c r="J1" s="86"/>
    </row>
    <row r="2" spans="9:10" ht="12.75">
      <c r="I2" s="160" t="s">
        <v>694</v>
      </c>
      <c r="J2" s="86"/>
    </row>
    <row r="3" spans="9:10" ht="12.75">
      <c r="I3" s="160" t="s">
        <v>645</v>
      </c>
      <c r="J3" s="86"/>
    </row>
    <row r="4" spans="9:10" ht="12.75">
      <c r="I4" s="160" t="s">
        <v>709</v>
      </c>
      <c r="J4" s="86"/>
    </row>
    <row r="6" spans="1:12" ht="26.25" customHeight="1">
      <c r="A6" s="393" t="s">
        <v>408</v>
      </c>
      <c r="B6" s="393"/>
      <c r="C6" s="393"/>
      <c r="D6" s="393"/>
      <c r="E6" s="393"/>
      <c r="F6" s="393"/>
      <c r="G6" s="393"/>
      <c r="H6" s="393"/>
      <c r="I6" s="393"/>
      <c r="J6" s="16"/>
      <c r="K6" s="16"/>
      <c r="L6" s="16"/>
    </row>
    <row r="7" spans="1:12" ht="13.5" thickBo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2" ht="15.75" customHeight="1" thickBot="1">
      <c r="A8" s="390" t="s">
        <v>4</v>
      </c>
      <c r="B8" s="390" t="s">
        <v>5</v>
      </c>
      <c r="C8" s="394" t="s">
        <v>181</v>
      </c>
      <c r="D8" s="396" t="s">
        <v>7</v>
      </c>
      <c r="E8" s="388" t="s">
        <v>344</v>
      </c>
      <c r="F8" s="384" t="s">
        <v>170</v>
      </c>
      <c r="G8" s="385"/>
      <c r="H8" s="400" t="s">
        <v>171</v>
      </c>
      <c r="I8" s="401"/>
      <c r="J8" s="401"/>
      <c r="K8" s="402"/>
      <c r="L8" s="388" t="s">
        <v>344</v>
      </c>
    </row>
    <row r="9" spans="1:12" ht="13.5" thickBot="1">
      <c r="A9" s="391"/>
      <c r="B9" s="391"/>
      <c r="C9" s="395"/>
      <c r="D9" s="397"/>
      <c r="E9" s="389"/>
      <c r="F9" s="384" t="s">
        <v>85</v>
      </c>
      <c r="G9" s="222" t="s">
        <v>345</v>
      </c>
      <c r="H9" s="390" t="s">
        <v>85</v>
      </c>
      <c r="I9" s="403" t="s">
        <v>346</v>
      </c>
      <c r="J9" s="404"/>
      <c r="K9" s="405"/>
      <c r="L9" s="389"/>
    </row>
    <row r="10" spans="1:12" ht="22.5">
      <c r="A10" s="391"/>
      <c r="B10" s="391"/>
      <c r="C10" s="395"/>
      <c r="D10" s="397"/>
      <c r="E10" s="398" t="s">
        <v>347</v>
      </c>
      <c r="F10" s="386"/>
      <c r="G10" s="406" t="s">
        <v>348</v>
      </c>
      <c r="H10" s="391"/>
      <c r="I10" s="223" t="s">
        <v>349</v>
      </c>
      <c r="J10" s="224" t="s">
        <v>350</v>
      </c>
      <c r="K10" s="224" t="s">
        <v>351</v>
      </c>
      <c r="L10" s="398" t="s">
        <v>352</v>
      </c>
    </row>
    <row r="11" spans="1:12" ht="16.5" customHeight="1">
      <c r="A11" s="391"/>
      <c r="B11" s="391"/>
      <c r="C11" s="395"/>
      <c r="D11" s="397"/>
      <c r="E11" s="399"/>
      <c r="F11" s="386"/>
      <c r="G11" s="407"/>
      <c r="H11" s="391"/>
      <c r="I11" s="327"/>
      <c r="J11" s="224"/>
      <c r="K11" s="224"/>
      <c r="L11" s="399"/>
    </row>
    <row r="12" spans="1:12" ht="19.5" customHeight="1">
      <c r="A12" s="392">
        <v>801</v>
      </c>
      <c r="B12" s="287"/>
      <c r="C12" s="288"/>
      <c r="D12" s="328" t="s">
        <v>128</v>
      </c>
      <c r="E12" s="329"/>
      <c r="F12" s="330"/>
      <c r="G12" s="331"/>
      <c r="H12" s="330"/>
      <c r="I12" s="329"/>
      <c r="J12" s="332"/>
      <c r="K12" s="332"/>
      <c r="L12" s="329"/>
    </row>
    <row r="13" spans="1:12" s="8" customFormat="1" ht="22.5" customHeight="1" hidden="1">
      <c r="A13" s="392"/>
      <c r="B13" s="383">
        <v>80104</v>
      </c>
      <c r="C13" s="81"/>
      <c r="D13" s="19" t="s">
        <v>353</v>
      </c>
      <c r="E13" s="225">
        <v>-74216</v>
      </c>
      <c r="F13" s="126">
        <f>2635055+552100</f>
        <v>3187155</v>
      </c>
      <c r="G13" s="126">
        <v>2635055</v>
      </c>
      <c r="H13" s="126">
        <f>SUM(I13:K13)</f>
        <v>3187155</v>
      </c>
      <c r="I13" s="225">
        <v>2376791</v>
      </c>
      <c r="J13" s="225">
        <v>25300</v>
      </c>
      <c r="K13" s="225">
        <v>785064</v>
      </c>
      <c r="L13" s="225">
        <f aca="true" t="shared" si="0" ref="L13:L24">SUM(E13+F13-H13)</f>
        <v>-74216</v>
      </c>
    </row>
    <row r="14" spans="1:12" s="8" customFormat="1" ht="19.5" customHeight="1" hidden="1">
      <c r="A14" s="392"/>
      <c r="B14" s="383"/>
      <c r="C14" s="81"/>
      <c r="D14" s="19" t="s">
        <v>354</v>
      </c>
      <c r="E14" s="225">
        <v>-3974</v>
      </c>
      <c r="F14" s="126">
        <v>4500</v>
      </c>
      <c r="G14" s="126">
        <v>8060</v>
      </c>
      <c r="H14" s="126">
        <f>SUM(I14:K14)</f>
        <v>4500</v>
      </c>
      <c r="I14" s="225">
        <v>0</v>
      </c>
      <c r="J14" s="225">
        <v>4500</v>
      </c>
      <c r="K14" s="225">
        <v>0</v>
      </c>
      <c r="L14" s="225">
        <f t="shared" si="0"/>
        <v>-3974</v>
      </c>
    </row>
    <row r="15" spans="1:12" ht="22.5" customHeight="1" hidden="1">
      <c r="A15" s="392"/>
      <c r="B15" s="383"/>
      <c r="C15" s="289"/>
      <c r="D15" s="19" t="s">
        <v>458</v>
      </c>
      <c r="E15" s="225">
        <f aca="true" t="shared" si="1" ref="E15:K15">SUM(E13:E14)</f>
        <v>-78190</v>
      </c>
      <c r="F15" s="225">
        <f t="shared" si="1"/>
        <v>3191655</v>
      </c>
      <c r="G15" s="225">
        <f t="shared" si="1"/>
        <v>2643115</v>
      </c>
      <c r="H15" s="225">
        <f t="shared" si="1"/>
        <v>3191655</v>
      </c>
      <c r="I15" s="225">
        <f t="shared" si="1"/>
        <v>2376791</v>
      </c>
      <c r="J15" s="225">
        <f t="shared" si="1"/>
        <v>29800</v>
      </c>
      <c r="K15" s="225">
        <f t="shared" si="1"/>
        <v>785064</v>
      </c>
      <c r="L15" s="225">
        <f t="shared" si="0"/>
        <v>-78190</v>
      </c>
    </row>
    <row r="16" spans="1:12" ht="18.75" customHeight="1" hidden="1">
      <c r="A16" s="392"/>
      <c r="B16" s="383"/>
      <c r="C16" s="289"/>
      <c r="D16" s="19" t="s">
        <v>354</v>
      </c>
      <c r="E16" s="225">
        <v>0</v>
      </c>
      <c r="F16" s="225">
        <v>5000</v>
      </c>
      <c r="G16" s="225">
        <v>5000</v>
      </c>
      <c r="H16" s="225">
        <v>5000</v>
      </c>
      <c r="I16" s="225">
        <v>0</v>
      </c>
      <c r="J16" s="225">
        <v>0</v>
      </c>
      <c r="K16" s="225">
        <v>5000</v>
      </c>
      <c r="L16" s="225">
        <v>0</v>
      </c>
    </row>
    <row r="17" spans="1:12" ht="33.75" customHeight="1" hidden="1">
      <c r="A17" s="392"/>
      <c r="B17" s="383"/>
      <c r="C17" s="289"/>
      <c r="D17" s="136" t="s">
        <v>458</v>
      </c>
      <c r="E17" s="251">
        <f>SUM(E15:E16)</f>
        <v>-78190</v>
      </c>
      <c r="F17" s="251">
        <f aca="true" t="shared" si="2" ref="F17:L17">SUM(F15:F16)</f>
        <v>3196655</v>
      </c>
      <c r="G17" s="251">
        <f t="shared" si="2"/>
        <v>2648115</v>
      </c>
      <c r="H17" s="251">
        <f t="shared" si="2"/>
        <v>3196655</v>
      </c>
      <c r="I17" s="251">
        <f t="shared" si="2"/>
        <v>2376791</v>
      </c>
      <c r="J17" s="251">
        <f t="shared" si="2"/>
        <v>29800</v>
      </c>
      <c r="K17" s="251">
        <f t="shared" si="2"/>
        <v>790064</v>
      </c>
      <c r="L17" s="251">
        <f t="shared" si="2"/>
        <v>-78190</v>
      </c>
    </row>
    <row r="18" spans="1:12" ht="33.75" customHeight="1" hidden="1">
      <c r="A18" s="392"/>
      <c r="B18" s="383"/>
      <c r="C18" s="289"/>
      <c r="D18" s="19" t="s">
        <v>354</v>
      </c>
      <c r="E18" s="225">
        <v>0</v>
      </c>
      <c r="F18" s="225">
        <v>527</v>
      </c>
      <c r="G18" s="225">
        <v>0</v>
      </c>
      <c r="H18" s="225">
        <f>SUM(I18:K18)</f>
        <v>527</v>
      </c>
      <c r="I18" s="225">
        <v>0</v>
      </c>
      <c r="J18" s="225">
        <v>0</v>
      </c>
      <c r="K18" s="225">
        <v>527</v>
      </c>
      <c r="L18" s="225">
        <v>0</v>
      </c>
    </row>
    <row r="19" spans="1:12" ht="22.5" hidden="1">
      <c r="A19" s="392"/>
      <c r="B19" s="383"/>
      <c r="C19" s="289"/>
      <c r="D19" s="19" t="s">
        <v>458</v>
      </c>
      <c r="E19" s="225">
        <f>SUM(E17:E18)</f>
        <v>-78190</v>
      </c>
      <c r="F19" s="225">
        <f aca="true" t="shared" si="3" ref="F19:L19">SUM(F17:F18)</f>
        <v>3197182</v>
      </c>
      <c r="G19" s="225">
        <f t="shared" si="3"/>
        <v>2648115</v>
      </c>
      <c r="H19" s="225">
        <f t="shared" si="3"/>
        <v>3197182</v>
      </c>
      <c r="I19" s="225">
        <f t="shared" si="3"/>
        <v>2376791</v>
      </c>
      <c r="J19" s="225">
        <f t="shared" si="3"/>
        <v>29800</v>
      </c>
      <c r="K19" s="225">
        <f t="shared" si="3"/>
        <v>790591</v>
      </c>
      <c r="L19" s="225">
        <f t="shared" si="3"/>
        <v>-78190</v>
      </c>
    </row>
    <row r="20" spans="1:12" ht="12.75" hidden="1">
      <c r="A20" s="392"/>
      <c r="B20" s="383"/>
      <c r="C20" s="289"/>
      <c r="D20" s="19" t="s">
        <v>354</v>
      </c>
      <c r="E20" s="225">
        <v>0</v>
      </c>
      <c r="F20" s="225">
        <f>G20+24500</f>
        <v>-47889</v>
      </c>
      <c r="G20" s="225">
        <v>-72389</v>
      </c>
      <c r="H20" s="225">
        <f>SUM(I20:K20)</f>
        <v>-47889</v>
      </c>
      <c r="I20" s="225">
        <v>-91098</v>
      </c>
      <c r="J20" s="225">
        <v>4000</v>
      </c>
      <c r="K20" s="225">
        <v>39209</v>
      </c>
      <c r="L20" s="225">
        <f>SUM(E20+F20-H20)</f>
        <v>0</v>
      </c>
    </row>
    <row r="21" spans="1:12" ht="33" customHeight="1">
      <c r="A21" s="392"/>
      <c r="B21" s="383"/>
      <c r="C21" s="289"/>
      <c r="D21" s="136" t="s">
        <v>458</v>
      </c>
      <c r="E21" s="251">
        <f>SUM(E19:E20)</f>
        <v>-78190</v>
      </c>
      <c r="F21" s="251">
        <f aca="true" t="shared" si="4" ref="F21:L21">SUM(F19:F20)</f>
        <v>3149293</v>
      </c>
      <c r="G21" s="251">
        <f t="shared" si="4"/>
        <v>2575726</v>
      </c>
      <c r="H21" s="251">
        <f t="shared" si="4"/>
        <v>3149293</v>
      </c>
      <c r="I21" s="251">
        <f t="shared" si="4"/>
        <v>2285693</v>
      </c>
      <c r="J21" s="251">
        <f t="shared" si="4"/>
        <v>33800</v>
      </c>
      <c r="K21" s="251">
        <f t="shared" si="4"/>
        <v>829800</v>
      </c>
      <c r="L21" s="251">
        <f t="shared" si="4"/>
        <v>-78190</v>
      </c>
    </row>
    <row r="22" spans="1:12" s="77" customFormat="1" ht="0.75" customHeight="1" hidden="1">
      <c r="A22" s="392"/>
      <c r="B22" s="383">
        <v>80146</v>
      </c>
      <c r="C22" s="333"/>
      <c r="D22" s="65" t="s">
        <v>355</v>
      </c>
      <c r="E22" s="126">
        <v>3303</v>
      </c>
      <c r="F22" s="126">
        <v>10679</v>
      </c>
      <c r="G22" s="126">
        <v>10679</v>
      </c>
      <c r="H22" s="126">
        <v>10679</v>
      </c>
      <c r="I22" s="126">
        <v>0</v>
      </c>
      <c r="J22" s="126">
        <v>0</v>
      </c>
      <c r="K22" s="126">
        <v>10679</v>
      </c>
      <c r="L22" s="225">
        <f t="shared" si="0"/>
        <v>3303</v>
      </c>
    </row>
    <row r="23" spans="1:12" s="77" customFormat="1" ht="0.75" customHeight="1" hidden="1">
      <c r="A23" s="392"/>
      <c r="B23" s="383"/>
      <c r="C23" s="333"/>
      <c r="D23" s="65" t="s">
        <v>354</v>
      </c>
      <c r="E23" s="126">
        <v>-3303</v>
      </c>
      <c r="F23" s="126"/>
      <c r="G23" s="126"/>
      <c r="H23" s="126">
        <f>SUM(I23:K23)</f>
        <v>0</v>
      </c>
      <c r="I23" s="126">
        <v>2600</v>
      </c>
      <c r="J23" s="126"/>
      <c r="K23" s="126">
        <v>-2600</v>
      </c>
      <c r="L23" s="225">
        <f t="shared" si="0"/>
        <v>-3303</v>
      </c>
    </row>
    <row r="24" spans="1:12" s="77" customFormat="1" ht="45">
      <c r="A24" s="392"/>
      <c r="B24" s="383"/>
      <c r="C24" s="333"/>
      <c r="D24" s="65" t="s">
        <v>629</v>
      </c>
      <c r="E24" s="126">
        <f aca="true" t="shared" si="5" ref="E24:K24">SUM(E22:E23)</f>
        <v>0</v>
      </c>
      <c r="F24" s="126">
        <f t="shared" si="5"/>
        <v>10679</v>
      </c>
      <c r="G24" s="126">
        <f t="shared" si="5"/>
        <v>10679</v>
      </c>
      <c r="H24" s="126">
        <f t="shared" si="5"/>
        <v>10679</v>
      </c>
      <c r="I24" s="126">
        <f t="shared" si="5"/>
        <v>2600</v>
      </c>
      <c r="J24" s="126">
        <f t="shared" si="5"/>
        <v>0</v>
      </c>
      <c r="K24" s="126">
        <f t="shared" si="5"/>
        <v>8079</v>
      </c>
      <c r="L24" s="225">
        <f t="shared" si="0"/>
        <v>0</v>
      </c>
    </row>
    <row r="25" spans="1:12" s="228" customFormat="1" ht="12.75">
      <c r="A25" s="392"/>
      <c r="B25" s="383"/>
      <c r="C25" s="325"/>
      <c r="D25" s="65" t="s">
        <v>354</v>
      </c>
      <c r="E25" s="126">
        <v>0</v>
      </c>
      <c r="F25" s="126">
        <v>0</v>
      </c>
      <c r="G25" s="126">
        <v>0</v>
      </c>
      <c r="H25" s="126">
        <f>SUM(I25:K25)</f>
        <v>0</v>
      </c>
      <c r="I25" s="126">
        <v>-2377</v>
      </c>
      <c r="J25" s="126">
        <v>0</v>
      </c>
      <c r="K25" s="126">
        <v>2377</v>
      </c>
      <c r="L25" s="225"/>
    </row>
    <row r="26" spans="1:12" s="228" customFormat="1" ht="67.5">
      <c r="A26" s="392"/>
      <c r="B26" s="383"/>
      <c r="C26" s="325"/>
      <c r="D26" s="326" t="s">
        <v>704</v>
      </c>
      <c r="E26" s="137">
        <f>SUM(E24:E25)</f>
        <v>0</v>
      </c>
      <c r="F26" s="137">
        <f aca="true" t="shared" si="6" ref="F26:L26">SUM(F24:F25)</f>
        <v>10679</v>
      </c>
      <c r="G26" s="137">
        <f t="shared" si="6"/>
        <v>10679</v>
      </c>
      <c r="H26" s="137">
        <f t="shared" si="6"/>
        <v>10679</v>
      </c>
      <c r="I26" s="137">
        <f t="shared" si="6"/>
        <v>223</v>
      </c>
      <c r="J26" s="137">
        <f t="shared" si="6"/>
        <v>0</v>
      </c>
      <c r="K26" s="137">
        <f t="shared" si="6"/>
        <v>10456</v>
      </c>
      <c r="L26" s="137">
        <f t="shared" si="6"/>
        <v>0</v>
      </c>
    </row>
    <row r="27" spans="1:12" s="77" customFormat="1" ht="28.5" customHeight="1">
      <c r="A27" s="387">
        <v>801</v>
      </c>
      <c r="B27" s="387"/>
      <c r="C27" s="333"/>
      <c r="D27" s="311" t="s">
        <v>85</v>
      </c>
      <c r="E27" s="137">
        <f>SUM(E21,E26)</f>
        <v>-78190</v>
      </c>
      <c r="F27" s="137">
        <f aca="true" t="shared" si="7" ref="F27:L27">SUM(F21,F26)</f>
        <v>3159972</v>
      </c>
      <c r="G27" s="137">
        <f t="shared" si="7"/>
        <v>2586405</v>
      </c>
      <c r="H27" s="137">
        <f>SUM(I27:K27)</f>
        <v>3159972</v>
      </c>
      <c r="I27" s="137">
        <f t="shared" si="7"/>
        <v>2285916</v>
      </c>
      <c r="J27" s="137">
        <f t="shared" si="7"/>
        <v>33800</v>
      </c>
      <c r="K27" s="137">
        <f t="shared" si="7"/>
        <v>840256</v>
      </c>
      <c r="L27" s="137">
        <f t="shared" si="7"/>
        <v>-78190</v>
      </c>
    </row>
    <row r="28" s="229" customFormat="1" ht="11.25">
      <c r="D28" s="230"/>
    </row>
    <row r="29" s="129" customFormat="1" ht="11.25"/>
    <row r="30" spans="10:11" s="129" customFormat="1" ht="11.25">
      <c r="J30" s="86"/>
      <c r="K30" s="86"/>
    </row>
    <row r="31" spans="10:11" s="129" customFormat="1" ht="11.25">
      <c r="J31" s="86"/>
      <c r="K31" s="86"/>
    </row>
    <row r="32" spans="10:11" s="129" customFormat="1" ht="11.25">
      <c r="J32" s="86"/>
      <c r="K32" s="86"/>
    </row>
    <row r="33" spans="10:11" s="129" customFormat="1" ht="11.25">
      <c r="J33" s="86"/>
      <c r="K33" s="86"/>
    </row>
    <row r="34" s="129" customFormat="1" ht="11.25"/>
  </sheetData>
  <sheetProtection/>
  <mergeCells count="19">
    <mergeCell ref="A6:I6"/>
    <mergeCell ref="C8:C11"/>
    <mergeCell ref="D8:D11"/>
    <mergeCell ref="L10:L11"/>
    <mergeCell ref="H8:K8"/>
    <mergeCell ref="L8:L9"/>
    <mergeCell ref="E10:E11"/>
    <mergeCell ref="I9:K9"/>
    <mergeCell ref="H9:H11"/>
    <mergeCell ref="G10:G11"/>
    <mergeCell ref="B22:B26"/>
    <mergeCell ref="F8:G8"/>
    <mergeCell ref="F9:F11"/>
    <mergeCell ref="A27:B27"/>
    <mergeCell ref="E8:E9"/>
    <mergeCell ref="A8:A11"/>
    <mergeCell ref="B8:B11"/>
    <mergeCell ref="B13:B21"/>
    <mergeCell ref="A12:A26"/>
  </mergeCells>
  <printOptions horizontalCentered="1"/>
  <pageMargins left="0.7874015748031497" right="0.7874015748031497" top="0.984251968503937" bottom="0.7874015748031497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1">
      <selection activeCell="L1" sqref="A1:L41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14.00390625" style="0" customWidth="1"/>
    <col min="5" max="5" width="10.625" style="0" customWidth="1"/>
    <col min="6" max="6" width="12.875" style="0" customWidth="1"/>
    <col min="7" max="7" width="11.125" style="0" hidden="1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9:12" ht="12.75">
      <c r="I1" s="160" t="s">
        <v>2</v>
      </c>
      <c r="J1" s="86"/>
      <c r="L1" t="s">
        <v>386</v>
      </c>
    </row>
    <row r="2" spans="9:10" ht="12.75">
      <c r="I2" s="160" t="s">
        <v>711</v>
      </c>
      <c r="J2" s="86"/>
    </row>
    <row r="3" spans="9:10" ht="12.75">
      <c r="I3" s="160" t="s">
        <v>646</v>
      </c>
      <c r="J3" s="86"/>
    </row>
    <row r="4" spans="9:10" ht="12.75">
      <c r="I4" s="160" t="s">
        <v>709</v>
      </c>
      <c r="J4" s="86"/>
    </row>
    <row r="6" spans="1:12" ht="34.5" customHeight="1">
      <c r="A6" s="371" t="s">
        <v>409</v>
      </c>
      <c r="B6" s="371"/>
      <c r="C6" s="371"/>
      <c r="D6" s="371"/>
      <c r="E6" s="371"/>
      <c r="F6" s="371"/>
      <c r="G6" s="371"/>
      <c r="H6" s="371"/>
      <c r="I6" s="16"/>
      <c r="J6" s="16"/>
      <c r="K6" s="16"/>
      <c r="L6" s="16"/>
    </row>
    <row r="7" spans="1:12" ht="12.7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2" ht="21" customHeight="1">
      <c r="A8" s="363" t="s">
        <v>4</v>
      </c>
      <c r="B8" s="363" t="s">
        <v>5</v>
      </c>
      <c r="C8" s="363" t="s">
        <v>181</v>
      </c>
      <c r="D8" s="411" t="s">
        <v>7</v>
      </c>
      <c r="E8" s="408" t="s">
        <v>356</v>
      </c>
      <c r="F8" s="363" t="s">
        <v>357</v>
      </c>
      <c r="G8" s="2"/>
      <c r="H8" s="363" t="s">
        <v>358</v>
      </c>
      <c r="I8" s="363"/>
      <c r="J8" s="363"/>
      <c r="K8" s="363"/>
      <c r="L8" s="408" t="s">
        <v>356</v>
      </c>
    </row>
    <row r="9" spans="1:12" ht="12.75">
      <c r="A9" s="363"/>
      <c r="B9" s="363"/>
      <c r="C9" s="363"/>
      <c r="D9" s="411"/>
      <c r="E9" s="408"/>
      <c r="F9" s="363"/>
      <c r="G9" s="211" t="s">
        <v>345</v>
      </c>
      <c r="H9" s="363" t="s">
        <v>85</v>
      </c>
      <c r="I9" s="422" t="s">
        <v>346</v>
      </c>
      <c r="J9" s="422"/>
      <c r="K9" s="422"/>
      <c r="L9" s="408"/>
    </row>
    <row r="10" spans="1:12" ht="22.5" customHeight="1">
      <c r="A10" s="363"/>
      <c r="B10" s="363"/>
      <c r="C10" s="363"/>
      <c r="D10" s="411"/>
      <c r="E10" s="415" t="s">
        <v>347</v>
      </c>
      <c r="F10" s="363"/>
      <c r="G10" s="409" t="s">
        <v>348</v>
      </c>
      <c r="H10" s="363"/>
      <c r="I10" s="423" t="s">
        <v>252</v>
      </c>
      <c r="J10" s="424" t="s">
        <v>350</v>
      </c>
      <c r="K10" s="424" t="s">
        <v>351</v>
      </c>
      <c r="L10" s="415" t="s">
        <v>352</v>
      </c>
    </row>
    <row r="11" spans="1:12" ht="16.5" customHeight="1">
      <c r="A11" s="363"/>
      <c r="B11" s="363"/>
      <c r="C11" s="363"/>
      <c r="D11" s="411"/>
      <c r="E11" s="415"/>
      <c r="F11" s="363"/>
      <c r="G11" s="410"/>
      <c r="H11" s="363"/>
      <c r="I11" s="423"/>
      <c r="J11" s="424"/>
      <c r="K11" s="424"/>
      <c r="L11" s="415"/>
    </row>
    <row r="12" spans="1:12" ht="19.5" customHeight="1">
      <c r="A12" s="419">
        <v>801</v>
      </c>
      <c r="B12" s="287"/>
      <c r="C12" s="288"/>
      <c r="D12" s="412" t="s">
        <v>128</v>
      </c>
      <c r="E12" s="413"/>
      <c r="F12" s="413"/>
      <c r="G12" s="413"/>
      <c r="H12" s="413"/>
      <c r="I12" s="413"/>
      <c r="J12" s="413"/>
      <c r="K12" s="413"/>
      <c r="L12" s="414"/>
    </row>
    <row r="13" spans="1:12" ht="26.25" customHeight="1" hidden="1">
      <c r="A13" s="420"/>
      <c r="B13" s="289">
        <v>80101</v>
      </c>
      <c r="C13" s="289"/>
      <c r="D13" s="136" t="s">
        <v>66</v>
      </c>
      <c r="E13" s="225">
        <v>0</v>
      </c>
      <c r="F13" s="126">
        <v>36560</v>
      </c>
      <c r="G13" s="126">
        <v>0</v>
      </c>
      <c r="H13" s="126">
        <f>SUM(I13:K13)</f>
        <v>36560</v>
      </c>
      <c r="I13" s="225">
        <v>0</v>
      </c>
      <c r="J13" s="225">
        <v>0</v>
      </c>
      <c r="K13" s="225">
        <v>36560</v>
      </c>
      <c r="L13" s="225">
        <f>SUM(E13+F13-H13)</f>
        <v>0</v>
      </c>
    </row>
    <row r="14" spans="1:12" ht="45" customHeight="1" hidden="1">
      <c r="A14" s="420"/>
      <c r="B14" s="289"/>
      <c r="C14" s="289"/>
      <c r="D14" s="136" t="s">
        <v>354</v>
      </c>
      <c r="E14" s="225"/>
      <c r="F14" s="126"/>
      <c r="G14" s="126"/>
      <c r="H14" s="126"/>
      <c r="I14" s="225"/>
      <c r="J14" s="225"/>
      <c r="K14" s="225"/>
      <c r="L14" s="225">
        <f aca="true" t="shared" si="0" ref="L14:L28">SUM(E14+F14-H14)</f>
        <v>0</v>
      </c>
    </row>
    <row r="15" spans="1:12" ht="45" customHeight="1" hidden="1">
      <c r="A15" s="420"/>
      <c r="B15" s="289"/>
      <c r="C15" s="289"/>
      <c r="D15" s="136" t="s">
        <v>359</v>
      </c>
      <c r="E15" s="225"/>
      <c r="F15" s="126"/>
      <c r="G15" s="126"/>
      <c r="H15" s="126"/>
      <c r="I15" s="225"/>
      <c r="J15" s="225"/>
      <c r="K15" s="225"/>
      <c r="L15" s="225">
        <f t="shared" si="0"/>
        <v>0</v>
      </c>
    </row>
    <row r="16" spans="1:12" ht="20.25" customHeight="1" hidden="1">
      <c r="A16" s="420"/>
      <c r="B16" s="289"/>
      <c r="C16" s="289"/>
      <c r="D16" s="136" t="s">
        <v>354</v>
      </c>
      <c r="E16" s="227">
        <v>0</v>
      </c>
      <c r="F16" s="130">
        <v>-31387</v>
      </c>
      <c r="G16" s="130"/>
      <c r="H16" s="130">
        <f>SUM(I16:K16)</f>
        <v>-31387</v>
      </c>
      <c r="I16" s="227">
        <v>0</v>
      </c>
      <c r="J16" s="227">
        <v>0</v>
      </c>
      <c r="K16" s="227">
        <v>-31387</v>
      </c>
      <c r="L16" s="227">
        <f t="shared" si="0"/>
        <v>0</v>
      </c>
    </row>
    <row r="17" spans="1:12" ht="33.75" customHeight="1" hidden="1">
      <c r="A17" s="420"/>
      <c r="B17" s="416">
        <v>80101</v>
      </c>
      <c r="C17" s="289"/>
      <c r="D17" s="136" t="s">
        <v>564</v>
      </c>
      <c r="E17" s="225">
        <f>SUM(E13:E16)</f>
        <v>0</v>
      </c>
      <c r="F17" s="126">
        <f>SUM(F13:F16)</f>
        <v>5173</v>
      </c>
      <c r="G17" s="126"/>
      <c r="H17" s="126">
        <f>SUM(I17:K17)</f>
        <v>5173</v>
      </c>
      <c r="I17" s="225">
        <f>SUM(I13:I16)</f>
        <v>0</v>
      </c>
      <c r="J17" s="225">
        <f>SUM(J13:J16)</f>
        <v>0</v>
      </c>
      <c r="K17" s="225">
        <f>SUM(K13:K16)</f>
        <v>5173</v>
      </c>
      <c r="L17" s="225">
        <f t="shared" si="0"/>
        <v>0</v>
      </c>
    </row>
    <row r="18" spans="1:12" ht="12.75" customHeight="1" hidden="1">
      <c r="A18" s="420"/>
      <c r="B18" s="417"/>
      <c r="C18" s="289"/>
      <c r="D18" s="136" t="s">
        <v>354</v>
      </c>
      <c r="E18" s="225"/>
      <c r="F18" s="126">
        <v>88</v>
      </c>
      <c r="G18" s="126"/>
      <c r="H18" s="126"/>
      <c r="I18" s="225"/>
      <c r="J18" s="225"/>
      <c r="K18" s="225">
        <v>88</v>
      </c>
      <c r="L18" s="225"/>
    </row>
    <row r="19" spans="1:12" ht="33.75" customHeight="1" hidden="1">
      <c r="A19" s="420"/>
      <c r="B19" s="417"/>
      <c r="C19" s="289"/>
      <c r="D19" s="136" t="s">
        <v>564</v>
      </c>
      <c r="E19" s="225">
        <f>SUM(E17:E18)</f>
        <v>0</v>
      </c>
      <c r="F19" s="225">
        <f aca="true" t="shared" si="1" ref="F19:L19">SUM(F17:F18)</f>
        <v>5261</v>
      </c>
      <c r="G19" s="225">
        <f t="shared" si="1"/>
        <v>0</v>
      </c>
      <c r="H19" s="225">
        <f>SUM(I19:K19)</f>
        <v>5261</v>
      </c>
      <c r="I19" s="225">
        <f t="shared" si="1"/>
        <v>0</v>
      </c>
      <c r="J19" s="225">
        <f t="shared" si="1"/>
        <v>0</v>
      </c>
      <c r="K19" s="225">
        <f t="shared" si="1"/>
        <v>5261</v>
      </c>
      <c r="L19" s="225">
        <f t="shared" si="1"/>
        <v>0</v>
      </c>
    </row>
    <row r="20" spans="1:12" ht="12.75" customHeight="1" hidden="1">
      <c r="A20" s="420"/>
      <c r="B20" s="417"/>
      <c r="C20" s="289"/>
      <c r="D20" s="136" t="s">
        <v>354</v>
      </c>
      <c r="E20" s="225">
        <v>0</v>
      </c>
      <c r="F20" s="225">
        <v>440</v>
      </c>
      <c r="G20" s="225"/>
      <c r="H20" s="225">
        <f>SUM(I20:K20)</f>
        <v>440</v>
      </c>
      <c r="I20" s="225">
        <v>0</v>
      </c>
      <c r="J20" s="225">
        <v>0</v>
      </c>
      <c r="K20" s="225">
        <v>440</v>
      </c>
      <c r="L20" s="225">
        <f>SUM(E20+F20-H20)</f>
        <v>0</v>
      </c>
    </row>
    <row r="21" spans="1:12" ht="33.75">
      <c r="A21" s="420"/>
      <c r="B21" s="417"/>
      <c r="C21" s="289"/>
      <c r="D21" s="19" t="s">
        <v>564</v>
      </c>
      <c r="E21" s="225">
        <f>SUM(E19:E20)</f>
        <v>0</v>
      </c>
      <c r="F21" s="225">
        <f aca="true" t="shared" si="2" ref="F21:L21">SUM(F19:F20)</f>
        <v>5701</v>
      </c>
      <c r="G21" s="225">
        <f t="shared" si="2"/>
        <v>0</v>
      </c>
      <c r="H21" s="225">
        <f t="shared" si="2"/>
        <v>5701</v>
      </c>
      <c r="I21" s="225">
        <f t="shared" si="2"/>
        <v>0</v>
      </c>
      <c r="J21" s="225">
        <f t="shared" si="2"/>
        <v>0</v>
      </c>
      <c r="K21" s="225">
        <f t="shared" si="2"/>
        <v>5701</v>
      </c>
      <c r="L21" s="225">
        <f t="shared" si="2"/>
        <v>0</v>
      </c>
    </row>
    <row r="22" spans="1:12" ht="12.75">
      <c r="A22" s="420"/>
      <c r="B22" s="417"/>
      <c r="C22" s="289"/>
      <c r="D22" s="72" t="s">
        <v>354</v>
      </c>
      <c r="E22" s="227">
        <v>0</v>
      </c>
      <c r="F22" s="227">
        <v>1205</v>
      </c>
      <c r="G22" s="227"/>
      <c r="H22" s="227">
        <f>SUM(I22:K22)</f>
        <v>1205</v>
      </c>
      <c r="I22" s="227"/>
      <c r="J22" s="227"/>
      <c r="K22" s="227">
        <v>1205</v>
      </c>
      <c r="L22" s="227">
        <f>SUM(E22+F22-H22)</f>
        <v>0</v>
      </c>
    </row>
    <row r="23" spans="1:12" ht="44.25" customHeight="1">
      <c r="A23" s="420"/>
      <c r="B23" s="418"/>
      <c r="C23" s="289"/>
      <c r="D23" s="136" t="s">
        <v>412</v>
      </c>
      <c r="E23" s="251">
        <f aca="true" t="shared" si="3" ref="E23:L23">SUM(E21:E22)</f>
        <v>0</v>
      </c>
      <c r="F23" s="251">
        <f t="shared" si="3"/>
        <v>6906</v>
      </c>
      <c r="G23" s="251">
        <f t="shared" si="3"/>
        <v>0</v>
      </c>
      <c r="H23" s="251">
        <f t="shared" si="3"/>
        <v>6906</v>
      </c>
      <c r="I23" s="251">
        <f t="shared" si="3"/>
        <v>0</v>
      </c>
      <c r="J23" s="251">
        <f t="shared" si="3"/>
        <v>0</v>
      </c>
      <c r="K23" s="251">
        <f t="shared" si="3"/>
        <v>6906</v>
      </c>
      <c r="L23" s="251">
        <f t="shared" si="3"/>
        <v>0</v>
      </c>
    </row>
    <row r="24" spans="1:12" ht="0.75" customHeight="1" hidden="1">
      <c r="A24" s="420"/>
      <c r="B24" s="289">
        <v>80110</v>
      </c>
      <c r="C24" s="289"/>
      <c r="D24" s="136" t="s">
        <v>67</v>
      </c>
      <c r="E24" s="225">
        <v>0</v>
      </c>
      <c r="F24" s="126">
        <v>9829</v>
      </c>
      <c r="G24" s="126">
        <v>0</v>
      </c>
      <c r="H24" s="126">
        <f>SUM(I24:K24)</f>
        <v>9829</v>
      </c>
      <c r="I24" s="225">
        <v>0</v>
      </c>
      <c r="J24" s="225">
        <v>0</v>
      </c>
      <c r="K24" s="225">
        <v>9829</v>
      </c>
      <c r="L24" s="225">
        <f t="shared" si="0"/>
        <v>0</v>
      </c>
    </row>
    <row r="25" spans="1:12" ht="12.75" hidden="1">
      <c r="A25" s="420"/>
      <c r="B25" s="289"/>
      <c r="C25" s="289"/>
      <c r="D25" s="19" t="s">
        <v>354</v>
      </c>
      <c r="E25" s="226"/>
      <c r="F25" s="226"/>
      <c r="G25" s="226"/>
      <c r="H25" s="226"/>
      <c r="I25" s="226"/>
      <c r="J25" s="226"/>
      <c r="K25" s="226"/>
      <c r="L25" s="225">
        <f t="shared" si="0"/>
        <v>0</v>
      </c>
    </row>
    <row r="26" spans="1:12" ht="12.75" hidden="1">
      <c r="A26" s="420"/>
      <c r="B26" s="289"/>
      <c r="C26" s="289"/>
      <c r="D26" s="19" t="s">
        <v>359</v>
      </c>
      <c r="E26" s="226"/>
      <c r="F26" s="226"/>
      <c r="G26" s="226"/>
      <c r="H26" s="226"/>
      <c r="I26" s="226"/>
      <c r="J26" s="226"/>
      <c r="K26" s="226"/>
      <c r="L26" s="225">
        <f t="shared" si="0"/>
        <v>0</v>
      </c>
    </row>
    <row r="27" spans="1:12" ht="12.75" hidden="1">
      <c r="A27" s="420"/>
      <c r="B27" s="289"/>
      <c r="C27" s="289"/>
      <c r="D27" s="136" t="s">
        <v>354</v>
      </c>
      <c r="E27" s="227">
        <v>0</v>
      </c>
      <c r="F27" s="227">
        <f>1420-9829</f>
        <v>-8409</v>
      </c>
      <c r="G27" s="227"/>
      <c r="H27" s="227">
        <f>SUM(I27:K27)</f>
        <v>-8409</v>
      </c>
      <c r="I27" s="227">
        <v>0</v>
      </c>
      <c r="J27" s="227">
        <v>0</v>
      </c>
      <c r="K27" s="227">
        <v>-8409</v>
      </c>
      <c r="L27" s="225">
        <f t="shared" si="0"/>
        <v>0</v>
      </c>
    </row>
    <row r="28" spans="1:12" ht="22.5" hidden="1">
      <c r="A28" s="420"/>
      <c r="B28" s="416">
        <v>80110</v>
      </c>
      <c r="C28" s="289"/>
      <c r="D28" s="136" t="s">
        <v>565</v>
      </c>
      <c r="E28" s="225">
        <f>SUM(E24:E27)</f>
        <v>0</v>
      </c>
      <c r="F28" s="225">
        <f>SUM(F24:F27)</f>
        <v>1420</v>
      </c>
      <c r="G28" s="225"/>
      <c r="H28" s="225">
        <f>SUM(H24:H27)</f>
        <v>1420</v>
      </c>
      <c r="I28" s="225">
        <f>SUM(I24:I27)</f>
        <v>0</v>
      </c>
      <c r="J28" s="225">
        <f>SUM(J24:J27)</f>
        <v>0</v>
      </c>
      <c r="K28" s="225">
        <f>SUM(K24:K27)</f>
        <v>1420</v>
      </c>
      <c r="L28" s="225">
        <f t="shared" si="0"/>
        <v>0</v>
      </c>
    </row>
    <row r="29" spans="1:12" ht="12.75" hidden="1">
      <c r="A29" s="420"/>
      <c r="B29" s="417"/>
      <c r="C29" s="289"/>
      <c r="D29" s="136" t="s">
        <v>354</v>
      </c>
      <c r="E29" s="225"/>
      <c r="F29" s="225"/>
      <c r="G29" s="225"/>
      <c r="H29" s="225"/>
      <c r="I29" s="225"/>
      <c r="J29" s="225"/>
      <c r="K29" s="225"/>
      <c r="L29" s="225"/>
    </row>
    <row r="30" spans="1:12" ht="22.5" hidden="1">
      <c r="A30" s="420"/>
      <c r="B30" s="417"/>
      <c r="C30" s="289"/>
      <c r="D30" s="136" t="s">
        <v>565</v>
      </c>
      <c r="E30" s="225">
        <f>SUM(E28:E29)</f>
        <v>0</v>
      </c>
      <c r="F30" s="225">
        <f aca="true" t="shared" si="4" ref="F30:L30">SUM(F28:F29)</f>
        <v>1420</v>
      </c>
      <c r="G30" s="225">
        <f t="shared" si="4"/>
        <v>0</v>
      </c>
      <c r="H30" s="225">
        <f t="shared" si="4"/>
        <v>1420</v>
      </c>
      <c r="I30" s="225">
        <f t="shared" si="4"/>
        <v>0</v>
      </c>
      <c r="J30" s="225">
        <f t="shared" si="4"/>
        <v>0</v>
      </c>
      <c r="K30" s="225">
        <f t="shared" si="4"/>
        <v>1420</v>
      </c>
      <c r="L30" s="225">
        <f t="shared" si="4"/>
        <v>0</v>
      </c>
    </row>
    <row r="31" spans="1:12" ht="12.75" hidden="1">
      <c r="A31" s="420"/>
      <c r="B31" s="417"/>
      <c r="C31" s="289"/>
      <c r="D31" s="301" t="s">
        <v>354</v>
      </c>
      <c r="E31" s="225"/>
      <c r="F31" s="225"/>
      <c r="G31" s="225"/>
      <c r="H31" s="225">
        <f>SUM(I31:K31)</f>
        <v>0</v>
      </c>
      <c r="I31" s="225"/>
      <c r="J31" s="225"/>
      <c r="K31" s="225"/>
      <c r="L31" s="302"/>
    </row>
    <row r="32" spans="1:12" ht="22.5">
      <c r="A32" s="421"/>
      <c r="B32" s="418"/>
      <c r="C32" s="289"/>
      <c r="D32" s="301" t="s">
        <v>565</v>
      </c>
      <c r="E32" s="251">
        <f>SUM(E30:E31)</f>
        <v>0</v>
      </c>
      <c r="F32" s="251">
        <f aca="true" t="shared" si="5" ref="F32:L32">SUM(F30:F31)</f>
        <v>1420</v>
      </c>
      <c r="G32" s="251">
        <f t="shared" si="5"/>
        <v>0</v>
      </c>
      <c r="H32" s="251">
        <f t="shared" si="5"/>
        <v>1420</v>
      </c>
      <c r="I32" s="251">
        <f t="shared" si="5"/>
        <v>0</v>
      </c>
      <c r="J32" s="251">
        <f t="shared" si="5"/>
        <v>0</v>
      </c>
      <c r="K32" s="251">
        <f t="shared" si="5"/>
        <v>1420</v>
      </c>
      <c r="L32" s="251">
        <f t="shared" si="5"/>
        <v>0</v>
      </c>
    </row>
    <row r="33" spans="1:12" ht="19.5" customHeight="1">
      <c r="A33" s="419">
        <v>854</v>
      </c>
      <c r="B33" s="287"/>
      <c r="C33" s="288"/>
      <c r="D33" s="412" t="s">
        <v>75</v>
      </c>
      <c r="E33" s="413"/>
      <c r="F33" s="413"/>
      <c r="G33" s="413"/>
      <c r="H33" s="413"/>
      <c r="I33" s="413"/>
      <c r="J33" s="413"/>
      <c r="K33" s="413"/>
      <c r="L33" s="414"/>
    </row>
    <row r="34" spans="1:12" ht="24" customHeight="1" hidden="1">
      <c r="A34" s="420"/>
      <c r="B34" s="289">
        <v>85401</v>
      </c>
      <c r="C34" s="289"/>
      <c r="D34" s="136" t="s">
        <v>76</v>
      </c>
      <c r="E34" s="225">
        <v>0</v>
      </c>
      <c r="F34" s="126">
        <v>88514</v>
      </c>
      <c r="G34" s="126">
        <v>0</v>
      </c>
      <c r="H34" s="126">
        <f>SUM(I34:K34)</f>
        <v>88514</v>
      </c>
      <c r="I34" s="225">
        <v>0</v>
      </c>
      <c r="J34" s="225">
        <v>0</v>
      </c>
      <c r="K34" s="225">
        <v>88514</v>
      </c>
      <c r="L34" s="225">
        <f>SUM(E34+F34-H34)</f>
        <v>0</v>
      </c>
    </row>
    <row r="35" spans="1:12" ht="18.75" customHeight="1" hidden="1">
      <c r="A35" s="420"/>
      <c r="B35" s="289"/>
      <c r="C35" s="289"/>
      <c r="D35" s="136" t="s">
        <v>354</v>
      </c>
      <c r="E35" s="227">
        <v>0</v>
      </c>
      <c r="F35" s="227">
        <f>94314-88514</f>
        <v>5800</v>
      </c>
      <c r="G35" s="227"/>
      <c r="H35" s="227">
        <f>SUM(I35:K35)</f>
        <v>5800</v>
      </c>
      <c r="I35" s="227">
        <v>0</v>
      </c>
      <c r="J35" s="227">
        <v>0</v>
      </c>
      <c r="K35" s="227">
        <v>5800</v>
      </c>
      <c r="L35" s="225">
        <f>SUM(E35+F35-H35)</f>
        <v>0</v>
      </c>
    </row>
    <row r="36" spans="1:12" ht="22.5" customHeight="1" hidden="1">
      <c r="A36" s="420"/>
      <c r="B36" s="416">
        <v>85401</v>
      </c>
      <c r="C36" s="289"/>
      <c r="D36" s="136" t="s">
        <v>566</v>
      </c>
      <c r="E36" s="225">
        <f>SUM(E34:E35)</f>
        <v>0</v>
      </c>
      <c r="F36" s="225">
        <f>SUM(F34:F35)</f>
        <v>94314</v>
      </c>
      <c r="G36" s="225"/>
      <c r="H36" s="225">
        <f>SUM(H34:H35)</f>
        <v>94314</v>
      </c>
      <c r="I36" s="225">
        <f>SUM(I34:I35)</f>
        <v>0</v>
      </c>
      <c r="J36" s="225">
        <f>SUM(J34:J35)</f>
        <v>0</v>
      </c>
      <c r="K36" s="225">
        <f>SUM(K34:K35)</f>
        <v>94314</v>
      </c>
      <c r="L36" s="225">
        <f>SUM(E36+F36-H36)</f>
        <v>0</v>
      </c>
    </row>
    <row r="37" spans="1:12" ht="18.75" customHeight="1" hidden="1">
      <c r="A37" s="420"/>
      <c r="B37" s="417"/>
      <c r="C37" s="289"/>
      <c r="D37" s="136" t="s">
        <v>354</v>
      </c>
      <c r="E37" s="227"/>
      <c r="F37" s="227"/>
      <c r="G37" s="227"/>
      <c r="H37" s="227"/>
      <c r="I37" s="227"/>
      <c r="J37" s="227"/>
      <c r="K37" s="227"/>
      <c r="L37" s="225"/>
    </row>
    <row r="38" spans="1:12" ht="22.5">
      <c r="A38" s="420"/>
      <c r="B38" s="417"/>
      <c r="C38" s="289"/>
      <c r="D38" s="136" t="s">
        <v>566</v>
      </c>
      <c r="E38" s="226">
        <f>SUM(E36:E37)</f>
        <v>0</v>
      </c>
      <c r="F38" s="226">
        <f>SUM(F36:F37)</f>
        <v>94314</v>
      </c>
      <c r="G38" s="226"/>
      <c r="H38" s="226">
        <f>SUM(H36:H37)</f>
        <v>94314</v>
      </c>
      <c r="I38" s="226">
        <f>SUM(I36:I37)</f>
        <v>0</v>
      </c>
      <c r="J38" s="226">
        <f>SUM(J36:J37)</f>
        <v>0</v>
      </c>
      <c r="K38" s="226">
        <f>SUM(K36:K37)</f>
        <v>94314</v>
      </c>
      <c r="L38" s="251">
        <f>SUM(E38+F38-H38)</f>
        <v>0</v>
      </c>
    </row>
    <row r="39" spans="1:12" ht="12.75">
      <c r="A39" s="420"/>
      <c r="B39" s="417"/>
      <c r="C39" s="289"/>
      <c r="D39" s="19" t="s">
        <v>354</v>
      </c>
      <c r="E39" s="227">
        <v>0</v>
      </c>
      <c r="F39" s="227">
        <v>11900</v>
      </c>
      <c r="G39" s="227"/>
      <c r="H39" s="227">
        <f>SUM(I39:K39)</f>
        <v>11900</v>
      </c>
      <c r="I39" s="227"/>
      <c r="J39" s="227"/>
      <c r="K39" s="227">
        <v>11900</v>
      </c>
      <c r="L39" s="225">
        <f>SUM(E39+F39-H39)</f>
        <v>0</v>
      </c>
    </row>
    <row r="40" spans="1:12" ht="33.75">
      <c r="A40" s="421"/>
      <c r="B40" s="418"/>
      <c r="C40" s="289"/>
      <c r="D40" s="136" t="s">
        <v>710</v>
      </c>
      <c r="E40" s="226">
        <f>SUM(E38:E39)</f>
        <v>0</v>
      </c>
      <c r="F40" s="226">
        <f aca="true" t="shared" si="6" ref="F40:L40">SUM(F38:F39)</f>
        <v>106214</v>
      </c>
      <c r="G40" s="226">
        <f t="shared" si="6"/>
        <v>0</v>
      </c>
      <c r="H40" s="226">
        <f t="shared" si="6"/>
        <v>106214</v>
      </c>
      <c r="I40" s="226">
        <f t="shared" si="6"/>
        <v>0</v>
      </c>
      <c r="J40" s="226">
        <f t="shared" si="6"/>
        <v>0</v>
      </c>
      <c r="K40" s="226">
        <f t="shared" si="6"/>
        <v>106214</v>
      </c>
      <c r="L40" s="226">
        <f t="shared" si="6"/>
        <v>0</v>
      </c>
    </row>
    <row r="41" spans="1:12" s="77" customFormat="1" ht="17.25" customHeight="1">
      <c r="A41" s="367" t="s">
        <v>413</v>
      </c>
      <c r="B41" s="367"/>
      <c r="C41" s="367"/>
      <c r="D41" s="367"/>
      <c r="E41" s="137">
        <f>SUM(E23,E32,E40)</f>
        <v>0</v>
      </c>
      <c r="F41" s="137">
        <f aca="true" t="shared" si="7" ref="F41:L41">SUM(F23,F32,F40)</f>
        <v>114540</v>
      </c>
      <c r="G41" s="137">
        <f t="shared" si="7"/>
        <v>0</v>
      </c>
      <c r="H41" s="137">
        <f t="shared" si="7"/>
        <v>114540</v>
      </c>
      <c r="I41" s="137">
        <f t="shared" si="7"/>
        <v>0</v>
      </c>
      <c r="J41" s="137">
        <f t="shared" si="7"/>
        <v>0</v>
      </c>
      <c r="K41" s="137">
        <f t="shared" si="7"/>
        <v>114540</v>
      </c>
      <c r="L41" s="137">
        <f t="shared" si="7"/>
        <v>0</v>
      </c>
    </row>
    <row r="42" s="229" customFormat="1" ht="11.25">
      <c r="D42" s="230"/>
    </row>
    <row r="43" s="129" customFormat="1" ht="11.25"/>
    <row r="44" spans="10:11" s="129" customFormat="1" ht="11.25">
      <c r="J44" s="86"/>
      <c r="K44" s="86"/>
    </row>
    <row r="45" spans="10:11" s="129" customFormat="1" ht="11.25">
      <c r="J45" s="86"/>
      <c r="K45" s="86"/>
    </row>
    <row r="46" spans="10:11" s="129" customFormat="1" ht="11.25">
      <c r="J46" s="86"/>
      <c r="K46" s="86"/>
    </row>
    <row r="47" spans="10:11" s="129" customFormat="1" ht="11.25">
      <c r="J47" s="86"/>
      <c r="K47" s="86"/>
    </row>
    <row r="48" s="129" customFormat="1" ht="11.25"/>
  </sheetData>
  <sheetProtection/>
  <mergeCells count="25">
    <mergeCell ref="B36:B40"/>
    <mergeCell ref="B17:B23"/>
    <mergeCell ref="A33:A40"/>
    <mergeCell ref="I9:K9"/>
    <mergeCell ref="H9:H11"/>
    <mergeCell ref="I10:I11"/>
    <mergeCell ref="J10:J11"/>
    <mergeCell ref="K10:K11"/>
    <mergeCell ref="A41:D41"/>
    <mergeCell ref="F8:F11"/>
    <mergeCell ref="H8:K8"/>
    <mergeCell ref="D33:L33"/>
    <mergeCell ref="D12:L12"/>
    <mergeCell ref="L10:L11"/>
    <mergeCell ref="L8:L9"/>
    <mergeCell ref="E10:E11"/>
    <mergeCell ref="B28:B32"/>
    <mergeCell ref="A12:A32"/>
    <mergeCell ref="A6:H6"/>
    <mergeCell ref="E8:E9"/>
    <mergeCell ref="G10:G11"/>
    <mergeCell ref="A8:A11"/>
    <mergeCell ref="B8:B11"/>
    <mergeCell ref="C8:C11"/>
    <mergeCell ref="D8:D11"/>
  </mergeCells>
  <printOptions horizontalCentered="1"/>
  <pageMargins left="0.7874015748031497" right="0.7874015748031497" top="0.7874015748031497" bottom="0.5905511811023623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4">
      <selection activeCell="A1" sqref="A1:I44"/>
    </sheetView>
  </sheetViews>
  <sheetFormatPr defaultColWidth="9.00390625" defaultRowHeight="12.75"/>
  <cols>
    <col min="1" max="1" width="6.125" style="208" customWidth="1"/>
    <col min="2" max="2" width="36.625" style="0" customWidth="1"/>
    <col min="3" max="3" width="13.00390625" style="0" customWidth="1"/>
    <col min="4" max="4" width="13.125" style="0" customWidth="1"/>
    <col min="5" max="5" width="13.875" style="0" customWidth="1"/>
    <col min="6" max="6" width="13.625" style="0" customWidth="1"/>
    <col min="7" max="7" width="14.00390625" style="0" customWidth="1"/>
    <col min="8" max="8" width="13.125" style="0" customWidth="1"/>
    <col min="9" max="9" width="13.25390625" style="0" customWidth="1"/>
  </cols>
  <sheetData>
    <row r="1" spans="5:9" ht="12.75">
      <c r="E1" s="207"/>
      <c r="F1" s="169"/>
      <c r="G1" s="160" t="s">
        <v>3</v>
      </c>
      <c r="H1" s="160"/>
      <c r="I1" s="37"/>
    </row>
    <row r="2" spans="5:9" ht="12.75">
      <c r="E2" s="207"/>
      <c r="F2" s="107"/>
      <c r="G2" s="160" t="s">
        <v>711</v>
      </c>
      <c r="H2" s="160"/>
      <c r="I2" s="39"/>
    </row>
    <row r="3" spans="5:9" ht="12.75">
      <c r="E3" s="207"/>
      <c r="F3" s="169"/>
      <c r="G3" s="160" t="s">
        <v>647</v>
      </c>
      <c r="H3" s="160"/>
      <c r="I3" s="37"/>
    </row>
    <row r="4" spans="5:9" ht="12.75">
      <c r="E4" s="207"/>
      <c r="F4" s="107"/>
      <c r="G4" s="160" t="s">
        <v>650</v>
      </c>
      <c r="H4" s="160"/>
      <c r="I4" s="39"/>
    </row>
    <row r="5" spans="1:7" ht="15">
      <c r="A5" s="444" t="s">
        <v>563</v>
      </c>
      <c r="B5" s="444"/>
      <c r="C5" s="444"/>
      <c r="D5" s="444"/>
      <c r="E5" s="444"/>
      <c r="F5" s="444"/>
      <c r="G5" s="444"/>
    </row>
    <row r="6" spans="1:9" ht="11.25" customHeight="1">
      <c r="A6" s="363" t="s">
        <v>181</v>
      </c>
      <c r="B6" s="363" t="s">
        <v>7</v>
      </c>
      <c r="C6" s="408" t="s">
        <v>310</v>
      </c>
      <c r="D6" s="408" t="s">
        <v>311</v>
      </c>
      <c r="E6" s="408" t="s">
        <v>312</v>
      </c>
      <c r="F6" s="445" t="s">
        <v>342</v>
      </c>
      <c r="G6" s="445"/>
      <c r="H6" s="445"/>
      <c r="I6" s="446"/>
    </row>
    <row r="7" spans="1:9" ht="12.75">
      <c r="A7" s="363"/>
      <c r="B7" s="363"/>
      <c r="C7" s="408"/>
      <c r="D7" s="408"/>
      <c r="E7" s="408"/>
      <c r="F7" s="430">
        <v>2006</v>
      </c>
      <c r="G7" s="430"/>
      <c r="H7" s="430">
        <v>2007</v>
      </c>
      <c r="I7" s="430"/>
    </row>
    <row r="8" spans="1:9" ht="12.75">
      <c r="A8" s="363"/>
      <c r="B8" s="363"/>
      <c r="C8" s="408"/>
      <c r="D8" s="408"/>
      <c r="E8" s="408"/>
      <c r="F8" s="81" t="s">
        <v>340</v>
      </c>
      <c r="G8" s="81" t="s">
        <v>341</v>
      </c>
      <c r="H8" s="81" t="s">
        <v>340</v>
      </c>
      <c r="I8" s="81" t="s">
        <v>341</v>
      </c>
    </row>
    <row r="9" spans="1:9" ht="61.5" customHeight="1" hidden="1">
      <c r="A9" s="278">
        <v>1</v>
      </c>
      <c r="B9" s="136" t="s">
        <v>313</v>
      </c>
      <c r="C9" s="281" t="s">
        <v>314</v>
      </c>
      <c r="D9" s="283" t="s">
        <v>315</v>
      </c>
      <c r="E9" s="285">
        <v>22268198.69</v>
      </c>
      <c r="F9" s="48">
        <v>2948488.1</v>
      </c>
      <c r="G9" s="48">
        <v>5717635.6</v>
      </c>
      <c r="H9" s="12">
        <v>0</v>
      </c>
      <c r="I9" s="12">
        <v>0</v>
      </c>
    </row>
    <row r="10" spans="1:9" ht="21.75" customHeight="1" hidden="1">
      <c r="A10" s="279"/>
      <c r="B10" s="136" t="s">
        <v>404</v>
      </c>
      <c r="C10" s="282"/>
      <c r="D10" s="284"/>
      <c r="E10" s="286"/>
      <c r="F10" s="12">
        <v>1511.9</v>
      </c>
      <c r="G10" s="12">
        <v>0.4</v>
      </c>
      <c r="H10" s="12"/>
      <c r="I10" s="12"/>
    </row>
    <row r="11" spans="1:9" ht="0.75" customHeight="1" hidden="1">
      <c r="A11" s="280">
        <v>1</v>
      </c>
      <c r="B11" s="136" t="s">
        <v>313</v>
      </c>
      <c r="C11" s="435" t="s">
        <v>314</v>
      </c>
      <c r="D11" s="438" t="s">
        <v>315</v>
      </c>
      <c r="E11" s="285">
        <v>22268198.69</v>
      </c>
      <c r="F11" s="48">
        <f>SUM(F9:F10)</f>
        <v>2950000</v>
      </c>
      <c r="G11" s="48">
        <f>SUM(G9:G10)</f>
        <v>5717636</v>
      </c>
      <c r="H11" s="12"/>
      <c r="I11" s="12"/>
    </row>
    <row r="12" spans="1:9" ht="12.75" customHeight="1" hidden="1">
      <c r="A12" s="280"/>
      <c r="B12" s="136" t="s">
        <v>404</v>
      </c>
      <c r="C12" s="436"/>
      <c r="D12" s="439"/>
      <c r="E12" s="299">
        <f>SUM(F12:G12)</f>
        <v>150000</v>
      </c>
      <c r="F12" s="12">
        <v>150000</v>
      </c>
      <c r="G12" s="48"/>
      <c r="H12" s="12"/>
      <c r="I12" s="12"/>
    </row>
    <row r="13" spans="1:9" ht="45" hidden="1">
      <c r="A13" s="278">
        <v>1</v>
      </c>
      <c r="B13" s="136" t="s">
        <v>405</v>
      </c>
      <c r="C13" s="436"/>
      <c r="D13" s="439"/>
      <c r="E13" s="285">
        <f>SUM(E11:E12)</f>
        <v>22418198.69</v>
      </c>
      <c r="F13" s="48">
        <f>SUM(F11:F12)</f>
        <v>3100000</v>
      </c>
      <c r="G13" s="48">
        <f>SUM(G11:G12)</f>
        <v>5717636</v>
      </c>
      <c r="H13" s="12"/>
      <c r="I13" s="12"/>
    </row>
    <row r="14" spans="1:9" ht="12.75" hidden="1">
      <c r="A14" s="279"/>
      <c r="B14" s="136" t="s">
        <v>404</v>
      </c>
      <c r="C14" s="436"/>
      <c r="D14" s="439"/>
      <c r="E14" s="299">
        <f>SUM(F14:G14)</f>
        <v>140000</v>
      </c>
      <c r="F14" s="12">
        <v>140000</v>
      </c>
      <c r="G14" s="12"/>
      <c r="H14" s="12"/>
      <c r="I14" s="12"/>
    </row>
    <row r="15" spans="1:9" ht="39" customHeight="1">
      <c r="A15" s="363" t="s">
        <v>714</v>
      </c>
      <c r="B15" s="136" t="s">
        <v>610</v>
      </c>
      <c r="C15" s="436"/>
      <c r="D15" s="439"/>
      <c r="E15" s="425">
        <f>SUM(E13:E14)+2500</f>
        <v>22560698.69</v>
      </c>
      <c r="F15" s="344">
        <f>SUM(F13:F14)</f>
        <v>3240000</v>
      </c>
      <c r="G15" s="343">
        <f>SUM(G13:G14)</f>
        <v>5717636</v>
      </c>
      <c r="H15" s="12"/>
      <c r="I15" s="12"/>
    </row>
    <row r="16" spans="1:9" ht="12.75">
      <c r="A16" s="363"/>
      <c r="B16" s="136" t="s">
        <v>404</v>
      </c>
      <c r="C16" s="436"/>
      <c r="D16" s="439"/>
      <c r="E16" s="426"/>
      <c r="F16" s="344">
        <v>2500</v>
      </c>
      <c r="G16" s="343"/>
      <c r="H16" s="12"/>
      <c r="I16" s="12"/>
    </row>
    <row r="17" spans="1:9" ht="12.75">
      <c r="A17" s="363"/>
      <c r="B17" s="136" t="s">
        <v>276</v>
      </c>
      <c r="C17" s="437"/>
      <c r="D17" s="440"/>
      <c r="E17" s="427"/>
      <c r="F17" s="345">
        <f>SUM(F15:F16)</f>
        <v>3242500</v>
      </c>
      <c r="G17" s="346"/>
      <c r="H17" s="12"/>
      <c r="I17" s="12"/>
    </row>
    <row r="18" spans="1:9" ht="22.5" customHeight="1">
      <c r="A18" s="363"/>
      <c r="B18" s="209" t="s">
        <v>316</v>
      </c>
      <c r="C18" s="434" t="s">
        <v>317</v>
      </c>
      <c r="D18" s="434"/>
      <c r="E18" s="434"/>
      <c r="F18" s="434"/>
      <c r="G18" s="434"/>
      <c r="H18" s="434"/>
      <c r="I18" s="434"/>
    </row>
    <row r="19" spans="1:9" ht="27" customHeight="1" hidden="1">
      <c r="A19" s="279">
        <v>2</v>
      </c>
      <c r="B19" s="136" t="s">
        <v>319</v>
      </c>
      <c r="C19" s="435" t="s">
        <v>314</v>
      </c>
      <c r="D19" s="438" t="s">
        <v>320</v>
      </c>
      <c r="E19" s="431">
        <v>4500000</v>
      </c>
      <c r="F19" s="12">
        <v>220000</v>
      </c>
      <c r="G19" s="12">
        <v>0</v>
      </c>
      <c r="H19" s="12">
        <v>0</v>
      </c>
      <c r="I19" s="12">
        <v>0</v>
      </c>
    </row>
    <row r="20" spans="1:9" ht="13.5" customHeight="1" hidden="1">
      <c r="A20" s="279"/>
      <c r="B20" s="136" t="s">
        <v>404</v>
      </c>
      <c r="C20" s="436"/>
      <c r="D20" s="439"/>
      <c r="E20" s="432"/>
      <c r="F20" s="12">
        <v>180000</v>
      </c>
      <c r="G20" s="12"/>
      <c r="H20" s="12"/>
      <c r="I20" s="12"/>
    </row>
    <row r="21" spans="1:9" ht="27" customHeight="1">
      <c r="A21" s="429" t="s">
        <v>318</v>
      </c>
      <c r="B21" s="136" t="s">
        <v>612</v>
      </c>
      <c r="C21" s="436"/>
      <c r="D21" s="439"/>
      <c r="E21" s="433"/>
      <c r="F21" s="12">
        <f>SUM(F19:F20)</f>
        <v>400000</v>
      </c>
      <c r="G21" s="12"/>
      <c r="H21" s="12"/>
      <c r="I21" s="12"/>
    </row>
    <row r="22" spans="1:9" ht="12.75">
      <c r="A22" s="429"/>
      <c r="B22" s="136" t="s">
        <v>404</v>
      </c>
      <c r="C22" s="436"/>
      <c r="D22" s="439"/>
      <c r="E22" s="298"/>
      <c r="F22" s="12"/>
      <c r="G22" s="12"/>
      <c r="H22" s="12">
        <v>1895630</v>
      </c>
      <c r="I22" s="12"/>
    </row>
    <row r="23" spans="1:9" ht="21.75" customHeight="1">
      <c r="A23" s="429"/>
      <c r="B23" s="136" t="s">
        <v>276</v>
      </c>
      <c r="C23" s="437"/>
      <c r="D23" s="440"/>
      <c r="E23" s="298"/>
      <c r="F23" s="48">
        <f>SUM(F21:F22)</f>
        <v>400000</v>
      </c>
      <c r="G23" s="48">
        <f>SUM(G21:G22)</f>
        <v>0</v>
      </c>
      <c r="H23" s="48">
        <f>SUM(H21:H22)</f>
        <v>1895630</v>
      </c>
      <c r="I23" s="48">
        <f>SUM(I21:I22)</f>
        <v>0</v>
      </c>
    </row>
    <row r="24" spans="1:9" ht="19.5" customHeight="1">
      <c r="A24" s="430"/>
      <c r="B24" s="209" t="s">
        <v>316</v>
      </c>
      <c r="C24" s="434" t="s">
        <v>321</v>
      </c>
      <c r="D24" s="434"/>
      <c r="E24" s="434"/>
      <c r="F24" s="434"/>
      <c r="G24" s="434"/>
      <c r="H24" s="212"/>
      <c r="I24" s="212"/>
    </row>
    <row r="25" spans="1:9" s="162" customFormat="1" ht="33.75">
      <c r="A25" s="428" t="s">
        <v>322</v>
      </c>
      <c r="B25" s="136" t="s">
        <v>323</v>
      </c>
      <c r="C25" s="435" t="s">
        <v>314</v>
      </c>
      <c r="D25" s="438" t="s">
        <v>324</v>
      </c>
      <c r="E25" s="431">
        <v>700000</v>
      </c>
      <c r="F25" s="30">
        <v>80000</v>
      </c>
      <c r="G25" s="214"/>
      <c r="H25" s="30">
        <v>250000</v>
      </c>
      <c r="I25" s="214"/>
    </row>
    <row r="26" spans="1:9" s="162" customFormat="1" ht="12.75">
      <c r="A26" s="429"/>
      <c r="B26" s="136" t="s">
        <v>404</v>
      </c>
      <c r="C26" s="436"/>
      <c r="D26" s="439"/>
      <c r="E26" s="432"/>
      <c r="F26" s="30"/>
      <c r="G26" s="214"/>
      <c r="H26" s="30">
        <v>-250000</v>
      </c>
      <c r="I26" s="214"/>
    </row>
    <row r="27" spans="1:9" s="162" customFormat="1" ht="23.25" customHeight="1">
      <c r="A27" s="429"/>
      <c r="B27" s="136" t="s">
        <v>276</v>
      </c>
      <c r="C27" s="437"/>
      <c r="D27" s="440"/>
      <c r="E27" s="433"/>
      <c r="F27" s="60">
        <f>SUM(F25:F26)</f>
        <v>80000</v>
      </c>
      <c r="G27" s="60">
        <f>SUM(G25:G26)</f>
        <v>0</v>
      </c>
      <c r="H27" s="60">
        <f>SUM(H25:H26)</f>
        <v>0</v>
      </c>
      <c r="I27" s="60">
        <f>SUM(I25:I26)</f>
        <v>0</v>
      </c>
    </row>
    <row r="28" spans="1:9" s="162" customFormat="1" ht="19.5" customHeight="1">
      <c r="A28" s="430"/>
      <c r="B28" s="209" t="s">
        <v>316</v>
      </c>
      <c r="C28" s="447" t="s">
        <v>325</v>
      </c>
      <c r="D28" s="447"/>
      <c r="E28" s="447"/>
      <c r="F28" s="447"/>
      <c r="G28" s="447"/>
      <c r="H28" s="447"/>
      <c r="I28" s="447"/>
    </row>
    <row r="29" spans="1:9" ht="33.75">
      <c r="A29" s="428" t="s">
        <v>326</v>
      </c>
      <c r="B29" s="220" t="s">
        <v>327</v>
      </c>
      <c r="C29" s="451" t="s">
        <v>314</v>
      </c>
      <c r="D29" s="422" t="s">
        <v>328</v>
      </c>
      <c r="E29" s="381">
        <v>2000000</v>
      </c>
      <c r="F29" s="30"/>
      <c r="G29" s="213"/>
      <c r="H29" s="30">
        <v>250000</v>
      </c>
      <c r="I29" s="213"/>
    </row>
    <row r="30" spans="1:9" ht="12.75">
      <c r="A30" s="429"/>
      <c r="B30" s="136" t="s">
        <v>404</v>
      </c>
      <c r="C30" s="451"/>
      <c r="D30" s="422"/>
      <c r="E30" s="381"/>
      <c r="F30" s="30"/>
      <c r="G30" s="213"/>
      <c r="H30" s="30">
        <v>-250000</v>
      </c>
      <c r="I30" s="213"/>
    </row>
    <row r="31" spans="1:9" ht="25.5" customHeight="1">
      <c r="A31" s="429"/>
      <c r="B31" s="136" t="s">
        <v>276</v>
      </c>
      <c r="C31" s="451"/>
      <c r="D31" s="422"/>
      <c r="E31" s="381"/>
      <c r="F31" s="60">
        <f>SUM(F29:F30)</f>
        <v>0</v>
      </c>
      <c r="G31" s="60">
        <f>SUM(G29:G30)</f>
        <v>0</v>
      </c>
      <c r="H31" s="60">
        <f>SUM(H29:H30)</f>
        <v>0</v>
      </c>
      <c r="I31" s="60">
        <f>SUM(I29:I30)</f>
        <v>0</v>
      </c>
    </row>
    <row r="32" spans="1:9" ht="19.5" customHeight="1">
      <c r="A32" s="430"/>
      <c r="B32" s="209" t="s">
        <v>316</v>
      </c>
      <c r="C32" s="448" t="s">
        <v>325</v>
      </c>
      <c r="D32" s="449"/>
      <c r="E32" s="449"/>
      <c r="F32" s="449"/>
      <c r="G32" s="449"/>
      <c r="H32" s="449"/>
      <c r="I32" s="450"/>
    </row>
    <row r="33" spans="1:9" s="162" customFormat="1" ht="24.75" customHeight="1">
      <c r="A33" s="428" t="s">
        <v>329</v>
      </c>
      <c r="B33" s="136" t="s">
        <v>330</v>
      </c>
      <c r="C33" s="435" t="s">
        <v>314</v>
      </c>
      <c r="D33" s="438" t="s">
        <v>331</v>
      </c>
      <c r="E33" s="431">
        <v>8000000</v>
      </c>
      <c r="F33" s="30"/>
      <c r="G33" s="214"/>
      <c r="H33" s="30">
        <v>1400000</v>
      </c>
      <c r="I33" s="30">
        <v>2100000</v>
      </c>
    </row>
    <row r="34" spans="1:9" s="162" customFormat="1" ht="14.25" customHeight="1">
      <c r="A34" s="429"/>
      <c r="B34" s="136" t="s">
        <v>404</v>
      </c>
      <c r="C34" s="436"/>
      <c r="D34" s="439"/>
      <c r="E34" s="432"/>
      <c r="F34" s="30"/>
      <c r="G34" s="214"/>
      <c r="H34" s="30">
        <v>-1300000</v>
      </c>
      <c r="I34" s="30">
        <v>-2100000</v>
      </c>
    </row>
    <row r="35" spans="1:9" s="162" customFormat="1" ht="24" customHeight="1">
      <c r="A35" s="429"/>
      <c r="B35" s="136" t="s">
        <v>276</v>
      </c>
      <c r="C35" s="437"/>
      <c r="D35" s="440"/>
      <c r="E35" s="433"/>
      <c r="F35" s="60">
        <f>SUM(F33:F34)</f>
        <v>0</v>
      </c>
      <c r="G35" s="60">
        <f>SUM(G33:G34)</f>
        <v>0</v>
      </c>
      <c r="H35" s="60">
        <f>SUM(H33:H34)</f>
        <v>100000</v>
      </c>
      <c r="I35" s="60">
        <f>SUM(I33:I34)</f>
        <v>0</v>
      </c>
    </row>
    <row r="36" spans="1:9" ht="17.25" customHeight="1">
      <c r="A36" s="430"/>
      <c r="B36" s="209" t="s">
        <v>316</v>
      </c>
      <c r="C36" s="448" t="s">
        <v>332</v>
      </c>
      <c r="D36" s="449"/>
      <c r="E36" s="449"/>
      <c r="F36" s="449"/>
      <c r="G36" s="449"/>
      <c r="H36" s="449"/>
      <c r="I36" s="450"/>
    </row>
    <row r="37" spans="1:9" s="162" customFormat="1" ht="24" customHeight="1">
      <c r="A37" s="428" t="s">
        <v>333</v>
      </c>
      <c r="B37" s="136" t="s">
        <v>334</v>
      </c>
      <c r="C37" s="451" t="s">
        <v>314</v>
      </c>
      <c r="D37" s="422">
        <v>2007</v>
      </c>
      <c r="E37" s="381">
        <v>2000000</v>
      </c>
      <c r="F37" s="30"/>
      <c r="G37" s="214"/>
      <c r="H37" s="30">
        <v>1400000</v>
      </c>
      <c r="I37" s="30">
        <v>600000</v>
      </c>
    </row>
    <row r="38" spans="1:9" s="162" customFormat="1" ht="12.75">
      <c r="A38" s="429"/>
      <c r="B38" s="136" t="s">
        <v>404</v>
      </c>
      <c r="C38" s="451"/>
      <c r="D38" s="422"/>
      <c r="E38" s="381"/>
      <c r="F38" s="30"/>
      <c r="G38" s="214"/>
      <c r="H38" s="30">
        <v>-1300000</v>
      </c>
      <c r="I38" s="30">
        <v>-600000</v>
      </c>
    </row>
    <row r="39" spans="1:9" s="162" customFormat="1" ht="25.5" customHeight="1">
      <c r="A39" s="429"/>
      <c r="B39" s="136" t="s">
        <v>276</v>
      </c>
      <c r="C39" s="451"/>
      <c r="D39" s="422"/>
      <c r="E39" s="381"/>
      <c r="F39" s="60">
        <f>SUM(F37:F38)</f>
        <v>0</v>
      </c>
      <c r="G39" s="60">
        <f>SUM(G37:G38)</f>
        <v>0</v>
      </c>
      <c r="H39" s="60">
        <f>SUM(H37:H38)</f>
        <v>100000</v>
      </c>
      <c r="I39" s="60">
        <f>SUM(I37:I38)</f>
        <v>0</v>
      </c>
    </row>
    <row r="40" spans="1:9" ht="17.25" customHeight="1">
      <c r="A40" s="430"/>
      <c r="B40" s="209" t="s">
        <v>316</v>
      </c>
      <c r="C40" s="441" t="s">
        <v>332</v>
      </c>
      <c r="D40" s="442"/>
      <c r="E40" s="442"/>
      <c r="F40" s="442"/>
      <c r="G40" s="442"/>
      <c r="H40" s="442"/>
      <c r="I40" s="443"/>
    </row>
    <row r="41" spans="1:9" s="162" customFormat="1" ht="24" customHeight="1" hidden="1">
      <c r="A41" s="428" t="s">
        <v>335</v>
      </c>
      <c r="B41" s="31" t="s">
        <v>562</v>
      </c>
      <c r="C41" s="451" t="s">
        <v>314</v>
      </c>
      <c r="D41" s="422" t="s">
        <v>336</v>
      </c>
      <c r="E41" s="381">
        <v>163720</v>
      </c>
      <c r="F41" s="30">
        <v>70000</v>
      </c>
      <c r="G41" s="30"/>
      <c r="H41" s="30">
        <v>68170</v>
      </c>
      <c r="I41" s="30"/>
    </row>
    <row r="42" spans="1:9" s="162" customFormat="1" ht="12.75" customHeight="1" hidden="1">
      <c r="A42" s="429"/>
      <c r="B42" s="31" t="s">
        <v>404</v>
      </c>
      <c r="C42" s="451"/>
      <c r="D42" s="422"/>
      <c r="E42" s="381"/>
      <c r="F42" s="30">
        <v>1000</v>
      </c>
      <c r="G42" s="30"/>
      <c r="H42" s="30"/>
      <c r="I42" s="30"/>
    </row>
    <row r="43" spans="1:9" s="162" customFormat="1" ht="24">
      <c r="A43" s="429"/>
      <c r="B43" s="31" t="s">
        <v>611</v>
      </c>
      <c r="C43" s="451"/>
      <c r="D43" s="422"/>
      <c r="E43" s="381"/>
      <c r="F43" s="30">
        <f>SUM(F41:F42)</f>
        <v>71000</v>
      </c>
      <c r="G43" s="30"/>
      <c r="H43" s="30">
        <f>SUM(H41:H42)</f>
        <v>68170</v>
      </c>
      <c r="I43" s="30"/>
    </row>
    <row r="44" spans="1:9" ht="19.5" customHeight="1">
      <c r="A44" s="430"/>
      <c r="B44" s="209" t="s">
        <v>316</v>
      </c>
      <c r="C44" s="441" t="s">
        <v>337</v>
      </c>
      <c r="D44" s="442"/>
      <c r="E44" s="442"/>
      <c r="F44" s="442"/>
      <c r="G44" s="442"/>
      <c r="H44" s="442"/>
      <c r="I44" s="443"/>
    </row>
  </sheetData>
  <sheetProtection/>
  <mergeCells count="44">
    <mergeCell ref="E25:E27"/>
    <mergeCell ref="C33:C35"/>
    <mergeCell ref="D33:D35"/>
    <mergeCell ref="E33:E35"/>
    <mergeCell ref="C29:C31"/>
    <mergeCell ref="D29:D31"/>
    <mergeCell ref="E29:E31"/>
    <mergeCell ref="C25:C27"/>
    <mergeCell ref="D25:D27"/>
    <mergeCell ref="C44:I44"/>
    <mergeCell ref="C28:I28"/>
    <mergeCell ref="C32:I32"/>
    <mergeCell ref="C36:I36"/>
    <mergeCell ref="C41:C43"/>
    <mergeCell ref="D41:D43"/>
    <mergeCell ref="E41:E43"/>
    <mergeCell ref="E37:E39"/>
    <mergeCell ref="C37:C39"/>
    <mergeCell ref="D37:D39"/>
    <mergeCell ref="A6:A8"/>
    <mergeCell ref="B6:B8"/>
    <mergeCell ref="C6:C8"/>
    <mergeCell ref="A5:G5"/>
    <mergeCell ref="D6:D8"/>
    <mergeCell ref="E6:E8"/>
    <mergeCell ref="F6:I6"/>
    <mergeCell ref="F7:G7"/>
    <mergeCell ref="H7:I7"/>
    <mergeCell ref="A25:A28"/>
    <mergeCell ref="A29:A32"/>
    <mergeCell ref="A33:A36"/>
    <mergeCell ref="A37:A40"/>
    <mergeCell ref="C11:C17"/>
    <mergeCell ref="D11:D17"/>
    <mergeCell ref="E15:E17"/>
    <mergeCell ref="A41:A44"/>
    <mergeCell ref="E19:E21"/>
    <mergeCell ref="C18:I18"/>
    <mergeCell ref="C19:C23"/>
    <mergeCell ref="D19:D23"/>
    <mergeCell ref="C24:G24"/>
    <mergeCell ref="C40:I40"/>
    <mergeCell ref="A15:A18"/>
    <mergeCell ref="A21:A24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scale="75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125" style="208" customWidth="1"/>
    <col min="2" max="2" width="21.00390625" style="0" customWidth="1"/>
    <col min="3" max="3" width="13.00390625" style="0" customWidth="1"/>
    <col min="4" max="4" width="13.125" style="0" customWidth="1"/>
    <col min="5" max="5" width="13.875" style="0" customWidth="1"/>
    <col min="6" max="6" width="13.625" style="0" customWidth="1"/>
    <col min="7" max="7" width="14.00390625" style="0" customWidth="1"/>
    <col min="8" max="8" width="13.125" style="0" customWidth="1"/>
    <col min="9" max="9" width="13.25390625" style="0" customWidth="1"/>
  </cols>
  <sheetData>
    <row r="1" spans="5:9" ht="12.75">
      <c r="E1" s="207"/>
      <c r="F1" s="169"/>
      <c r="G1" s="160" t="s">
        <v>715</v>
      </c>
      <c r="H1" s="160"/>
      <c r="I1" s="37"/>
    </row>
    <row r="2" spans="5:9" ht="12.75">
      <c r="E2" s="207"/>
      <c r="F2" s="107"/>
      <c r="G2" s="160" t="s">
        <v>694</v>
      </c>
      <c r="H2" s="160"/>
      <c r="I2" s="39"/>
    </row>
    <row r="3" spans="5:9" ht="12.75">
      <c r="E3" s="207"/>
      <c r="F3" s="169"/>
      <c r="G3" s="160" t="s">
        <v>648</v>
      </c>
      <c r="H3" s="160"/>
      <c r="I3" s="37"/>
    </row>
    <row r="4" spans="5:9" ht="12.75">
      <c r="E4" s="207"/>
      <c r="F4" s="107"/>
      <c r="G4" s="160" t="s">
        <v>606</v>
      </c>
      <c r="H4" s="160"/>
      <c r="I4" s="39"/>
    </row>
    <row r="5" spans="5:9" ht="12.75">
      <c r="E5" s="207"/>
      <c r="F5" s="107"/>
      <c r="G5" s="86"/>
      <c r="H5" s="160"/>
      <c r="I5" s="39"/>
    </row>
    <row r="6" spans="1:6" ht="15" customHeight="1">
      <c r="A6" s="393" t="s">
        <v>429</v>
      </c>
      <c r="B6" s="393"/>
      <c r="C6" s="393"/>
      <c r="D6" s="393"/>
      <c r="E6" s="393"/>
      <c r="F6" s="393"/>
    </row>
    <row r="7" spans="1:6" ht="27" customHeight="1">
      <c r="A7" s="452"/>
      <c r="B7" s="452"/>
      <c r="C7" s="452"/>
      <c r="D7" s="452"/>
      <c r="E7" s="452"/>
      <c r="F7" s="452"/>
    </row>
    <row r="8" spans="1:9" ht="21" customHeight="1">
      <c r="A8" s="363" t="s">
        <v>181</v>
      </c>
      <c r="B8" s="363" t="s">
        <v>7</v>
      </c>
      <c r="C8" s="408" t="s">
        <v>310</v>
      </c>
      <c r="D8" s="408" t="s">
        <v>311</v>
      </c>
      <c r="E8" s="408" t="s">
        <v>312</v>
      </c>
      <c r="F8" s="445" t="s">
        <v>342</v>
      </c>
      <c r="G8" s="445"/>
      <c r="H8" s="445"/>
      <c r="I8" s="446"/>
    </row>
    <row r="9" spans="1:9" ht="24.75" customHeight="1">
      <c r="A9" s="363"/>
      <c r="B9" s="363"/>
      <c r="C9" s="408"/>
      <c r="D9" s="408"/>
      <c r="E9" s="408"/>
      <c r="F9" s="430">
        <v>2006</v>
      </c>
      <c r="G9" s="430"/>
      <c r="H9" s="430">
        <v>2007</v>
      </c>
      <c r="I9" s="430"/>
    </row>
    <row r="10" spans="1:9" ht="22.5" customHeight="1">
      <c r="A10" s="363"/>
      <c r="B10" s="363"/>
      <c r="C10" s="408"/>
      <c r="D10" s="408"/>
      <c r="E10" s="408"/>
      <c r="F10" s="81" t="s">
        <v>340</v>
      </c>
      <c r="G10" s="81" t="s">
        <v>341</v>
      </c>
      <c r="H10" s="81" t="s">
        <v>340</v>
      </c>
      <c r="I10" s="81" t="s">
        <v>341</v>
      </c>
    </row>
    <row r="11" spans="1:9" ht="77.25" customHeight="1" hidden="1">
      <c r="A11" s="428">
        <v>1</v>
      </c>
      <c r="B11" s="136" t="s">
        <v>313</v>
      </c>
      <c r="C11" s="435" t="s">
        <v>314</v>
      </c>
      <c r="D11" s="438" t="s">
        <v>315</v>
      </c>
      <c r="E11" s="431">
        <v>22268198.69</v>
      </c>
      <c r="F11" s="48">
        <v>2948488.1</v>
      </c>
      <c r="G11" s="48">
        <v>5717635.6</v>
      </c>
      <c r="H11" s="12">
        <v>0</v>
      </c>
      <c r="I11" s="12">
        <v>0</v>
      </c>
    </row>
    <row r="12" spans="1:9" ht="27" customHeight="1" hidden="1">
      <c r="A12" s="429"/>
      <c r="B12" s="136" t="s">
        <v>404</v>
      </c>
      <c r="C12" s="436"/>
      <c r="D12" s="439"/>
      <c r="E12" s="432"/>
      <c r="F12" s="12">
        <v>1511.9</v>
      </c>
      <c r="G12" s="12">
        <v>0.4</v>
      </c>
      <c r="H12" s="12"/>
      <c r="I12" s="12"/>
    </row>
    <row r="13" spans="1:9" ht="78.75" hidden="1">
      <c r="A13" s="430"/>
      <c r="B13" s="136" t="s">
        <v>610</v>
      </c>
      <c r="C13" s="436"/>
      <c r="D13" s="439"/>
      <c r="E13" s="433"/>
      <c r="F13" s="48">
        <f>SUM(F11:F12)</f>
        <v>2950000</v>
      </c>
      <c r="G13" s="48">
        <f>SUM(G11:G12)</f>
        <v>5717636</v>
      </c>
      <c r="H13" s="12"/>
      <c r="I13" s="12"/>
    </row>
    <row r="14" spans="1:9" ht="26.25" customHeight="1" hidden="1">
      <c r="A14" s="280"/>
      <c r="B14" s="136" t="s">
        <v>404</v>
      </c>
      <c r="C14" s="436"/>
      <c r="D14" s="439"/>
      <c r="E14" s="300">
        <f>SUM(F14:G14)</f>
        <v>290000</v>
      </c>
      <c r="F14" s="12">
        <f>150000+140000</f>
        <v>290000</v>
      </c>
      <c r="G14" s="48"/>
      <c r="H14" s="12"/>
      <c r="I14" s="12"/>
    </row>
    <row r="15" spans="1:9" ht="77.25" customHeight="1">
      <c r="A15" s="280"/>
      <c r="B15" s="19" t="s">
        <v>610</v>
      </c>
      <c r="C15" s="437"/>
      <c r="D15" s="440"/>
      <c r="E15" s="300">
        <f>SUM(E11:E14)</f>
        <v>22558198.69</v>
      </c>
      <c r="F15" s="12">
        <f>SUM(F13:F14)</f>
        <v>3240000</v>
      </c>
      <c r="G15" s="12">
        <f>SUM(G13:G14)</f>
        <v>5717636</v>
      </c>
      <c r="H15" s="12"/>
      <c r="I15" s="12"/>
    </row>
    <row r="16" spans="1:9" ht="12.75">
      <c r="A16" s="280"/>
      <c r="B16" s="19" t="s">
        <v>404</v>
      </c>
      <c r="C16" s="342"/>
      <c r="D16" s="341"/>
      <c r="E16" s="300">
        <v>2500</v>
      </c>
      <c r="F16" s="12">
        <v>2500</v>
      </c>
      <c r="G16" s="12"/>
      <c r="H16" s="12"/>
      <c r="I16" s="12"/>
    </row>
    <row r="17" spans="1:9" ht="77.25" customHeight="1">
      <c r="A17" s="280"/>
      <c r="B17" s="136" t="s">
        <v>405</v>
      </c>
      <c r="C17" s="342"/>
      <c r="D17" s="341"/>
      <c r="E17" s="298">
        <f>SUM(E15:E16)</f>
        <v>22560698.69</v>
      </c>
      <c r="F17" s="298">
        <f>SUM(F15:F16)</f>
        <v>3242500</v>
      </c>
      <c r="G17" s="298">
        <f>SUM(G15:G16)</f>
        <v>5717636</v>
      </c>
      <c r="H17" s="12"/>
      <c r="I17" s="12"/>
    </row>
    <row r="18" spans="1:9" ht="39" customHeight="1">
      <c r="A18" s="2"/>
      <c r="B18" s="209" t="s">
        <v>316</v>
      </c>
      <c r="C18" s="453" t="s">
        <v>317</v>
      </c>
      <c r="D18" s="453"/>
      <c r="E18" s="453"/>
      <c r="F18" s="453"/>
      <c r="G18" s="453"/>
      <c r="H18" s="453"/>
      <c r="I18" s="453"/>
    </row>
    <row r="19" ht="12.75">
      <c r="B19" s="178" t="s">
        <v>368</v>
      </c>
    </row>
  </sheetData>
  <sheetProtection/>
  <mergeCells count="14">
    <mergeCell ref="E11:E13"/>
    <mergeCell ref="A11:A13"/>
    <mergeCell ref="C11:C15"/>
    <mergeCell ref="D11:D15"/>
    <mergeCell ref="A6:F7"/>
    <mergeCell ref="C18:I18"/>
    <mergeCell ref="A8:A10"/>
    <mergeCell ref="B8:B10"/>
    <mergeCell ref="C8:C10"/>
    <mergeCell ref="D8:D10"/>
    <mergeCell ref="E8:E10"/>
    <mergeCell ref="F8:I8"/>
    <mergeCell ref="F9:G9"/>
    <mergeCell ref="H9:I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90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75390625" style="9" customWidth="1"/>
    <col min="2" max="2" width="7.25390625" style="9" bestFit="1" customWidth="1"/>
    <col min="3" max="3" width="4.375" style="9" bestFit="1" customWidth="1"/>
    <col min="4" max="4" width="26.375" style="9" customWidth="1"/>
    <col min="5" max="5" width="20.375" style="44" hidden="1" customWidth="1"/>
    <col min="6" max="6" width="11.25390625" style="143" hidden="1" customWidth="1"/>
    <col min="7" max="7" width="11.625" style="146" hidden="1" customWidth="1"/>
    <col min="8" max="8" width="12.25390625" style="76" hidden="1" customWidth="1"/>
    <col min="9" max="9" width="34.875" style="143" hidden="1" customWidth="1"/>
    <col min="10" max="10" width="11.625" style="146" hidden="1" customWidth="1"/>
    <col min="11" max="11" width="12.25390625" style="76" hidden="1" customWidth="1"/>
    <col min="12" max="12" width="32.375" style="143" hidden="1" customWidth="1"/>
    <col min="13" max="13" width="11.625" style="146" hidden="1" customWidth="1"/>
    <col min="14" max="14" width="12.25390625" style="76" hidden="1" customWidth="1"/>
    <col min="15" max="15" width="34.875" style="143" hidden="1" customWidth="1"/>
    <col min="16" max="16" width="11.625" style="146" hidden="1" customWidth="1"/>
    <col min="17" max="17" width="14.375" style="76" hidden="1" customWidth="1"/>
    <col min="18" max="18" width="34.125" style="143" hidden="1" customWidth="1"/>
    <col min="19" max="19" width="11.625" style="146" hidden="1" customWidth="1"/>
    <col min="20" max="20" width="12.25390625" style="76" hidden="1" customWidth="1"/>
    <col min="21" max="21" width="34.875" style="143" hidden="1" customWidth="1"/>
    <col min="22" max="22" width="11.625" style="146" hidden="1" customWidth="1"/>
    <col min="23" max="23" width="12.25390625" style="76" hidden="1" customWidth="1"/>
    <col min="24" max="24" width="0.12890625" style="143" hidden="1" customWidth="1"/>
    <col min="25" max="25" width="0.12890625" style="146" hidden="1" customWidth="1"/>
    <col min="26" max="26" width="0.12890625" style="76" hidden="1" customWidth="1"/>
    <col min="27" max="27" width="34.375" style="143" hidden="1" customWidth="1"/>
    <col min="28" max="28" width="11.625" style="146" hidden="1" customWidth="1"/>
    <col min="29" max="29" width="8.875" style="76" hidden="1" customWidth="1"/>
    <col min="30" max="30" width="32.00390625" style="143" hidden="1" customWidth="1"/>
    <col min="31" max="31" width="0.12890625" style="146" hidden="1" customWidth="1"/>
    <col min="32" max="32" width="12.25390625" style="76" hidden="1" customWidth="1"/>
    <col min="33" max="33" width="34.375" style="143" hidden="1" customWidth="1"/>
    <col min="34" max="34" width="11.625" style="146" hidden="1" customWidth="1"/>
    <col min="35" max="35" width="18.125" style="76" hidden="1" customWidth="1"/>
    <col min="36" max="36" width="32.00390625" style="143" hidden="1" customWidth="1"/>
    <col min="37" max="37" width="11.75390625" style="146" hidden="1" customWidth="1"/>
    <col min="38" max="38" width="12.25390625" style="76" hidden="1" customWidth="1"/>
    <col min="39" max="39" width="32.00390625" style="143" hidden="1" customWidth="1"/>
    <col min="40" max="40" width="11.625" style="146" hidden="1" customWidth="1"/>
    <col min="41" max="41" width="12.25390625" style="76" hidden="1" customWidth="1"/>
    <col min="42" max="42" width="31.25390625" style="143" hidden="1" customWidth="1"/>
    <col min="43" max="43" width="11.625" style="146" hidden="1" customWidth="1"/>
    <col min="44" max="44" width="12.75390625" style="76" customWidth="1"/>
    <col min="45" max="45" width="11.75390625" style="143" customWidth="1"/>
    <col min="46" max="46" width="12.125" style="146" customWidth="1"/>
    <col min="47" max="48" width="12.75390625" style="76" customWidth="1"/>
  </cols>
  <sheetData>
    <row r="1" spans="1:48" ht="12.75">
      <c r="A1" s="175"/>
      <c r="B1" s="175"/>
      <c r="C1" s="175"/>
      <c r="D1" s="175"/>
      <c r="E1" s="86" t="s">
        <v>240</v>
      </c>
      <c r="G1" s="86"/>
      <c r="H1" s="86"/>
      <c r="I1" s="160" t="s">
        <v>424</v>
      </c>
      <c r="J1" s="86"/>
      <c r="K1" s="86"/>
      <c r="L1" s="160" t="s">
        <v>440</v>
      </c>
      <c r="M1" s="86"/>
      <c r="N1" s="86"/>
      <c r="O1" s="160" t="s">
        <v>469</v>
      </c>
      <c r="P1" s="86"/>
      <c r="Q1" s="86"/>
      <c r="R1" s="160" t="s">
        <v>507</v>
      </c>
      <c r="S1" s="86"/>
      <c r="T1" s="86"/>
      <c r="U1" s="160" t="s">
        <v>536</v>
      </c>
      <c r="V1" s="86"/>
      <c r="W1" s="86"/>
      <c r="X1" s="160" t="s">
        <v>555</v>
      </c>
      <c r="Y1" s="86"/>
      <c r="Z1" s="86"/>
      <c r="AA1" s="160" t="s">
        <v>584</v>
      </c>
      <c r="AB1" s="86"/>
      <c r="AC1" s="86"/>
      <c r="AD1" s="160" t="s">
        <v>603</v>
      </c>
      <c r="AE1" s="86"/>
      <c r="AF1" s="86"/>
      <c r="AG1" s="160" t="s">
        <v>639</v>
      </c>
      <c r="AH1" s="86"/>
      <c r="AI1" s="86"/>
      <c r="AJ1" s="160" t="s">
        <v>655</v>
      </c>
      <c r="AK1" s="86"/>
      <c r="AL1" s="86"/>
      <c r="AM1" s="160" t="s">
        <v>678</v>
      </c>
      <c r="AN1" s="86"/>
      <c r="AO1" s="86"/>
      <c r="AP1" s="160" t="s">
        <v>690</v>
      </c>
      <c r="AQ1" s="86"/>
      <c r="AR1" s="86"/>
      <c r="AS1" s="160" t="s">
        <v>717</v>
      </c>
      <c r="AT1" s="86"/>
      <c r="AU1" s="86"/>
      <c r="AV1" s="86"/>
    </row>
    <row r="2" spans="1:48" ht="12.75">
      <c r="A2" s="175"/>
      <c r="B2" s="175"/>
      <c r="C2" s="175"/>
      <c r="D2" s="175"/>
      <c r="E2" s="86" t="s">
        <v>384</v>
      </c>
      <c r="G2" s="86"/>
      <c r="H2" s="86"/>
      <c r="I2" s="160" t="s">
        <v>394</v>
      </c>
      <c r="J2" s="86"/>
      <c r="K2" s="86"/>
      <c r="L2" s="160" t="s">
        <v>441</v>
      </c>
      <c r="M2" s="86"/>
      <c r="N2" s="86"/>
      <c r="O2" s="160" t="s">
        <v>454</v>
      </c>
      <c r="P2" s="86"/>
      <c r="Q2" s="86"/>
      <c r="R2" s="160" t="s">
        <v>476</v>
      </c>
      <c r="S2" s="86"/>
      <c r="T2" s="86"/>
      <c r="U2" s="160" t="s">
        <v>513</v>
      </c>
      <c r="V2" s="86"/>
      <c r="W2" s="86"/>
      <c r="X2" s="160" t="s">
        <v>551</v>
      </c>
      <c r="Y2" s="86"/>
      <c r="Z2" s="86"/>
      <c r="AA2" s="160" t="s">
        <v>576</v>
      </c>
      <c r="AB2" s="86"/>
      <c r="AC2" s="86"/>
      <c r="AD2" s="160" t="s">
        <v>592</v>
      </c>
      <c r="AE2" s="86"/>
      <c r="AF2" s="86"/>
      <c r="AG2" s="160" t="s">
        <v>604</v>
      </c>
      <c r="AH2" s="86"/>
      <c r="AI2" s="86"/>
      <c r="AJ2" s="160" t="s">
        <v>651</v>
      </c>
      <c r="AK2" s="86"/>
      <c r="AL2" s="86"/>
      <c r="AM2" s="160" t="s">
        <v>682</v>
      </c>
      <c r="AN2" s="86"/>
      <c r="AO2" s="86"/>
      <c r="AP2" s="160" t="s">
        <v>688</v>
      </c>
      <c r="AQ2" s="86"/>
      <c r="AR2" s="86"/>
      <c r="AS2" s="160" t="s">
        <v>695</v>
      </c>
      <c r="AT2" s="86"/>
      <c r="AU2" s="86"/>
      <c r="AV2" s="86"/>
    </row>
    <row r="3" spans="1:48" ht="12.75">
      <c r="A3" s="175"/>
      <c r="B3" s="175"/>
      <c r="C3" s="175"/>
      <c r="D3" s="175"/>
      <c r="E3" s="86" t="s">
        <v>184</v>
      </c>
      <c r="G3" s="86"/>
      <c r="H3" s="86"/>
      <c r="I3" s="160" t="s">
        <v>395</v>
      </c>
      <c r="J3" s="86"/>
      <c r="K3" s="86"/>
      <c r="L3" s="160" t="s">
        <v>436</v>
      </c>
      <c r="M3" s="86"/>
      <c r="N3" s="86"/>
      <c r="O3" s="160" t="s">
        <v>440</v>
      </c>
      <c r="P3" s="86"/>
      <c r="Q3" s="86"/>
      <c r="R3" s="160" t="s">
        <v>469</v>
      </c>
      <c r="S3" s="86"/>
      <c r="T3" s="86"/>
      <c r="U3" s="160" t="s">
        <v>507</v>
      </c>
      <c r="V3" s="86"/>
      <c r="W3" s="86"/>
      <c r="X3" s="160" t="s">
        <v>536</v>
      </c>
      <c r="Y3" s="86"/>
      <c r="Z3" s="86"/>
      <c r="AA3" s="160" t="s">
        <v>555</v>
      </c>
      <c r="AB3" s="86"/>
      <c r="AC3" s="86"/>
      <c r="AD3" s="160" t="s">
        <v>584</v>
      </c>
      <c r="AE3" s="86"/>
      <c r="AF3" s="86"/>
      <c r="AG3" s="160" t="s">
        <v>603</v>
      </c>
      <c r="AH3" s="86"/>
      <c r="AI3" s="86"/>
      <c r="AJ3" s="160" t="s">
        <v>639</v>
      </c>
      <c r="AK3" s="86"/>
      <c r="AL3" s="86"/>
      <c r="AM3" s="160" t="s">
        <v>655</v>
      </c>
      <c r="AN3" s="86"/>
      <c r="AO3" s="86"/>
      <c r="AP3" s="160" t="s">
        <v>678</v>
      </c>
      <c r="AQ3" s="86"/>
      <c r="AR3" s="86"/>
      <c r="AS3" s="160" t="s">
        <v>690</v>
      </c>
      <c r="AT3" s="86"/>
      <c r="AU3" s="86"/>
      <c r="AV3" s="86"/>
    </row>
    <row r="4" spans="1:48" ht="12.75">
      <c r="A4" s="175"/>
      <c r="B4" s="175"/>
      <c r="C4" s="175"/>
      <c r="D4" s="175"/>
      <c r="E4" s="86" t="s">
        <v>385</v>
      </c>
      <c r="G4" s="86"/>
      <c r="H4" s="86"/>
      <c r="I4" s="160" t="s">
        <v>392</v>
      </c>
      <c r="J4" s="86"/>
      <c r="K4" s="86"/>
      <c r="L4" s="160" t="s">
        <v>432</v>
      </c>
      <c r="M4" s="86"/>
      <c r="N4" s="86"/>
      <c r="O4" s="160" t="s">
        <v>455</v>
      </c>
      <c r="P4" s="86"/>
      <c r="Q4" s="86"/>
      <c r="R4" s="160" t="s">
        <v>474</v>
      </c>
      <c r="S4" s="86"/>
      <c r="T4" s="86"/>
      <c r="U4" s="160" t="s">
        <v>512</v>
      </c>
      <c r="V4" s="86"/>
      <c r="W4" s="86"/>
      <c r="X4" s="160" t="s">
        <v>543</v>
      </c>
      <c r="Y4" s="86"/>
      <c r="Z4" s="86"/>
      <c r="AA4" s="160" t="s">
        <v>559</v>
      </c>
      <c r="AB4" s="86"/>
      <c r="AC4" s="86"/>
      <c r="AD4" s="160" t="s">
        <v>591</v>
      </c>
      <c r="AE4" s="86"/>
      <c r="AF4" s="86"/>
      <c r="AG4" s="160" t="s">
        <v>605</v>
      </c>
      <c r="AH4" s="86"/>
      <c r="AI4" s="86"/>
      <c r="AJ4" s="160" t="s">
        <v>650</v>
      </c>
      <c r="AK4" s="86"/>
      <c r="AL4" s="86"/>
      <c r="AM4" s="160" t="s">
        <v>665</v>
      </c>
      <c r="AN4" s="86"/>
      <c r="AO4" s="86"/>
      <c r="AP4" s="160" t="s">
        <v>684</v>
      </c>
      <c r="AQ4" s="86"/>
      <c r="AR4" s="86"/>
      <c r="AS4" s="160" t="s">
        <v>696</v>
      </c>
      <c r="AT4" s="86"/>
      <c r="AU4" s="86"/>
      <c r="AV4" s="86"/>
    </row>
    <row r="5" spans="1:46" ht="21" customHeight="1">
      <c r="A5" s="348" t="s">
        <v>431</v>
      </c>
      <c r="B5" s="348"/>
      <c r="C5" s="348"/>
      <c r="D5" s="348"/>
      <c r="E5" s="143"/>
      <c r="G5" s="155"/>
      <c r="J5" s="155"/>
      <c r="M5" s="155"/>
      <c r="P5" s="155"/>
      <c r="S5" s="155"/>
      <c r="V5" s="155"/>
      <c r="Y5" s="155"/>
      <c r="AB5" s="155"/>
      <c r="AE5" s="155"/>
      <c r="AH5" s="155"/>
      <c r="AK5" s="155"/>
      <c r="AN5" s="155"/>
      <c r="AQ5" s="155"/>
      <c r="AT5" s="155"/>
    </row>
    <row r="6" spans="1:46" ht="12.75">
      <c r="A6" s="28"/>
      <c r="B6" s="28"/>
      <c r="C6" s="28"/>
      <c r="D6" s="176"/>
      <c r="E6" s="200"/>
      <c r="G6" s="155"/>
      <c r="J6" s="155"/>
      <c r="M6" s="155"/>
      <c r="P6" s="155"/>
      <c r="S6" s="155"/>
      <c r="V6" s="155"/>
      <c r="Y6" s="155"/>
      <c r="AB6" s="155"/>
      <c r="AE6" s="155"/>
      <c r="AH6" s="155"/>
      <c r="AK6" s="155"/>
      <c r="AN6" s="155"/>
      <c r="AQ6" s="155"/>
      <c r="AT6" s="155"/>
    </row>
    <row r="7" spans="1:48" s="9" customFormat="1" ht="24.75" customHeight="1">
      <c r="A7" s="53" t="s">
        <v>4</v>
      </c>
      <c r="B7" s="53" t="s">
        <v>5</v>
      </c>
      <c r="C7" s="53" t="s">
        <v>6</v>
      </c>
      <c r="D7" s="53" t="s">
        <v>7</v>
      </c>
      <c r="E7" s="90" t="s">
        <v>166</v>
      </c>
      <c r="F7" s="11" t="s">
        <v>260</v>
      </c>
      <c r="G7" s="11" t="s">
        <v>261</v>
      </c>
      <c r="H7" s="32" t="s">
        <v>169</v>
      </c>
      <c r="I7" s="11" t="s">
        <v>260</v>
      </c>
      <c r="J7" s="11" t="s">
        <v>261</v>
      </c>
      <c r="K7" s="32" t="s">
        <v>166</v>
      </c>
      <c r="L7" s="11" t="s">
        <v>260</v>
      </c>
      <c r="M7" s="11" t="s">
        <v>261</v>
      </c>
      <c r="N7" s="32" t="s">
        <v>169</v>
      </c>
      <c r="O7" s="11" t="s">
        <v>260</v>
      </c>
      <c r="P7" s="11" t="s">
        <v>261</v>
      </c>
      <c r="Q7" s="32" t="s">
        <v>169</v>
      </c>
      <c r="R7" s="11" t="s">
        <v>260</v>
      </c>
      <c r="S7" s="11" t="s">
        <v>261</v>
      </c>
      <c r="T7" s="32" t="s">
        <v>166</v>
      </c>
      <c r="U7" s="11" t="s">
        <v>260</v>
      </c>
      <c r="V7" s="11" t="s">
        <v>261</v>
      </c>
      <c r="W7" s="32" t="s">
        <v>169</v>
      </c>
      <c r="X7" s="11" t="s">
        <v>260</v>
      </c>
      <c r="Y7" s="11" t="s">
        <v>261</v>
      </c>
      <c r="Z7" s="32" t="s">
        <v>169</v>
      </c>
      <c r="AA7" s="11" t="s">
        <v>260</v>
      </c>
      <c r="AB7" s="11" t="s">
        <v>261</v>
      </c>
      <c r="AC7" s="32" t="s">
        <v>169</v>
      </c>
      <c r="AD7" s="11" t="s">
        <v>260</v>
      </c>
      <c r="AE7" s="11" t="s">
        <v>261</v>
      </c>
      <c r="AF7" s="32" t="s">
        <v>169</v>
      </c>
      <c r="AG7" s="11" t="s">
        <v>260</v>
      </c>
      <c r="AH7" s="11" t="s">
        <v>261</v>
      </c>
      <c r="AI7" s="32" t="s">
        <v>169</v>
      </c>
      <c r="AJ7" s="11" t="s">
        <v>260</v>
      </c>
      <c r="AK7" s="11" t="s">
        <v>261</v>
      </c>
      <c r="AL7" s="32" t="s">
        <v>169</v>
      </c>
      <c r="AM7" s="11" t="s">
        <v>260</v>
      </c>
      <c r="AN7" s="11" t="s">
        <v>261</v>
      </c>
      <c r="AO7" s="32" t="s">
        <v>166</v>
      </c>
      <c r="AP7" s="11" t="s">
        <v>260</v>
      </c>
      <c r="AQ7" s="11" t="s">
        <v>261</v>
      </c>
      <c r="AR7" s="32" t="s">
        <v>169</v>
      </c>
      <c r="AS7" s="11" t="s">
        <v>260</v>
      </c>
      <c r="AT7" s="11" t="s">
        <v>261</v>
      </c>
      <c r="AU7" s="32" t="s">
        <v>276</v>
      </c>
      <c r="AV7" s="334"/>
    </row>
    <row r="8" spans="1:48" s="16" customFormat="1" ht="25.5" customHeight="1">
      <c r="A8" s="51" t="s">
        <v>8</v>
      </c>
      <c r="B8" s="91"/>
      <c r="C8" s="92"/>
      <c r="D8" s="54" t="s">
        <v>9</v>
      </c>
      <c r="E8" s="55">
        <f>SUM(E9)</f>
        <v>7000</v>
      </c>
      <c r="F8" s="96">
        <f aca="true" t="shared" si="0" ref="F8:U9">SUM(F9)</f>
        <v>0</v>
      </c>
      <c r="G8" s="96">
        <f t="shared" si="0"/>
        <v>0</v>
      </c>
      <c r="H8" s="96">
        <f t="shared" si="0"/>
        <v>7000</v>
      </c>
      <c r="I8" s="96">
        <f t="shared" si="0"/>
        <v>0</v>
      </c>
      <c r="J8" s="96">
        <f t="shared" si="0"/>
        <v>0</v>
      </c>
      <c r="K8" s="96">
        <f t="shared" si="0"/>
        <v>7000</v>
      </c>
      <c r="L8" s="96">
        <f t="shared" si="0"/>
        <v>0</v>
      </c>
      <c r="M8" s="96">
        <f t="shared" si="0"/>
        <v>0</v>
      </c>
      <c r="N8" s="96">
        <f t="shared" si="0"/>
        <v>7000</v>
      </c>
      <c r="O8" s="96">
        <f t="shared" si="0"/>
        <v>0</v>
      </c>
      <c r="P8" s="96">
        <f t="shared" si="0"/>
        <v>0</v>
      </c>
      <c r="Q8" s="96">
        <f t="shared" si="0"/>
        <v>7000</v>
      </c>
      <c r="R8" s="96">
        <f t="shared" si="0"/>
        <v>0</v>
      </c>
      <c r="S8" s="96">
        <f t="shared" si="0"/>
        <v>0</v>
      </c>
      <c r="T8" s="96">
        <f t="shared" si="0"/>
        <v>7000</v>
      </c>
      <c r="U8" s="96">
        <f t="shared" si="0"/>
        <v>0</v>
      </c>
      <c r="V8" s="96">
        <f aca="true" t="shared" si="1" ref="U8:AI9">SUM(V9)</f>
        <v>0</v>
      </c>
      <c r="W8" s="96">
        <f t="shared" si="1"/>
        <v>7000</v>
      </c>
      <c r="X8" s="96">
        <f t="shared" si="1"/>
        <v>0</v>
      </c>
      <c r="Y8" s="96">
        <f t="shared" si="1"/>
        <v>0</v>
      </c>
      <c r="Z8" s="96">
        <f t="shared" si="1"/>
        <v>7000</v>
      </c>
      <c r="AA8" s="96">
        <f t="shared" si="1"/>
        <v>0</v>
      </c>
      <c r="AB8" s="96">
        <f t="shared" si="1"/>
        <v>0</v>
      </c>
      <c r="AC8" s="96">
        <f t="shared" si="1"/>
        <v>7000</v>
      </c>
      <c r="AD8" s="96">
        <f t="shared" si="1"/>
        <v>0</v>
      </c>
      <c r="AE8" s="96">
        <f t="shared" si="1"/>
        <v>0</v>
      </c>
      <c r="AF8" s="96">
        <f t="shared" si="1"/>
        <v>7000</v>
      </c>
      <c r="AG8" s="96">
        <f t="shared" si="1"/>
        <v>0</v>
      </c>
      <c r="AH8" s="96">
        <f t="shared" si="1"/>
        <v>0</v>
      </c>
      <c r="AI8" s="96">
        <f aca="true" t="shared" si="2" ref="AI8:AO8">SUM(AI9,AI11)</f>
        <v>7000</v>
      </c>
      <c r="AJ8" s="96">
        <f t="shared" si="2"/>
        <v>65571</v>
      </c>
      <c r="AK8" s="96">
        <f t="shared" si="2"/>
        <v>0</v>
      </c>
      <c r="AL8" s="96">
        <f t="shared" si="2"/>
        <v>72571</v>
      </c>
      <c r="AM8" s="96">
        <f t="shared" si="2"/>
        <v>1211</v>
      </c>
      <c r="AN8" s="96">
        <f t="shared" si="2"/>
        <v>1211</v>
      </c>
      <c r="AO8" s="96">
        <f t="shared" si="2"/>
        <v>72571</v>
      </c>
      <c r="AP8" s="96">
        <f aca="true" t="shared" si="3" ref="AP8:AU8">SUM(AP9,AP11)</f>
        <v>0</v>
      </c>
      <c r="AQ8" s="96">
        <f t="shared" si="3"/>
        <v>0</v>
      </c>
      <c r="AR8" s="96">
        <f t="shared" si="3"/>
        <v>72571</v>
      </c>
      <c r="AS8" s="96">
        <f t="shared" si="3"/>
        <v>0</v>
      </c>
      <c r="AT8" s="96">
        <f t="shared" si="3"/>
        <v>0</v>
      </c>
      <c r="AU8" s="96">
        <f t="shared" si="3"/>
        <v>72571</v>
      </c>
      <c r="AV8" s="335"/>
    </row>
    <row r="9" spans="1:48" s="37" customFormat="1" ht="20.25" customHeight="1">
      <c r="A9" s="98"/>
      <c r="B9" s="116" t="s">
        <v>87</v>
      </c>
      <c r="C9" s="101"/>
      <c r="D9" s="56" t="s">
        <v>88</v>
      </c>
      <c r="E9" s="114">
        <f>SUM(E10)</f>
        <v>7000</v>
      </c>
      <c r="F9" s="128">
        <f t="shared" si="0"/>
        <v>0</v>
      </c>
      <c r="G9" s="128">
        <f t="shared" si="0"/>
        <v>0</v>
      </c>
      <c r="H9" s="128">
        <f t="shared" si="0"/>
        <v>7000</v>
      </c>
      <c r="I9" s="128">
        <f t="shared" si="0"/>
        <v>0</v>
      </c>
      <c r="J9" s="128">
        <f t="shared" si="0"/>
        <v>0</v>
      </c>
      <c r="K9" s="128">
        <f t="shared" si="0"/>
        <v>7000</v>
      </c>
      <c r="L9" s="128">
        <f t="shared" si="0"/>
        <v>0</v>
      </c>
      <c r="M9" s="128">
        <f t="shared" si="0"/>
        <v>0</v>
      </c>
      <c r="N9" s="128">
        <f t="shared" si="0"/>
        <v>7000</v>
      </c>
      <c r="O9" s="128">
        <f t="shared" si="0"/>
        <v>0</v>
      </c>
      <c r="P9" s="128">
        <f t="shared" si="0"/>
        <v>0</v>
      </c>
      <c r="Q9" s="128">
        <f t="shared" si="0"/>
        <v>7000</v>
      </c>
      <c r="R9" s="128">
        <f t="shared" si="0"/>
        <v>0</v>
      </c>
      <c r="S9" s="128">
        <f t="shared" si="0"/>
        <v>0</v>
      </c>
      <c r="T9" s="128">
        <f t="shared" si="0"/>
        <v>7000</v>
      </c>
      <c r="U9" s="128">
        <f t="shared" si="1"/>
        <v>0</v>
      </c>
      <c r="V9" s="128">
        <f t="shared" si="1"/>
        <v>0</v>
      </c>
      <c r="W9" s="128">
        <f t="shared" si="1"/>
        <v>7000</v>
      </c>
      <c r="X9" s="128">
        <f t="shared" si="1"/>
        <v>0</v>
      </c>
      <c r="Y9" s="128">
        <f t="shared" si="1"/>
        <v>0</v>
      </c>
      <c r="Z9" s="128">
        <f t="shared" si="1"/>
        <v>7000</v>
      </c>
      <c r="AA9" s="128">
        <f t="shared" si="1"/>
        <v>0</v>
      </c>
      <c r="AB9" s="128">
        <f t="shared" si="1"/>
        <v>0</v>
      </c>
      <c r="AC9" s="128">
        <f t="shared" si="1"/>
        <v>7000</v>
      </c>
      <c r="AD9" s="128">
        <f t="shared" si="1"/>
        <v>0</v>
      </c>
      <c r="AE9" s="128">
        <f t="shared" si="1"/>
        <v>0</v>
      </c>
      <c r="AF9" s="128">
        <f t="shared" si="1"/>
        <v>7000</v>
      </c>
      <c r="AG9" s="128">
        <f t="shared" si="1"/>
        <v>0</v>
      </c>
      <c r="AH9" s="128">
        <f t="shared" si="1"/>
        <v>0</v>
      </c>
      <c r="AI9" s="128">
        <f t="shared" si="1"/>
        <v>7000</v>
      </c>
      <c r="AJ9" s="128">
        <f aca="true" t="shared" si="4" ref="AJ9:AU9">SUM(AJ10)</f>
        <v>0</v>
      </c>
      <c r="AK9" s="128">
        <f t="shared" si="4"/>
        <v>0</v>
      </c>
      <c r="AL9" s="128">
        <f t="shared" si="4"/>
        <v>7000</v>
      </c>
      <c r="AM9" s="128">
        <f t="shared" si="4"/>
        <v>0</v>
      </c>
      <c r="AN9" s="128">
        <f t="shared" si="4"/>
        <v>0</v>
      </c>
      <c r="AO9" s="128">
        <f t="shared" si="4"/>
        <v>7000</v>
      </c>
      <c r="AP9" s="128">
        <f t="shared" si="4"/>
        <v>0</v>
      </c>
      <c r="AQ9" s="128">
        <f t="shared" si="4"/>
        <v>0</v>
      </c>
      <c r="AR9" s="128">
        <f t="shared" si="4"/>
        <v>7000</v>
      </c>
      <c r="AS9" s="128">
        <f t="shared" si="4"/>
        <v>0</v>
      </c>
      <c r="AT9" s="128">
        <f t="shared" si="4"/>
        <v>0</v>
      </c>
      <c r="AU9" s="128">
        <f t="shared" si="4"/>
        <v>7000</v>
      </c>
      <c r="AV9" s="336"/>
    </row>
    <row r="10" spans="1:48" s="37" customFormat="1" ht="48">
      <c r="A10" s="117"/>
      <c r="B10" s="118"/>
      <c r="C10" s="101">
        <v>2850</v>
      </c>
      <c r="D10" s="56" t="s">
        <v>567</v>
      </c>
      <c r="E10" s="114">
        <v>7000</v>
      </c>
      <c r="F10" s="119"/>
      <c r="G10" s="119"/>
      <c r="H10" s="126">
        <f>SUM(E10+F10-G10)</f>
        <v>7000</v>
      </c>
      <c r="I10" s="119"/>
      <c r="J10" s="119"/>
      <c r="K10" s="126">
        <f>SUM(H10+I10-J10)</f>
        <v>7000</v>
      </c>
      <c r="L10" s="119"/>
      <c r="M10" s="119"/>
      <c r="N10" s="126">
        <f>SUM(K10+L10-M10)</f>
        <v>7000</v>
      </c>
      <c r="O10" s="119"/>
      <c r="P10" s="119"/>
      <c r="Q10" s="126">
        <f>SUM(N10+O10-P10)</f>
        <v>7000</v>
      </c>
      <c r="R10" s="119"/>
      <c r="S10" s="119"/>
      <c r="T10" s="126">
        <f>SUM(Q10+R10-S10)</f>
        <v>7000</v>
      </c>
      <c r="U10" s="119"/>
      <c r="V10" s="119"/>
      <c r="W10" s="126">
        <f>SUM(T10+U10-V10)</f>
        <v>7000</v>
      </c>
      <c r="X10" s="119"/>
      <c r="Y10" s="119"/>
      <c r="Z10" s="126">
        <f>SUM(W10+X10-Y10)</f>
        <v>7000</v>
      </c>
      <c r="AA10" s="119"/>
      <c r="AB10" s="119"/>
      <c r="AC10" s="126">
        <f>SUM(Z10+AA10-AB10)</f>
        <v>7000</v>
      </c>
      <c r="AD10" s="119"/>
      <c r="AE10" s="119"/>
      <c r="AF10" s="126">
        <f>SUM(AC10+AD10-AE10)</f>
        <v>7000</v>
      </c>
      <c r="AG10" s="119"/>
      <c r="AH10" s="119"/>
      <c r="AI10" s="126">
        <f>SUM(AF10+AG10-AH10)</f>
        <v>7000</v>
      </c>
      <c r="AJ10" s="119"/>
      <c r="AK10" s="119"/>
      <c r="AL10" s="126">
        <f>SUM(AI10+AJ10-AK10)</f>
        <v>7000</v>
      </c>
      <c r="AM10" s="119"/>
      <c r="AN10" s="119"/>
      <c r="AO10" s="126">
        <f>SUM(AL10+AM10-AN10)</f>
        <v>7000</v>
      </c>
      <c r="AP10" s="119"/>
      <c r="AQ10" s="119"/>
      <c r="AR10" s="126">
        <f>SUM(AO10+AP10-AQ10)</f>
        <v>7000</v>
      </c>
      <c r="AS10" s="119"/>
      <c r="AT10" s="119"/>
      <c r="AU10" s="126">
        <f>SUM(AR10+AS10-AT10)</f>
        <v>7000</v>
      </c>
      <c r="AV10" s="337"/>
    </row>
    <row r="11" spans="1:48" s="37" customFormat="1" ht="21.75" customHeight="1">
      <c r="A11" s="117"/>
      <c r="B11" s="118" t="s">
        <v>661</v>
      </c>
      <c r="C11" s="101"/>
      <c r="D11" s="56" t="s">
        <v>10</v>
      </c>
      <c r="E11" s="114"/>
      <c r="F11" s="119"/>
      <c r="G11" s="119"/>
      <c r="H11" s="126"/>
      <c r="I11" s="119"/>
      <c r="J11" s="119"/>
      <c r="K11" s="126"/>
      <c r="L11" s="119"/>
      <c r="M11" s="119"/>
      <c r="N11" s="126"/>
      <c r="O11" s="119"/>
      <c r="P11" s="119"/>
      <c r="Q11" s="126"/>
      <c r="R11" s="119"/>
      <c r="S11" s="119"/>
      <c r="T11" s="126"/>
      <c r="U11" s="119"/>
      <c r="V11" s="119"/>
      <c r="W11" s="126"/>
      <c r="X11" s="119"/>
      <c r="Y11" s="119"/>
      <c r="Z11" s="126"/>
      <c r="AA11" s="119"/>
      <c r="AB11" s="119"/>
      <c r="AC11" s="126"/>
      <c r="AD11" s="119"/>
      <c r="AE11" s="119"/>
      <c r="AF11" s="126"/>
      <c r="AG11" s="119"/>
      <c r="AH11" s="119"/>
      <c r="AI11" s="126">
        <f aca="true" t="shared" si="5" ref="AI11:AO11">SUM(AI12:AI14)</f>
        <v>0</v>
      </c>
      <c r="AJ11" s="126">
        <f t="shared" si="5"/>
        <v>65571</v>
      </c>
      <c r="AK11" s="126">
        <f t="shared" si="5"/>
        <v>0</v>
      </c>
      <c r="AL11" s="126">
        <f t="shared" si="5"/>
        <v>65571</v>
      </c>
      <c r="AM11" s="126">
        <f t="shared" si="5"/>
        <v>1211</v>
      </c>
      <c r="AN11" s="126">
        <f t="shared" si="5"/>
        <v>1211</v>
      </c>
      <c r="AO11" s="126">
        <f t="shared" si="5"/>
        <v>65571</v>
      </c>
      <c r="AP11" s="126">
        <f aca="true" t="shared" si="6" ref="AP11:AU11">SUM(AP12:AP14)</f>
        <v>0</v>
      </c>
      <c r="AQ11" s="126">
        <f t="shared" si="6"/>
        <v>0</v>
      </c>
      <c r="AR11" s="126">
        <f t="shared" si="6"/>
        <v>65571</v>
      </c>
      <c r="AS11" s="126">
        <f t="shared" si="6"/>
        <v>0</v>
      </c>
      <c r="AT11" s="126">
        <f t="shared" si="6"/>
        <v>0</v>
      </c>
      <c r="AU11" s="126">
        <f t="shared" si="6"/>
        <v>65571</v>
      </c>
      <c r="AV11" s="337"/>
    </row>
    <row r="12" spans="1:48" s="37" customFormat="1" ht="20.25" customHeight="1">
      <c r="A12" s="117"/>
      <c r="B12" s="118"/>
      <c r="C12" s="101">
        <v>4210</v>
      </c>
      <c r="D12" s="56" t="s">
        <v>89</v>
      </c>
      <c r="E12" s="114"/>
      <c r="F12" s="119"/>
      <c r="G12" s="119"/>
      <c r="H12" s="126"/>
      <c r="I12" s="119"/>
      <c r="J12" s="119"/>
      <c r="K12" s="126"/>
      <c r="L12" s="119"/>
      <c r="M12" s="119"/>
      <c r="N12" s="126"/>
      <c r="O12" s="119"/>
      <c r="P12" s="119"/>
      <c r="Q12" s="126"/>
      <c r="R12" s="119"/>
      <c r="S12" s="119"/>
      <c r="T12" s="126"/>
      <c r="U12" s="119"/>
      <c r="V12" s="119"/>
      <c r="W12" s="126"/>
      <c r="X12" s="119"/>
      <c r="Y12" s="119"/>
      <c r="Z12" s="126"/>
      <c r="AA12" s="119"/>
      <c r="AB12" s="119"/>
      <c r="AC12" s="126"/>
      <c r="AD12" s="119"/>
      <c r="AE12" s="119"/>
      <c r="AF12" s="126"/>
      <c r="AG12" s="119"/>
      <c r="AH12" s="119"/>
      <c r="AI12" s="126">
        <v>0</v>
      </c>
      <c r="AJ12" s="126">
        <v>1311</v>
      </c>
      <c r="AK12" s="126"/>
      <c r="AL12" s="126">
        <f>AI12+AJ12-AK12</f>
        <v>1311</v>
      </c>
      <c r="AM12" s="126"/>
      <c r="AN12" s="126">
        <v>1211</v>
      </c>
      <c r="AO12" s="126">
        <f>AL12+AM12-AN12</f>
        <v>100</v>
      </c>
      <c r="AP12" s="126"/>
      <c r="AQ12" s="126"/>
      <c r="AR12" s="126">
        <f>AO12+AP12-AQ12</f>
        <v>100</v>
      </c>
      <c r="AS12" s="126"/>
      <c r="AT12" s="126"/>
      <c r="AU12" s="126">
        <f>AR12+AS12-AT12</f>
        <v>100</v>
      </c>
      <c r="AV12" s="337"/>
    </row>
    <row r="13" spans="1:48" s="37" customFormat="1" ht="21.75" customHeight="1">
      <c r="A13" s="117"/>
      <c r="B13" s="118"/>
      <c r="C13" s="98">
        <v>4300</v>
      </c>
      <c r="D13" s="56" t="s">
        <v>96</v>
      </c>
      <c r="E13" s="114"/>
      <c r="F13" s="119"/>
      <c r="G13" s="119"/>
      <c r="H13" s="126"/>
      <c r="I13" s="119"/>
      <c r="J13" s="119"/>
      <c r="K13" s="126"/>
      <c r="L13" s="119"/>
      <c r="M13" s="119"/>
      <c r="N13" s="126"/>
      <c r="O13" s="119"/>
      <c r="P13" s="119"/>
      <c r="Q13" s="126"/>
      <c r="R13" s="119"/>
      <c r="S13" s="119"/>
      <c r="T13" s="126"/>
      <c r="U13" s="119"/>
      <c r="V13" s="119"/>
      <c r="W13" s="126"/>
      <c r="X13" s="119"/>
      <c r="Y13" s="119"/>
      <c r="Z13" s="126"/>
      <c r="AA13" s="119"/>
      <c r="AB13" s="119"/>
      <c r="AC13" s="126"/>
      <c r="AD13" s="119"/>
      <c r="AE13" s="119"/>
      <c r="AF13" s="126"/>
      <c r="AG13" s="119"/>
      <c r="AH13" s="119"/>
      <c r="AI13" s="126"/>
      <c r="AJ13" s="126"/>
      <c r="AK13" s="126"/>
      <c r="AL13" s="126">
        <v>0</v>
      </c>
      <c r="AM13" s="126">
        <v>1211</v>
      </c>
      <c r="AN13" s="126"/>
      <c r="AO13" s="126">
        <f>AL13+AM13-AN13</f>
        <v>1211</v>
      </c>
      <c r="AP13" s="126"/>
      <c r="AQ13" s="126"/>
      <c r="AR13" s="126">
        <f>AO13+AP13-AQ13</f>
        <v>1211</v>
      </c>
      <c r="AS13" s="126"/>
      <c r="AT13" s="126"/>
      <c r="AU13" s="126">
        <f>AR13+AS13-AT13</f>
        <v>1211</v>
      </c>
      <c r="AV13" s="337"/>
    </row>
    <row r="14" spans="1:48" s="37" customFormat="1" ht="21" customHeight="1">
      <c r="A14" s="117"/>
      <c r="B14" s="118"/>
      <c r="C14" s="101">
        <v>4430</v>
      </c>
      <c r="D14" s="56" t="s">
        <v>111</v>
      </c>
      <c r="E14" s="114"/>
      <c r="F14" s="119"/>
      <c r="G14" s="119"/>
      <c r="H14" s="126"/>
      <c r="I14" s="119"/>
      <c r="J14" s="119"/>
      <c r="K14" s="126"/>
      <c r="L14" s="119"/>
      <c r="M14" s="119"/>
      <c r="N14" s="126"/>
      <c r="O14" s="119"/>
      <c r="P14" s="119"/>
      <c r="Q14" s="126"/>
      <c r="R14" s="119"/>
      <c r="S14" s="119"/>
      <c r="T14" s="126"/>
      <c r="U14" s="119"/>
      <c r="V14" s="119"/>
      <c r="W14" s="126"/>
      <c r="X14" s="119"/>
      <c r="Y14" s="119"/>
      <c r="Z14" s="126"/>
      <c r="AA14" s="119"/>
      <c r="AB14" s="119"/>
      <c r="AC14" s="126"/>
      <c r="AD14" s="119"/>
      <c r="AE14" s="119"/>
      <c r="AF14" s="126"/>
      <c r="AG14" s="119"/>
      <c r="AH14" s="119"/>
      <c r="AI14" s="126">
        <v>0</v>
      </c>
      <c r="AJ14" s="119">
        <f>65571-1311</f>
        <v>64260</v>
      </c>
      <c r="AK14" s="119"/>
      <c r="AL14" s="126">
        <f>AI14+AJ14-AK14</f>
        <v>64260</v>
      </c>
      <c r="AM14" s="119"/>
      <c r="AN14" s="119"/>
      <c r="AO14" s="126">
        <f>AL14+AM14-AN14</f>
        <v>64260</v>
      </c>
      <c r="AP14" s="119"/>
      <c r="AQ14" s="119"/>
      <c r="AR14" s="126">
        <f>AO14+AP14-AQ14</f>
        <v>64260</v>
      </c>
      <c r="AS14" s="119"/>
      <c r="AT14" s="119"/>
      <c r="AU14" s="126">
        <f>AR14+AS14-AT14</f>
        <v>64260</v>
      </c>
      <c r="AV14" s="337"/>
    </row>
    <row r="15" spans="1:48" s="8" customFormat="1" ht="24.75" customHeight="1">
      <c r="A15" s="51" t="s">
        <v>91</v>
      </c>
      <c r="B15" s="52"/>
      <c r="C15" s="53"/>
      <c r="D15" s="54" t="s">
        <v>92</v>
      </c>
      <c r="E15" s="55">
        <f aca="true" t="shared" si="7" ref="E15:S15">E19</f>
        <v>851510</v>
      </c>
      <c r="F15" s="55">
        <f t="shared" si="7"/>
        <v>85000</v>
      </c>
      <c r="G15" s="55">
        <f t="shared" si="7"/>
        <v>0</v>
      </c>
      <c r="H15" s="55">
        <f t="shared" si="7"/>
        <v>936510</v>
      </c>
      <c r="I15" s="55">
        <f t="shared" si="7"/>
        <v>38000</v>
      </c>
      <c r="J15" s="55">
        <f t="shared" si="7"/>
        <v>23000</v>
      </c>
      <c r="K15" s="55">
        <f t="shared" si="7"/>
        <v>951510</v>
      </c>
      <c r="L15" s="55">
        <f t="shared" si="7"/>
        <v>0</v>
      </c>
      <c r="M15" s="55">
        <f t="shared" si="7"/>
        <v>0</v>
      </c>
      <c r="N15" s="55">
        <f t="shared" si="7"/>
        <v>951510</v>
      </c>
      <c r="O15" s="55">
        <f t="shared" si="7"/>
        <v>487080</v>
      </c>
      <c r="P15" s="55">
        <f t="shared" si="7"/>
        <v>0</v>
      </c>
      <c r="Q15" s="55">
        <f t="shared" si="7"/>
        <v>1438590</v>
      </c>
      <c r="R15" s="55">
        <f t="shared" si="7"/>
        <v>12939</v>
      </c>
      <c r="S15" s="55">
        <f t="shared" si="7"/>
        <v>5689</v>
      </c>
      <c r="T15" s="55">
        <f aca="true" t="shared" si="8" ref="T15:Z15">T19+T16</f>
        <v>1445840</v>
      </c>
      <c r="U15" s="55">
        <f t="shared" si="8"/>
        <v>450000</v>
      </c>
      <c r="V15" s="55">
        <f t="shared" si="8"/>
        <v>450700</v>
      </c>
      <c r="W15" s="55">
        <f t="shared" si="8"/>
        <v>1445140</v>
      </c>
      <c r="X15" s="55">
        <f t="shared" si="8"/>
        <v>342080</v>
      </c>
      <c r="Y15" s="55">
        <f t="shared" si="8"/>
        <v>119280</v>
      </c>
      <c r="Z15" s="55">
        <f t="shared" si="8"/>
        <v>1667940</v>
      </c>
      <c r="AA15" s="55">
        <f aca="true" t="shared" si="9" ref="AA15:AF15">AA19+AA16</f>
        <v>63250</v>
      </c>
      <c r="AB15" s="55">
        <f t="shared" si="9"/>
        <v>57978</v>
      </c>
      <c r="AC15" s="55">
        <f t="shared" si="9"/>
        <v>1673212</v>
      </c>
      <c r="AD15" s="55">
        <f t="shared" si="9"/>
        <v>0</v>
      </c>
      <c r="AE15" s="55">
        <f t="shared" si="9"/>
        <v>0</v>
      </c>
      <c r="AF15" s="55">
        <f t="shared" si="9"/>
        <v>1673212</v>
      </c>
      <c r="AG15" s="55">
        <f aca="true" t="shared" si="10" ref="AG15:AL15">AG19+AG16</f>
        <v>32067</v>
      </c>
      <c r="AH15" s="55">
        <f t="shared" si="10"/>
        <v>10485</v>
      </c>
      <c r="AI15" s="55">
        <f t="shared" si="10"/>
        <v>1694794</v>
      </c>
      <c r="AJ15" s="55">
        <f t="shared" si="10"/>
        <v>0</v>
      </c>
      <c r="AK15" s="55">
        <f t="shared" si="10"/>
        <v>0</v>
      </c>
      <c r="AL15" s="55">
        <f t="shared" si="10"/>
        <v>1694794</v>
      </c>
      <c r="AM15" s="55">
        <f aca="true" t="shared" si="11" ref="AM15:AR15">AM19+AM16</f>
        <v>0</v>
      </c>
      <c r="AN15" s="55">
        <f t="shared" si="11"/>
        <v>0</v>
      </c>
      <c r="AO15" s="55">
        <f t="shared" si="11"/>
        <v>1694794</v>
      </c>
      <c r="AP15" s="55">
        <f t="shared" si="11"/>
        <v>0</v>
      </c>
      <c r="AQ15" s="55">
        <f t="shared" si="11"/>
        <v>0</v>
      </c>
      <c r="AR15" s="55">
        <f t="shared" si="11"/>
        <v>1694794</v>
      </c>
      <c r="AS15" s="55">
        <f>AS19+AS16</f>
        <v>1384</v>
      </c>
      <c r="AT15" s="55">
        <f>AT19+AT16</f>
        <v>189</v>
      </c>
      <c r="AU15" s="55">
        <f>AU19+AU16</f>
        <v>1695989</v>
      </c>
      <c r="AV15" s="338"/>
    </row>
    <row r="16" spans="1:48" s="37" customFormat="1" ht="25.5" customHeight="1">
      <c r="A16" s="98"/>
      <c r="B16" s="121">
        <v>60013</v>
      </c>
      <c r="C16" s="120"/>
      <c r="D16" s="19" t="s">
        <v>523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>
        <f aca="true" t="shared" si="12" ref="T16:Y16">SUM(T17)</f>
        <v>0</v>
      </c>
      <c r="U16" s="114">
        <f t="shared" si="12"/>
        <v>50000</v>
      </c>
      <c r="V16" s="114">
        <f t="shared" si="12"/>
        <v>0</v>
      </c>
      <c r="W16" s="114">
        <f t="shared" si="12"/>
        <v>50000</v>
      </c>
      <c r="X16" s="114">
        <f t="shared" si="12"/>
        <v>0</v>
      </c>
      <c r="Y16" s="114">
        <f t="shared" si="12"/>
        <v>0</v>
      </c>
      <c r="Z16" s="114">
        <f aca="true" t="shared" si="13" ref="Z16:AF16">SUM(Z17:Z18)</f>
        <v>50000</v>
      </c>
      <c r="AA16" s="114">
        <f t="shared" si="13"/>
        <v>50000</v>
      </c>
      <c r="AB16" s="114">
        <f t="shared" si="13"/>
        <v>50000</v>
      </c>
      <c r="AC16" s="114">
        <f t="shared" si="13"/>
        <v>50000</v>
      </c>
      <c r="AD16" s="114">
        <f t="shared" si="13"/>
        <v>0</v>
      </c>
      <c r="AE16" s="114">
        <f t="shared" si="13"/>
        <v>0</v>
      </c>
      <c r="AF16" s="114">
        <f t="shared" si="13"/>
        <v>50000</v>
      </c>
      <c r="AG16" s="114">
        <f aca="true" t="shared" si="14" ref="AG16:AL16">SUM(AG17:AG18)</f>
        <v>0</v>
      </c>
      <c r="AH16" s="114">
        <f t="shared" si="14"/>
        <v>0</v>
      </c>
      <c r="AI16" s="114">
        <f t="shared" si="14"/>
        <v>50000</v>
      </c>
      <c r="AJ16" s="114">
        <f t="shared" si="14"/>
        <v>0</v>
      </c>
      <c r="AK16" s="114">
        <f t="shared" si="14"/>
        <v>0</v>
      </c>
      <c r="AL16" s="114">
        <f t="shared" si="14"/>
        <v>50000</v>
      </c>
      <c r="AM16" s="114">
        <f aca="true" t="shared" si="15" ref="AM16:AR16">SUM(AM17:AM18)</f>
        <v>0</v>
      </c>
      <c r="AN16" s="114">
        <f t="shared" si="15"/>
        <v>0</v>
      </c>
      <c r="AO16" s="114">
        <f t="shared" si="15"/>
        <v>50000</v>
      </c>
      <c r="AP16" s="114">
        <f t="shared" si="15"/>
        <v>0</v>
      </c>
      <c r="AQ16" s="114">
        <f t="shared" si="15"/>
        <v>0</v>
      </c>
      <c r="AR16" s="114">
        <f t="shared" si="15"/>
        <v>50000</v>
      </c>
      <c r="AS16" s="114">
        <f>SUM(AS17:AS18)</f>
        <v>0</v>
      </c>
      <c r="AT16" s="114">
        <f>SUM(AT17:AT18)</f>
        <v>0</v>
      </c>
      <c r="AU16" s="114">
        <f>SUM(AU17:AU18)</f>
        <v>50000</v>
      </c>
      <c r="AV16" s="339"/>
    </row>
    <row r="17" spans="1:48" s="37" customFormat="1" ht="67.5" hidden="1">
      <c r="A17" s="98"/>
      <c r="B17" s="121"/>
      <c r="C17" s="120">
        <v>6300</v>
      </c>
      <c r="D17" s="19" t="s">
        <v>522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>
        <v>0</v>
      </c>
      <c r="U17" s="114">
        <v>50000</v>
      </c>
      <c r="V17" s="114"/>
      <c r="W17" s="114">
        <f>SUM(T17+U17-V17)</f>
        <v>50000</v>
      </c>
      <c r="X17" s="114"/>
      <c r="Y17" s="114"/>
      <c r="Z17" s="114">
        <f>SUM(W17+X17-Y17)</f>
        <v>50000</v>
      </c>
      <c r="AA17" s="114"/>
      <c r="AB17" s="114">
        <v>50000</v>
      </c>
      <c r="AC17" s="114">
        <f>SUM(Z17+AA17-AB17)</f>
        <v>0</v>
      </c>
      <c r="AD17" s="114"/>
      <c r="AE17" s="114"/>
      <c r="AF17" s="114">
        <f>SUM(AC17+AD17-AE17)</f>
        <v>0</v>
      </c>
      <c r="AG17" s="114"/>
      <c r="AH17" s="114"/>
      <c r="AI17" s="114">
        <f>SUM(AF17+AG17-AH17)</f>
        <v>0</v>
      </c>
      <c r="AJ17" s="114"/>
      <c r="AK17" s="114"/>
      <c r="AL17" s="114">
        <f>SUM(AI17+AJ17-AK17)</f>
        <v>0</v>
      </c>
      <c r="AM17" s="114"/>
      <c r="AN17" s="114"/>
      <c r="AO17" s="114">
        <f>SUM(AL17+AM17-AN17)</f>
        <v>0</v>
      </c>
      <c r="AP17" s="114"/>
      <c r="AQ17" s="114"/>
      <c r="AR17" s="114">
        <f>SUM(AO17+AP17-AQ17)</f>
        <v>0</v>
      </c>
      <c r="AS17" s="114"/>
      <c r="AT17" s="114"/>
      <c r="AU17" s="114">
        <f>SUM(AR17+AS17-AT17)</f>
        <v>0</v>
      </c>
      <c r="AV17" s="339"/>
    </row>
    <row r="18" spans="1:48" s="37" customFormat="1" ht="66.75" customHeight="1">
      <c r="A18" s="98"/>
      <c r="B18" s="121"/>
      <c r="C18" s="120">
        <v>6300</v>
      </c>
      <c r="D18" s="19" t="s">
        <v>568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>
        <f>SUM(W18+X18-Y18)</f>
        <v>0</v>
      </c>
      <c r="AA18" s="114">
        <v>50000</v>
      </c>
      <c r="AB18" s="114"/>
      <c r="AC18" s="114">
        <f>SUM(Z18+AA18-AB18)</f>
        <v>50000</v>
      </c>
      <c r="AD18" s="114"/>
      <c r="AE18" s="114"/>
      <c r="AF18" s="114">
        <f>SUM(AC18+AD18-AE18)</f>
        <v>50000</v>
      </c>
      <c r="AG18" s="114"/>
      <c r="AH18" s="114"/>
      <c r="AI18" s="114">
        <f>SUM(AF18+AG18-AH18)</f>
        <v>50000</v>
      </c>
      <c r="AJ18" s="114"/>
      <c r="AK18" s="114"/>
      <c r="AL18" s="114">
        <f>SUM(AI18+AJ18-AK18)</f>
        <v>50000</v>
      </c>
      <c r="AM18" s="114"/>
      <c r="AN18" s="114"/>
      <c r="AO18" s="114">
        <f>SUM(AL18+AM18-AN18)</f>
        <v>50000</v>
      </c>
      <c r="AP18" s="114"/>
      <c r="AQ18" s="114"/>
      <c r="AR18" s="114">
        <f>SUM(AO18+AP18-AQ18)</f>
        <v>50000</v>
      </c>
      <c r="AS18" s="114"/>
      <c r="AT18" s="114"/>
      <c r="AU18" s="114">
        <f>SUM(AR18+AS18-AT18)</f>
        <v>50000</v>
      </c>
      <c r="AV18" s="339"/>
    </row>
    <row r="19" spans="1:48" s="37" customFormat="1" ht="21.75" customHeight="1">
      <c r="A19" s="98"/>
      <c r="B19" s="116" t="s">
        <v>93</v>
      </c>
      <c r="C19" s="120"/>
      <c r="D19" s="56" t="s">
        <v>94</v>
      </c>
      <c r="E19" s="114">
        <f aca="true" t="shared" si="16" ref="E19:K19">SUM(E20:E25)</f>
        <v>851510</v>
      </c>
      <c r="F19" s="114">
        <f t="shared" si="16"/>
        <v>85000</v>
      </c>
      <c r="G19" s="114">
        <f t="shared" si="16"/>
        <v>0</v>
      </c>
      <c r="H19" s="114">
        <f t="shared" si="16"/>
        <v>936510</v>
      </c>
      <c r="I19" s="114">
        <f t="shared" si="16"/>
        <v>38000</v>
      </c>
      <c r="J19" s="114">
        <f t="shared" si="16"/>
        <v>23000</v>
      </c>
      <c r="K19" s="114">
        <f t="shared" si="16"/>
        <v>951510</v>
      </c>
      <c r="L19" s="114">
        <f aca="true" t="shared" si="17" ref="L19:Q19">SUM(L20:L25)</f>
        <v>0</v>
      </c>
      <c r="M19" s="114">
        <f t="shared" si="17"/>
        <v>0</v>
      </c>
      <c r="N19" s="114">
        <f t="shared" si="17"/>
        <v>951510</v>
      </c>
      <c r="O19" s="114">
        <f t="shared" si="17"/>
        <v>487080</v>
      </c>
      <c r="P19" s="114">
        <f t="shared" si="17"/>
        <v>0</v>
      </c>
      <c r="Q19" s="114">
        <f t="shared" si="17"/>
        <v>1438590</v>
      </c>
      <c r="R19" s="114">
        <f aca="true" t="shared" si="18" ref="R19:W19">SUM(R20:R25)</f>
        <v>12939</v>
      </c>
      <c r="S19" s="114">
        <f t="shared" si="18"/>
        <v>5689</v>
      </c>
      <c r="T19" s="114">
        <f t="shared" si="18"/>
        <v>1445840</v>
      </c>
      <c r="U19" s="114">
        <f t="shared" si="18"/>
        <v>400000</v>
      </c>
      <c r="V19" s="114">
        <f t="shared" si="18"/>
        <v>450700</v>
      </c>
      <c r="W19" s="114">
        <f t="shared" si="18"/>
        <v>1395140</v>
      </c>
      <c r="X19" s="114">
        <f aca="true" t="shared" si="19" ref="X19:AC19">SUM(X20:X25)</f>
        <v>342080</v>
      </c>
      <c r="Y19" s="114">
        <f t="shared" si="19"/>
        <v>119280</v>
      </c>
      <c r="Z19" s="114">
        <f t="shared" si="19"/>
        <v>1617940</v>
      </c>
      <c r="AA19" s="114">
        <f t="shared" si="19"/>
        <v>13250</v>
      </c>
      <c r="AB19" s="114">
        <f t="shared" si="19"/>
        <v>7978</v>
      </c>
      <c r="AC19" s="114">
        <f t="shared" si="19"/>
        <v>1623212</v>
      </c>
      <c r="AD19" s="114">
        <f aca="true" t="shared" si="20" ref="AD19:AI19">SUM(AD20:AD25)</f>
        <v>0</v>
      </c>
      <c r="AE19" s="114">
        <f t="shared" si="20"/>
        <v>0</v>
      </c>
      <c r="AF19" s="114">
        <f t="shared" si="20"/>
        <v>1623212</v>
      </c>
      <c r="AG19" s="114">
        <f t="shared" si="20"/>
        <v>32067</v>
      </c>
      <c r="AH19" s="114">
        <f t="shared" si="20"/>
        <v>10485</v>
      </c>
      <c r="AI19" s="114">
        <f t="shared" si="20"/>
        <v>1644794</v>
      </c>
      <c r="AJ19" s="114">
        <f aca="true" t="shared" si="21" ref="AJ19:AO19">SUM(AJ20:AJ25)</f>
        <v>0</v>
      </c>
      <c r="AK19" s="114">
        <f t="shared" si="21"/>
        <v>0</v>
      </c>
      <c r="AL19" s="114">
        <f t="shared" si="21"/>
        <v>1644794</v>
      </c>
      <c r="AM19" s="114">
        <f t="shared" si="21"/>
        <v>0</v>
      </c>
      <c r="AN19" s="114">
        <f t="shared" si="21"/>
        <v>0</v>
      </c>
      <c r="AO19" s="114">
        <f t="shared" si="21"/>
        <v>1644794</v>
      </c>
      <c r="AP19" s="114">
        <f aca="true" t="shared" si="22" ref="AP19:AU19">SUM(AP20:AP25)</f>
        <v>0</v>
      </c>
      <c r="AQ19" s="114">
        <f t="shared" si="22"/>
        <v>0</v>
      </c>
      <c r="AR19" s="114">
        <f t="shared" si="22"/>
        <v>1644794</v>
      </c>
      <c r="AS19" s="114">
        <f t="shared" si="22"/>
        <v>1384</v>
      </c>
      <c r="AT19" s="114">
        <f t="shared" si="22"/>
        <v>189</v>
      </c>
      <c r="AU19" s="114">
        <f t="shared" si="22"/>
        <v>1645989</v>
      </c>
      <c r="AV19" s="339"/>
    </row>
    <row r="20" spans="1:48" s="37" customFormat="1" ht="23.25" customHeight="1">
      <c r="A20" s="98"/>
      <c r="B20" s="121"/>
      <c r="C20" s="98">
        <v>4210</v>
      </c>
      <c r="D20" s="56" t="s">
        <v>89</v>
      </c>
      <c r="E20" s="114">
        <v>22030</v>
      </c>
      <c r="F20" s="119"/>
      <c r="G20" s="119"/>
      <c r="H20" s="126">
        <f>SUM(E20+F20-G20)</f>
        <v>22030</v>
      </c>
      <c r="I20" s="119"/>
      <c r="J20" s="119"/>
      <c r="K20" s="126">
        <f aca="true" t="shared" si="23" ref="K20:K25">SUM(H20+I20-J20)</f>
        <v>22030</v>
      </c>
      <c r="L20" s="119"/>
      <c r="M20" s="119"/>
      <c r="N20" s="126">
        <f aca="true" t="shared" si="24" ref="N20:N25">SUM(K20+L20-M20)</f>
        <v>22030</v>
      </c>
      <c r="O20" s="119"/>
      <c r="P20" s="119"/>
      <c r="Q20" s="126">
        <f aca="true" t="shared" si="25" ref="Q20:Q25">SUM(N20+O20-P20)</f>
        <v>22030</v>
      </c>
      <c r="R20" s="119">
        <f>8453+300</f>
        <v>8753</v>
      </c>
      <c r="S20" s="119">
        <v>208</v>
      </c>
      <c r="T20" s="126">
        <f aca="true" t="shared" si="26" ref="T20:T25">SUM(Q20+R20-S20)</f>
        <v>30575</v>
      </c>
      <c r="U20" s="119"/>
      <c r="V20" s="119">
        <v>300</v>
      </c>
      <c r="W20" s="126">
        <f aca="true" t="shared" si="27" ref="W20:W25">SUM(T20+U20-V20)</f>
        <v>30275</v>
      </c>
      <c r="X20" s="119">
        <v>7280</v>
      </c>
      <c r="Y20" s="119"/>
      <c r="Z20" s="126">
        <f aca="true" t="shared" si="28" ref="Z20:Z25">SUM(W20+X20-Y20)</f>
        <v>37555</v>
      </c>
      <c r="AA20" s="119"/>
      <c r="AB20" s="119">
        <v>6020</v>
      </c>
      <c r="AC20" s="126">
        <f aca="true" t="shared" si="29" ref="AC20:AC25">SUM(Z20+AA20-AB20)</f>
        <v>31535</v>
      </c>
      <c r="AD20" s="119"/>
      <c r="AE20" s="119"/>
      <c r="AF20" s="126">
        <f aca="true" t="shared" si="30" ref="AF20:AF25">SUM(AC20+AD20-AE20)</f>
        <v>31535</v>
      </c>
      <c r="AG20" s="119">
        <v>6180</v>
      </c>
      <c r="AH20" s="119">
        <v>1281</v>
      </c>
      <c r="AI20" s="126">
        <f aca="true" t="shared" si="31" ref="AI20:AI25">SUM(AF20+AG20-AH20)</f>
        <v>36434</v>
      </c>
      <c r="AJ20" s="119"/>
      <c r="AK20" s="119"/>
      <c r="AL20" s="126">
        <f aca="true" t="shared" si="32" ref="AL20:AL25">SUM(AI20+AJ20-AK20)</f>
        <v>36434</v>
      </c>
      <c r="AM20" s="119"/>
      <c r="AN20" s="119"/>
      <c r="AO20" s="126">
        <f aca="true" t="shared" si="33" ref="AO20:AO25">SUM(AL20+AM20-AN20)</f>
        <v>36434</v>
      </c>
      <c r="AP20" s="119"/>
      <c r="AQ20" s="119"/>
      <c r="AR20" s="126">
        <f aca="true" t="shared" si="34" ref="AR20:AR25">SUM(AO20+AP20-AQ20)</f>
        <v>36434</v>
      </c>
      <c r="AS20" s="119"/>
      <c r="AT20" s="119">
        <v>134</v>
      </c>
      <c r="AU20" s="126">
        <f aca="true" t="shared" si="35" ref="AU20:AU25">SUM(AR20+AS20-AT20)</f>
        <v>36300</v>
      </c>
      <c r="AV20" s="337"/>
    </row>
    <row r="21" spans="1:48" s="37" customFormat="1" ht="24" customHeight="1">
      <c r="A21" s="98"/>
      <c r="B21" s="121"/>
      <c r="C21" s="98">
        <v>4270</v>
      </c>
      <c r="D21" s="56" t="s">
        <v>95</v>
      </c>
      <c r="E21" s="114">
        <v>82000</v>
      </c>
      <c r="F21" s="159"/>
      <c r="G21" s="159"/>
      <c r="H21" s="126">
        <f>SUM(E21+F21-G21)</f>
        <v>82000</v>
      </c>
      <c r="I21" s="159"/>
      <c r="J21" s="159"/>
      <c r="K21" s="126">
        <f t="shared" si="23"/>
        <v>82000</v>
      </c>
      <c r="L21" s="159"/>
      <c r="M21" s="159"/>
      <c r="N21" s="126">
        <f t="shared" si="24"/>
        <v>82000</v>
      </c>
      <c r="O21" s="159"/>
      <c r="P21" s="159"/>
      <c r="Q21" s="126">
        <f t="shared" si="25"/>
        <v>82000</v>
      </c>
      <c r="R21" s="159"/>
      <c r="S21" s="159"/>
      <c r="T21" s="126">
        <f t="shared" si="26"/>
        <v>82000</v>
      </c>
      <c r="U21" s="159"/>
      <c r="V21" s="159"/>
      <c r="W21" s="126">
        <f t="shared" si="27"/>
        <v>82000</v>
      </c>
      <c r="X21" s="159">
        <v>10000</v>
      </c>
      <c r="Y21" s="159"/>
      <c r="Z21" s="126">
        <f t="shared" si="28"/>
        <v>92000</v>
      </c>
      <c r="AA21" s="159"/>
      <c r="AB21" s="159"/>
      <c r="AC21" s="126">
        <f t="shared" si="29"/>
        <v>92000</v>
      </c>
      <c r="AD21" s="159"/>
      <c r="AE21" s="159"/>
      <c r="AF21" s="126">
        <f t="shared" si="30"/>
        <v>92000</v>
      </c>
      <c r="AG21" s="159">
        <v>20000</v>
      </c>
      <c r="AH21" s="159"/>
      <c r="AI21" s="126">
        <f t="shared" si="31"/>
        <v>112000</v>
      </c>
      <c r="AJ21" s="159"/>
      <c r="AK21" s="159"/>
      <c r="AL21" s="126">
        <f t="shared" si="32"/>
        <v>112000</v>
      </c>
      <c r="AM21" s="159"/>
      <c r="AN21" s="159"/>
      <c r="AO21" s="126">
        <f t="shared" si="33"/>
        <v>112000</v>
      </c>
      <c r="AP21" s="159"/>
      <c r="AQ21" s="159"/>
      <c r="AR21" s="126">
        <f t="shared" si="34"/>
        <v>112000</v>
      </c>
      <c r="AS21" s="159"/>
      <c r="AT21" s="159"/>
      <c r="AU21" s="126">
        <f t="shared" si="35"/>
        <v>112000</v>
      </c>
      <c r="AV21" s="337"/>
    </row>
    <row r="22" spans="1:48" s="37" customFormat="1" ht="21.75" customHeight="1">
      <c r="A22" s="98"/>
      <c r="B22" s="121"/>
      <c r="C22" s="98">
        <v>4300</v>
      </c>
      <c r="D22" s="56" t="s">
        <v>96</v>
      </c>
      <c r="E22" s="114">
        <f>158480-20000</f>
        <v>138480</v>
      </c>
      <c r="F22" s="119">
        <v>35000</v>
      </c>
      <c r="G22" s="119"/>
      <c r="H22" s="126">
        <f>SUM(E22+F22-G22)</f>
        <v>173480</v>
      </c>
      <c r="I22" s="119">
        <v>27000</v>
      </c>
      <c r="J22" s="119">
        <v>4000</v>
      </c>
      <c r="K22" s="126">
        <f t="shared" si="23"/>
        <v>196480</v>
      </c>
      <c r="L22" s="119"/>
      <c r="M22" s="119"/>
      <c r="N22" s="126">
        <f t="shared" si="24"/>
        <v>196480</v>
      </c>
      <c r="O22" s="119"/>
      <c r="P22" s="119"/>
      <c r="Q22" s="126">
        <f t="shared" si="25"/>
        <v>196480</v>
      </c>
      <c r="R22" s="119">
        <v>4186</v>
      </c>
      <c r="S22" s="119">
        <v>5481</v>
      </c>
      <c r="T22" s="126">
        <f t="shared" si="26"/>
        <v>195185</v>
      </c>
      <c r="U22" s="119"/>
      <c r="V22" s="119">
        <v>400</v>
      </c>
      <c r="W22" s="126">
        <f t="shared" si="27"/>
        <v>194785</v>
      </c>
      <c r="X22" s="119">
        <f>1200+4900</f>
        <v>6100</v>
      </c>
      <c r="Y22" s="119">
        <v>7280</v>
      </c>
      <c r="Z22" s="126">
        <f t="shared" si="28"/>
        <v>193605</v>
      </c>
      <c r="AA22" s="119"/>
      <c r="AB22" s="119">
        <f>1208+750</f>
        <v>1958</v>
      </c>
      <c r="AC22" s="126">
        <f t="shared" si="29"/>
        <v>191647</v>
      </c>
      <c r="AD22" s="119"/>
      <c r="AE22" s="119"/>
      <c r="AF22" s="126">
        <f t="shared" si="30"/>
        <v>191647</v>
      </c>
      <c r="AG22" s="119">
        <f>5000+887</f>
        <v>5887</v>
      </c>
      <c r="AH22" s="119">
        <v>3746</v>
      </c>
      <c r="AI22" s="126">
        <f t="shared" si="31"/>
        <v>193788</v>
      </c>
      <c r="AJ22" s="119"/>
      <c r="AK22" s="119"/>
      <c r="AL22" s="126">
        <f t="shared" si="32"/>
        <v>193788</v>
      </c>
      <c r="AM22" s="119"/>
      <c r="AN22" s="119"/>
      <c r="AO22" s="126">
        <f t="shared" si="33"/>
        <v>193788</v>
      </c>
      <c r="AP22" s="119"/>
      <c r="AQ22" s="119"/>
      <c r="AR22" s="126">
        <f t="shared" si="34"/>
        <v>193788</v>
      </c>
      <c r="AS22" s="119">
        <v>1384</v>
      </c>
      <c r="AT22" s="119"/>
      <c r="AU22" s="126">
        <f t="shared" si="35"/>
        <v>195172</v>
      </c>
      <c r="AV22" s="337"/>
    </row>
    <row r="23" spans="1:48" s="37" customFormat="1" ht="24" customHeight="1">
      <c r="A23" s="98"/>
      <c r="B23" s="121"/>
      <c r="C23" s="98">
        <v>6050</v>
      </c>
      <c r="D23" s="56" t="s">
        <v>90</v>
      </c>
      <c r="E23" s="114">
        <f>589000+20000</f>
        <v>609000</v>
      </c>
      <c r="F23" s="119"/>
      <c r="G23" s="119"/>
      <c r="H23" s="126">
        <f>SUM(E23+F23-G23)</f>
        <v>609000</v>
      </c>
      <c r="I23" s="119"/>
      <c r="J23" s="119">
        <v>19000</v>
      </c>
      <c r="K23" s="126">
        <f t="shared" si="23"/>
        <v>590000</v>
      </c>
      <c r="L23" s="119"/>
      <c r="M23" s="119"/>
      <c r="N23" s="126">
        <f t="shared" si="24"/>
        <v>590000</v>
      </c>
      <c r="O23" s="119">
        <v>487080</v>
      </c>
      <c r="P23" s="119"/>
      <c r="Q23" s="126">
        <f t="shared" si="25"/>
        <v>1077080</v>
      </c>
      <c r="R23" s="119"/>
      <c r="S23" s="119"/>
      <c r="T23" s="126">
        <f t="shared" si="26"/>
        <v>1077080</v>
      </c>
      <c r="U23" s="119">
        <v>400000</v>
      </c>
      <c r="V23" s="119">
        <v>400000</v>
      </c>
      <c r="W23" s="126">
        <f t="shared" si="27"/>
        <v>1077080</v>
      </c>
      <c r="X23" s="119">
        <f>1200+95500+275000+112000-275000+110000</f>
        <v>318700</v>
      </c>
      <c r="Y23" s="119">
        <v>112000</v>
      </c>
      <c r="Z23" s="126">
        <f t="shared" si="28"/>
        <v>1283780</v>
      </c>
      <c r="AA23" s="119">
        <f>5000+750+7500</f>
        <v>13250</v>
      </c>
      <c r="AB23" s="119"/>
      <c r="AC23" s="126">
        <f t="shared" si="29"/>
        <v>1297030</v>
      </c>
      <c r="AD23" s="119"/>
      <c r="AE23" s="119"/>
      <c r="AF23" s="126">
        <f t="shared" si="30"/>
        <v>1297030</v>
      </c>
      <c r="AG23" s="119"/>
      <c r="AH23" s="119">
        <f>5140+318</f>
        <v>5458</v>
      </c>
      <c r="AI23" s="126">
        <f t="shared" si="31"/>
        <v>1291572</v>
      </c>
      <c r="AJ23" s="119"/>
      <c r="AK23" s="119"/>
      <c r="AL23" s="126">
        <f t="shared" si="32"/>
        <v>1291572</v>
      </c>
      <c r="AM23" s="119"/>
      <c r="AN23" s="119"/>
      <c r="AO23" s="126">
        <f t="shared" si="33"/>
        <v>1291572</v>
      </c>
      <c r="AP23" s="119"/>
      <c r="AQ23" s="119"/>
      <c r="AR23" s="126">
        <f t="shared" si="34"/>
        <v>1291572</v>
      </c>
      <c r="AS23" s="119"/>
      <c r="AT23" s="119">
        <f>55+100000-100000</f>
        <v>55</v>
      </c>
      <c r="AU23" s="126">
        <f t="shared" si="35"/>
        <v>1291517</v>
      </c>
      <c r="AV23" s="337"/>
    </row>
    <row r="24" spans="1:48" s="37" customFormat="1" ht="23.25" customHeight="1">
      <c r="A24" s="98"/>
      <c r="B24" s="121"/>
      <c r="C24" s="98">
        <v>6060</v>
      </c>
      <c r="D24" s="56" t="s">
        <v>113</v>
      </c>
      <c r="E24" s="114"/>
      <c r="F24" s="119"/>
      <c r="G24" s="119"/>
      <c r="H24" s="126">
        <v>0</v>
      </c>
      <c r="I24" s="119">
        <f>5000+6000</f>
        <v>11000</v>
      </c>
      <c r="J24" s="119"/>
      <c r="K24" s="126">
        <f t="shared" si="23"/>
        <v>11000</v>
      </c>
      <c r="L24" s="119"/>
      <c r="M24" s="119"/>
      <c r="N24" s="126">
        <f t="shared" si="24"/>
        <v>11000</v>
      </c>
      <c r="O24" s="119"/>
      <c r="P24" s="119"/>
      <c r="Q24" s="126">
        <f t="shared" si="25"/>
        <v>11000</v>
      </c>
      <c r="R24" s="119"/>
      <c r="S24" s="119"/>
      <c r="T24" s="126">
        <f t="shared" si="26"/>
        <v>11000</v>
      </c>
      <c r="U24" s="119"/>
      <c r="V24" s="119"/>
      <c r="W24" s="126">
        <f t="shared" si="27"/>
        <v>11000</v>
      </c>
      <c r="X24" s="119"/>
      <c r="Y24" s="119"/>
      <c r="Z24" s="126">
        <f t="shared" si="28"/>
        <v>11000</v>
      </c>
      <c r="AA24" s="119"/>
      <c r="AB24" s="119"/>
      <c r="AC24" s="126">
        <f t="shared" si="29"/>
        <v>11000</v>
      </c>
      <c r="AD24" s="119"/>
      <c r="AE24" s="119"/>
      <c r="AF24" s="126">
        <f t="shared" si="30"/>
        <v>11000</v>
      </c>
      <c r="AG24" s="119"/>
      <c r="AH24" s="119"/>
      <c r="AI24" s="126">
        <f t="shared" si="31"/>
        <v>11000</v>
      </c>
      <c r="AJ24" s="119"/>
      <c r="AK24" s="119"/>
      <c r="AL24" s="126">
        <f t="shared" si="32"/>
        <v>11000</v>
      </c>
      <c r="AM24" s="119"/>
      <c r="AN24" s="119"/>
      <c r="AO24" s="126">
        <f t="shared" si="33"/>
        <v>11000</v>
      </c>
      <c r="AP24" s="119"/>
      <c r="AQ24" s="119"/>
      <c r="AR24" s="126">
        <f t="shared" si="34"/>
        <v>11000</v>
      </c>
      <c r="AS24" s="119"/>
      <c r="AT24" s="119"/>
      <c r="AU24" s="126">
        <f t="shared" si="35"/>
        <v>11000</v>
      </c>
      <c r="AV24" s="337"/>
    </row>
    <row r="25" spans="1:48" s="37" customFormat="1" ht="24.75" customHeight="1">
      <c r="A25" s="98"/>
      <c r="B25" s="121"/>
      <c r="C25" s="98">
        <v>6800</v>
      </c>
      <c r="D25" s="56" t="s">
        <v>361</v>
      </c>
      <c r="E25" s="114">
        <v>0</v>
      </c>
      <c r="F25" s="119">
        <v>50000</v>
      </c>
      <c r="G25" s="119"/>
      <c r="H25" s="126">
        <f>SUM(E25+F25-G25)</f>
        <v>50000</v>
      </c>
      <c r="I25" s="119"/>
      <c r="J25" s="119"/>
      <c r="K25" s="126">
        <f t="shared" si="23"/>
        <v>50000</v>
      </c>
      <c r="L25" s="119"/>
      <c r="M25" s="119"/>
      <c r="N25" s="126">
        <f t="shared" si="24"/>
        <v>50000</v>
      </c>
      <c r="O25" s="119"/>
      <c r="P25" s="119"/>
      <c r="Q25" s="126">
        <f t="shared" si="25"/>
        <v>50000</v>
      </c>
      <c r="R25" s="119"/>
      <c r="S25" s="119"/>
      <c r="T25" s="126">
        <f t="shared" si="26"/>
        <v>50000</v>
      </c>
      <c r="U25" s="119"/>
      <c r="V25" s="119">
        <v>50000</v>
      </c>
      <c r="W25" s="126">
        <f t="shared" si="27"/>
        <v>0</v>
      </c>
      <c r="X25" s="119"/>
      <c r="Y25" s="119"/>
      <c r="Z25" s="126">
        <f t="shared" si="28"/>
        <v>0</v>
      </c>
      <c r="AA25" s="119"/>
      <c r="AB25" s="119"/>
      <c r="AC25" s="126">
        <f t="shared" si="29"/>
        <v>0</v>
      </c>
      <c r="AD25" s="119"/>
      <c r="AE25" s="119"/>
      <c r="AF25" s="126">
        <f t="shared" si="30"/>
        <v>0</v>
      </c>
      <c r="AG25" s="119"/>
      <c r="AH25" s="119"/>
      <c r="AI25" s="126">
        <f t="shared" si="31"/>
        <v>0</v>
      </c>
      <c r="AJ25" s="119"/>
      <c r="AK25" s="119"/>
      <c r="AL25" s="126">
        <f t="shared" si="32"/>
        <v>0</v>
      </c>
      <c r="AM25" s="119"/>
      <c r="AN25" s="119"/>
      <c r="AO25" s="126">
        <f t="shared" si="33"/>
        <v>0</v>
      </c>
      <c r="AP25" s="119"/>
      <c r="AQ25" s="119"/>
      <c r="AR25" s="126">
        <f t="shared" si="34"/>
        <v>0</v>
      </c>
      <c r="AS25" s="119"/>
      <c r="AT25" s="119"/>
      <c r="AU25" s="126">
        <f t="shared" si="35"/>
        <v>0</v>
      </c>
      <c r="AV25" s="337"/>
    </row>
    <row r="26" spans="1:48" s="8" customFormat="1" ht="24.75" customHeight="1">
      <c r="A26" s="51" t="s">
        <v>15</v>
      </c>
      <c r="B26" s="52"/>
      <c r="C26" s="53"/>
      <c r="D26" s="54" t="s">
        <v>16</v>
      </c>
      <c r="E26" s="55">
        <f aca="true" t="shared" si="36" ref="E26:K26">SUM(E27,E30,E34,E36)</f>
        <v>364050</v>
      </c>
      <c r="F26" s="55">
        <f t="shared" si="36"/>
        <v>28000</v>
      </c>
      <c r="G26" s="55">
        <f t="shared" si="36"/>
        <v>0</v>
      </c>
      <c r="H26" s="55">
        <f t="shared" si="36"/>
        <v>392050</v>
      </c>
      <c r="I26" s="55">
        <f t="shared" si="36"/>
        <v>0</v>
      </c>
      <c r="J26" s="55">
        <f t="shared" si="36"/>
        <v>0</v>
      </c>
      <c r="K26" s="55">
        <f t="shared" si="36"/>
        <v>392050</v>
      </c>
      <c r="L26" s="55">
        <f aca="true" t="shared" si="37" ref="L26:Q26">SUM(L27,L30,L34,L36)</f>
        <v>132</v>
      </c>
      <c r="M26" s="55">
        <f t="shared" si="37"/>
        <v>132</v>
      </c>
      <c r="N26" s="55">
        <f t="shared" si="37"/>
        <v>392050</v>
      </c>
      <c r="O26" s="55">
        <f t="shared" si="37"/>
        <v>28000</v>
      </c>
      <c r="P26" s="55">
        <f t="shared" si="37"/>
        <v>0</v>
      </c>
      <c r="Q26" s="55">
        <f t="shared" si="37"/>
        <v>420050</v>
      </c>
      <c r="R26" s="55">
        <f aca="true" t="shared" si="38" ref="R26:W26">SUM(R27,R30,R34,R36)</f>
        <v>0</v>
      </c>
      <c r="S26" s="55">
        <f t="shared" si="38"/>
        <v>0</v>
      </c>
      <c r="T26" s="55">
        <f t="shared" si="38"/>
        <v>420050</v>
      </c>
      <c r="U26" s="55">
        <f t="shared" si="38"/>
        <v>0</v>
      </c>
      <c r="V26" s="55">
        <f t="shared" si="38"/>
        <v>55</v>
      </c>
      <c r="W26" s="55">
        <f t="shared" si="38"/>
        <v>419995</v>
      </c>
      <c r="X26" s="55">
        <f aca="true" t="shared" si="39" ref="X26:AC26">SUM(X27,X30,X34,X36)</f>
        <v>0</v>
      </c>
      <c r="Y26" s="55">
        <f t="shared" si="39"/>
        <v>33900</v>
      </c>
      <c r="Z26" s="55">
        <f t="shared" si="39"/>
        <v>386095</v>
      </c>
      <c r="AA26" s="55">
        <f t="shared" si="39"/>
        <v>0</v>
      </c>
      <c r="AB26" s="55">
        <f t="shared" si="39"/>
        <v>0</v>
      </c>
      <c r="AC26" s="55">
        <f t="shared" si="39"/>
        <v>386095</v>
      </c>
      <c r="AD26" s="55">
        <f aca="true" t="shared" si="40" ref="AD26:AI26">SUM(AD27,AD30,AD34,AD36)</f>
        <v>0</v>
      </c>
      <c r="AE26" s="55">
        <f t="shared" si="40"/>
        <v>0</v>
      </c>
      <c r="AF26" s="55">
        <f t="shared" si="40"/>
        <v>386095</v>
      </c>
      <c r="AG26" s="55">
        <f t="shared" si="40"/>
        <v>0</v>
      </c>
      <c r="AH26" s="55">
        <f t="shared" si="40"/>
        <v>28000</v>
      </c>
      <c r="AI26" s="55">
        <f t="shared" si="40"/>
        <v>358095</v>
      </c>
      <c r="AJ26" s="55">
        <f aca="true" t="shared" si="41" ref="AJ26:AO26">SUM(AJ27,AJ30,AJ34,AJ36)</f>
        <v>0</v>
      </c>
      <c r="AK26" s="55">
        <f t="shared" si="41"/>
        <v>0</v>
      </c>
      <c r="AL26" s="55">
        <f t="shared" si="41"/>
        <v>358095</v>
      </c>
      <c r="AM26" s="55">
        <f t="shared" si="41"/>
        <v>0</v>
      </c>
      <c r="AN26" s="55">
        <f t="shared" si="41"/>
        <v>0</v>
      </c>
      <c r="AO26" s="55">
        <f t="shared" si="41"/>
        <v>358095</v>
      </c>
      <c r="AP26" s="55">
        <f aca="true" t="shared" si="42" ref="AP26:AU26">SUM(AP27,AP30,AP34,AP36)</f>
        <v>0</v>
      </c>
      <c r="AQ26" s="55">
        <f t="shared" si="42"/>
        <v>0</v>
      </c>
      <c r="AR26" s="55">
        <f t="shared" si="42"/>
        <v>358095</v>
      </c>
      <c r="AS26" s="55">
        <f t="shared" si="42"/>
        <v>20600</v>
      </c>
      <c r="AT26" s="55">
        <f t="shared" si="42"/>
        <v>44</v>
      </c>
      <c r="AU26" s="55">
        <f t="shared" si="42"/>
        <v>378651</v>
      </c>
      <c r="AV26" s="338"/>
    </row>
    <row r="27" spans="1:48" s="37" customFormat="1" ht="24.75" customHeight="1">
      <c r="A27" s="98"/>
      <c r="B27" s="121">
        <v>70004</v>
      </c>
      <c r="C27" s="120"/>
      <c r="D27" s="56" t="s">
        <v>274</v>
      </c>
      <c r="E27" s="114">
        <f aca="true" t="shared" si="43" ref="E27:M27">SUM(E29)</f>
        <v>44000</v>
      </c>
      <c r="F27" s="114">
        <f t="shared" si="43"/>
        <v>0</v>
      </c>
      <c r="G27" s="114">
        <f t="shared" si="43"/>
        <v>0</v>
      </c>
      <c r="H27" s="114">
        <f t="shared" si="43"/>
        <v>44000</v>
      </c>
      <c r="I27" s="114">
        <f t="shared" si="43"/>
        <v>0</v>
      </c>
      <c r="J27" s="114">
        <f t="shared" si="43"/>
        <v>0</v>
      </c>
      <c r="K27" s="114">
        <f t="shared" si="43"/>
        <v>44000</v>
      </c>
      <c r="L27" s="114">
        <f t="shared" si="43"/>
        <v>0</v>
      </c>
      <c r="M27" s="114">
        <f t="shared" si="43"/>
        <v>0</v>
      </c>
      <c r="N27" s="114">
        <f aca="true" t="shared" si="44" ref="N27:T27">SUM(N28:N29)</f>
        <v>44000</v>
      </c>
      <c r="O27" s="114">
        <f t="shared" si="44"/>
        <v>28000</v>
      </c>
      <c r="P27" s="114">
        <f t="shared" si="44"/>
        <v>0</v>
      </c>
      <c r="Q27" s="114">
        <f t="shared" si="44"/>
        <v>72000</v>
      </c>
      <c r="R27" s="114">
        <f t="shared" si="44"/>
        <v>0</v>
      </c>
      <c r="S27" s="114">
        <f t="shared" si="44"/>
        <v>0</v>
      </c>
      <c r="T27" s="114">
        <f t="shared" si="44"/>
        <v>72000</v>
      </c>
      <c r="U27" s="114">
        <f aca="true" t="shared" si="45" ref="U27:Z27">SUM(U28:U29)</f>
        <v>0</v>
      </c>
      <c r="V27" s="114">
        <f t="shared" si="45"/>
        <v>0</v>
      </c>
      <c r="W27" s="114">
        <f t="shared" si="45"/>
        <v>72000</v>
      </c>
      <c r="X27" s="114">
        <f t="shared" si="45"/>
        <v>0</v>
      </c>
      <c r="Y27" s="114">
        <f t="shared" si="45"/>
        <v>0</v>
      </c>
      <c r="Z27" s="114">
        <f t="shared" si="45"/>
        <v>72000</v>
      </c>
      <c r="AA27" s="114">
        <f aca="true" t="shared" si="46" ref="AA27:AF27">SUM(AA28:AA29)</f>
        <v>0</v>
      </c>
      <c r="AB27" s="114">
        <f t="shared" si="46"/>
        <v>0</v>
      </c>
      <c r="AC27" s="114">
        <f t="shared" si="46"/>
        <v>72000</v>
      </c>
      <c r="AD27" s="114">
        <f t="shared" si="46"/>
        <v>0</v>
      </c>
      <c r="AE27" s="114">
        <f t="shared" si="46"/>
        <v>0</v>
      </c>
      <c r="AF27" s="114">
        <f t="shared" si="46"/>
        <v>72000</v>
      </c>
      <c r="AG27" s="114">
        <f aca="true" t="shared" si="47" ref="AG27:AL27">SUM(AG28:AG29)</f>
        <v>0</v>
      </c>
      <c r="AH27" s="114">
        <f t="shared" si="47"/>
        <v>0</v>
      </c>
      <c r="AI27" s="114">
        <f t="shared" si="47"/>
        <v>72000</v>
      </c>
      <c r="AJ27" s="114">
        <f t="shared" si="47"/>
        <v>0</v>
      </c>
      <c r="AK27" s="114">
        <f t="shared" si="47"/>
        <v>0</v>
      </c>
      <c r="AL27" s="114">
        <f t="shared" si="47"/>
        <v>72000</v>
      </c>
      <c r="AM27" s="114">
        <f aca="true" t="shared" si="48" ref="AM27:AR27">SUM(AM28:AM29)</f>
        <v>0</v>
      </c>
      <c r="AN27" s="114">
        <f t="shared" si="48"/>
        <v>0</v>
      </c>
      <c r="AO27" s="114">
        <f t="shared" si="48"/>
        <v>72000</v>
      </c>
      <c r="AP27" s="114">
        <f t="shared" si="48"/>
        <v>0</v>
      </c>
      <c r="AQ27" s="114">
        <f t="shared" si="48"/>
        <v>0</v>
      </c>
      <c r="AR27" s="114">
        <f t="shared" si="48"/>
        <v>72000</v>
      </c>
      <c r="AS27" s="114">
        <f>SUM(AS28:AS29)</f>
        <v>10600</v>
      </c>
      <c r="AT27" s="114">
        <f>SUM(AT28:AT29)</f>
        <v>0</v>
      </c>
      <c r="AU27" s="114">
        <f>SUM(AU28:AU29)</f>
        <v>82600</v>
      </c>
      <c r="AV27" s="339"/>
    </row>
    <row r="28" spans="1:48" s="37" customFormat="1" ht="20.25" customHeight="1">
      <c r="A28" s="98"/>
      <c r="B28" s="121"/>
      <c r="C28" s="98">
        <v>4270</v>
      </c>
      <c r="D28" s="56" t="s">
        <v>95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>
        <v>0</v>
      </c>
      <c r="O28" s="114">
        <v>28000</v>
      </c>
      <c r="P28" s="114"/>
      <c r="Q28" s="126">
        <f>SUM(N28+O28-P28)</f>
        <v>28000</v>
      </c>
      <c r="R28" s="114"/>
      <c r="S28" s="114"/>
      <c r="T28" s="126">
        <f>SUM(Q28+R28-S28)</f>
        <v>28000</v>
      </c>
      <c r="U28" s="114"/>
      <c r="V28" s="114"/>
      <c r="W28" s="126">
        <f>SUM(T28+U28-V28)</f>
        <v>28000</v>
      </c>
      <c r="X28" s="114"/>
      <c r="Y28" s="114"/>
      <c r="Z28" s="126">
        <f>SUM(W28+X28-Y28)</f>
        <v>28000</v>
      </c>
      <c r="AA28" s="114"/>
      <c r="AB28" s="114"/>
      <c r="AC28" s="126">
        <f>SUM(Z28+AA28-AB28)</f>
        <v>28000</v>
      </c>
      <c r="AD28" s="114"/>
      <c r="AE28" s="114"/>
      <c r="AF28" s="126">
        <f>SUM(AC28+AD28-AE28)</f>
        <v>28000</v>
      </c>
      <c r="AG28" s="114"/>
      <c r="AH28" s="114"/>
      <c r="AI28" s="126">
        <f>SUM(AF28+AG28-AH28)</f>
        <v>28000</v>
      </c>
      <c r="AJ28" s="114"/>
      <c r="AK28" s="114"/>
      <c r="AL28" s="126">
        <f>SUM(AI28+AJ28-AK28)</f>
        <v>28000</v>
      </c>
      <c r="AM28" s="114"/>
      <c r="AN28" s="114"/>
      <c r="AO28" s="126">
        <f>SUM(AL28+AM28-AN28)</f>
        <v>28000</v>
      </c>
      <c r="AP28" s="114"/>
      <c r="AQ28" s="114"/>
      <c r="AR28" s="126">
        <f>SUM(AO28+AP28-AQ28)</f>
        <v>28000</v>
      </c>
      <c r="AS28" s="114"/>
      <c r="AT28" s="114"/>
      <c r="AU28" s="126">
        <f>SUM(AR28+AS28-AT28)</f>
        <v>28000</v>
      </c>
      <c r="AV28" s="337"/>
    </row>
    <row r="29" spans="1:48" s="37" customFormat="1" ht="23.25" customHeight="1">
      <c r="A29" s="98"/>
      <c r="B29" s="121"/>
      <c r="C29" s="120">
        <v>4300</v>
      </c>
      <c r="D29" s="56" t="s">
        <v>96</v>
      </c>
      <c r="E29" s="114">
        <v>44000</v>
      </c>
      <c r="F29" s="114"/>
      <c r="G29" s="114"/>
      <c r="H29" s="126">
        <f>SUM(E29+F29-G29)</f>
        <v>44000</v>
      </c>
      <c r="I29" s="114"/>
      <c r="J29" s="114"/>
      <c r="K29" s="126">
        <f>SUM(H29+I29-J29)</f>
        <v>44000</v>
      </c>
      <c r="L29" s="114"/>
      <c r="M29" s="114"/>
      <c r="N29" s="126">
        <f>SUM(K29+L29-M29)</f>
        <v>44000</v>
      </c>
      <c r="O29" s="114"/>
      <c r="P29" s="114"/>
      <c r="Q29" s="126">
        <f>SUM(N29+O29-P29)</f>
        <v>44000</v>
      </c>
      <c r="R29" s="114"/>
      <c r="S29" s="114"/>
      <c r="T29" s="126">
        <f>SUM(Q29+R29-S29)</f>
        <v>44000</v>
      </c>
      <c r="U29" s="114"/>
      <c r="V29" s="114"/>
      <c r="W29" s="126">
        <f>SUM(T29+U29-V29)</f>
        <v>44000</v>
      </c>
      <c r="X29" s="114"/>
      <c r="Y29" s="114"/>
      <c r="Z29" s="126">
        <f>SUM(W29+X29-Y29)</f>
        <v>44000</v>
      </c>
      <c r="AA29" s="114"/>
      <c r="AB29" s="114"/>
      <c r="AC29" s="126">
        <f>SUM(Z29+AA29-AB29)</f>
        <v>44000</v>
      </c>
      <c r="AD29" s="114"/>
      <c r="AE29" s="114"/>
      <c r="AF29" s="126">
        <f>SUM(AC29+AD29-AE29)</f>
        <v>44000</v>
      </c>
      <c r="AG29" s="114"/>
      <c r="AH29" s="114"/>
      <c r="AI29" s="126">
        <f>SUM(AF29+AG29-AH29)</f>
        <v>44000</v>
      </c>
      <c r="AJ29" s="114"/>
      <c r="AK29" s="114"/>
      <c r="AL29" s="126">
        <f>SUM(AI29+AJ29-AK29)</f>
        <v>44000</v>
      </c>
      <c r="AM29" s="114"/>
      <c r="AN29" s="114"/>
      <c r="AO29" s="126">
        <f>SUM(AL29+AM29-AN29)</f>
        <v>44000</v>
      </c>
      <c r="AP29" s="114"/>
      <c r="AQ29" s="114"/>
      <c r="AR29" s="126">
        <f>SUM(AO29+AP29-AQ29)</f>
        <v>44000</v>
      </c>
      <c r="AS29" s="114">
        <v>10600</v>
      </c>
      <c r="AT29" s="114"/>
      <c r="AU29" s="126">
        <f>SUM(AR29+AS29-AT29)</f>
        <v>54600</v>
      </c>
      <c r="AV29" s="337"/>
    </row>
    <row r="30" spans="1:48" s="37" customFormat="1" ht="24" customHeight="1">
      <c r="A30" s="98"/>
      <c r="B30" s="116" t="s">
        <v>17</v>
      </c>
      <c r="C30" s="120"/>
      <c r="D30" s="56" t="s">
        <v>187</v>
      </c>
      <c r="E30" s="114">
        <f aca="true" t="shared" si="49" ref="E30:K30">SUM(E31:E33)</f>
        <v>89750</v>
      </c>
      <c r="F30" s="114">
        <f t="shared" si="49"/>
        <v>0</v>
      </c>
      <c r="G30" s="114">
        <f t="shared" si="49"/>
        <v>0</v>
      </c>
      <c r="H30" s="114">
        <f t="shared" si="49"/>
        <v>89750</v>
      </c>
      <c r="I30" s="114">
        <f t="shared" si="49"/>
        <v>0</v>
      </c>
      <c r="J30" s="114">
        <f t="shared" si="49"/>
        <v>0</v>
      </c>
      <c r="K30" s="114">
        <f t="shared" si="49"/>
        <v>89750</v>
      </c>
      <c r="L30" s="114">
        <f aca="true" t="shared" si="50" ref="L30:Q30">SUM(L31:L33)</f>
        <v>132</v>
      </c>
      <c r="M30" s="114">
        <f t="shared" si="50"/>
        <v>132</v>
      </c>
      <c r="N30" s="114">
        <f t="shared" si="50"/>
        <v>89750</v>
      </c>
      <c r="O30" s="114">
        <f t="shared" si="50"/>
        <v>0</v>
      </c>
      <c r="P30" s="114">
        <f t="shared" si="50"/>
        <v>0</v>
      </c>
      <c r="Q30" s="114">
        <f t="shared" si="50"/>
        <v>89750</v>
      </c>
      <c r="R30" s="114">
        <f aca="true" t="shared" si="51" ref="R30:W30">SUM(R31:R33)</f>
        <v>0</v>
      </c>
      <c r="S30" s="114">
        <f t="shared" si="51"/>
        <v>0</v>
      </c>
      <c r="T30" s="114">
        <f t="shared" si="51"/>
        <v>89750</v>
      </c>
      <c r="U30" s="114">
        <f t="shared" si="51"/>
        <v>0</v>
      </c>
      <c r="V30" s="114">
        <f t="shared" si="51"/>
        <v>55</v>
      </c>
      <c r="W30" s="114">
        <f t="shared" si="51"/>
        <v>89695</v>
      </c>
      <c r="X30" s="114">
        <f aca="true" t="shared" si="52" ref="X30:AC30">SUM(X31:X33)</f>
        <v>0</v>
      </c>
      <c r="Y30" s="114">
        <f t="shared" si="52"/>
        <v>6900</v>
      </c>
      <c r="Z30" s="114">
        <f t="shared" si="52"/>
        <v>82795</v>
      </c>
      <c r="AA30" s="114">
        <f t="shared" si="52"/>
        <v>0</v>
      </c>
      <c r="AB30" s="114">
        <f t="shared" si="52"/>
        <v>0</v>
      </c>
      <c r="AC30" s="114">
        <f t="shared" si="52"/>
        <v>82795</v>
      </c>
      <c r="AD30" s="114">
        <f aca="true" t="shared" si="53" ref="AD30:AI30">SUM(AD31:AD33)</f>
        <v>0</v>
      </c>
      <c r="AE30" s="114">
        <f t="shared" si="53"/>
        <v>0</v>
      </c>
      <c r="AF30" s="114">
        <f t="shared" si="53"/>
        <v>82795</v>
      </c>
      <c r="AG30" s="114">
        <f t="shared" si="53"/>
        <v>0</v>
      </c>
      <c r="AH30" s="114">
        <f t="shared" si="53"/>
        <v>0</v>
      </c>
      <c r="AI30" s="114">
        <f t="shared" si="53"/>
        <v>82795</v>
      </c>
      <c r="AJ30" s="114">
        <f aca="true" t="shared" si="54" ref="AJ30:AO30">SUM(AJ31:AJ33)</f>
        <v>0</v>
      </c>
      <c r="AK30" s="114">
        <f t="shared" si="54"/>
        <v>0</v>
      </c>
      <c r="AL30" s="114">
        <f t="shared" si="54"/>
        <v>82795</v>
      </c>
      <c r="AM30" s="114">
        <f t="shared" si="54"/>
        <v>0</v>
      </c>
      <c r="AN30" s="114">
        <f t="shared" si="54"/>
        <v>0</v>
      </c>
      <c r="AO30" s="114">
        <f t="shared" si="54"/>
        <v>82795</v>
      </c>
      <c r="AP30" s="114">
        <f aca="true" t="shared" si="55" ref="AP30:AU30">SUM(AP31:AP33)</f>
        <v>0</v>
      </c>
      <c r="AQ30" s="114">
        <f t="shared" si="55"/>
        <v>0</v>
      </c>
      <c r="AR30" s="114">
        <f t="shared" si="55"/>
        <v>82795</v>
      </c>
      <c r="AS30" s="114">
        <f t="shared" si="55"/>
        <v>0</v>
      </c>
      <c r="AT30" s="114">
        <f t="shared" si="55"/>
        <v>0</v>
      </c>
      <c r="AU30" s="114">
        <f t="shared" si="55"/>
        <v>82795</v>
      </c>
      <c r="AV30" s="339"/>
    </row>
    <row r="31" spans="1:48" s="37" customFormat="1" ht="22.5" customHeight="1">
      <c r="A31" s="98"/>
      <c r="B31" s="116"/>
      <c r="C31" s="120">
        <v>4510</v>
      </c>
      <c r="D31" s="56" t="s">
        <v>183</v>
      </c>
      <c r="E31" s="114">
        <v>7750</v>
      </c>
      <c r="F31" s="119"/>
      <c r="G31" s="119"/>
      <c r="H31" s="126">
        <f aca="true" t="shared" si="56" ref="H31:H40">SUM(E31+F31-G31)</f>
        <v>7750</v>
      </c>
      <c r="I31" s="119"/>
      <c r="J31" s="119"/>
      <c r="K31" s="126">
        <f>SUM(H31+I31-J31)</f>
        <v>7750</v>
      </c>
      <c r="L31" s="119"/>
      <c r="M31" s="119">
        <v>132</v>
      </c>
      <c r="N31" s="126">
        <f>SUM(K31+L31-M31)</f>
        <v>7618</v>
      </c>
      <c r="O31" s="119"/>
      <c r="P31" s="119"/>
      <c r="Q31" s="126">
        <f>SUM(N31+O31-P31)</f>
        <v>7618</v>
      </c>
      <c r="R31" s="119"/>
      <c r="S31" s="119"/>
      <c r="T31" s="126">
        <f>SUM(Q31+R31-S31)</f>
        <v>7618</v>
      </c>
      <c r="U31" s="119"/>
      <c r="V31" s="119">
        <v>55</v>
      </c>
      <c r="W31" s="126">
        <f>SUM(T31+U31-V31)</f>
        <v>7563</v>
      </c>
      <c r="X31" s="119"/>
      <c r="Y31" s="119">
        <v>6900</v>
      </c>
      <c r="Z31" s="126">
        <f>SUM(W31+X31-Y31)</f>
        <v>663</v>
      </c>
      <c r="AA31" s="119"/>
      <c r="AB31" s="119"/>
      <c r="AC31" s="126">
        <f>SUM(Z31+AA31-AB31)</f>
        <v>663</v>
      </c>
      <c r="AD31" s="119"/>
      <c r="AE31" s="119"/>
      <c r="AF31" s="126">
        <f>SUM(AC31+AD31-AE31)</f>
        <v>663</v>
      </c>
      <c r="AG31" s="119"/>
      <c r="AH31" s="119"/>
      <c r="AI31" s="126">
        <f>SUM(AF31+AG31-AH31)</f>
        <v>663</v>
      </c>
      <c r="AJ31" s="119"/>
      <c r="AK31" s="119"/>
      <c r="AL31" s="126">
        <f>SUM(AI31+AJ31-AK31)</f>
        <v>663</v>
      </c>
      <c r="AM31" s="119"/>
      <c r="AN31" s="119"/>
      <c r="AO31" s="126">
        <f>SUM(AL31+AM31-AN31)</f>
        <v>663</v>
      </c>
      <c r="AP31" s="119"/>
      <c r="AQ31" s="119"/>
      <c r="AR31" s="126">
        <f>SUM(AO31+AP31-AQ31)</f>
        <v>663</v>
      </c>
      <c r="AS31" s="119"/>
      <c r="AT31" s="119"/>
      <c r="AU31" s="126">
        <f>SUM(AR31+AS31-AT31)</f>
        <v>663</v>
      </c>
      <c r="AV31" s="337"/>
    </row>
    <row r="32" spans="1:48" s="37" customFormat="1" ht="24" customHeight="1">
      <c r="A32" s="98"/>
      <c r="B32" s="116"/>
      <c r="C32" s="120">
        <v>4480</v>
      </c>
      <c r="D32" s="56" t="s">
        <v>41</v>
      </c>
      <c r="E32" s="114"/>
      <c r="F32" s="119"/>
      <c r="G32" s="119"/>
      <c r="H32" s="126"/>
      <c r="I32" s="119"/>
      <c r="J32" s="119"/>
      <c r="K32" s="126">
        <v>0</v>
      </c>
      <c r="L32" s="119">
        <v>132</v>
      </c>
      <c r="M32" s="119"/>
      <c r="N32" s="126">
        <f>SUM(K32+L32-M32)</f>
        <v>132</v>
      </c>
      <c r="O32" s="119"/>
      <c r="P32" s="119"/>
      <c r="Q32" s="126">
        <f>SUM(N32+O32-P32)</f>
        <v>132</v>
      </c>
      <c r="R32" s="119"/>
      <c r="S32" s="119"/>
      <c r="T32" s="126">
        <f>SUM(Q32+R32-S32)</f>
        <v>132</v>
      </c>
      <c r="U32" s="119"/>
      <c r="V32" s="119"/>
      <c r="W32" s="126">
        <f>SUM(T32+U32-V32)</f>
        <v>132</v>
      </c>
      <c r="X32" s="119"/>
      <c r="Y32" s="119"/>
      <c r="Z32" s="126">
        <f>SUM(W32+X32-Y32)</f>
        <v>132</v>
      </c>
      <c r="AA32" s="119"/>
      <c r="AB32" s="119"/>
      <c r="AC32" s="126">
        <f>SUM(Z32+AA32-AB32)</f>
        <v>132</v>
      </c>
      <c r="AD32" s="119"/>
      <c r="AE32" s="119"/>
      <c r="AF32" s="126">
        <f>SUM(AC32+AD32-AE32)</f>
        <v>132</v>
      </c>
      <c r="AG32" s="119"/>
      <c r="AH32" s="119"/>
      <c r="AI32" s="126">
        <f>SUM(AF32+AG32-AH32)</f>
        <v>132</v>
      </c>
      <c r="AJ32" s="119"/>
      <c r="AK32" s="119"/>
      <c r="AL32" s="126">
        <f>SUM(AI32+AJ32-AK32)</f>
        <v>132</v>
      </c>
      <c r="AM32" s="119"/>
      <c r="AN32" s="119"/>
      <c r="AO32" s="126">
        <f>SUM(AL32+AM32-AN32)</f>
        <v>132</v>
      </c>
      <c r="AP32" s="119"/>
      <c r="AQ32" s="119"/>
      <c r="AR32" s="126">
        <f>SUM(AO32+AP32-AQ32)</f>
        <v>132</v>
      </c>
      <c r="AS32" s="119"/>
      <c r="AT32" s="119"/>
      <c r="AU32" s="126">
        <f>SUM(AR32+AS32-AT32)</f>
        <v>132</v>
      </c>
      <c r="AV32" s="337"/>
    </row>
    <row r="33" spans="1:48" s="37" customFormat="1" ht="21.75" customHeight="1">
      <c r="A33" s="98"/>
      <c r="B33" s="121"/>
      <c r="C33" s="98">
        <v>4300</v>
      </c>
      <c r="D33" s="56" t="s">
        <v>96</v>
      </c>
      <c r="E33" s="114">
        <v>82000</v>
      </c>
      <c r="F33" s="119"/>
      <c r="G33" s="119"/>
      <c r="H33" s="126">
        <f t="shared" si="56"/>
        <v>82000</v>
      </c>
      <c r="I33" s="119"/>
      <c r="J33" s="119"/>
      <c r="K33" s="126">
        <f>SUM(H33+I33-J33)</f>
        <v>82000</v>
      </c>
      <c r="L33" s="119"/>
      <c r="M33" s="119"/>
      <c r="N33" s="126">
        <f>SUM(K33+L33-M33)</f>
        <v>82000</v>
      </c>
      <c r="O33" s="119"/>
      <c r="P33" s="119"/>
      <c r="Q33" s="126">
        <f>SUM(N33+O33-P33)</f>
        <v>82000</v>
      </c>
      <c r="R33" s="119"/>
      <c r="S33" s="119"/>
      <c r="T33" s="126">
        <f>SUM(Q33+R33-S33)</f>
        <v>82000</v>
      </c>
      <c r="U33" s="119"/>
      <c r="V33" s="119"/>
      <c r="W33" s="126">
        <f>SUM(T33+U33-V33)</f>
        <v>82000</v>
      </c>
      <c r="X33" s="119"/>
      <c r="Y33" s="119"/>
      <c r="Z33" s="126">
        <f>SUM(W33+X33-Y33)</f>
        <v>82000</v>
      </c>
      <c r="AA33" s="119"/>
      <c r="AB33" s="119"/>
      <c r="AC33" s="126">
        <f>SUM(Z33+AA33-AB33)</f>
        <v>82000</v>
      </c>
      <c r="AD33" s="119"/>
      <c r="AE33" s="119"/>
      <c r="AF33" s="126">
        <f>SUM(AC33+AD33-AE33)</f>
        <v>82000</v>
      </c>
      <c r="AG33" s="119"/>
      <c r="AH33" s="119"/>
      <c r="AI33" s="126">
        <f>SUM(AF33+AG33-AH33)</f>
        <v>82000</v>
      </c>
      <c r="AJ33" s="119"/>
      <c r="AK33" s="119"/>
      <c r="AL33" s="126">
        <f>SUM(AI33+AJ33-AK33)</f>
        <v>82000</v>
      </c>
      <c r="AM33" s="119"/>
      <c r="AN33" s="119"/>
      <c r="AO33" s="126">
        <f>SUM(AL33+AM33-AN33)</f>
        <v>82000</v>
      </c>
      <c r="AP33" s="119"/>
      <c r="AQ33" s="119"/>
      <c r="AR33" s="126">
        <f>SUM(AO33+AP33-AQ33)</f>
        <v>82000</v>
      </c>
      <c r="AS33" s="119"/>
      <c r="AT33" s="119"/>
      <c r="AU33" s="126">
        <f>SUM(AR33+AS33-AT33)</f>
        <v>82000</v>
      </c>
      <c r="AV33" s="337"/>
    </row>
    <row r="34" spans="1:48" s="37" customFormat="1" ht="24" customHeight="1">
      <c r="A34" s="98"/>
      <c r="B34" s="121">
        <v>70021</v>
      </c>
      <c r="C34" s="98"/>
      <c r="D34" s="56" t="s">
        <v>228</v>
      </c>
      <c r="E34" s="114">
        <f aca="true" t="shared" si="57" ref="E34:AU34">SUM(E35:E35)</f>
        <v>100000</v>
      </c>
      <c r="F34" s="114">
        <f t="shared" si="57"/>
        <v>0</v>
      </c>
      <c r="G34" s="114">
        <f t="shared" si="57"/>
        <v>0</v>
      </c>
      <c r="H34" s="114">
        <f t="shared" si="57"/>
        <v>100000</v>
      </c>
      <c r="I34" s="114">
        <f t="shared" si="57"/>
        <v>0</v>
      </c>
      <c r="J34" s="114">
        <f t="shared" si="57"/>
        <v>0</v>
      </c>
      <c r="K34" s="114">
        <f t="shared" si="57"/>
        <v>100000</v>
      </c>
      <c r="L34" s="114">
        <f t="shared" si="57"/>
        <v>0</v>
      </c>
      <c r="M34" s="114">
        <f t="shared" si="57"/>
        <v>0</v>
      </c>
      <c r="N34" s="114">
        <f t="shared" si="57"/>
        <v>100000</v>
      </c>
      <c r="O34" s="114">
        <f t="shared" si="57"/>
        <v>0</v>
      </c>
      <c r="P34" s="114">
        <f t="shared" si="57"/>
        <v>0</v>
      </c>
      <c r="Q34" s="114">
        <f t="shared" si="57"/>
        <v>100000</v>
      </c>
      <c r="R34" s="114">
        <f t="shared" si="57"/>
        <v>0</v>
      </c>
      <c r="S34" s="114">
        <f t="shared" si="57"/>
        <v>0</v>
      </c>
      <c r="T34" s="114">
        <f t="shared" si="57"/>
        <v>100000</v>
      </c>
      <c r="U34" s="114">
        <f t="shared" si="57"/>
        <v>0</v>
      </c>
      <c r="V34" s="114">
        <f t="shared" si="57"/>
        <v>0</v>
      </c>
      <c r="W34" s="114">
        <f t="shared" si="57"/>
        <v>100000</v>
      </c>
      <c r="X34" s="114">
        <f t="shared" si="57"/>
        <v>0</v>
      </c>
      <c r="Y34" s="114">
        <f t="shared" si="57"/>
        <v>0</v>
      </c>
      <c r="Z34" s="114">
        <f t="shared" si="57"/>
        <v>100000</v>
      </c>
      <c r="AA34" s="114">
        <f t="shared" si="57"/>
        <v>0</v>
      </c>
      <c r="AB34" s="114">
        <f t="shared" si="57"/>
        <v>0</v>
      </c>
      <c r="AC34" s="114">
        <f t="shared" si="57"/>
        <v>100000</v>
      </c>
      <c r="AD34" s="114">
        <f t="shared" si="57"/>
        <v>0</v>
      </c>
      <c r="AE34" s="114">
        <f t="shared" si="57"/>
        <v>0</v>
      </c>
      <c r="AF34" s="114">
        <f t="shared" si="57"/>
        <v>100000</v>
      </c>
      <c r="AG34" s="114">
        <f t="shared" si="57"/>
        <v>0</v>
      </c>
      <c r="AH34" s="114">
        <f t="shared" si="57"/>
        <v>0</v>
      </c>
      <c r="AI34" s="114">
        <f t="shared" si="57"/>
        <v>100000</v>
      </c>
      <c r="AJ34" s="114">
        <f t="shared" si="57"/>
        <v>0</v>
      </c>
      <c r="AK34" s="114">
        <f t="shared" si="57"/>
        <v>0</v>
      </c>
      <c r="AL34" s="114">
        <f t="shared" si="57"/>
        <v>100000</v>
      </c>
      <c r="AM34" s="114">
        <f t="shared" si="57"/>
        <v>0</v>
      </c>
      <c r="AN34" s="114">
        <f t="shared" si="57"/>
        <v>0</v>
      </c>
      <c r="AO34" s="114">
        <f t="shared" si="57"/>
        <v>100000</v>
      </c>
      <c r="AP34" s="114">
        <f t="shared" si="57"/>
        <v>0</v>
      </c>
      <c r="AQ34" s="114">
        <f t="shared" si="57"/>
        <v>0</v>
      </c>
      <c r="AR34" s="114">
        <f t="shared" si="57"/>
        <v>100000</v>
      </c>
      <c r="AS34" s="114">
        <f t="shared" si="57"/>
        <v>0</v>
      </c>
      <c r="AT34" s="114">
        <f t="shared" si="57"/>
        <v>0</v>
      </c>
      <c r="AU34" s="114">
        <f t="shared" si="57"/>
        <v>100000</v>
      </c>
      <c r="AV34" s="339"/>
    </row>
    <row r="35" spans="1:48" s="37" customFormat="1" ht="21.75" customHeight="1">
      <c r="A35" s="98"/>
      <c r="B35" s="121"/>
      <c r="C35" s="98">
        <v>4300</v>
      </c>
      <c r="D35" s="56" t="s">
        <v>96</v>
      </c>
      <c r="E35" s="114">
        <v>100000</v>
      </c>
      <c r="F35" s="119"/>
      <c r="G35" s="119"/>
      <c r="H35" s="126">
        <f t="shared" si="56"/>
        <v>100000</v>
      </c>
      <c r="I35" s="119"/>
      <c r="J35" s="119"/>
      <c r="K35" s="126">
        <f>SUM(H35+I35-J35)</f>
        <v>100000</v>
      </c>
      <c r="L35" s="119"/>
      <c r="M35" s="119"/>
      <c r="N35" s="126">
        <f>SUM(K35+L35-M35)</f>
        <v>100000</v>
      </c>
      <c r="O35" s="119"/>
      <c r="P35" s="119"/>
      <c r="Q35" s="126">
        <f>SUM(N35+O35-P35)</f>
        <v>100000</v>
      </c>
      <c r="R35" s="119"/>
      <c r="S35" s="119"/>
      <c r="T35" s="126">
        <f>SUM(Q35+R35-S35)</f>
        <v>100000</v>
      </c>
      <c r="U35" s="119"/>
      <c r="V35" s="119"/>
      <c r="W35" s="126">
        <f>SUM(T35+U35-V35)</f>
        <v>100000</v>
      </c>
      <c r="X35" s="119"/>
      <c r="Y35" s="119"/>
      <c r="Z35" s="126">
        <f>SUM(W35+X35-Y35)</f>
        <v>100000</v>
      </c>
      <c r="AA35" s="119"/>
      <c r="AB35" s="119"/>
      <c r="AC35" s="126">
        <f>SUM(Z35+AA35-AB35)</f>
        <v>100000</v>
      </c>
      <c r="AD35" s="119"/>
      <c r="AE35" s="119"/>
      <c r="AF35" s="126">
        <f>SUM(AC35+AD35-AE35)</f>
        <v>100000</v>
      </c>
      <c r="AG35" s="119"/>
      <c r="AH35" s="119"/>
      <c r="AI35" s="126">
        <f>SUM(AF35+AG35-AH35)</f>
        <v>100000</v>
      </c>
      <c r="AJ35" s="119"/>
      <c r="AK35" s="119"/>
      <c r="AL35" s="126">
        <f>SUM(AI35+AJ35-AK35)</f>
        <v>100000</v>
      </c>
      <c r="AM35" s="119"/>
      <c r="AN35" s="119"/>
      <c r="AO35" s="126">
        <f>SUM(AL35+AM35-AN35)</f>
        <v>100000</v>
      </c>
      <c r="AP35" s="119"/>
      <c r="AQ35" s="119"/>
      <c r="AR35" s="126">
        <f>SUM(AO35+AP35-AQ35)</f>
        <v>100000</v>
      </c>
      <c r="AS35" s="119"/>
      <c r="AT35" s="119"/>
      <c r="AU35" s="126">
        <f>SUM(AR35+AS35-AT35)</f>
        <v>100000</v>
      </c>
      <c r="AV35" s="337"/>
    </row>
    <row r="36" spans="1:48" s="37" customFormat="1" ht="20.25" customHeight="1">
      <c r="A36" s="98"/>
      <c r="B36" s="116">
        <v>70095</v>
      </c>
      <c r="C36" s="120"/>
      <c r="D36" s="56" t="s">
        <v>10</v>
      </c>
      <c r="E36" s="114">
        <f aca="true" t="shared" si="58" ref="E36:K36">SUM(E37:E40)</f>
        <v>130300</v>
      </c>
      <c r="F36" s="114">
        <f t="shared" si="58"/>
        <v>28000</v>
      </c>
      <c r="G36" s="114">
        <f t="shared" si="58"/>
        <v>0</v>
      </c>
      <c r="H36" s="114">
        <f t="shared" si="58"/>
        <v>158300</v>
      </c>
      <c r="I36" s="114">
        <f t="shared" si="58"/>
        <v>0</v>
      </c>
      <c r="J36" s="114">
        <f t="shared" si="58"/>
        <v>0</v>
      </c>
      <c r="K36" s="114">
        <f t="shared" si="58"/>
        <v>158300</v>
      </c>
      <c r="L36" s="114">
        <f aca="true" t="shared" si="59" ref="L36:Q36">SUM(L37:L40)</f>
        <v>0</v>
      </c>
      <c r="M36" s="114">
        <f t="shared" si="59"/>
        <v>0</v>
      </c>
      <c r="N36" s="114">
        <f t="shared" si="59"/>
        <v>158300</v>
      </c>
      <c r="O36" s="114">
        <f t="shared" si="59"/>
        <v>0</v>
      </c>
      <c r="P36" s="114">
        <f t="shared" si="59"/>
        <v>0</v>
      </c>
      <c r="Q36" s="114">
        <f t="shared" si="59"/>
        <v>158300</v>
      </c>
      <c r="R36" s="114">
        <f>SUM(R37:R40)</f>
        <v>0</v>
      </c>
      <c r="S36" s="114">
        <f>SUM(S37:S40)</f>
        <v>0</v>
      </c>
      <c r="T36" s="114">
        <f>SUM(T37:T40)</f>
        <v>158300</v>
      </c>
      <c r="U36" s="114">
        <f>SUM(U37:U40)</f>
        <v>0</v>
      </c>
      <c r="V36" s="114">
        <f>SUM(V37:V40)</f>
        <v>0</v>
      </c>
      <c r="W36" s="114">
        <f aca="true" t="shared" si="60" ref="W36:AC36">SUM(W37:W41)</f>
        <v>158300</v>
      </c>
      <c r="X36" s="114">
        <f t="shared" si="60"/>
        <v>0</v>
      </c>
      <c r="Y36" s="114">
        <f t="shared" si="60"/>
        <v>27000</v>
      </c>
      <c r="Z36" s="114">
        <f t="shared" si="60"/>
        <v>131300</v>
      </c>
      <c r="AA36" s="114">
        <f t="shared" si="60"/>
        <v>0</v>
      </c>
      <c r="AB36" s="114">
        <f t="shared" si="60"/>
        <v>0</v>
      </c>
      <c r="AC36" s="114">
        <f t="shared" si="60"/>
        <v>131300</v>
      </c>
      <c r="AD36" s="114">
        <f aca="true" t="shared" si="61" ref="AD36:AI36">SUM(AD37:AD41)</f>
        <v>0</v>
      </c>
      <c r="AE36" s="114">
        <f t="shared" si="61"/>
        <v>0</v>
      </c>
      <c r="AF36" s="114">
        <f t="shared" si="61"/>
        <v>131300</v>
      </c>
      <c r="AG36" s="114">
        <f t="shared" si="61"/>
        <v>0</v>
      </c>
      <c r="AH36" s="114">
        <f t="shared" si="61"/>
        <v>28000</v>
      </c>
      <c r="AI36" s="114">
        <f t="shared" si="61"/>
        <v>103300</v>
      </c>
      <c r="AJ36" s="114">
        <f aca="true" t="shared" si="62" ref="AJ36:AO36">SUM(AJ37:AJ41)</f>
        <v>0</v>
      </c>
      <c r="AK36" s="114">
        <f t="shared" si="62"/>
        <v>0</v>
      </c>
      <c r="AL36" s="114">
        <f t="shared" si="62"/>
        <v>103300</v>
      </c>
      <c r="AM36" s="114">
        <f t="shared" si="62"/>
        <v>0</v>
      </c>
      <c r="AN36" s="114">
        <f t="shared" si="62"/>
        <v>0</v>
      </c>
      <c r="AO36" s="114">
        <f t="shared" si="62"/>
        <v>103300</v>
      </c>
      <c r="AP36" s="114">
        <f aca="true" t="shared" si="63" ref="AP36:AU36">SUM(AP37:AP41)</f>
        <v>0</v>
      </c>
      <c r="AQ36" s="114">
        <f t="shared" si="63"/>
        <v>0</v>
      </c>
      <c r="AR36" s="114">
        <f t="shared" si="63"/>
        <v>103300</v>
      </c>
      <c r="AS36" s="114">
        <f t="shared" si="63"/>
        <v>10000</v>
      </c>
      <c r="AT36" s="114">
        <f t="shared" si="63"/>
        <v>44</v>
      </c>
      <c r="AU36" s="114">
        <f t="shared" si="63"/>
        <v>113256</v>
      </c>
      <c r="AV36" s="339"/>
    </row>
    <row r="37" spans="1:48" s="37" customFormat="1" ht="20.25" customHeight="1">
      <c r="A37" s="98"/>
      <c r="B37" s="116"/>
      <c r="C37" s="120">
        <v>4260</v>
      </c>
      <c r="D37" s="56" t="s">
        <v>112</v>
      </c>
      <c r="E37" s="114">
        <v>300</v>
      </c>
      <c r="F37" s="119"/>
      <c r="G37" s="119"/>
      <c r="H37" s="126">
        <f t="shared" si="56"/>
        <v>300</v>
      </c>
      <c r="I37" s="119"/>
      <c r="J37" s="119"/>
      <c r="K37" s="126">
        <f>SUM(H37+I37-J37)</f>
        <v>300</v>
      </c>
      <c r="L37" s="119"/>
      <c r="M37" s="119"/>
      <c r="N37" s="126">
        <f>SUM(K37+L37-M37)</f>
        <v>300</v>
      </c>
      <c r="O37" s="119"/>
      <c r="P37" s="119"/>
      <c r="Q37" s="126">
        <f>SUM(N37+O37-P37)</f>
        <v>300</v>
      </c>
      <c r="R37" s="119"/>
      <c r="S37" s="119"/>
      <c r="T37" s="126">
        <f>SUM(Q37+R37-S37)</f>
        <v>300</v>
      </c>
      <c r="U37" s="119"/>
      <c r="V37" s="119"/>
      <c r="W37" s="126">
        <f>SUM(T37+U37-V37)</f>
        <v>300</v>
      </c>
      <c r="X37" s="119"/>
      <c r="Y37" s="119"/>
      <c r="Z37" s="126">
        <f>SUM(W37+X37-Y37)</f>
        <v>300</v>
      </c>
      <c r="AA37" s="119"/>
      <c r="AB37" s="119"/>
      <c r="AC37" s="126">
        <f>SUM(Z37+AA37-AB37)</f>
        <v>300</v>
      </c>
      <c r="AD37" s="119"/>
      <c r="AE37" s="119"/>
      <c r="AF37" s="126">
        <f>SUM(AC37+AD37-AE37)</f>
        <v>300</v>
      </c>
      <c r="AG37" s="119"/>
      <c r="AH37" s="119"/>
      <c r="AI37" s="126">
        <f>SUM(AF37+AG37-AH37)</f>
        <v>300</v>
      </c>
      <c r="AJ37" s="119"/>
      <c r="AK37" s="119"/>
      <c r="AL37" s="126">
        <f>SUM(AI37+AJ37-AK37)</f>
        <v>300</v>
      </c>
      <c r="AM37" s="119"/>
      <c r="AN37" s="119"/>
      <c r="AO37" s="126">
        <f>SUM(AL37+AM37-AN37)</f>
        <v>300</v>
      </c>
      <c r="AP37" s="119"/>
      <c r="AQ37" s="119"/>
      <c r="AR37" s="126">
        <f>SUM(AO37+AP37-AQ37)</f>
        <v>300</v>
      </c>
      <c r="AS37" s="119"/>
      <c r="AT37" s="119">
        <v>44</v>
      </c>
      <c r="AU37" s="126">
        <f>SUM(AR37+AS37-AT37)</f>
        <v>256</v>
      </c>
      <c r="AV37" s="337"/>
    </row>
    <row r="38" spans="1:48" s="37" customFormat="1" ht="20.25" customHeight="1">
      <c r="A38" s="98"/>
      <c r="B38" s="116"/>
      <c r="C38" s="120">
        <v>4300</v>
      </c>
      <c r="D38" s="56" t="s">
        <v>96</v>
      </c>
      <c r="E38" s="114">
        <v>0</v>
      </c>
      <c r="F38" s="119">
        <v>28000</v>
      </c>
      <c r="G38" s="119"/>
      <c r="H38" s="126">
        <f t="shared" si="56"/>
        <v>28000</v>
      </c>
      <c r="I38" s="119"/>
      <c r="J38" s="119"/>
      <c r="K38" s="126">
        <f>SUM(H38+I38-J38)</f>
        <v>28000</v>
      </c>
      <c r="L38" s="119"/>
      <c r="M38" s="119"/>
      <c r="N38" s="126">
        <f>SUM(K38+L38-M38)</f>
        <v>28000</v>
      </c>
      <c r="O38" s="119"/>
      <c r="P38" s="119"/>
      <c r="Q38" s="126">
        <f>SUM(N38+O38-P38)</f>
        <v>28000</v>
      </c>
      <c r="R38" s="119"/>
      <c r="S38" s="119"/>
      <c r="T38" s="126">
        <f>SUM(Q38+R38-S38)</f>
        <v>28000</v>
      </c>
      <c r="U38" s="119"/>
      <c r="V38" s="119"/>
      <c r="W38" s="126">
        <f>SUM(T38+U38-V38)</f>
        <v>28000</v>
      </c>
      <c r="X38" s="119"/>
      <c r="Y38" s="119"/>
      <c r="Z38" s="126">
        <f>SUM(W38+X38-Y38)</f>
        <v>28000</v>
      </c>
      <c r="AA38" s="119"/>
      <c r="AB38" s="119"/>
      <c r="AC38" s="126">
        <f>SUM(Z38+AA38-AB38)</f>
        <v>28000</v>
      </c>
      <c r="AD38" s="119"/>
      <c r="AE38" s="119"/>
      <c r="AF38" s="126">
        <f>SUM(AC38+AD38-AE38)</f>
        <v>28000</v>
      </c>
      <c r="AG38" s="119"/>
      <c r="AH38" s="119">
        <v>28000</v>
      </c>
      <c r="AI38" s="126">
        <f>SUM(AF38+AG38-AH38)</f>
        <v>0</v>
      </c>
      <c r="AJ38" s="119"/>
      <c r="AK38" s="119"/>
      <c r="AL38" s="126">
        <f>SUM(AI38+AJ38-AK38)</f>
        <v>0</v>
      </c>
      <c r="AM38" s="119"/>
      <c r="AN38" s="119"/>
      <c r="AO38" s="126">
        <f>SUM(AL38+AM38-AN38)</f>
        <v>0</v>
      </c>
      <c r="AP38" s="119"/>
      <c r="AQ38" s="119"/>
      <c r="AR38" s="126">
        <f>SUM(AO38+AP38-AQ38)</f>
        <v>0</v>
      </c>
      <c r="AS38" s="119"/>
      <c r="AT38" s="119"/>
      <c r="AU38" s="126">
        <f>SUM(AR38+AS38-AT38)</f>
        <v>0</v>
      </c>
      <c r="AV38" s="337"/>
    </row>
    <row r="39" spans="1:48" s="37" customFormat="1" ht="24">
      <c r="A39" s="98"/>
      <c r="B39" s="116"/>
      <c r="C39" s="120">
        <v>4590</v>
      </c>
      <c r="D39" s="56" t="s">
        <v>273</v>
      </c>
      <c r="E39" s="114">
        <v>30000</v>
      </c>
      <c r="F39" s="119"/>
      <c r="G39" s="119"/>
      <c r="H39" s="126">
        <f t="shared" si="56"/>
        <v>30000</v>
      </c>
      <c r="I39" s="119"/>
      <c r="J39" s="119"/>
      <c r="K39" s="126">
        <f>SUM(H39+I39-J39)</f>
        <v>30000</v>
      </c>
      <c r="L39" s="119"/>
      <c r="M39" s="119"/>
      <c r="N39" s="126">
        <f>SUM(K39+L39-M39)</f>
        <v>30000</v>
      </c>
      <c r="O39" s="119"/>
      <c r="P39" s="119"/>
      <c r="Q39" s="126">
        <f>SUM(N39+O39-P39)</f>
        <v>30000</v>
      </c>
      <c r="R39" s="119"/>
      <c r="S39" s="119"/>
      <c r="T39" s="126">
        <f>SUM(Q39+R39-S39)</f>
        <v>30000</v>
      </c>
      <c r="U39" s="119"/>
      <c r="V39" s="119"/>
      <c r="W39" s="126">
        <f>SUM(T39+U39-V39)</f>
        <v>30000</v>
      </c>
      <c r="X39" s="119"/>
      <c r="Y39" s="119">
        <v>27000</v>
      </c>
      <c r="Z39" s="126">
        <f>SUM(W39+X39-Y39)</f>
        <v>3000</v>
      </c>
      <c r="AA39" s="119"/>
      <c r="AB39" s="119"/>
      <c r="AC39" s="126">
        <f>SUM(Z39+AA39-AB39)</f>
        <v>3000</v>
      </c>
      <c r="AD39" s="119"/>
      <c r="AE39" s="119"/>
      <c r="AF39" s="126">
        <f>SUM(AC39+AD39-AE39)</f>
        <v>3000</v>
      </c>
      <c r="AG39" s="119"/>
      <c r="AH39" s="119"/>
      <c r="AI39" s="126">
        <f>SUM(AF39+AG39-AH39)</f>
        <v>3000</v>
      </c>
      <c r="AJ39" s="119"/>
      <c r="AK39" s="119"/>
      <c r="AL39" s="126">
        <f>SUM(AI39+AJ39-AK39)</f>
        <v>3000</v>
      </c>
      <c r="AM39" s="119"/>
      <c r="AN39" s="119"/>
      <c r="AO39" s="126">
        <f>SUM(AL39+AM39-AN39)</f>
        <v>3000</v>
      </c>
      <c r="AP39" s="119"/>
      <c r="AQ39" s="119"/>
      <c r="AR39" s="126">
        <f>SUM(AO39+AP39-AQ39)</f>
        <v>3000</v>
      </c>
      <c r="AS39" s="119"/>
      <c r="AT39" s="119"/>
      <c r="AU39" s="126">
        <f>SUM(AR39+AS39-AT39)</f>
        <v>3000</v>
      </c>
      <c r="AV39" s="337"/>
    </row>
    <row r="40" spans="1:48" s="37" customFormat="1" ht="21.75" customHeight="1">
      <c r="A40" s="98"/>
      <c r="B40" s="116"/>
      <c r="C40" s="98">
        <v>6050</v>
      </c>
      <c r="D40" s="56" t="s">
        <v>90</v>
      </c>
      <c r="E40" s="114">
        <v>100000</v>
      </c>
      <c r="F40" s="119"/>
      <c r="G40" s="119"/>
      <c r="H40" s="126">
        <f t="shared" si="56"/>
        <v>100000</v>
      </c>
      <c r="I40" s="119"/>
      <c r="J40" s="119"/>
      <c r="K40" s="126">
        <f>SUM(H40+I40-J40)</f>
        <v>100000</v>
      </c>
      <c r="L40" s="119"/>
      <c r="M40" s="119"/>
      <c r="N40" s="126">
        <f>SUM(K40+L40-M40)</f>
        <v>100000</v>
      </c>
      <c r="O40" s="119"/>
      <c r="P40" s="119"/>
      <c r="Q40" s="126">
        <f>SUM(N40+O40-P40)</f>
        <v>100000</v>
      </c>
      <c r="R40" s="119"/>
      <c r="S40" s="119"/>
      <c r="T40" s="126">
        <f>SUM(Q40+R40-S40)</f>
        <v>100000</v>
      </c>
      <c r="U40" s="119"/>
      <c r="V40" s="119"/>
      <c r="W40" s="126">
        <f>SUM(T40+U40-V40)</f>
        <v>100000</v>
      </c>
      <c r="X40" s="119"/>
      <c r="Y40" s="119"/>
      <c r="Z40" s="126">
        <f>SUM(W40+X40-Y40)</f>
        <v>100000</v>
      </c>
      <c r="AA40" s="119"/>
      <c r="AB40" s="119"/>
      <c r="AC40" s="126">
        <f>SUM(Z40+AA40-AB40)</f>
        <v>100000</v>
      </c>
      <c r="AD40" s="119"/>
      <c r="AE40" s="119"/>
      <c r="AF40" s="126">
        <f>SUM(AC40+AD40-AE40)</f>
        <v>100000</v>
      </c>
      <c r="AG40" s="119"/>
      <c r="AH40" s="119"/>
      <c r="AI40" s="126">
        <f>SUM(AF40+AG40-AH40)</f>
        <v>100000</v>
      </c>
      <c r="AJ40" s="119"/>
      <c r="AK40" s="119"/>
      <c r="AL40" s="126">
        <f>SUM(AI40+AJ40-AK40)</f>
        <v>100000</v>
      </c>
      <c r="AM40" s="119"/>
      <c r="AN40" s="119"/>
      <c r="AO40" s="126">
        <f>SUM(AL40+AM40-AN40)</f>
        <v>100000</v>
      </c>
      <c r="AP40" s="119"/>
      <c r="AQ40" s="119"/>
      <c r="AR40" s="126">
        <f>SUM(AO40+AP40-AQ40)</f>
        <v>100000</v>
      </c>
      <c r="AS40" s="119">
        <f>90000-80000</f>
        <v>10000</v>
      </c>
      <c r="AT40" s="119"/>
      <c r="AU40" s="126">
        <f>SUM(AR40+AS40-AT40)</f>
        <v>110000</v>
      </c>
      <c r="AV40" s="337"/>
    </row>
    <row r="41" spans="1:48" s="37" customFormat="1" ht="21.75" customHeight="1" hidden="1">
      <c r="A41" s="98"/>
      <c r="B41" s="116"/>
      <c r="C41" s="98">
        <v>6060</v>
      </c>
      <c r="D41" s="56" t="s">
        <v>113</v>
      </c>
      <c r="E41" s="114"/>
      <c r="F41" s="119"/>
      <c r="G41" s="119"/>
      <c r="H41" s="126"/>
      <c r="I41" s="119"/>
      <c r="J41" s="119"/>
      <c r="K41" s="126"/>
      <c r="L41" s="119"/>
      <c r="M41" s="119"/>
      <c r="N41" s="126"/>
      <c r="O41" s="119"/>
      <c r="P41" s="119"/>
      <c r="Q41" s="126"/>
      <c r="R41" s="119"/>
      <c r="S41" s="119"/>
      <c r="T41" s="126"/>
      <c r="U41" s="119"/>
      <c r="V41" s="119"/>
      <c r="W41" s="126">
        <v>0</v>
      </c>
      <c r="X41" s="119"/>
      <c r="Y41" s="119"/>
      <c r="Z41" s="126">
        <f>SUM(W41+X41-Y41)</f>
        <v>0</v>
      </c>
      <c r="AA41" s="119"/>
      <c r="AB41" s="119"/>
      <c r="AC41" s="126">
        <f>SUM(Z41+AA41-AB41)</f>
        <v>0</v>
      </c>
      <c r="AD41" s="119"/>
      <c r="AE41" s="119"/>
      <c r="AF41" s="126">
        <f>SUM(AC41+AD41-AE41)</f>
        <v>0</v>
      </c>
      <c r="AG41" s="119"/>
      <c r="AH41" s="119"/>
      <c r="AI41" s="126">
        <f>SUM(AF41+AG41-AH41)</f>
        <v>0</v>
      </c>
      <c r="AJ41" s="119"/>
      <c r="AK41" s="119"/>
      <c r="AL41" s="126">
        <f>SUM(AI41+AJ41-AK41)</f>
        <v>0</v>
      </c>
      <c r="AM41" s="119"/>
      <c r="AN41" s="119"/>
      <c r="AO41" s="126">
        <f>SUM(AL41+AM41-AN41)</f>
        <v>0</v>
      </c>
      <c r="AP41" s="119"/>
      <c r="AQ41" s="119"/>
      <c r="AR41" s="126">
        <f>SUM(AO41+AP41-AQ41)</f>
        <v>0</v>
      </c>
      <c r="AS41" s="119"/>
      <c r="AT41" s="119"/>
      <c r="AU41" s="126">
        <f>SUM(AR41+AS41-AT41)</f>
        <v>0</v>
      </c>
      <c r="AV41" s="337"/>
    </row>
    <row r="42" spans="1:48" s="8" customFormat="1" ht="21" customHeight="1">
      <c r="A42" s="51" t="s">
        <v>20</v>
      </c>
      <c r="B42" s="52"/>
      <c r="C42" s="53"/>
      <c r="D42" s="54" t="s">
        <v>97</v>
      </c>
      <c r="E42" s="55">
        <f aca="true" t="shared" si="64" ref="E42:K42">SUM(E43,E46)</f>
        <v>152350</v>
      </c>
      <c r="F42" s="55">
        <f t="shared" si="64"/>
        <v>0</v>
      </c>
      <c r="G42" s="55">
        <f t="shared" si="64"/>
        <v>0</v>
      </c>
      <c r="H42" s="55">
        <f t="shared" si="64"/>
        <v>152350</v>
      </c>
      <c r="I42" s="55">
        <f t="shared" si="64"/>
        <v>0</v>
      </c>
      <c r="J42" s="55">
        <f t="shared" si="64"/>
        <v>0</v>
      </c>
      <c r="K42" s="55">
        <f t="shared" si="64"/>
        <v>152350</v>
      </c>
      <c r="L42" s="55">
        <f aca="true" t="shared" si="65" ref="L42:Q42">SUM(L43,L46)</f>
        <v>0</v>
      </c>
      <c r="M42" s="55">
        <f t="shared" si="65"/>
        <v>0</v>
      </c>
      <c r="N42" s="55">
        <f t="shared" si="65"/>
        <v>152350</v>
      </c>
      <c r="O42" s="55">
        <f t="shared" si="65"/>
        <v>0</v>
      </c>
      <c r="P42" s="55">
        <f t="shared" si="65"/>
        <v>0</v>
      </c>
      <c r="Q42" s="55">
        <f t="shared" si="65"/>
        <v>152350</v>
      </c>
      <c r="R42" s="55">
        <f aca="true" t="shared" si="66" ref="R42:W42">SUM(R43,R46)</f>
        <v>0</v>
      </c>
      <c r="S42" s="55">
        <f t="shared" si="66"/>
        <v>0</v>
      </c>
      <c r="T42" s="55">
        <f t="shared" si="66"/>
        <v>152350</v>
      </c>
      <c r="U42" s="55">
        <f t="shared" si="66"/>
        <v>0</v>
      </c>
      <c r="V42" s="55">
        <f t="shared" si="66"/>
        <v>0</v>
      </c>
      <c r="W42" s="55">
        <f t="shared" si="66"/>
        <v>152350</v>
      </c>
      <c r="X42" s="55">
        <f aca="true" t="shared" si="67" ref="X42:AC42">SUM(X43,X46)</f>
        <v>0</v>
      </c>
      <c r="Y42" s="55">
        <f t="shared" si="67"/>
        <v>82500</v>
      </c>
      <c r="Z42" s="55">
        <f t="shared" si="67"/>
        <v>69850</v>
      </c>
      <c r="AA42" s="55">
        <f t="shared" si="67"/>
        <v>500</v>
      </c>
      <c r="AB42" s="55">
        <f t="shared" si="67"/>
        <v>500</v>
      </c>
      <c r="AC42" s="55">
        <f t="shared" si="67"/>
        <v>69850</v>
      </c>
      <c r="AD42" s="55">
        <f aca="true" t="shared" si="68" ref="AD42:AI42">SUM(AD43,AD46)</f>
        <v>0</v>
      </c>
      <c r="AE42" s="55">
        <f t="shared" si="68"/>
        <v>0</v>
      </c>
      <c r="AF42" s="55">
        <f t="shared" si="68"/>
        <v>69850</v>
      </c>
      <c r="AG42" s="55">
        <f t="shared" si="68"/>
        <v>0</v>
      </c>
      <c r="AH42" s="55">
        <f t="shared" si="68"/>
        <v>0</v>
      </c>
      <c r="AI42" s="55">
        <f t="shared" si="68"/>
        <v>69850</v>
      </c>
      <c r="AJ42" s="55">
        <f aca="true" t="shared" si="69" ref="AJ42:AO42">SUM(AJ43,AJ46)</f>
        <v>0</v>
      </c>
      <c r="AK42" s="55">
        <f t="shared" si="69"/>
        <v>0</v>
      </c>
      <c r="AL42" s="55">
        <f t="shared" si="69"/>
        <v>69850</v>
      </c>
      <c r="AM42" s="55">
        <f t="shared" si="69"/>
        <v>0</v>
      </c>
      <c r="AN42" s="55">
        <f t="shared" si="69"/>
        <v>0</v>
      </c>
      <c r="AO42" s="55">
        <f t="shared" si="69"/>
        <v>69850</v>
      </c>
      <c r="AP42" s="55">
        <f aca="true" t="shared" si="70" ref="AP42:AU42">SUM(AP43,AP46)</f>
        <v>0</v>
      </c>
      <c r="AQ42" s="55">
        <f t="shared" si="70"/>
        <v>0</v>
      </c>
      <c r="AR42" s="55">
        <f t="shared" si="70"/>
        <v>69850</v>
      </c>
      <c r="AS42" s="55">
        <f t="shared" si="70"/>
        <v>1562</v>
      </c>
      <c r="AT42" s="55">
        <f t="shared" si="70"/>
        <v>0</v>
      </c>
      <c r="AU42" s="55">
        <f t="shared" si="70"/>
        <v>71412</v>
      </c>
      <c r="AV42" s="338"/>
    </row>
    <row r="43" spans="1:48" s="37" customFormat="1" ht="21.75" customHeight="1">
      <c r="A43" s="98"/>
      <c r="B43" s="116" t="s">
        <v>98</v>
      </c>
      <c r="C43" s="120"/>
      <c r="D43" s="56" t="s">
        <v>99</v>
      </c>
      <c r="E43" s="114">
        <f aca="true" t="shared" si="71" ref="E43:K43">SUM(E44:E45)</f>
        <v>150000</v>
      </c>
      <c r="F43" s="114">
        <f t="shared" si="71"/>
        <v>0</v>
      </c>
      <c r="G43" s="114">
        <f t="shared" si="71"/>
        <v>0</v>
      </c>
      <c r="H43" s="114">
        <f t="shared" si="71"/>
        <v>150000</v>
      </c>
      <c r="I43" s="114">
        <f t="shared" si="71"/>
        <v>0</v>
      </c>
      <c r="J43" s="114">
        <f t="shared" si="71"/>
        <v>0</v>
      </c>
      <c r="K43" s="114">
        <f t="shared" si="71"/>
        <v>150000</v>
      </c>
      <c r="L43" s="114">
        <f aca="true" t="shared" si="72" ref="L43:Q43">SUM(L44:L45)</f>
        <v>0</v>
      </c>
      <c r="M43" s="114">
        <f t="shared" si="72"/>
        <v>0</v>
      </c>
      <c r="N43" s="114">
        <f t="shared" si="72"/>
        <v>150000</v>
      </c>
      <c r="O43" s="114">
        <f t="shared" si="72"/>
        <v>0</v>
      </c>
      <c r="P43" s="114">
        <f t="shared" si="72"/>
        <v>0</v>
      </c>
      <c r="Q43" s="114">
        <f t="shared" si="72"/>
        <v>150000</v>
      </c>
      <c r="R43" s="114">
        <f aca="true" t="shared" si="73" ref="R43:W43">SUM(R44:R45)</f>
        <v>0</v>
      </c>
      <c r="S43" s="114">
        <f t="shared" si="73"/>
        <v>0</v>
      </c>
      <c r="T43" s="114">
        <f t="shared" si="73"/>
        <v>150000</v>
      </c>
      <c r="U43" s="114">
        <f t="shared" si="73"/>
        <v>0</v>
      </c>
      <c r="V43" s="114">
        <f t="shared" si="73"/>
        <v>0</v>
      </c>
      <c r="W43" s="114">
        <f t="shared" si="73"/>
        <v>150000</v>
      </c>
      <c r="X43" s="114">
        <f aca="true" t="shared" si="74" ref="X43:AC43">SUM(X44:X45)</f>
        <v>0</v>
      </c>
      <c r="Y43" s="114">
        <f t="shared" si="74"/>
        <v>82500</v>
      </c>
      <c r="Z43" s="114">
        <f t="shared" si="74"/>
        <v>67500</v>
      </c>
      <c r="AA43" s="114">
        <f t="shared" si="74"/>
        <v>0</v>
      </c>
      <c r="AB43" s="114">
        <f t="shared" si="74"/>
        <v>0</v>
      </c>
      <c r="AC43" s="114">
        <f t="shared" si="74"/>
        <v>67500</v>
      </c>
      <c r="AD43" s="114">
        <f aca="true" t="shared" si="75" ref="AD43:AI43">SUM(AD44:AD45)</f>
        <v>0</v>
      </c>
      <c r="AE43" s="114">
        <f t="shared" si="75"/>
        <v>0</v>
      </c>
      <c r="AF43" s="114">
        <f t="shared" si="75"/>
        <v>67500</v>
      </c>
      <c r="AG43" s="114">
        <f t="shared" si="75"/>
        <v>0</v>
      </c>
      <c r="AH43" s="114">
        <f t="shared" si="75"/>
        <v>0</v>
      </c>
      <c r="AI43" s="114">
        <f t="shared" si="75"/>
        <v>67500</v>
      </c>
      <c r="AJ43" s="114">
        <f aca="true" t="shared" si="76" ref="AJ43:AO43">SUM(AJ44:AJ45)</f>
        <v>0</v>
      </c>
      <c r="AK43" s="114">
        <f t="shared" si="76"/>
        <v>0</v>
      </c>
      <c r="AL43" s="114">
        <f t="shared" si="76"/>
        <v>67500</v>
      </c>
      <c r="AM43" s="114">
        <f t="shared" si="76"/>
        <v>0</v>
      </c>
      <c r="AN43" s="114">
        <f t="shared" si="76"/>
        <v>0</v>
      </c>
      <c r="AO43" s="114">
        <f t="shared" si="76"/>
        <v>67500</v>
      </c>
      <c r="AP43" s="114">
        <f aca="true" t="shared" si="77" ref="AP43:AU43">SUM(AP44:AP45)</f>
        <v>0</v>
      </c>
      <c r="AQ43" s="114">
        <f t="shared" si="77"/>
        <v>0</v>
      </c>
      <c r="AR43" s="114">
        <f t="shared" si="77"/>
        <v>67500</v>
      </c>
      <c r="AS43" s="114">
        <f t="shared" si="77"/>
        <v>0</v>
      </c>
      <c r="AT43" s="114">
        <f t="shared" si="77"/>
        <v>0</v>
      </c>
      <c r="AU43" s="114">
        <f t="shared" si="77"/>
        <v>67500</v>
      </c>
      <c r="AV43" s="339"/>
    </row>
    <row r="44" spans="1:48" s="37" customFormat="1" ht="21.75" customHeight="1">
      <c r="A44" s="98"/>
      <c r="B44" s="116"/>
      <c r="C44" s="120">
        <v>4170</v>
      </c>
      <c r="D44" s="56" t="s">
        <v>252</v>
      </c>
      <c r="E44" s="114">
        <v>5000</v>
      </c>
      <c r="F44" s="119"/>
      <c r="G44" s="119"/>
      <c r="H44" s="126">
        <f>SUM(E44+F44-G44)</f>
        <v>5000</v>
      </c>
      <c r="I44" s="119"/>
      <c r="J44" s="119"/>
      <c r="K44" s="126">
        <f>SUM(H44+I44-J44)</f>
        <v>5000</v>
      </c>
      <c r="L44" s="119"/>
      <c r="M44" s="119"/>
      <c r="N44" s="126">
        <f>SUM(K44+L44-M44)</f>
        <v>5000</v>
      </c>
      <c r="O44" s="119"/>
      <c r="P44" s="119"/>
      <c r="Q44" s="126">
        <f>SUM(N44+O44-P44)</f>
        <v>5000</v>
      </c>
      <c r="R44" s="119"/>
      <c r="S44" s="119"/>
      <c r="T44" s="126">
        <f>SUM(Q44+R44-S44)</f>
        <v>5000</v>
      </c>
      <c r="U44" s="119"/>
      <c r="V44" s="119"/>
      <c r="W44" s="126">
        <f>SUM(T44+U44-V44)</f>
        <v>5000</v>
      </c>
      <c r="X44" s="119"/>
      <c r="Y44" s="119">
        <v>3500</v>
      </c>
      <c r="Z44" s="126">
        <f>SUM(W44+X44-Y44)</f>
        <v>1500</v>
      </c>
      <c r="AA44" s="119"/>
      <c r="AB44" s="119"/>
      <c r="AC44" s="126">
        <f>SUM(Z44+AA44-AB44)</f>
        <v>1500</v>
      </c>
      <c r="AD44" s="119"/>
      <c r="AE44" s="119"/>
      <c r="AF44" s="126">
        <f>SUM(AC44+AD44-AE44)</f>
        <v>1500</v>
      </c>
      <c r="AG44" s="119"/>
      <c r="AH44" s="119"/>
      <c r="AI44" s="126">
        <f>SUM(AF44+AG44-AH44)</f>
        <v>1500</v>
      </c>
      <c r="AJ44" s="119"/>
      <c r="AK44" s="119"/>
      <c r="AL44" s="126">
        <f>SUM(AI44+AJ44-AK44)</f>
        <v>1500</v>
      </c>
      <c r="AM44" s="119"/>
      <c r="AN44" s="119"/>
      <c r="AO44" s="126">
        <f>SUM(AL44+AM44-AN44)</f>
        <v>1500</v>
      </c>
      <c r="AP44" s="119"/>
      <c r="AQ44" s="119"/>
      <c r="AR44" s="126">
        <f>SUM(AO44+AP44-AQ44)</f>
        <v>1500</v>
      </c>
      <c r="AS44" s="119"/>
      <c r="AT44" s="119"/>
      <c r="AU44" s="126">
        <f>SUM(AR44+AS44-AT44)</f>
        <v>1500</v>
      </c>
      <c r="AV44" s="337">
        <f>SUM(AU44)</f>
        <v>1500</v>
      </c>
    </row>
    <row r="45" spans="1:48" s="37" customFormat="1" ht="21.75" customHeight="1">
      <c r="A45" s="98"/>
      <c r="B45" s="116"/>
      <c r="C45" s="98">
        <v>4300</v>
      </c>
      <c r="D45" s="56" t="s">
        <v>96</v>
      </c>
      <c r="E45" s="114">
        <v>145000</v>
      </c>
      <c r="F45" s="119"/>
      <c r="G45" s="119"/>
      <c r="H45" s="126">
        <f>SUM(E45+F45-G45)</f>
        <v>145000</v>
      </c>
      <c r="I45" s="119"/>
      <c r="J45" s="119"/>
      <c r="K45" s="126">
        <f>SUM(H45+I45-J45)</f>
        <v>145000</v>
      </c>
      <c r="L45" s="119"/>
      <c r="M45" s="119"/>
      <c r="N45" s="126">
        <f>SUM(K45+L45-M45)</f>
        <v>145000</v>
      </c>
      <c r="O45" s="119"/>
      <c r="P45" s="119"/>
      <c r="Q45" s="126">
        <f>SUM(N45+O45-P45)</f>
        <v>145000</v>
      </c>
      <c r="R45" s="119"/>
      <c r="S45" s="119"/>
      <c r="T45" s="126">
        <f>SUM(Q45+R45-S45)</f>
        <v>145000</v>
      </c>
      <c r="U45" s="119"/>
      <c r="V45" s="119"/>
      <c r="W45" s="126">
        <f>SUM(T45+U45-V45)</f>
        <v>145000</v>
      </c>
      <c r="X45" s="119"/>
      <c r="Y45" s="119">
        <f>94000-5000-10000</f>
        <v>79000</v>
      </c>
      <c r="Z45" s="126">
        <f>SUM(W45+X45-Y45)</f>
        <v>66000</v>
      </c>
      <c r="AA45" s="119"/>
      <c r="AB45" s="119"/>
      <c r="AC45" s="126">
        <f>SUM(Z45+AA45-AB45)</f>
        <v>66000</v>
      </c>
      <c r="AD45" s="119"/>
      <c r="AE45" s="119"/>
      <c r="AF45" s="126">
        <f>SUM(AC45+AD45-AE45)</f>
        <v>66000</v>
      </c>
      <c r="AG45" s="119"/>
      <c r="AH45" s="119"/>
      <c r="AI45" s="126">
        <f>SUM(AF45+AG45-AH45)</f>
        <v>66000</v>
      </c>
      <c r="AJ45" s="119"/>
      <c r="AK45" s="119"/>
      <c r="AL45" s="126">
        <f>SUM(AI45+AJ45-AK45)</f>
        <v>66000</v>
      </c>
      <c r="AM45" s="119"/>
      <c r="AN45" s="119"/>
      <c r="AO45" s="126">
        <f>SUM(AL45+AM45-AN45)</f>
        <v>66000</v>
      </c>
      <c r="AP45" s="119"/>
      <c r="AQ45" s="119"/>
      <c r="AR45" s="126">
        <f>SUM(AO45+AP45-AQ45)</f>
        <v>66000</v>
      </c>
      <c r="AS45" s="119"/>
      <c r="AT45" s="119"/>
      <c r="AU45" s="126">
        <f>SUM(AR45+AS45-AT45)</f>
        <v>66000</v>
      </c>
      <c r="AV45" s="337"/>
    </row>
    <row r="46" spans="1:48" s="37" customFormat="1" ht="20.25" customHeight="1">
      <c r="A46" s="98"/>
      <c r="B46" s="116">
        <v>71035</v>
      </c>
      <c r="C46" s="98"/>
      <c r="D46" s="56" t="s">
        <v>21</v>
      </c>
      <c r="E46" s="114">
        <f aca="true" t="shared" si="78" ref="E46:K46">SUM(E47:E48)</f>
        <v>2350</v>
      </c>
      <c r="F46" s="114">
        <f t="shared" si="78"/>
        <v>0</v>
      </c>
      <c r="G46" s="114">
        <f t="shared" si="78"/>
        <v>0</v>
      </c>
      <c r="H46" s="114">
        <f t="shared" si="78"/>
        <v>2350</v>
      </c>
      <c r="I46" s="114">
        <f t="shared" si="78"/>
        <v>0</v>
      </c>
      <c r="J46" s="114">
        <f t="shared" si="78"/>
        <v>0</v>
      </c>
      <c r="K46" s="114">
        <f t="shared" si="78"/>
        <v>2350</v>
      </c>
      <c r="L46" s="114">
        <f aca="true" t="shared" si="79" ref="L46:Q46">SUM(L47:L48)</f>
        <v>0</v>
      </c>
      <c r="M46" s="114">
        <f t="shared" si="79"/>
        <v>0</v>
      </c>
      <c r="N46" s="114">
        <f t="shared" si="79"/>
        <v>2350</v>
      </c>
      <c r="O46" s="114">
        <f t="shared" si="79"/>
        <v>0</v>
      </c>
      <c r="P46" s="114">
        <f t="shared" si="79"/>
        <v>0</v>
      </c>
      <c r="Q46" s="114">
        <f t="shared" si="79"/>
        <v>2350</v>
      </c>
      <c r="R46" s="114">
        <f aca="true" t="shared" si="80" ref="R46:W46">SUM(R47:R48)</f>
        <v>0</v>
      </c>
      <c r="S46" s="114">
        <f t="shared" si="80"/>
        <v>0</v>
      </c>
      <c r="T46" s="114">
        <f t="shared" si="80"/>
        <v>2350</v>
      </c>
      <c r="U46" s="114">
        <f t="shared" si="80"/>
        <v>0</v>
      </c>
      <c r="V46" s="114">
        <f t="shared" si="80"/>
        <v>0</v>
      </c>
      <c r="W46" s="114">
        <f t="shared" si="80"/>
        <v>2350</v>
      </c>
      <c r="X46" s="114">
        <f aca="true" t="shared" si="81" ref="X46:AC46">SUM(X47:X48)</f>
        <v>0</v>
      </c>
      <c r="Y46" s="114">
        <f t="shared" si="81"/>
        <v>0</v>
      </c>
      <c r="Z46" s="114">
        <f t="shared" si="81"/>
        <v>2350</v>
      </c>
      <c r="AA46" s="114">
        <f t="shared" si="81"/>
        <v>500</v>
      </c>
      <c r="AB46" s="114">
        <f t="shared" si="81"/>
        <v>500</v>
      </c>
      <c r="AC46" s="114">
        <f t="shared" si="81"/>
        <v>2350</v>
      </c>
      <c r="AD46" s="114">
        <f aca="true" t="shared" si="82" ref="AD46:AI46">SUM(AD47:AD48)</f>
        <v>0</v>
      </c>
      <c r="AE46" s="114">
        <f t="shared" si="82"/>
        <v>0</v>
      </c>
      <c r="AF46" s="114">
        <f t="shared" si="82"/>
        <v>2350</v>
      </c>
      <c r="AG46" s="114">
        <f t="shared" si="82"/>
        <v>0</v>
      </c>
      <c r="AH46" s="114">
        <f t="shared" si="82"/>
        <v>0</v>
      </c>
      <c r="AI46" s="114">
        <f t="shared" si="82"/>
        <v>2350</v>
      </c>
      <c r="AJ46" s="114">
        <f aca="true" t="shared" si="83" ref="AJ46:AO46">SUM(AJ47:AJ48)</f>
        <v>0</v>
      </c>
      <c r="AK46" s="114">
        <f t="shared" si="83"/>
        <v>0</v>
      </c>
      <c r="AL46" s="114">
        <f t="shared" si="83"/>
        <v>2350</v>
      </c>
      <c r="AM46" s="114">
        <f t="shared" si="83"/>
        <v>0</v>
      </c>
      <c r="AN46" s="114">
        <f t="shared" si="83"/>
        <v>0</v>
      </c>
      <c r="AO46" s="114">
        <f t="shared" si="83"/>
        <v>2350</v>
      </c>
      <c r="AP46" s="114">
        <f aca="true" t="shared" si="84" ref="AP46:AU46">SUM(AP47:AP48)</f>
        <v>0</v>
      </c>
      <c r="AQ46" s="114">
        <f t="shared" si="84"/>
        <v>0</v>
      </c>
      <c r="AR46" s="114">
        <f t="shared" si="84"/>
        <v>2350</v>
      </c>
      <c r="AS46" s="114">
        <f t="shared" si="84"/>
        <v>1562</v>
      </c>
      <c r="AT46" s="114">
        <f t="shared" si="84"/>
        <v>0</v>
      </c>
      <c r="AU46" s="114">
        <f t="shared" si="84"/>
        <v>3912</v>
      </c>
      <c r="AV46" s="339"/>
    </row>
    <row r="47" spans="1:48" s="37" customFormat="1" ht="21" customHeight="1">
      <c r="A47" s="98"/>
      <c r="B47" s="116"/>
      <c r="C47" s="98">
        <v>4260</v>
      </c>
      <c r="D47" s="56" t="s">
        <v>112</v>
      </c>
      <c r="E47" s="114">
        <v>1350</v>
      </c>
      <c r="F47" s="119"/>
      <c r="G47" s="119"/>
      <c r="H47" s="126">
        <f>SUM(E47+F47-G47)</f>
        <v>1350</v>
      </c>
      <c r="I47" s="119"/>
      <c r="J47" s="119"/>
      <c r="K47" s="126">
        <f>SUM(H47+I47-J47)</f>
        <v>1350</v>
      </c>
      <c r="L47" s="119"/>
      <c r="M47" s="119"/>
      <c r="N47" s="126">
        <f>SUM(K47+L47-M47)</f>
        <v>1350</v>
      </c>
      <c r="O47" s="119"/>
      <c r="P47" s="119"/>
      <c r="Q47" s="126">
        <f>SUM(N47+O47-P47)</f>
        <v>1350</v>
      </c>
      <c r="R47" s="119"/>
      <c r="S47" s="119"/>
      <c r="T47" s="126">
        <f>SUM(Q47+R47-S47)</f>
        <v>1350</v>
      </c>
      <c r="U47" s="119"/>
      <c r="V47" s="119"/>
      <c r="W47" s="126">
        <f>SUM(T47+U47-V47)</f>
        <v>1350</v>
      </c>
      <c r="X47" s="119"/>
      <c r="Y47" s="119"/>
      <c r="Z47" s="126">
        <f>SUM(W47+X47-Y47)</f>
        <v>1350</v>
      </c>
      <c r="AA47" s="119"/>
      <c r="AB47" s="119">
        <v>500</v>
      </c>
      <c r="AC47" s="126">
        <f>SUM(Z47+AA47-AB47)</f>
        <v>850</v>
      </c>
      <c r="AD47" s="119"/>
      <c r="AE47" s="119"/>
      <c r="AF47" s="126">
        <f>SUM(AC47+AD47-AE47)</f>
        <v>850</v>
      </c>
      <c r="AG47" s="119"/>
      <c r="AH47" s="119"/>
      <c r="AI47" s="126">
        <f>SUM(AF47+AG47-AH47)</f>
        <v>850</v>
      </c>
      <c r="AJ47" s="119"/>
      <c r="AK47" s="119"/>
      <c r="AL47" s="126">
        <f>SUM(AI47+AJ47-AK47)</f>
        <v>850</v>
      </c>
      <c r="AM47" s="119"/>
      <c r="AN47" s="119"/>
      <c r="AO47" s="126">
        <f>SUM(AL47+AM47-AN47)</f>
        <v>850</v>
      </c>
      <c r="AP47" s="119"/>
      <c r="AQ47" s="119"/>
      <c r="AR47" s="126">
        <f>SUM(AO47+AP47-AQ47)</f>
        <v>850</v>
      </c>
      <c r="AS47" s="119">
        <v>62</v>
      </c>
      <c r="AT47" s="119"/>
      <c r="AU47" s="126">
        <f>SUM(AR47+AS47-AT47)</f>
        <v>912</v>
      </c>
      <c r="AV47" s="337"/>
    </row>
    <row r="48" spans="1:48" s="37" customFormat="1" ht="21" customHeight="1">
      <c r="A48" s="98"/>
      <c r="B48" s="116"/>
      <c r="C48" s="98">
        <v>4300</v>
      </c>
      <c r="D48" s="56" t="s">
        <v>96</v>
      </c>
      <c r="E48" s="114">
        <v>1000</v>
      </c>
      <c r="F48" s="119"/>
      <c r="G48" s="119"/>
      <c r="H48" s="126">
        <f>SUM(E48+F48-G48)</f>
        <v>1000</v>
      </c>
      <c r="I48" s="119"/>
      <c r="J48" s="119"/>
      <c r="K48" s="126">
        <f>SUM(H48+I48-J48)</f>
        <v>1000</v>
      </c>
      <c r="L48" s="119"/>
      <c r="M48" s="119"/>
      <c r="N48" s="126">
        <f>SUM(K48+L48-M48)</f>
        <v>1000</v>
      </c>
      <c r="O48" s="119"/>
      <c r="P48" s="119"/>
      <c r="Q48" s="126">
        <f>SUM(N48+O48-P48)</f>
        <v>1000</v>
      </c>
      <c r="R48" s="119"/>
      <c r="S48" s="119"/>
      <c r="T48" s="126">
        <f>SUM(Q48+R48-S48)</f>
        <v>1000</v>
      </c>
      <c r="U48" s="119"/>
      <c r="V48" s="119"/>
      <c r="W48" s="126">
        <f>SUM(T48+U48-V48)</f>
        <v>1000</v>
      </c>
      <c r="X48" s="119"/>
      <c r="Y48" s="119"/>
      <c r="Z48" s="126">
        <f>SUM(W48+X48-Y48)</f>
        <v>1000</v>
      </c>
      <c r="AA48" s="119">
        <v>500</v>
      </c>
      <c r="AB48" s="119"/>
      <c r="AC48" s="126">
        <f>SUM(Z48+AA48-AB48)</f>
        <v>1500</v>
      </c>
      <c r="AD48" s="119"/>
      <c r="AE48" s="119"/>
      <c r="AF48" s="126">
        <f>SUM(AC48+AD48-AE48)</f>
        <v>1500</v>
      </c>
      <c r="AG48" s="119"/>
      <c r="AH48" s="119"/>
      <c r="AI48" s="126">
        <f>SUM(AF48+AG48-AH48)</f>
        <v>1500</v>
      </c>
      <c r="AJ48" s="119"/>
      <c r="AK48" s="119"/>
      <c r="AL48" s="126">
        <f>SUM(AI48+AJ48-AK48)</f>
        <v>1500</v>
      </c>
      <c r="AM48" s="119"/>
      <c r="AN48" s="119"/>
      <c r="AO48" s="126">
        <f>SUM(AL48+AM48-AN48)</f>
        <v>1500</v>
      </c>
      <c r="AP48" s="119"/>
      <c r="AQ48" s="119"/>
      <c r="AR48" s="126">
        <f>SUM(AO48+AP48-AQ48)</f>
        <v>1500</v>
      </c>
      <c r="AS48" s="119">
        <v>1500</v>
      </c>
      <c r="AT48" s="119"/>
      <c r="AU48" s="126">
        <f>SUM(AR48+AS48-AT48)</f>
        <v>3000</v>
      </c>
      <c r="AV48" s="337"/>
    </row>
    <row r="49" spans="1:48" s="8" customFormat="1" ht="24.75" customHeight="1">
      <c r="A49" s="51" t="s">
        <v>22</v>
      </c>
      <c r="B49" s="52"/>
      <c r="C49" s="53"/>
      <c r="D49" s="54" t="s">
        <v>100</v>
      </c>
      <c r="E49" s="55">
        <f aca="true" t="shared" si="85" ref="E49:K49">SUM(E50,E56,E63,E82)</f>
        <v>4293518</v>
      </c>
      <c r="F49" s="55">
        <f t="shared" si="85"/>
        <v>0</v>
      </c>
      <c r="G49" s="55">
        <f t="shared" si="85"/>
        <v>0</v>
      </c>
      <c r="H49" s="55">
        <f t="shared" si="85"/>
        <v>4293518</v>
      </c>
      <c r="I49" s="55">
        <f t="shared" si="85"/>
        <v>0</v>
      </c>
      <c r="J49" s="55">
        <f t="shared" si="85"/>
        <v>0</v>
      </c>
      <c r="K49" s="55">
        <f t="shared" si="85"/>
        <v>4293518</v>
      </c>
      <c r="L49" s="55">
        <f aca="true" t="shared" si="86" ref="L49:Q49">SUM(L50,L56,L63,L82)</f>
        <v>0</v>
      </c>
      <c r="M49" s="55">
        <f t="shared" si="86"/>
        <v>0</v>
      </c>
      <c r="N49" s="55">
        <f t="shared" si="86"/>
        <v>4293518</v>
      </c>
      <c r="O49" s="55">
        <f t="shared" si="86"/>
        <v>138512</v>
      </c>
      <c r="P49" s="55">
        <f t="shared" si="86"/>
        <v>0</v>
      </c>
      <c r="Q49" s="55">
        <f t="shared" si="86"/>
        <v>4432030</v>
      </c>
      <c r="R49" s="55">
        <f aca="true" t="shared" si="87" ref="R49:W49">SUM(R50,R56,R63,R82)</f>
        <v>57300</v>
      </c>
      <c r="S49" s="55">
        <f t="shared" si="87"/>
        <v>62258</v>
      </c>
      <c r="T49" s="55">
        <f t="shared" si="87"/>
        <v>4427072</v>
      </c>
      <c r="U49" s="55">
        <f t="shared" si="87"/>
        <v>22178</v>
      </c>
      <c r="V49" s="55">
        <f t="shared" si="87"/>
        <v>1628</v>
      </c>
      <c r="W49" s="55">
        <f t="shared" si="87"/>
        <v>4447622</v>
      </c>
      <c r="X49" s="55">
        <f aca="true" t="shared" si="88" ref="X49:AC49">SUM(X50,X56,X63,X82)</f>
        <v>45700</v>
      </c>
      <c r="Y49" s="55">
        <f t="shared" si="88"/>
        <v>15200</v>
      </c>
      <c r="Z49" s="55">
        <f t="shared" si="88"/>
        <v>4478122</v>
      </c>
      <c r="AA49" s="55">
        <f t="shared" si="88"/>
        <v>23000</v>
      </c>
      <c r="AB49" s="55">
        <f t="shared" si="88"/>
        <v>28330</v>
      </c>
      <c r="AC49" s="55">
        <f t="shared" si="88"/>
        <v>4472792</v>
      </c>
      <c r="AD49" s="55">
        <f aca="true" t="shared" si="89" ref="AD49:AI49">SUM(AD50,AD56,AD63,AD82)</f>
        <v>3547</v>
      </c>
      <c r="AE49" s="55">
        <f t="shared" si="89"/>
        <v>3547</v>
      </c>
      <c r="AF49" s="55">
        <f t="shared" si="89"/>
        <v>4472792</v>
      </c>
      <c r="AG49" s="55">
        <f t="shared" si="89"/>
        <v>0</v>
      </c>
      <c r="AH49" s="55">
        <f t="shared" si="89"/>
        <v>2317</v>
      </c>
      <c r="AI49" s="55">
        <f t="shared" si="89"/>
        <v>4470475</v>
      </c>
      <c r="AJ49" s="55">
        <f aca="true" t="shared" si="90" ref="AJ49:AO49">SUM(AJ50,AJ56,AJ63,AJ82)</f>
        <v>0</v>
      </c>
      <c r="AK49" s="55">
        <f t="shared" si="90"/>
        <v>0</v>
      </c>
      <c r="AL49" s="55">
        <f t="shared" si="90"/>
        <v>4470475</v>
      </c>
      <c r="AM49" s="55">
        <f t="shared" si="90"/>
        <v>48966</v>
      </c>
      <c r="AN49" s="55">
        <f t="shared" si="90"/>
        <v>31800</v>
      </c>
      <c r="AO49" s="55">
        <f t="shared" si="90"/>
        <v>4487641</v>
      </c>
      <c r="AP49" s="55">
        <f aca="true" t="shared" si="91" ref="AP49:AU49">SUM(AP50,AP56,AP63,AP82)</f>
        <v>3357</v>
      </c>
      <c r="AQ49" s="55">
        <f t="shared" si="91"/>
        <v>3357</v>
      </c>
      <c r="AR49" s="55">
        <f t="shared" si="91"/>
        <v>4487641</v>
      </c>
      <c r="AS49" s="55">
        <f t="shared" si="91"/>
        <v>25139</v>
      </c>
      <c r="AT49" s="55">
        <f t="shared" si="91"/>
        <v>155495</v>
      </c>
      <c r="AU49" s="55">
        <f t="shared" si="91"/>
        <v>4357285</v>
      </c>
      <c r="AV49" s="338"/>
    </row>
    <row r="50" spans="1:48" s="37" customFormat="1" ht="21.75" customHeight="1">
      <c r="A50" s="98"/>
      <c r="B50" s="116">
        <v>75011</v>
      </c>
      <c r="C50" s="120"/>
      <c r="D50" s="56" t="s">
        <v>24</v>
      </c>
      <c r="E50" s="114">
        <f aca="true" t="shared" si="92" ref="E50:K50">SUM(E51:E55)</f>
        <v>144800</v>
      </c>
      <c r="F50" s="114">
        <f t="shared" si="92"/>
        <v>0</v>
      </c>
      <c r="G50" s="114">
        <f t="shared" si="92"/>
        <v>0</v>
      </c>
      <c r="H50" s="114">
        <f t="shared" si="92"/>
        <v>144800</v>
      </c>
      <c r="I50" s="114">
        <f t="shared" si="92"/>
        <v>0</v>
      </c>
      <c r="J50" s="114">
        <f t="shared" si="92"/>
        <v>0</v>
      </c>
      <c r="K50" s="114">
        <f t="shared" si="92"/>
        <v>144800</v>
      </c>
      <c r="L50" s="114">
        <f aca="true" t="shared" si="93" ref="L50:Q50">SUM(L51:L55)</f>
        <v>0</v>
      </c>
      <c r="M50" s="114">
        <f t="shared" si="93"/>
        <v>0</v>
      </c>
      <c r="N50" s="114">
        <f t="shared" si="93"/>
        <v>144800</v>
      </c>
      <c r="O50" s="114">
        <f t="shared" si="93"/>
        <v>0</v>
      </c>
      <c r="P50" s="114">
        <f t="shared" si="93"/>
        <v>0</v>
      </c>
      <c r="Q50" s="114">
        <f t="shared" si="93"/>
        <v>144800</v>
      </c>
      <c r="R50" s="114">
        <f aca="true" t="shared" si="94" ref="R50:W50">SUM(R51:R55)</f>
        <v>0</v>
      </c>
      <c r="S50" s="114">
        <f t="shared" si="94"/>
        <v>0</v>
      </c>
      <c r="T50" s="114">
        <f t="shared" si="94"/>
        <v>144800</v>
      </c>
      <c r="U50" s="114">
        <f t="shared" si="94"/>
        <v>0</v>
      </c>
      <c r="V50" s="114">
        <f t="shared" si="94"/>
        <v>0</v>
      </c>
      <c r="W50" s="114">
        <f t="shared" si="94"/>
        <v>144800</v>
      </c>
      <c r="X50" s="114">
        <f aca="true" t="shared" si="95" ref="X50:AC50">SUM(X51:X55)</f>
        <v>0</v>
      </c>
      <c r="Y50" s="114">
        <f t="shared" si="95"/>
        <v>0</v>
      </c>
      <c r="Z50" s="114">
        <f t="shared" si="95"/>
        <v>144800</v>
      </c>
      <c r="AA50" s="114">
        <f t="shared" si="95"/>
        <v>0</v>
      </c>
      <c r="AB50" s="114">
        <f t="shared" si="95"/>
        <v>0</v>
      </c>
      <c r="AC50" s="114">
        <f t="shared" si="95"/>
        <v>144800</v>
      </c>
      <c r="AD50" s="114">
        <f aca="true" t="shared" si="96" ref="AD50:AI50">SUM(AD51:AD55)</f>
        <v>0</v>
      </c>
      <c r="AE50" s="114">
        <f t="shared" si="96"/>
        <v>0</v>
      </c>
      <c r="AF50" s="114">
        <f t="shared" si="96"/>
        <v>144800</v>
      </c>
      <c r="AG50" s="114">
        <f t="shared" si="96"/>
        <v>0</v>
      </c>
      <c r="AH50" s="114">
        <f t="shared" si="96"/>
        <v>0</v>
      </c>
      <c r="AI50" s="114">
        <f t="shared" si="96"/>
        <v>144800</v>
      </c>
      <c r="AJ50" s="114">
        <f aca="true" t="shared" si="97" ref="AJ50:AO50">SUM(AJ51:AJ55)</f>
        <v>0</v>
      </c>
      <c r="AK50" s="114">
        <f t="shared" si="97"/>
        <v>0</v>
      </c>
      <c r="AL50" s="114">
        <f t="shared" si="97"/>
        <v>144800</v>
      </c>
      <c r="AM50" s="114">
        <f t="shared" si="97"/>
        <v>17166</v>
      </c>
      <c r="AN50" s="114">
        <f t="shared" si="97"/>
        <v>0</v>
      </c>
      <c r="AO50" s="114">
        <f t="shared" si="97"/>
        <v>161966</v>
      </c>
      <c r="AP50" s="114">
        <f aca="true" t="shared" si="98" ref="AP50:AU50">SUM(AP51:AP55)</f>
        <v>0</v>
      </c>
      <c r="AQ50" s="114">
        <f t="shared" si="98"/>
        <v>0</v>
      </c>
      <c r="AR50" s="114">
        <f t="shared" si="98"/>
        <v>161966</v>
      </c>
      <c r="AS50" s="114">
        <f t="shared" si="98"/>
        <v>211</v>
      </c>
      <c r="AT50" s="114">
        <f t="shared" si="98"/>
        <v>211</v>
      </c>
      <c r="AU50" s="114">
        <f t="shared" si="98"/>
        <v>161966</v>
      </c>
      <c r="AV50" s="339"/>
    </row>
    <row r="51" spans="1:48" s="37" customFormat="1" ht="21" customHeight="1">
      <c r="A51" s="98"/>
      <c r="B51" s="121"/>
      <c r="C51" s="98">
        <v>4010</v>
      </c>
      <c r="D51" s="56" t="s">
        <v>101</v>
      </c>
      <c r="E51" s="114">
        <v>102150</v>
      </c>
      <c r="F51" s="119"/>
      <c r="G51" s="119"/>
      <c r="H51" s="126">
        <f>SUM(E51+F51-G51)</f>
        <v>102150</v>
      </c>
      <c r="I51" s="119"/>
      <c r="J51" s="119"/>
      <c r="K51" s="126">
        <f>SUM(H51+I51-J51)</f>
        <v>102150</v>
      </c>
      <c r="L51" s="119"/>
      <c r="M51" s="119"/>
      <c r="N51" s="126">
        <f>SUM(K51+L51-M51)</f>
        <v>102150</v>
      </c>
      <c r="O51" s="119"/>
      <c r="P51" s="119"/>
      <c r="Q51" s="126">
        <f>SUM(N51+O51-P51)</f>
        <v>102150</v>
      </c>
      <c r="R51" s="119"/>
      <c r="S51" s="119"/>
      <c r="T51" s="126">
        <f>SUM(Q51+R51-S51)</f>
        <v>102150</v>
      </c>
      <c r="U51" s="119"/>
      <c r="V51" s="119"/>
      <c r="W51" s="126">
        <f>SUM(T51+U51-V51)</f>
        <v>102150</v>
      </c>
      <c r="X51" s="119"/>
      <c r="Y51" s="119"/>
      <c r="Z51" s="126">
        <f>SUM(W51+X51-Y51)</f>
        <v>102150</v>
      </c>
      <c r="AA51" s="119"/>
      <c r="AB51" s="119"/>
      <c r="AC51" s="126">
        <f>SUM(Z51+AA51-AB51)</f>
        <v>102150</v>
      </c>
      <c r="AD51" s="119"/>
      <c r="AE51" s="119"/>
      <c r="AF51" s="126">
        <f>SUM(AC51+AD51-AE51)</f>
        <v>102150</v>
      </c>
      <c r="AG51" s="119"/>
      <c r="AH51" s="119"/>
      <c r="AI51" s="126">
        <f>SUM(AF51+AG51-AH51)</f>
        <v>102150</v>
      </c>
      <c r="AJ51" s="119"/>
      <c r="AK51" s="119"/>
      <c r="AL51" s="126">
        <f>SUM(AI51+AJ51-AK51)</f>
        <v>102150</v>
      </c>
      <c r="AM51" s="119">
        <v>17166</v>
      </c>
      <c r="AN51" s="119"/>
      <c r="AO51" s="126">
        <f>SUM(AL51+AM51-AN51)</f>
        <v>119316</v>
      </c>
      <c r="AP51" s="119"/>
      <c r="AQ51" s="119"/>
      <c r="AR51" s="126">
        <f>SUM(AO51+AP51-AQ51)</f>
        <v>119316</v>
      </c>
      <c r="AS51" s="119"/>
      <c r="AT51" s="119">
        <v>8</v>
      </c>
      <c r="AU51" s="126">
        <f>SUM(AR51+AS51-AT51)</f>
        <v>119308</v>
      </c>
      <c r="AV51" s="337">
        <f>SUM(AU51)</f>
        <v>119308</v>
      </c>
    </row>
    <row r="52" spans="1:48" s="37" customFormat="1" ht="21" customHeight="1">
      <c r="A52" s="98"/>
      <c r="B52" s="121"/>
      <c r="C52" s="98">
        <v>4040</v>
      </c>
      <c r="D52" s="56" t="s">
        <v>102</v>
      </c>
      <c r="E52" s="114">
        <v>16000</v>
      </c>
      <c r="F52" s="119"/>
      <c r="G52" s="119"/>
      <c r="H52" s="126">
        <f>SUM(E52+F52-G52)</f>
        <v>16000</v>
      </c>
      <c r="I52" s="119"/>
      <c r="J52" s="119"/>
      <c r="K52" s="126">
        <f>SUM(H52+I52-J52)</f>
        <v>16000</v>
      </c>
      <c r="L52" s="119"/>
      <c r="M52" s="119"/>
      <c r="N52" s="126">
        <f>SUM(K52+L52-M52)</f>
        <v>16000</v>
      </c>
      <c r="O52" s="119"/>
      <c r="P52" s="119"/>
      <c r="Q52" s="126">
        <f>SUM(N52+O52-P52)</f>
        <v>16000</v>
      </c>
      <c r="R52" s="119"/>
      <c r="S52" s="119"/>
      <c r="T52" s="126">
        <f>SUM(Q52+R52-S52)</f>
        <v>16000</v>
      </c>
      <c r="U52" s="119"/>
      <c r="V52" s="119"/>
      <c r="W52" s="126">
        <f>SUM(T52+U52-V52)</f>
        <v>16000</v>
      </c>
      <c r="X52" s="119"/>
      <c r="Y52" s="119"/>
      <c r="Z52" s="126">
        <f>SUM(W52+X52-Y52)</f>
        <v>16000</v>
      </c>
      <c r="AA52" s="119"/>
      <c r="AB52" s="119"/>
      <c r="AC52" s="126">
        <f>SUM(Z52+AA52-AB52)</f>
        <v>16000</v>
      </c>
      <c r="AD52" s="119"/>
      <c r="AE52" s="119"/>
      <c r="AF52" s="126">
        <f>SUM(AC52+AD52-AE52)</f>
        <v>16000</v>
      </c>
      <c r="AG52" s="119"/>
      <c r="AH52" s="119"/>
      <c r="AI52" s="126">
        <f>SUM(AF52+AG52-AH52)</f>
        <v>16000</v>
      </c>
      <c r="AJ52" s="119"/>
      <c r="AK52" s="119"/>
      <c r="AL52" s="126">
        <f>SUM(AI52+AJ52-AK52)</f>
        <v>16000</v>
      </c>
      <c r="AM52" s="119"/>
      <c r="AN52" s="119"/>
      <c r="AO52" s="126">
        <f>SUM(AL52+AM52-AN52)</f>
        <v>16000</v>
      </c>
      <c r="AP52" s="119"/>
      <c r="AQ52" s="119"/>
      <c r="AR52" s="126">
        <f>SUM(AO52+AP52-AQ52)</f>
        <v>16000</v>
      </c>
      <c r="AS52" s="119"/>
      <c r="AT52" s="119">
        <v>203</v>
      </c>
      <c r="AU52" s="126">
        <f>SUM(AR52+AS52-AT52)</f>
        <v>15797</v>
      </c>
      <c r="AV52" s="337">
        <f>SUM(AU52)</f>
        <v>15797</v>
      </c>
    </row>
    <row r="53" spans="1:48" s="37" customFormat="1" ht="21" customHeight="1">
      <c r="A53" s="98"/>
      <c r="B53" s="121"/>
      <c r="C53" s="98">
        <v>4110</v>
      </c>
      <c r="D53" s="56" t="s">
        <v>103</v>
      </c>
      <c r="E53" s="114">
        <v>17500</v>
      </c>
      <c r="F53" s="119"/>
      <c r="G53" s="119"/>
      <c r="H53" s="126">
        <f>SUM(E53+F53-G53)</f>
        <v>17500</v>
      </c>
      <c r="I53" s="119"/>
      <c r="J53" s="119"/>
      <c r="K53" s="126">
        <f>SUM(H53+I53-J53)</f>
        <v>17500</v>
      </c>
      <c r="L53" s="119"/>
      <c r="M53" s="119"/>
      <c r="N53" s="126">
        <f>SUM(K53+L53-M53)</f>
        <v>17500</v>
      </c>
      <c r="O53" s="119"/>
      <c r="P53" s="119"/>
      <c r="Q53" s="126">
        <f>SUM(N53+O53-P53)</f>
        <v>17500</v>
      </c>
      <c r="R53" s="119"/>
      <c r="S53" s="119"/>
      <c r="T53" s="126">
        <f>SUM(Q53+R53-S53)</f>
        <v>17500</v>
      </c>
      <c r="U53" s="119"/>
      <c r="V53" s="119"/>
      <c r="W53" s="126">
        <f>SUM(T53+U53-V53)</f>
        <v>17500</v>
      </c>
      <c r="X53" s="119"/>
      <c r="Y53" s="119"/>
      <c r="Z53" s="126">
        <f>SUM(W53+X53-Y53)</f>
        <v>17500</v>
      </c>
      <c r="AA53" s="119"/>
      <c r="AB53" s="119"/>
      <c r="AC53" s="126">
        <f>SUM(Z53+AA53-AB53)</f>
        <v>17500</v>
      </c>
      <c r="AD53" s="119"/>
      <c r="AE53" s="119"/>
      <c r="AF53" s="126">
        <f>SUM(AC53+AD53-AE53)</f>
        <v>17500</v>
      </c>
      <c r="AG53" s="119"/>
      <c r="AH53" s="119"/>
      <c r="AI53" s="126">
        <f>SUM(AF53+AG53-AH53)</f>
        <v>17500</v>
      </c>
      <c r="AJ53" s="119"/>
      <c r="AK53" s="119"/>
      <c r="AL53" s="126">
        <f>SUM(AI53+AJ53-AK53)</f>
        <v>17500</v>
      </c>
      <c r="AM53" s="119"/>
      <c r="AN53" s="119"/>
      <c r="AO53" s="126">
        <f>SUM(AL53+AM53-AN53)</f>
        <v>17500</v>
      </c>
      <c r="AP53" s="119"/>
      <c r="AQ53" s="119"/>
      <c r="AR53" s="126">
        <f>SUM(AO53+AP53-AQ53)</f>
        <v>17500</v>
      </c>
      <c r="AS53" s="119"/>
      <c r="AT53" s="119"/>
      <c r="AU53" s="126">
        <f>SUM(AR53+AS53-AT53)</f>
        <v>17500</v>
      </c>
      <c r="AV53" s="337">
        <f>SUM(AU53)</f>
        <v>17500</v>
      </c>
    </row>
    <row r="54" spans="1:48" s="37" customFormat="1" ht="21" customHeight="1">
      <c r="A54" s="98"/>
      <c r="B54" s="121"/>
      <c r="C54" s="98">
        <v>4120</v>
      </c>
      <c r="D54" s="56" t="s">
        <v>104</v>
      </c>
      <c r="E54" s="114">
        <v>2500</v>
      </c>
      <c r="F54" s="119"/>
      <c r="G54" s="119"/>
      <c r="H54" s="126">
        <f>SUM(E54+F54-G54)</f>
        <v>2500</v>
      </c>
      <c r="I54" s="119"/>
      <c r="J54" s="119"/>
      <c r="K54" s="126">
        <f>SUM(H54+I54-J54)</f>
        <v>2500</v>
      </c>
      <c r="L54" s="119"/>
      <c r="M54" s="119"/>
      <c r="N54" s="126">
        <f>SUM(K54+L54-M54)</f>
        <v>2500</v>
      </c>
      <c r="O54" s="119"/>
      <c r="P54" s="119"/>
      <c r="Q54" s="126">
        <f>SUM(N54+O54-P54)</f>
        <v>2500</v>
      </c>
      <c r="R54" s="119"/>
      <c r="S54" s="119"/>
      <c r="T54" s="126">
        <f>SUM(Q54+R54-S54)</f>
        <v>2500</v>
      </c>
      <c r="U54" s="119"/>
      <c r="V54" s="119"/>
      <c r="W54" s="126">
        <f>SUM(T54+U54-V54)</f>
        <v>2500</v>
      </c>
      <c r="X54" s="119"/>
      <c r="Y54" s="119"/>
      <c r="Z54" s="126">
        <f>SUM(W54+X54-Y54)</f>
        <v>2500</v>
      </c>
      <c r="AA54" s="119"/>
      <c r="AB54" s="119"/>
      <c r="AC54" s="126">
        <f>SUM(Z54+AA54-AB54)</f>
        <v>2500</v>
      </c>
      <c r="AD54" s="119"/>
      <c r="AE54" s="119"/>
      <c r="AF54" s="126">
        <f>SUM(AC54+AD54-AE54)</f>
        <v>2500</v>
      </c>
      <c r="AG54" s="119"/>
      <c r="AH54" s="119"/>
      <c r="AI54" s="126">
        <f>SUM(AF54+AG54-AH54)</f>
        <v>2500</v>
      </c>
      <c r="AJ54" s="119"/>
      <c r="AK54" s="119"/>
      <c r="AL54" s="126">
        <f>SUM(AI54+AJ54-AK54)</f>
        <v>2500</v>
      </c>
      <c r="AM54" s="119"/>
      <c r="AN54" s="119"/>
      <c r="AO54" s="126">
        <f>SUM(AL54+AM54-AN54)</f>
        <v>2500</v>
      </c>
      <c r="AP54" s="119"/>
      <c r="AQ54" s="119"/>
      <c r="AR54" s="126">
        <f>SUM(AO54+AP54-AQ54)</f>
        <v>2500</v>
      </c>
      <c r="AS54" s="119"/>
      <c r="AT54" s="119"/>
      <c r="AU54" s="126">
        <f>SUM(AR54+AS54-AT54)</f>
        <v>2500</v>
      </c>
      <c r="AV54" s="337">
        <f>SUM(AU54)</f>
        <v>2500</v>
      </c>
    </row>
    <row r="55" spans="1:48" s="37" customFormat="1" ht="21" customHeight="1">
      <c r="A55" s="98"/>
      <c r="B55" s="121"/>
      <c r="C55" s="101">
        <v>4440</v>
      </c>
      <c r="D55" s="56" t="s">
        <v>105</v>
      </c>
      <c r="E55" s="114">
        <v>6650</v>
      </c>
      <c r="F55" s="119"/>
      <c r="G55" s="119"/>
      <c r="H55" s="126">
        <f>SUM(E55+F55-G55)</f>
        <v>6650</v>
      </c>
      <c r="I55" s="119"/>
      <c r="J55" s="119"/>
      <c r="K55" s="126">
        <f>SUM(H55+I55-J55)</f>
        <v>6650</v>
      </c>
      <c r="L55" s="119"/>
      <c r="M55" s="119"/>
      <c r="N55" s="126">
        <f>SUM(K55+L55-M55)</f>
        <v>6650</v>
      </c>
      <c r="O55" s="119"/>
      <c r="P55" s="119"/>
      <c r="Q55" s="126">
        <f>SUM(N55+O55-P55)</f>
        <v>6650</v>
      </c>
      <c r="R55" s="119"/>
      <c r="S55" s="119"/>
      <c r="T55" s="126">
        <f>SUM(Q55+R55-S55)</f>
        <v>6650</v>
      </c>
      <c r="U55" s="119"/>
      <c r="V55" s="119"/>
      <c r="W55" s="126">
        <f>SUM(T55+U55-V55)</f>
        <v>6650</v>
      </c>
      <c r="X55" s="119"/>
      <c r="Y55" s="119"/>
      <c r="Z55" s="126">
        <f>SUM(W55+X55-Y55)</f>
        <v>6650</v>
      </c>
      <c r="AA55" s="119"/>
      <c r="AB55" s="119"/>
      <c r="AC55" s="126">
        <f>SUM(Z55+AA55-AB55)</f>
        <v>6650</v>
      </c>
      <c r="AD55" s="119"/>
      <c r="AE55" s="119"/>
      <c r="AF55" s="126">
        <f>SUM(AC55+AD55-AE55)</f>
        <v>6650</v>
      </c>
      <c r="AG55" s="119"/>
      <c r="AH55" s="119"/>
      <c r="AI55" s="126">
        <f>SUM(AF55+AG55-AH55)</f>
        <v>6650</v>
      </c>
      <c r="AJ55" s="119"/>
      <c r="AK55" s="119"/>
      <c r="AL55" s="126">
        <f>SUM(AI55+AJ55-AK55)</f>
        <v>6650</v>
      </c>
      <c r="AM55" s="119"/>
      <c r="AN55" s="119"/>
      <c r="AO55" s="126">
        <f>SUM(AL55+AM55-AN55)</f>
        <v>6650</v>
      </c>
      <c r="AP55" s="119"/>
      <c r="AQ55" s="119"/>
      <c r="AR55" s="126">
        <f>SUM(AO55+AP55-AQ55)</f>
        <v>6650</v>
      </c>
      <c r="AS55" s="119">
        <v>211</v>
      </c>
      <c r="AT55" s="119"/>
      <c r="AU55" s="126">
        <f>SUM(AR55+AS55-AT55)</f>
        <v>6861</v>
      </c>
      <c r="AV55" s="337"/>
    </row>
    <row r="56" spans="1:48" s="37" customFormat="1" ht="21.75" customHeight="1">
      <c r="A56" s="120"/>
      <c r="B56" s="116" t="s">
        <v>108</v>
      </c>
      <c r="C56" s="120"/>
      <c r="D56" s="56" t="s">
        <v>188</v>
      </c>
      <c r="E56" s="114">
        <f aca="true" t="shared" si="99" ref="E56:K56">SUM(E57:E62)</f>
        <v>227000</v>
      </c>
      <c r="F56" s="114">
        <f t="shared" si="99"/>
        <v>0</v>
      </c>
      <c r="G56" s="114">
        <f t="shared" si="99"/>
        <v>0</v>
      </c>
      <c r="H56" s="114">
        <f t="shared" si="99"/>
        <v>227000</v>
      </c>
      <c r="I56" s="114">
        <f t="shared" si="99"/>
        <v>0</v>
      </c>
      <c r="J56" s="114">
        <f t="shared" si="99"/>
        <v>0</v>
      </c>
      <c r="K56" s="114">
        <f t="shared" si="99"/>
        <v>227000</v>
      </c>
      <c r="L56" s="114">
        <f aca="true" t="shared" si="100" ref="L56:Q56">SUM(L57:L62)</f>
        <v>0</v>
      </c>
      <c r="M56" s="114">
        <f t="shared" si="100"/>
        <v>0</v>
      </c>
      <c r="N56" s="114">
        <f t="shared" si="100"/>
        <v>227000</v>
      </c>
      <c r="O56" s="114">
        <f t="shared" si="100"/>
        <v>0</v>
      </c>
      <c r="P56" s="114">
        <f t="shared" si="100"/>
        <v>0</v>
      </c>
      <c r="Q56" s="114">
        <f t="shared" si="100"/>
        <v>227000</v>
      </c>
      <c r="R56" s="114">
        <f aca="true" t="shared" si="101" ref="R56:W56">SUM(R57:R62)</f>
        <v>0</v>
      </c>
      <c r="S56" s="114">
        <f t="shared" si="101"/>
        <v>0</v>
      </c>
      <c r="T56" s="114">
        <f t="shared" si="101"/>
        <v>227000</v>
      </c>
      <c r="U56" s="114">
        <f t="shared" si="101"/>
        <v>0</v>
      </c>
      <c r="V56" s="114">
        <f t="shared" si="101"/>
        <v>0</v>
      </c>
      <c r="W56" s="114">
        <f t="shared" si="101"/>
        <v>227000</v>
      </c>
      <c r="X56" s="114">
        <f aca="true" t="shared" si="102" ref="X56:AC56">SUM(X57:X62)</f>
        <v>2000</v>
      </c>
      <c r="Y56" s="114">
        <f t="shared" si="102"/>
        <v>2000</v>
      </c>
      <c r="Z56" s="114">
        <f t="shared" si="102"/>
        <v>227000</v>
      </c>
      <c r="AA56" s="114">
        <f t="shared" si="102"/>
        <v>0</v>
      </c>
      <c r="AB56" s="114">
        <f t="shared" si="102"/>
        <v>0</v>
      </c>
      <c r="AC56" s="114">
        <f t="shared" si="102"/>
        <v>227000</v>
      </c>
      <c r="AD56" s="114">
        <f aca="true" t="shared" si="103" ref="AD56:AI56">SUM(AD57:AD62)</f>
        <v>0</v>
      </c>
      <c r="AE56" s="114">
        <f t="shared" si="103"/>
        <v>0</v>
      </c>
      <c r="AF56" s="114">
        <f t="shared" si="103"/>
        <v>227000</v>
      </c>
      <c r="AG56" s="114">
        <f t="shared" si="103"/>
        <v>0</v>
      </c>
      <c r="AH56" s="114">
        <f t="shared" si="103"/>
        <v>0</v>
      </c>
      <c r="AI56" s="114">
        <f t="shared" si="103"/>
        <v>227000</v>
      </c>
      <c r="AJ56" s="114">
        <f aca="true" t="shared" si="104" ref="AJ56:AO56">SUM(AJ57:AJ62)</f>
        <v>0</v>
      </c>
      <c r="AK56" s="114">
        <f t="shared" si="104"/>
        <v>0</v>
      </c>
      <c r="AL56" s="114">
        <f t="shared" si="104"/>
        <v>227000</v>
      </c>
      <c r="AM56" s="114">
        <f t="shared" si="104"/>
        <v>300</v>
      </c>
      <c r="AN56" s="114">
        <f t="shared" si="104"/>
        <v>300</v>
      </c>
      <c r="AO56" s="114">
        <f t="shared" si="104"/>
        <v>227000</v>
      </c>
      <c r="AP56" s="114">
        <f aca="true" t="shared" si="105" ref="AP56:AU56">SUM(AP57:AP62)</f>
        <v>3357</v>
      </c>
      <c r="AQ56" s="114">
        <f t="shared" si="105"/>
        <v>3357</v>
      </c>
      <c r="AR56" s="114">
        <f t="shared" si="105"/>
        <v>227000</v>
      </c>
      <c r="AS56" s="114">
        <f t="shared" si="105"/>
        <v>0</v>
      </c>
      <c r="AT56" s="114">
        <f t="shared" si="105"/>
        <v>3000</v>
      </c>
      <c r="AU56" s="114">
        <f t="shared" si="105"/>
        <v>224000</v>
      </c>
      <c r="AV56" s="339"/>
    </row>
    <row r="57" spans="1:48" s="37" customFormat="1" ht="21" customHeight="1">
      <c r="A57" s="120"/>
      <c r="B57" s="116"/>
      <c r="C57" s="98">
        <v>3030</v>
      </c>
      <c r="D57" s="56" t="s">
        <v>106</v>
      </c>
      <c r="E57" s="114">
        <v>182000</v>
      </c>
      <c r="F57" s="119"/>
      <c r="G57" s="119"/>
      <c r="H57" s="126">
        <f aca="true" t="shared" si="106" ref="H57:H62">SUM(E57+F57-G57)</f>
        <v>182000</v>
      </c>
      <c r="I57" s="119"/>
      <c r="J57" s="119"/>
      <c r="K57" s="126">
        <f aca="true" t="shared" si="107" ref="K57:K62">SUM(H57+I57-J57)</f>
        <v>182000</v>
      </c>
      <c r="L57" s="119"/>
      <c r="M57" s="119"/>
      <c r="N57" s="126">
        <f aca="true" t="shared" si="108" ref="N57:N62">SUM(K57+L57-M57)</f>
        <v>182000</v>
      </c>
      <c r="O57" s="119"/>
      <c r="P57" s="119"/>
      <c r="Q57" s="126">
        <f aca="true" t="shared" si="109" ref="Q57:Q62">SUM(N57+O57-P57)</f>
        <v>182000</v>
      </c>
      <c r="R57" s="119"/>
      <c r="S57" s="119"/>
      <c r="T57" s="126">
        <f aca="true" t="shared" si="110" ref="T57:T62">SUM(Q57+R57-S57)</f>
        <v>182000</v>
      </c>
      <c r="U57" s="119"/>
      <c r="V57" s="119"/>
      <c r="W57" s="126">
        <f aca="true" t="shared" si="111" ref="W57:W62">SUM(T57+U57-V57)</f>
        <v>182000</v>
      </c>
      <c r="X57" s="119"/>
      <c r="Y57" s="119"/>
      <c r="Z57" s="126">
        <f aca="true" t="shared" si="112" ref="Z57:Z62">SUM(W57+X57-Y57)</f>
        <v>182000</v>
      </c>
      <c r="AA57" s="119"/>
      <c r="AB57" s="119"/>
      <c r="AC57" s="126">
        <f aca="true" t="shared" si="113" ref="AC57:AC62">SUM(Z57+AA57-AB57)</f>
        <v>182000</v>
      </c>
      <c r="AD57" s="119"/>
      <c r="AE57" s="119"/>
      <c r="AF57" s="126">
        <f aca="true" t="shared" si="114" ref="AF57:AF62">SUM(AC57+AD57-AE57)</f>
        <v>182000</v>
      </c>
      <c r="AG57" s="119"/>
      <c r="AH57" s="119"/>
      <c r="AI57" s="126">
        <f aca="true" t="shared" si="115" ref="AI57:AI62">SUM(AF57+AG57-AH57)</f>
        <v>182000</v>
      </c>
      <c r="AJ57" s="119"/>
      <c r="AK57" s="119"/>
      <c r="AL57" s="126">
        <f aca="true" t="shared" si="116" ref="AL57:AL62">SUM(AI57+AJ57-AK57)</f>
        <v>182000</v>
      </c>
      <c r="AM57" s="119">
        <v>300</v>
      </c>
      <c r="AN57" s="119"/>
      <c r="AO57" s="126">
        <f aca="true" t="shared" si="117" ref="AO57:AO62">SUM(AL57+AM57-AN57)</f>
        <v>182300</v>
      </c>
      <c r="AP57" s="119">
        <v>3357</v>
      </c>
      <c r="AQ57" s="119"/>
      <c r="AR57" s="126">
        <f aca="true" t="shared" si="118" ref="AR57:AR62">SUM(AO57+AP57-AQ57)</f>
        <v>185657</v>
      </c>
      <c r="AS57" s="119"/>
      <c r="AT57" s="119"/>
      <c r="AU57" s="126">
        <f aca="true" t="shared" si="119" ref="AU57:AU62">SUM(AR57+AS57-AT57)</f>
        <v>185657</v>
      </c>
      <c r="AV57" s="337"/>
    </row>
    <row r="58" spans="1:48" s="37" customFormat="1" ht="21" customHeight="1">
      <c r="A58" s="120"/>
      <c r="B58" s="116"/>
      <c r="C58" s="98">
        <v>4170</v>
      </c>
      <c r="D58" s="56" t="s">
        <v>252</v>
      </c>
      <c r="E58" s="114">
        <v>2000</v>
      </c>
      <c r="F58" s="119"/>
      <c r="G58" s="119"/>
      <c r="H58" s="126">
        <f t="shared" si="106"/>
        <v>2000</v>
      </c>
      <c r="I58" s="119"/>
      <c r="J58" s="119"/>
      <c r="K58" s="126">
        <f t="shared" si="107"/>
        <v>2000</v>
      </c>
      <c r="L58" s="119"/>
      <c r="M58" s="119"/>
      <c r="N58" s="126">
        <f t="shared" si="108"/>
        <v>2000</v>
      </c>
      <c r="O58" s="119"/>
      <c r="P58" s="119"/>
      <c r="Q58" s="126">
        <f t="shared" si="109"/>
        <v>2000</v>
      </c>
      <c r="R58" s="119"/>
      <c r="S58" s="119"/>
      <c r="T58" s="126">
        <f t="shared" si="110"/>
        <v>2000</v>
      </c>
      <c r="U58" s="119"/>
      <c r="V58" s="119"/>
      <c r="W58" s="126">
        <f t="shared" si="111"/>
        <v>2000</v>
      </c>
      <c r="X58" s="119"/>
      <c r="Y58" s="119"/>
      <c r="Z58" s="126">
        <f t="shared" si="112"/>
        <v>2000</v>
      </c>
      <c r="AA58" s="119"/>
      <c r="AB58" s="119"/>
      <c r="AC58" s="126">
        <f t="shared" si="113"/>
        <v>2000</v>
      </c>
      <c r="AD58" s="119"/>
      <c r="AE58" s="119"/>
      <c r="AF58" s="126">
        <f t="shared" si="114"/>
        <v>2000</v>
      </c>
      <c r="AG58" s="119"/>
      <c r="AH58" s="119"/>
      <c r="AI58" s="126">
        <f t="shared" si="115"/>
        <v>2000</v>
      </c>
      <c r="AJ58" s="119"/>
      <c r="AK58" s="119"/>
      <c r="AL58" s="126">
        <f t="shared" si="116"/>
        <v>2000</v>
      </c>
      <c r="AM58" s="119"/>
      <c r="AN58" s="119"/>
      <c r="AO58" s="126">
        <f t="shared" si="117"/>
        <v>2000</v>
      </c>
      <c r="AP58" s="119"/>
      <c r="AQ58" s="119"/>
      <c r="AR58" s="126">
        <f t="shared" si="118"/>
        <v>2000</v>
      </c>
      <c r="AS58" s="119"/>
      <c r="AT58" s="119">
        <v>2000</v>
      </c>
      <c r="AU58" s="126">
        <f t="shared" si="119"/>
        <v>0</v>
      </c>
      <c r="AV58" s="337">
        <f>AU58</f>
        <v>0</v>
      </c>
    </row>
    <row r="59" spans="1:48" s="37" customFormat="1" ht="20.25" customHeight="1">
      <c r="A59" s="120"/>
      <c r="B59" s="116"/>
      <c r="C59" s="98">
        <v>4210</v>
      </c>
      <c r="D59" s="56" t="s">
        <v>109</v>
      </c>
      <c r="E59" s="114">
        <v>17500</v>
      </c>
      <c r="F59" s="119"/>
      <c r="G59" s="119"/>
      <c r="H59" s="126">
        <f t="shared" si="106"/>
        <v>17500</v>
      </c>
      <c r="I59" s="119"/>
      <c r="J59" s="119"/>
      <c r="K59" s="126">
        <f t="shared" si="107"/>
        <v>17500</v>
      </c>
      <c r="L59" s="119"/>
      <c r="M59" s="119"/>
      <c r="N59" s="126">
        <f t="shared" si="108"/>
        <v>17500</v>
      </c>
      <c r="O59" s="119"/>
      <c r="P59" s="119"/>
      <c r="Q59" s="126">
        <f t="shared" si="109"/>
        <v>17500</v>
      </c>
      <c r="R59" s="119"/>
      <c r="S59" s="119"/>
      <c r="T59" s="126">
        <f t="shared" si="110"/>
        <v>17500</v>
      </c>
      <c r="U59" s="119"/>
      <c r="V59" s="119"/>
      <c r="W59" s="126">
        <f t="shared" si="111"/>
        <v>17500</v>
      </c>
      <c r="X59" s="119"/>
      <c r="Y59" s="119"/>
      <c r="Z59" s="126">
        <f t="shared" si="112"/>
        <v>17500</v>
      </c>
      <c r="AA59" s="119"/>
      <c r="AB59" s="119"/>
      <c r="AC59" s="126">
        <f t="shared" si="113"/>
        <v>17500</v>
      </c>
      <c r="AD59" s="119"/>
      <c r="AE59" s="119"/>
      <c r="AF59" s="126">
        <f t="shared" si="114"/>
        <v>17500</v>
      </c>
      <c r="AG59" s="119"/>
      <c r="AH59" s="119"/>
      <c r="AI59" s="126">
        <f t="shared" si="115"/>
        <v>17500</v>
      </c>
      <c r="AJ59" s="119"/>
      <c r="AK59" s="119"/>
      <c r="AL59" s="126">
        <f t="shared" si="116"/>
        <v>17500</v>
      </c>
      <c r="AM59" s="119"/>
      <c r="AN59" s="119"/>
      <c r="AO59" s="126">
        <f t="shared" si="117"/>
        <v>17500</v>
      </c>
      <c r="AP59" s="119"/>
      <c r="AQ59" s="119">
        <v>2000</v>
      </c>
      <c r="AR59" s="126">
        <f t="shared" si="118"/>
        <v>15500</v>
      </c>
      <c r="AS59" s="119"/>
      <c r="AT59" s="119"/>
      <c r="AU59" s="126">
        <f t="shared" si="119"/>
        <v>15500</v>
      </c>
      <c r="AV59" s="337"/>
    </row>
    <row r="60" spans="1:48" s="37" customFormat="1" ht="19.5" customHeight="1">
      <c r="A60" s="120"/>
      <c r="B60" s="116"/>
      <c r="C60" s="98">
        <v>4300</v>
      </c>
      <c r="D60" s="56" t="s">
        <v>96</v>
      </c>
      <c r="E60" s="114">
        <v>22000</v>
      </c>
      <c r="F60" s="119"/>
      <c r="G60" s="119"/>
      <c r="H60" s="126">
        <f t="shared" si="106"/>
        <v>22000</v>
      </c>
      <c r="I60" s="119"/>
      <c r="J60" s="119"/>
      <c r="K60" s="126">
        <f t="shared" si="107"/>
        <v>22000</v>
      </c>
      <c r="L60" s="119"/>
      <c r="M60" s="119"/>
      <c r="N60" s="126">
        <f t="shared" si="108"/>
        <v>22000</v>
      </c>
      <c r="O60" s="119"/>
      <c r="P60" s="119"/>
      <c r="Q60" s="126">
        <f t="shared" si="109"/>
        <v>22000</v>
      </c>
      <c r="R60" s="119"/>
      <c r="S60" s="119"/>
      <c r="T60" s="126">
        <f t="shared" si="110"/>
        <v>22000</v>
      </c>
      <c r="U60" s="119"/>
      <c r="V60" s="119"/>
      <c r="W60" s="126">
        <f t="shared" si="111"/>
        <v>22000</v>
      </c>
      <c r="X60" s="119">
        <v>2000</v>
      </c>
      <c r="Y60" s="119"/>
      <c r="Z60" s="126">
        <f t="shared" si="112"/>
        <v>24000</v>
      </c>
      <c r="AA60" s="119"/>
      <c r="AB60" s="119"/>
      <c r="AC60" s="126">
        <f t="shared" si="113"/>
        <v>24000</v>
      </c>
      <c r="AD60" s="119"/>
      <c r="AE60" s="119"/>
      <c r="AF60" s="126">
        <f t="shared" si="114"/>
        <v>24000</v>
      </c>
      <c r="AG60" s="119"/>
      <c r="AH60" s="119"/>
      <c r="AI60" s="126">
        <f t="shared" si="115"/>
        <v>24000</v>
      </c>
      <c r="AJ60" s="119"/>
      <c r="AK60" s="119"/>
      <c r="AL60" s="126">
        <f t="shared" si="116"/>
        <v>24000</v>
      </c>
      <c r="AM60" s="119"/>
      <c r="AN60" s="119"/>
      <c r="AO60" s="126">
        <f t="shared" si="117"/>
        <v>24000</v>
      </c>
      <c r="AP60" s="119"/>
      <c r="AQ60" s="119">
        <v>1357</v>
      </c>
      <c r="AR60" s="126">
        <f t="shared" si="118"/>
        <v>22643</v>
      </c>
      <c r="AS60" s="119"/>
      <c r="AT60" s="119"/>
      <c r="AU60" s="126">
        <f t="shared" si="119"/>
        <v>22643</v>
      </c>
      <c r="AV60" s="337"/>
    </row>
    <row r="61" spans="1:48" s="37" customFormat="1" ht="21" customHeight="1">
      <c r="A61" s="120"/>
      <c r="B61" s="116"/>
      <c r="C61" s="98">
        <v>4410</v>
      </c>
      <c r="D61" s="56" t="s">
        <v>107</v>
      </c>
      <c r="E61" s="114">
        <v>3000</v>
      </c>
      <c r="F61" s="119"/>
      <c r="G61" s="119"/>
      <c r="H61" s="126">
        <f t="shared" si="106"/>
        <v>3000</v>
      </c>
      <c r="I61" s="119"/>
      <c r="J61" s="119"/>
      <c r="K61" s="126">
        <f t="shared" si="107"/>
        <v>3000</v>
      </c>
      <c r="L61" s="119"/>
      <c r="M61" s="119"/>
      <c r="N61" s="126">
        <f t="shared" si="108"/>
        <v>3000</v>
      </c>
      <c r="O61" s="119"/>
      <c r="P61" s="119"/>
      <c r="Q61" s="126">
        <f t="shared" si="109"/>
        <v>3000</v>
      </c>
      <c r="R61" s="119"/>
      <c r="S61" s="119"/>
      <c r="T61" s="126">
        <f t="shared" si="110"/>
        <v>3000</v>
      </c>
      <c r="U61" s="119"/>
      <c r="V61" s="119"/>
      <c r="W61" s="126">
        <f t="shared" si="111"/>
        <v>3000</v>
      </c>
      <c r="X61" s="119"/>
      <c r="Y61" s="119">
        <v>2000</v>
      </c>
      <c r="Z61" s="126">
        <f t="shared" si="112"/>
        <v>1000</v>
      </c>
      <c r="AA61" s="119"/>
      <c r="AB61" s="119"/>
      <c r="AC61" s="126">
        <f t="shared" si="113"/>
        <v>1000</v>
      </c>
      <c r="AD61" s="119"/>
      <c r="AE61" s="119"/>
      <c r="AF61" s="126">
        <f t="shared" si="114"/>
        <v>1000</v>
      </c>
      <c r="AG61" s="119"/>
      <c r="AH61" s="119"/>
      <c r="AI61" s="126">
        <f t="shared" si="115"/>
        <v>1000</v>
      </c>
      <c r="AJ61" s="119"/>
      <c r="AK61" s="119"/>
      <c r="AL61" s="126">
        <f t="shared" si="116"/>
        <v>1000</v>
      </c>
      <c r="AM61" s="119"/>
      <c r="AN61" s="119">
        <v>300</v>
      </c>
      <c r="AO61" s="126">
        <f t="shared" si="117"/>
        <v>700</v>
      </c>
      <c r="AP61" s="119"/>
      <c r="AQ61" s="119"/>
      <c r="AR61" s="126">
        <f t="shared" si="118"/>
        <v>700</v>
      </c>
      <c r="AS61" s="119"/>
      <c r="AT61" s="119">
        <v>500</v>
      </c>
      <c r="AU61" s="126">
        <f t="shared" si="119"/>
        <v>200</v>
      </c>
      <c r="AV61" s="337"/>
    </row>
    <row r="62" spans="1:48" s="37" customFormat="1" ht="21" customHeight="1">
      <c r="A62" s="120"/>
      <c r="B62" s="116"/>
      <c r="C62" s="101">
        <v>4430</v>
      </c>
      <c r="D62" s="56" t="s">
        <v>111</v>
      </c>
      <c r="E62" s="114">
        <v>500</v>
      </c>
      <c r="F62" s="119"/>
      <c r="G62" s="119"/>
      <c r="H62" s="126">
        <f t="shared" si="106"/>
        <v>500</v>
      </c>
      <c r="I62" s="119"/>
      <c r="J62" s="119"/>
      <c r="K62" s="126">
        <f t="shared" si="107"/>
        <v>500</v>
      </c>
      <c r="L62" s="119"/>
      <c r="M62" s="119"/>
      <c r="N62" s="126">
        <f t="shared" si="108"/>
        <v>500</v>
      </c>
      <c r="O62" s="119"/>
      <c r="P62" s="119"/>
      <c r="Q62" s="126">
        <f t="shared" si="109"/>
        <v>500</v>
      </c>
      <c r="R62" s="119"/>
      <c r="S62" s="119"/>
      <c r="T62" s="126">
        <f t="shared" si="110"/>
        <v>500</v>
      </c>
      <c r="U62" s="119"/>
      <c r="V62" s="119"/>
      <c r="W62" s="126">
        <f t="shared" si="111"/>
        <v>500</v>
      </c>
      <c r="X62" s="119"/>
      <c r="Y62" s="119"/>
      <c r="Z62" s="126">
        <f t="shared" si="112"/>
        <v>500</v>
      </c>
      <c r="AA62" s="119"/>
      <c r="AB62" s="119"/>
      <c r="AC62" s="126">
        <f t="shared" si="113"/>
        <v>500</v>
      </c>
      <c r="AD62" s="119"/>
      <c r="AE62" s="119"/>
      <c r="AF62" s="126">
        <f t="shared" si="114"/>
        <v>500</v>
      </c>
      <c r="AG62" s="119"/>
      <c r="AH62" s="119"/>
      <c r="AI62" s="126">
        <f t="shared" si="115"/>
        <v>500</v>
      </c>
      <c r="AJ62" s="119"/>
      <c r="AK62" s="119"/>
      <c r="AL62" s="126">
        <f t="shared" si="116"/>
        <v>500</v>
      </c>
      <c r="AM62" s="119"/>
      <c r="AN62" s="119"/>
      <c r="AO62" s="126">
        <f t="shared" si="117"/>
        <v>500</v>
      </c>
      <c r="AP62" s="119"/>
      <c r="AQ62" s="119"/>
      <c r="AR62" s="126">
        <f t="shared" si="118"/>
        <v>500</v>
      </c>
      <c r="AS62" s="119"/>
      <c r="AT62" s="119">
        <v>500</v>
      </c>
      <c r="AU62" s="126">
        <f t="shared" si="119"/>
        <v>0</v>
      </c>
      <c r="AV62" s="337"/>
    </row>
    <row r="63" spans="1:48" s="37" customFormat="1" ht="21.75" customHeight="1">
      <c r="A63" s="120"/>
      <c r="B63" s="116" t="s">
        <v>25</v>
      </c>
      <c r="C63" s="120"/>
      <c r="D63" s="56" t="s">
        <v>26</v>
      </c>
      <c r="E63" s="114">
        <f aca="true" t="shared" si="120" ref="E63:K63">SUM(E64:E81)</f>
        <v>3594480</v>
      </c>
      <c r="F63" s="114">
        <f t="shared" si="120"/>
        <v>0</v>
      </c>
      <c r="G63" s="114">
        <f t="shared" si="120"/>
        <v>0</v>
      </c>
      <c r="H63" s="114">
        <f t="shared" si="120"/>
        <v>3594480</v>
      </c>
      <c r="I63" s="114">
        <f t="shared" si="120"/>
        <v>0</v>
      </c>
      <c r="J63" s="114">
        <f t="shared" si="120"/>
        <v>0</v>
      </c>
      <c r="K63" s="114">
        <f t="shared" si="120"/>
        <v>3594480</v>
      </c>
      <c r="L63" s="114">
        <f aca="true" t="shared" si="121" ref="L63:Q63">SUM(L64:L81)</f>
        <v>0</v>
      </c>
      <c r="M63" s="114">
        <f t="shared" si="121"/>
        <v>0</v>
      </c>
      <c r="N63" s="114">
        <f t="shared" si="121"/>
        <v>3594480</v>
      </c>
      <c r="O63" s="114">
        <f t="shared" si="121"/>
        <v>138512</v>
      </c>
      <c r="P63" s="114">
        <f t="shared" si="121"/>
        <v>0</v>
      </c>
      <c r="Q63" s="114">
        <f t="shared" si="121"/>
        <v>3732992</v>
      </c>
      <c r="R63" s="114">
        <f aca="true" t="shared" si="122" ref="R63:W63">SUM(R64:R81)</f>
        <v>40342</v>
      </c>
      <c r="S63" s="114">
        <f t="shared" si="122"/>
        <v>40000</v>
      </c>
      <c r="T63" s="114">
        <f t="shared" si="122"/>
        <v>3733334</v>
      </c>
      <c r="U63" s="114">
        <f t="shared" si="122"/>
        <v>22178</v>
      </c>
      <c r="V63" s="114">
        <f t="shared" si="122"/>
        <v>428</v>
      </c>
      <c r="W63" s="114">
        <f t="shared" si="122"/>
        <v>3755084</v>
      </c>
      <c r="X63" s="114">
        <f aca="true" t="shared" si="123" ref="X63:AC63">SUM(X64:X81)</f>
        <v>42000</v>
      </c>
      <c r="Y63" s="114">
        <f t="shared" si="123"/>
        <v>10000</v>
      </c>
      <c r="Z63" s="114">
        <f t="shared" si="123"/>
        <v>3787084</v>
      </c>
      <c r="AA63" s="114">
        <f t="shared" si="123"/>
        <v>0</v>
      </c>
      <c r="AB63" s="114">
        <f t="shared" si="123"/>
        <v>0</v>
      </c>
      <c r="AC63" s="114">
        <f t="shared" si="123"/>
        <v>3787084</v>
      </c>
      <c r="AD63" s="114">
        <f aca="true" t="shared" si="124" ref="AD63:AI63">SUM(AD64:AD81)</f>
        <v>3500</v>
      </c>
      <c r="AE63" s="114">
        <f t="shared" si="124"/>
        <v>3500</v>
      </c>
      <c r="AF63" s="114">
        <f t="shared" si="124"/>
        <v>3787084</v>
      </c>
      <c r="AG63" s="114">
        <f t="shared" si="124"/>
        <v>0</v>
      </c>
      <c r="AH63" s="114">
        <f t="shared" si="124"/>
        <v>0</v>
      </c>
      <c r="AI63" s="114">
        <f t="shared" si="124"/>
        <v>3787084</v>
      </c>
      <c r="AJ63" s="114">
        <f aca="true" t="shared" si="125" ref="AJ63:AO63">SUM(AJ64:AJ81)</f>
        <v>0</v>
      </c>
      <c r="AK63" s="114">
        <f t="shared" si="125"/>
        <v>0</v>
      </c>
      <c r="AL63" s="114">
        <f t="shared" si="125"/>
        <v>3787084</v>
      </c>
      <c r="AM63" s="114">
        <f t="shared" si="125"/>
        <v>23500</v>
      </c>
      <c r="AN63" s="114">
        <f t="shared" si="125"/>
        <v>23500</v>
      </c>
      <c r="AO63" s="114">
        <f t="shared" si="125"/>
        <v>3787084</v>
      </c>
      <c r="AP63" s="114">
        <f aca="true" t="shared" si="126" ref="AP63:AU63">SUM(AP64:AP81)</f>
        <v>0</v>
      </c>
      <c r="AQ63" s="114">
        <f t="shared" si="126"/>
        <v>0</v>
      </c>
      <c r="AR63" s="114">
        <f t="shared" si="126"/>
        <v>3787084</v>
      </c>
      <c r="AS63" s="114">
        <f t="shared" si="126"/>
        <v>24628</v>
      </c>
      <c r="AT63" s="114">
        <f t="shared" si="126"/>
        <v>128636</v>
      </c>
      <c r="AU63" s="114">
        <f t="shared" si="126"/>
        <v>3683076</v>
      </c>
      <c r="AV63" s="339"/>
    </row>
    <row r="64" spans="1:48" s="37" customFormat="1" ht="21" customHeight="1">
      <c r="A64" s="120"/>
      <c r="B64" s="116"/>
      <c r="C64" s="98">
        <v>3020</v>
      </c>
      <c r="D64" s="56" t="s">
        <v>246</v>
      </c>
      <c r="E64" s="114">
        <v>26500</v>
      </c>
      <c r="F64" s="119"/>
      <c r="G64" s="119"/>
      <c r="H64" s="126">
        <f aca="true" t="shared" si="127" ref="H64:H81">SUM(E64+F64-G64)</f>
        <v>26500</v>
      </c>
      <c r="I64" s="119"/>
      <c r="J64" s="119"/>
      <c r="K64" s="126">
        <f aca="true" t="shared" si="128" ref="K64:K81">SUM(H64+I64-J64)</f>
        <v>26500</v>
      </c>
      <c r="L64" s="119"/>
      <c r="M64" s="119"/>
      <c r="N64" s="126">
        <f aca="true" t="shared" si="129" ref="N64:N81">SUM(K64+L64-M64)</f>
        <v>26500</v>
      </c>
      <c r="O64" s="119"/>
      <c r="P64" s="119"/>
      <c r="Q64" s="126">
        <f aca="true" t="shared" si="130" ref="Q64:Q81">SUM(N64+O64-P64)</f>
        <v>26500</v>
      </c>
      <c r="R64" s="119"/>
      <c r="S64" s="119"/>
      <c r="T64" s="126">
        <f aca="true" t="shared" si="131" ref="T64:T81">SUM(Q64+R64-S64)</f>
        <v>26500</v>
      </c>
      <c r="U64" s="119"/>
      <c r="V64" s="119"/>
      <c r="W64" s="126">
        <f aca="true" t="shared" si="132" ref="W64:W81">SUM(T64+U64-V64)</f>
        <v>26500</v>
      </c>
      <c r="X64" s="119"/>
      <c r="Y64" s="119"/>
      <c r="Z64" s="126">
        <f aca="true" t="shared" si="133" ref="Z64:Z81">SUM(W64+X64-Y64)</f>
        <v>26500</v>
      </c>
      <c r="AA64" s="119"/>
      <c r="AB64" s="119"/>
      <c r="AC64" s="126">
        <f aca="true" t="shared" si="134" ref="AC64:AC81">SUM(Z64+AA64-AB64)</f>
        <v>26500</v>
      </c>
      <c r="AD64" s="119"/>
      <c r="AE64" s="119"/>
      <c r="AF64" s="126">
        <f aca="true" t="shared" si="135" ref="AF64:AF81">SUM(AC64+AD64-AE64)</f>
        <v>26500</v>
      </c>
      <c r="AG64" s="119"/>
      <c r="AH64" s="119"/>
      <c r="AI64" s="126">
        <f aca="true" t="shared" si="136" ref="AI64:AI81">SUM(AF64+AG64-AH64)</f>
        <v>26500</v>
      </c>
      <c r="AJ64" s="119"/>
      <c r="AK64" s="119"/>
      <c r="AL64" s="126">
        <f aca="true" t="shared" si="137" ref="AL64:AL81">SUM(AI64+AJ64-AK64)</f>
        <v>26500</v>
      </c>
      <c r="AM64" s="119"/>
      <c r="AN64" s="119">
        <v>12500</v>
      </c>
      <c r="AO64" s="126">
        <f aca="true" t="shared" si="138" ref="AO64:AO81">SUM(AL64+AM64-AN64)</f>
        <v>14000</v>
      </c>
      <c r="AP64" s="119"/>
      <c r="AQ64" s="119"/>
      <c r="AR64" s="126">
        <f aca="true" t="shared" si="139" ref="AR64:AR81">SUM(AO64+AP64-AQ64)</f>
        <v>14000</v>
      </c>
      <c r="AS64" s="119"/>
      <c r="AT64" s="119">
        <v>1361</v>
      </c>
      <c r="AU64" s="126">
        <f aca="true" t="shared" si="140" ref="AU64:AU81">SUM(AR64+AS64-AT64)</f>
        <v>12639</v>
      </c>
      <c r="AV64" s="337"/>
    </row>
    <row r="65" spans="1:48" s="37" customFormat="1" ht="21" customHeight="1">
      <c r="A65" s="120"/>
      <c r="B65" s="116"/>
      <c r="C65" s="98">
        <v>3030</v>
      </c>
      <c r="D65" s="56" t="s">
        <v>106</v>
      </c>
      <c r="E65" s="114">
        <v>60000</v>
      </c>
      <c r="F65" s="119"/>
      <c r="G65" s="119"/>
      <c r="H65" s="126">
        <f t="shared" si="127"/>
        <v>60000</v>
      </c>
      <c r="I65" s="119"/>
      <c r="J65" s="119"/>
      <c r="K65" s="126">
        <f t="shared" si="128"/>
        <v>60000</v>
      </c>
      <c r="L65" s="119"/>
      <c r="M65" s="119"/>
      <c r="N65" s="126">
        <f t="shared" si="129"/>
        <v>60000</v>
      </c>
      <c r="O65" s="119"/>
      <c r="P65" s="119"/>
      <c r="Q65" s="126">
        <f t="shared" si="130"/>
        <v>60000</v>
      </c>
      <c r="R65" s="119"/>
      <c r="S65" s="119"/>
      <c r="T65" s="126">
        <f t="shared" si="131"/>
        <v>60000</v>
      </c>
      <c r="U65" s="119"/>
      <c r="V65" s="119"/>
      <c r="W65" s="126">
        <f t="shared" si="132"/>
        <v>60000</v>
      </c>
      <c r="X65" s="119"/>
      <c r="Y65" s="119"/>
      <c r="Z65" s="126">
        <f t="shared" si="133"/>
        <v>60000</v>
      </c>
      <c r="AA65" s="119"/>
      <c r="AB65" s="119"/>
      <c r="AC65" s="126">
        <f t="shared" si="134"/>
        <v>60000</v>
      </c>
      <c r="AD65" s="119"/>
      <c r="AE65" s="119"/>
      <c r="AF65" s="126">
        <f t="shared" si="135"/>
        <v>60000</v>
      </c>
      <c r="AG65" s="119"/>
      <c r="AH65" s="119"/>
      <c r="AI65" s="126">
        <f t="shared" si="136"/>
        <v>60000</v>
      </c>
      <c r="AJ65" s="119"/>
      <c r="AK65" s="119"/>
      <c r="AL65" s="126">
        <f t="shared" si="137"/>
        <v>60000</v>
      </c>
      <c r="AM65" s="119"/>
      <c r="AN65" s="119"/>
      <c r="AO65" s="126">
        <f t="shared" si="138"/>
        <v>60000</v>
      </c>
      <c r="AP65" s="119"/>
      <c r="AQ65" s="119"/>
      <c r="AR65" s="126">
        <f t="shared" si="139"/>
        <v>60000</v>
      </c>
      <c r="AS65" s="119"/>
      <c r="AT65" s="119">
        <v>350</v>
      </c>
      <c r="AU65" s="126">
        <f t="shared" si="140"/>
        <v>59650</v>
      </c>
      <c r="AV65" s="337"/>
    </row>
    <row r="66" spans="1:48" s="37" customFormat="1" ht="21" customHeight="1">
      <c r="A66" s="120"/>
      <c r="B66" s="116"/>
      <c r="C66" s="98">
        <v>4010</v>
      </c>
      <c r="D66" s="56" t="s">
        <v>101</v>
      </c>
      <c r="E66" s="114">
        <v>2145200</v>
      </c>
      <c r="F66" s="119"/>
      <c r="G66" s="119"/>
      <c r="H66" s="126">
        <f t="shared" si="127"/>
        <v>2145200</v>
      </c>
      <c r="I66" s="119"/>
      <c r="J66" s="119"/>
      <c r="K66" s="126">
        <f t="shared" si="128"/>
        <v>2145200</v>
      </c>
      <c r="L66" s="119"/>
      <c r="M66" s="119"/>
      <c r="N66" s="126">
        <f t="shared" si="129"/>
        <v>2145200</v>
      </c>
      <c r="O66" s="119"/>
      <c r="P66" s="119"/>
      <c r="Q66" s="126">
        <f t="shared" si="130"/>
        <v>2145200</v>
      </c>
      <c r="R66" s="119"/>
      <c r="S66" s="119"/>
      <c r="T66" s="126">
        <f t="shared" si="131"/>
        <v>2145200</v>
      </c>
      <c r="U66" s="119">
        <v>4060</v>
      </c>
      <c r="V66" s="119"/>
      <c r="W66" s="126">
        <f t="shared" si="132"/>
        <v>2149260</v>
      </c>
      <c r="X66" s="119"/>
      <c r="Y66" s="119"/>
      <c r="Z66" s="126">
        <f t="shared" si="133"/>
        <v>2149260</v>
      </c>
      <c r="AA66" s="119"/>
      <c r="AB66" s="119"/>
      <c r="AC66" s="126">
        <f t="shared" si="134"/>
        <v>2149260</v>
      </c>
      <c r="AD66" s="119"/>
      <c r="AE66" s="119"/>
      <c r="AF66" s="126">
        <f t="shared" si="135"/>
        <v>2149260</v>
      </c>
      <c r="AG66" s="119"/>
      <c r="AH66" s="119"/>
      <c r="AI66" s="126">
        <f t="shared" si="136"/>
        <v>2149260</v>
      </c>
      <c r="AJ66" s="119"/>
      <c r="AK66" s="119"/>
      <c r="AL66" s="126">
        <f t="shared" si="137"/>
        <v>2149260</v>
      </c>
      <c r="AM66" s="119"/>
      <c r="AN66" s="119"/>
      <c r="AO66" s="126">
        <f t="shared" si="138"/>
        <v>2149260</v>
      </c>
      <c r="AP66" s="119"/>
      <c r="AQ66" s="119"/>
      <c r="AR66" s="126">
        <f t="shared" si="139"/>
        <v>2149260</v>
      </c>
      <c r="AS66" s="119"/>
      <c r="AT66" s="119"/>
      <c r="AU66" s="126">
        <f t="shared" si="140"/>
        <v>2149260</v>
      </c>
      <c r="AV66" s="337">
        <f>AU66</f>
        <v>2149260</v>
      </c>
    </row>
    <row r="67" spans="1:48" s="37" customFormat="1" ht="21" customHeight="1">
      <c r="A67" s="120"/>
      <c r="B67" s="116"/>
      <c r="C67" s="98">
        <v>4040</v>
      </c>
      <c r="D67" s="56" t="s">
        <v>102</v>
      </c>
      <c r="E67" s="114">
        <v>110000</v>
      </c>
      <c r="F67" s="119"/>
      <c r="G67" s="119"/>
      <c r="H67" s="126">
        <f t="shared" si="127"/>
        <v>110000</v>
      </c>
      <c r="I67" s="119"/>
      <c r="J67" s="119"/>
      <c r="K67" s="126">
        <f t="shared" si="128"/>
        <v>110000</v>
      </c>
      <c r="L67" s="119"/>
      <c r="M67" s="119"/>
      <c r="N67" s="126">
        <f t="shared" si="129"/>
        <v>110000</v>
      </c>
      <c r="O67" s="119">
        <v>31000</v>
      </c>
      <c r="P67" s="119"/>
      <c r="Q67" s="126">
        <f t="shared" si="130"/>
        <v>141000</v>
      </c>
      <c r="R67" s="119"/>
      <c r="S67" s="119"/>
      <c r="T67" s="126">
        <f t="shared" si="131"/>
        <v>141000</v>
      </c>
      <c r="U67" s="119">
        <f>428+13433</f>
        <v>13861</v>
      </c>
      <c r="V67" s="119"/>
      <c r="W67" s="126">
        <f t="shared" si="132"/>
        <v>154861</v>
      </c>
      <c r="X67" s="119"/>
      <c r="Y67" s="119"/>
      <c r="Z67" s="126">
        <f t="shared" si="133"/>
        <v>154861</v>
      </c>
      <c r="AA67" s="119"/>
      <c r="AB67" s="119"/>
      <c r="AC67" s="126">
        <f t="shared" si="134"/>
        <v>154861</v>
      </c>
      <c r="AD67" s="119"/>
      <c r="AE67" s="119"/>
      <c r="AF67" s="126">
        <f t="shared" si="135"/>
        <v>154861</v>
      </c>
      <c r="AG67" s="119"/>
      <c r="AH67" s="119"/>
      <c r="AI67" s="126">
        <f t="shared" si="136"/>
        <v>154861</v>
      </c>
      <c r="AJ67" s="119"/>
      <c r="AK67" s="119"/>
      <c r="AL67" s="126">
        <f t="shared" si="137"/>
        <v>154861</v>
      </c>
      <c r="AM67" s="119"/>
      <c r="AN67" s="119"/>
      <c r="AO67" s="126">
        <f t="shared" si="138"/>
        <v>154861</v>
      </c>
      <c r="AP67" s="119"/>
      <c r="AQ67" s="119"/>
      <c r="AR67" s="126">
        <f t="shared" si="139"/>
        <v>154861</v>
      </c>
      <c r="AS67" s="119"/>
      <c r="AT67" s="119"/>
      <c r="AU67" s="126">
        <f t="shared" si="140"/>
        <v>154861</v>
      </c>
      <c r="AV67" s="337">
        <f>AU67</f>
        <v>154861</v>
      </c>
    </row>
    <row r="68" spans="1:48" s="37" customFormat="1" ht="21" customHeight="1">
      <c r="A68" s="120"/>
      <c r="B68" s="116"/>
      <c r="C68" s="98">
        <v>4110</v>
      </c>
      <c r="D68" s="56" t="s">
        <v>103</v>
      </c>
      <c r="E68" s="114">
        <v>377000</v>
      </c>
      <c r="F68" s="119"/>
      <c r="G68" s="119"/>
      <c r="H68" s="126">
        <f t="shared" si="127"/>
        <v>377000</v>
      </c>
      <c r="I68" s="119"/>
      <c r="J68" s="119"/>
      <c r="K68" s="126">
        <f t="shared" si="128"/>
        <v>377000</v>
      </c>
      <c r="L68" s="119"/>
      <c r="M68" s="119"/>
      <c r="N68" s="126">
        <f t="shared" si="129"/>
        <v>377000</v>
      </c>
      <c r="O68" s="119">
        <v>5700</v>
      </c>
      <c r="P68" s="119"/>
      <c r="Q68" s="126">
        <f t="shared" si="130"/>
        <v>382700</v>
      </c>
      <c r="R68" s="119"/>
      <c r="S68" s="119"/>
      <c r="T68" s="126">
        <f t="shared" si="131"/>
        <v>382700</v>
      </c>
      <c r="U68" s="119">
        <f>706+2335</f>
        <v>3041</v>
      </c>
      <c r="V68" s="119">
        <v>428</v>
      </c>
      <c r="W68" s="126">
        <f t="shared" si="132"/>
        <v>385313</v>
      </c>
      <c r="X68" s="119"/>
      <c r="Y68" s="119"/>
      <c r="Z68" s="126">
        <f t="shared" si="133"/>
        <v>385313</v>
      </c>
      <c r="AA68" s="119"/>
      <c r="AB68" s="119"/>
      <c r="AC68" s="126">
        <f t="shared" si="134"/>
        <v>385313</v>
      </c>
      <c r="AD68" s="119"/>
      <c r="AE68" s="119"/>
      <c r="AF68" s="126">
        <f t="shared" si="135"/>
        <v>385313</v>
      </c>
      <c r="AG68" s="119"/>
      <c r="AH68" s="119"/>
      <c r="AI68" s="126">
        <f t="shared" si="136"/>
        <v>385313</v>
      </c>
      <c r="AJ68" s="119"/>
      <c r="AK68" s="119"/>
      <c r="AL68" s="126">
        <f t="shared" si="137"/>
        <v>385313</v>
      </c>
      <c r="AM68" s="119"/>
      <c r="AN68" s="119"/>
      <c r="AO68" s="126">
        <f t="shared" si="138"/>
        <v>385313</v>
      </c>
      <c r="AP68" s="119"/>
      <c r="AQ68" s="119"/>
      <c r="AR68" s="126">
        <f t="shared" si="139"/>
        <v>385313</v>
      </c>
      <c r="AS68" s="119"/>
      <c r="AT68" s="119">
        <v>20000</v>
      </c>
      <c r="AU68" s="126">
        <f t="shared" si="140"/>
        <v>365313</v>
      </c>
      <c r="AV68" s="337">
        <f>AU68</f>
        <v>365313</v>
      </c>
    </row>
    <row r="69" spans="1:48" s="37" customFormat="1" ht="21" customHeight="1">
      <c r="A69" s="120"/>
      <c r="B69" s="116"/>
      <c r="C69" s="98">
        <v>4120</v>
      </c>
      <c r="D69" s="56" t="s">
        <v>104</v>
      </c>
      <c r="E69" s="114">
        <v>53600</v>
      </c>
      <c r="F69" s="119"/>
      <c r="G69" s="119"/>
      <c r="H69" s="126">
        <f t="shared" si="127"/>
        <v>53600</v>
      </c>
      <c r="I69" s="119"/>
      <c r="J69" s="119"/>
      <c r="K69" s="126">
        <f t="shared" si="128"/>
        <v>53600</v>
      </c>
      <c r="L69" s="119"/>
      <c r="M69" s="119"/>
      <c r="N69" s="126">
        <f t="shared" si="129"/>
        <v>53600</v>
      </c>
      <c r="O69" s="119">
        <v>812</v>
      </c>
      <c r="P69" s="119"/>
      <c r="Q69" s="126">
        <f t="shared" si="130"/>
        <v>54412</v>
      </c>
      <c r="R69" s="119"/>
      <c r="S69" s="119"/>
      <c r="T69" s="126">
        <f t="shared" si="131"/>
        <v>54412</v>
      </c>
      <c r="U69" s="119">
        <f>186+330</f>
        <v>516</v>
      </c>
      <c r="V69" s="119"/>
      <c r="W69" s="126">
        <f t="shared" si="132"/>
        <v>54928</v>
      </c>
      <c r="X69" s="119"/>
      <c r="Y69" s="119"/>
      <c r="Z69" s="126">
        <f t="shared" si="133"/>
        <v>54928</v>
      </c>
      <c r="AA69" s="119"/>
      <c r="AB69" s="119"/>
      <c r="AC69" s="126">
        <f t="shared" si="134"/>
        <v>54928</v>
      </c>
      <c r="AD69" s="119"/>
      <c r="AE69" s="119"/>
      <c r="AF69" s="126">
        <f t="shared" si="135"/>
        <v>54928</v>
      </c>
      <c r="AG69" s="119"/>
      <c r="AH69" s="119"/>
      <c r="AI69" s="126">
        <f t="shared" si="136"/>
        <v>54928</v>
      </c>
      <c r="AJ69" s="119"/>
      <c r="AK69" s="119"/>
      <c r="AL69" s="126">
        <f t="shared" si="137"/>
        <v>54928</v>
      </c>
      <c r="AM69" s="119"/>
      <c r="AN69" s="119"/>
      <c r="AO69" s="126">
        <f t="shared" si="138"/>
        <v>54928</v>
      </c>
      <c r="AP69" s="119"/>
      <c r="AQ69" s="119"/>
      <c r="AR69" s="126">
        <f t="shared" si="139"/>
        <v>54928</v>
      </c>
      <c r="AS69" s="119">
        <v>1400</v>
      </c>
      <c r="AT69" s="119"/>
      <c r="AU69" s="126">
        <f t="shared" si="140"/>
        <v>56328</v>
      </c>
      <c r="AV69" s="337">
        <f>AU69</f>
        <v>56328</v>
      </c>
    </row>
    <row r="70" spans="1:48" s="37" customFormat="1" ht="21" customHeight="1">
      <c r="A70" s="120"/>
      <c r="B70" s="116"/>
      <c r="C70" s="98">
        <v>4170</v>
      </c>
      <c r="D70" s="56" t="s">
        <v>252</v>
      </c>
      <c r="E70" s="114">
        <v>12500</v>
      </c>
      <c r="F70" s="119"/>
      <c r="G70" s="119"/>
      <c r="H70" s="126">
        <f t="shared" si="127"/>
        <v>12500</v>
      </c>
      <c r="I70" s="119"/>
      <c r="J70" s="119"/>
      <c r="K70" s="126">
        <f t="shared" si="128"/>
        <v>12500</v>
      </c>
      <c r="L70" s="119"/>
      <c r="M70" s="119"/>
      <c r="N70" s="126">
        <f t="shared" si="129"/>
        <v>12500</v>
      </c>
      <c r="O70" s="119"/>
      <c r="P70" s="119"/>
      <c r="Q70" s="126">
        <f t="shared" si="130"/>
        <v>12500</v>
      </c>
      <c r="R70" s="119"/>
      <c r="S70" s="119">
        <v>6000</v>
      </c>
      <c r="T70" s="126">
        <f t="shared" si="131"/>
        <v>6500</v>
      </c>
      <c r="U70" s="119"/>
      <c r="V70" s="119"/>
      <c r="W70" s="126">
        <f t="shared" si="132"/>
        <v>6500</v>
      </c>
      <c r="X70" s="119"/>
      <c r="Y70" s="119"/>
      <c r="Z70" s="126">
        <f t="shared" si="133"/>
        <v>6500</v>
      </c>
      <c r="AA70" s="119"/>
      <c r="AB70" s="119"/>
      <c r="AC70" s="126">
        <f t="shared" si="134"/>
        <v>6500</v>
      </c>
      <c r="AD70" s="119"/>
      <c r="AE70" s="119"/>
      <c r="AF70" s="126">
        <f t="shared" si="135"/>
        <v>6500</v>
      </c>
      <c r="AG70" s="119"/>
      <c r="AH70" s="119"/>
      <c r="AI70" s="126">
        <f t="shared" si="136"/>
        <v>6500</v>
      </c>
      <c r="AJ70" s="119"/>
      <c r="AK70" s="119"/>
      <c r="AL70" s="126">
        <f t="shared" si="137"/>
        <v>6500</v>
      </c>
      <c r="AM70" s="119"/>
      <c r="AN70" s="119"/>
      <c r="AO70" s="126">
        <f t="shared" si="138"/>
        <v>6500</v>
      </c>
      <c r="AP70" s="119"/>
      <c r="AQ70" s="119"/>
      <c r="AR70" s="126">
        <f t="shared" si="139"/>
        <v>6500</v>
      </c>
      <c r="AS70" s="119"/>
      <c r="AT70" s="119">
        <v>4000</v>
      </c>
      <c r="AU70" s="126">
        <f t="shared" si="140"/>
        <v>2500</v>
      </c>
      <c r="AV70" s="337">
        <f>AU70</f>
        <v>2500</v>
      </c>
    </row>
    <row r="71" spans="1:48" s="37" customFormat="1" ht="21" customHeight="1">
      <c r="A71" s="120"/>
      <c r="B71" s="116"/>
      <c r="C71" s="98">
        <v>4210</v>
      </c>
      <c r="D71" s="56" t="s">
        <v>109</v>
      </c>
      <c r="E71" s="114">
        <f>188200+1400</f>
        <v>189600</v>
      </c>
      <c r="F71" s="119"/>
      <c r="G71" s="119"/>
      <c r="H71" s="126">
        <f t="shared" si="127"/>
        <v>189600</v>
      </c>
      <c r="I71" s="119"/>
      <c r="J71" s="119"/>
      <c r="K71" s="126">
        <f t="shared" si="128"/>
        <v>189600</v>
      </c>
      <c r="L71" s="119"/>
      <c r="M71" s="119"/>
      <c r="N71" s="126">
        <f t="shared" si="129"/>
        <v>189600</v>
      </c>
      <c r="O71" s="119"/>
      <c r="P71" s="119"/>
      <c r="Q71" s="126">
        <f t="shared" si="130"/>
        <v>189600</v>
      </c>
      <c r="R71" s="119"/>
      <c r="S71" s="119">
        <v>26000</v>
      </c>
      <c r="T71" s="126">
        <f t="shared" si="131"/>
        <v>163600</v>
      </c>
      <c r="U71" s="119"/>
      <c r="V71" s="119"/>
      <c r="W71" s="126">
        <f t="shared" si="132"/>
        <v>163600</v>
      </c>
      <c r="X71" s="119"/>
      <c r="Y71" s="119"/>
      <c r="Z71" s="126">
        <f t="shared" si="133"/>
        <v>163600</v>
      </c>
      <c r="AA71" s="119"/>
      <c r="AB71" s="119"/>
      <c r="AC71" s="126">
        <f t="shared" si="134"/>
        <v>163600</v>
      </c>
      <c r="AD71" s="119"/>
      <c r="AE71" s="119"/>
      <c r="AF71" s="126">
        <f t="shared" si="135"/>
        <v>163600</v>
      </c>
      <c r="AG71" s="119"/>
      <c r="AH71" s="119"/>
      <c r="AI71" s="126">
        <f t="shared" si="136"/>
        <v>163600</v>
      </c>
      <c r="AJ71" s="119"/>
      <c r="AK71" s="119"/>
      <c r="AL71" s="126">
        <f t="shared" si="137"/>
        <v>163600</v>
      </c>
      <c r="AM71" s="119">
        <v>1000</v>
      </c>
      <c r="AN71" s="119">
        <v>5000</v>
      </c>
      <c r="AO71" s="126">
        <f t="shared" si="138"/>
        <v>159600</v>
      </c>
      <c r="AP71" s="119"/>
      <c r="AQ71" s="119"/>
      <c r="AR71" s="126">
        <f t="shared" si="139"/>
        <v>159600</v>
      </c>
      <c r="AS71" s="119">
        <v>9051</v>
      </c>
      <c r="AT71" s="119">
        <v>16600</v>
      </c>
      <c r="AU71" s="126">
        <f t="shared" si="140"/>
        <v>152051</v>
      </c>
      <c r="AV71" s="337"/>
    </row>
    <row r="72" spans="1:48" s="37" customFormat="1" ht="21" customHeight="1">
      <c r="A72" s="120"/>
      <c r="B72" s="116"/>
      <c r="C72" s="98">
        <v>4260</v>
      </c>
      <c r="D72" s="56" t="s">
        <v>112</v>
      </c>
      <c r="E72" s="114">
        <v>79500</v>
      </c>
      <c r="F72" s="119"/>
      <c r="G72" s="119"/>
      <c r="H72" s="126">
        <f t="shared" si="127"/>
        <v>79500</v>
      </c>
      <c r="I72" s="119"/>
      <c r="J72" s="119"/>
      <c r="K72" s="126">
        <f t="shared" si="128"/>
        <v>79500</v>
      </c>
      <c r="L72" s="119"/>
      <c r="M72" s="119"/>
      <c r="N72" s="126">
        <f t="shared" si="129"/>
        <v>79500</v>
      </c>
      <c r="O72" s="119"/>
      <c r="P72" s="119"/>
      <c r="Q72" s="126">
        <f t="shared" si="130"/>
        <v>79500</v>
      </c>
      <c r="R72" s="119"/>
      <c r="S72" s="119"/>
      <c r="T72" s="126">
        <f t="shared" si="131"/>
        <v>79500</v>
      </c>
      <c r="U72" s="119"/>
      <c r="V72" s="119"/>
      <c r="W72" s="126">
        <f t="shared" si="132"/>
        <v>79500</v>
      </c>
      <c r="X72" s="119"/>
      <c r="Y72" s="119"/>
      <c r="Z72" s="126">
        <f t="shared" si="133"/>
        <v>79500</v>
      </c>
      <c r="AA72" s="119"/>
      <c r="AB72" s="119"/>
      <c r="AC72" s="126">
        <f t="shared" si="134"/>
        <v>79500</v>
      </c>
      <c r="AD72" s="119"/>
      <c r="AE72" s="119"/>
      <c r="AF72" s="126">
        <f t="shared" si="135"/>
        <v>79500</v>
      </c>
      <c r="AG72" s="119"/>
      <c r="AH72" s="119"/>
      <c r="AI72" s="126">
        <f t="shared" si="136"/>
        <v>79500</v>
      </c>
      <c r="AJ72" s="119"/>
      <c r="AK72" s="119"/>
      <c r="AL72" s="126">
        <f t="shared" si="137"/>
        <v>79500</v>
      </c>
      <c r="AM72" s="119"/>
      <c r="AN72" s="119"/>
      <c r="AO72" s="126">
        <f t="shared" si="138"/>
        <v>79500</v>
      </c>
      <c r="AP72" s="119"/>
      <c r="AQ72" s="119"/>
      <c r="AR72" s="126">
        <f t="shared" si="139"/>
        <v>79500</v>
      </c>
      <c r="AS72" s="119"/>
      <c r="AT72" s="119">
        <v>12247</v>
      </c>
      <c r="AU72" s="126">
        <f t="shared" si="140"/>
        <v>67253</v>
      </c>
      <c r="AV72" s="337"/>
    </row>
    <row r="73" spans="1:48" s="37" customFormat="1" ht="21" customHeight="1">
      <c r="A73" s="120"/>
      <c r="B73" s="116"/>
      <c r="C73" s="98">
        <v>4270</v>
      </c>
      <c r="D73" s="56" t="s">
        <v>95</v>
      </c>
      <c r="E73" s="114">
        <v>14000</v>
      </c>
      <c r="F73" s="119"/>
      <c r="G73" s="119"/>
      <c r="H73" s="126">
        <f t="shared" si="127"/>
        <v>14000</v>
      </c>
      <c r="I73" s="119"/>
      <c r="J73" s="119"/>
      <c r="K73" s="126">
        <f t="shared" si="128"/>
        <v>14000</v>
      </c>
      <c r="L73" s="119"/>
      <c r="M73" s="119"/>
      <c r="N73" s="126">
        <f t="shared" si="129"/>
        <v>14000</v>
      </c>
      <c r="O73" s="119">
        <v>100000</v>
      </c>
      <c r="P73" s="119"/>
      <c r="Q73" s="126">
        <f t="shared" si="130"/>
        <v>114000</v>
      </c>
      <c r="R73" s="119">
        <v>40000</v>
      </c>
      <c r="S73" s="119"/>
      <c r="T73" s="126">
        <f t="shared" si="131"/>
        <v>154000</v>
      </c>
      <c r="U73" s="119"/>
      <c r="V73" s="119"/>
      <c r="W73" s="126">
        <f t="shared" si="132"/>
        <v>154000</v>
      </c>
      <c r="X73" s="119">
        <v>32000</v>
      </c>
      <c r="Y73" s="119"/>
      <c r="Z73" s="126">
        <f t="shared" si="133"/>
        <v>186000</v>
      </c>
      <c r="AA73" s="119"/>
      <c r="AB73" s="119"/>
      <c r="AC73" s="126">
        <f t="shared" si="134"/>
        <v>186000</v>
      </c>
      <c r="AD73" s="119"/>
      <c r="AE73" s="119"/>
      <c r="AF73" s="126">
        <f t="shared" si="135"/>
        <v>186000</v>
      </c>
      <c r="AG73" s="119"/>
      <c r="AH73" s="119"/>
      <c r="AI73" s="126">
        <f t="shared" si="136"/>
        <v>186000</v>
      </c>
      <c r="AJ73" s="119"/>
      <c r="AK73" s="119"/>
      <c r="AL73" s="126">
        <f t="shared" si="137"/>
        <v>186000</v>
      </c>
      <c r="AM73" s="119"/>
      <c r="AN73" s="119"/>
      <c r="AO73" s="126">
        <f t="shared" si="138"/>
        <v>186000</v>
      </c>
      <c r="AP73" s="119"/>
      <c r="AQ73" s="119"/>
      <c r="AR73" s="126">
        <f t="shared" si="139"/>
        <v>186000</v>
      </c>
      <c r="AS73" s="119"/>
      <c r="AT73" s="119">
        <v>21772</v>
      </c>
      <c r="AU73" s="126">
        <f t="shared" si="140"/>
        <v>164228</v>
      </c>
      <c r="AV73" s="337"/>
    </row>
    <row r="74" spans="1:48" s="37" customFormat="1" ht="21" customHeight="1">
      <c r="A74" s="120"/>
      <c r="B74" s="116"/>
      <c r="C74" s="98">
        <v>4280</v>
      </c>
      <c r="D74" s="56" t="s">
        <v>301</v>
      </c>
      <c r="E74" s="114">
        <v>8000</v>
      </c>
      <c r="F74" s="119"/>
      <c r="G74" s="119"/>
      <c r="H74" s="126">
        <f t="shared" si="127"/>
        <v>8000</v>
      </c>
      <c r="I74" s="119"/>
      <c r="J74" s="119"/>
      <c r="K74" s="126">
        <f t="shared" si="128"/>
        <v>8000</v>
      </c>
      <c r="L74" s="119"/>
      <c r="M74" s="119"/>
      <c r="N74" s="126">
        <f t="shared" si="129"/>
        <v>8000</v>
      </c>
      <c r="O74" s="119"/>
      <c r="P74" s="119"/>
      <c r="Q74" s="126">
        <f t="shared" si="130"/>
        <v>8000</v>
      </c>
      <c r="R74" s="119"/>
      <c r="S74" s="119"/>
      <c r="T74" s="126">
        <f t="shared" si="131"/>
        <v>8000</v>
      </c>
      <c r="U74" s="119">
        <v>245</v>
      </c>
      <c r="V74" s="119"/>
      <c r="W74" s="126">
        <f t="shared" si="132"/>
        <v>8245</v>
      </c>
      <c r="X74" s="119"/>
      <c r="Y74" s="119"/>
      <c r="Z74" s="126">
        <f t="shared" si="133"/>
        <v>8245</v>
      </c>
      <c r="AA74" s="119"/>
      <c r="AB74" s="119"/>
      <c r="AC74" s="126">
        <f t="shared" si="134"/>
        <v>8245</v>
      </c>
      <c r="AD74" s="119"/>
      <c r="AE74" s="119"/>
      <c r="AF74" s="126">
        <f t="shared" si="135"/>
        <v>8245</v>
      </c>
      <c r="AG74" s="119"/>
      <c r="AH74" s="119"/>
      <c r="AI74" s="126">
        <f t="shared" si="136"/>
        <v>8245</v>
      </c>
      <c r="AJ74" s="119"/>
      <c r="AK74" s="119"/>
      <c r="AL74" s="126">
        <f t="shared" si="137"/>
        <v>8245</v>
      </c>
      <c r="AM74" s="119"/>
      <c r="AN74" s="119"/>
      <c r="AO74" s="126">
        <f t="shared" si="138"/>
        <v>8245</v>
      </c>
      <c r="AP74" s="119"/>
      <c r="AQ74" s="119"/>
      <c r="AR74" s="126">
        <f t="shared" si="139"/>
        <v>8245</v>
      </c>
      <c r="AS74" s="119"/>
      <c r="AT74" s="119"/>
      <c r="AU74" s="126">
        <f t="shared" si="140"/>
        <v>8245</v>
      </c>
      <c r="AV74" s="337"/>
    </row>
    <row r="75" spans="1:48" s="37" customFormat="1" ht="21" customHeight="1">
      <c r="A75" s="120"/>
      <c r="B75" s="116"/>
      <c r="C75" s="98">
        <v>4300</v>
      </c>
      <c r="D75" s="56" t="s">
        <v>96</v>
      </c>
      <c r="E75" s="114">
        <f>357550+8630-30000</f>
        <v>336180</v>
      </c>
      <c r="F75" s="119"/>
      <c r="G75" s="119"/>
      <c r="H75" s="126">
        <f t="shared" si="127"/>
        <v>336180</v>
      </c>
      <c r="I75" s="119"/>
      <c r="J75" s="119"/>
      <c r="K75" s="126">
        <f t="shared" si="128"/>
        <v>336180</v>
      </c>
      <c r="L75" s="119"/>
      <c r="M75" s="119"/>
      <c r="N75" s="126">
        <f t="shared" si="129"/>
        <v>336180</v>
      </c>
      <c r="O75" s="119">
        <v>1000</v>
      </c>
      <c r="P75" s="119"/>
      <c r="Q75" s="126">
        <f t="shared" si="130"/>
        <v>337180</v>
      </c>
      <c r="R75" s="119">
        <v>342</v>
      </c>
      <c r="S75" s="119">
        <v>8000</v>
      </c>
      <c r="T75" s="126">
        <f t="shared" si="131"/>
        <v>329522</v>
      </c>
      <c r="U75" s="119"/>
      <c r="V75" s="119"/>
      <c r="W75" s="126">
        <f t="shared" si="132"/>
        <v>329522</v>
      </c>
      <c r="X75" s="119"/>
      <c r="Y75" s="119">
        <v>10000</v>
      </c>
      <c r="Z75" s="126">
        <f t="shared" si="133"/>
        <v>319522</v>
      </c>
      <c r="AA75" s="119"/>
      <c r="AB75" s="119"/>
      <c r="AC75" s="126">
        <f t="shared" si="134"/>
        <v>319522</v>
      </c>
      <c r="AD75" s="119"/>
      <c r="AE75" s="119">
        <v>3500</v>
      </c>
      <c r="AF75" s="126">
        <f t="shared" si="135"/>
        <v>316022</v>
      </c>
      <c r="AG75" s="119"/>
      <c r="AH75" s="119"/>
      <c r="AI75" s="126">
        <f t="shared" si="136"/>
        <v>316022</v>
      </c>
      <c r="AJ75" s="119"/>
      <c r="AK75" s="119"/>
      <c r="AL75" s="126">
        <f t="shared" si="137"/>
        <v>316022</v>
      </c>
      <c r="AM75" s="119">
        <v>22500</v>
      </c>
      <c r="AN75" s="119">
        <v>3000</v>
      </c>
      <c r="AO75" s="126">
        <f t="shared" si="138"/>
        <v>335522</v>
      </c>
      <c r="AP75" s="119"/>
      <c r="AQ75" s="119"/>
      <c r="AR75" s="126">
        <f t="shared" si="139"/>
        <v>335522</v>
      </c>
      <c r="AS75" s="119"/>
      <c r="AT75" s="119">
        <v>45031</v>
      </c>
      <c r="AU75" s="126">
        <f t="shared" si="140"/>
        <v>290491</v>
      </c>
      <c r="AV75" s="337"/>
    </row>
    <row r="76" spans="1:48" s="37" customFormat="1" ht="21" customHeight="1">
      <c r="A76" s="120"/>
      <c r="B76" s="116"/>
      <c r="C76" s="98">
        <v>4350</v>
      </c>
      <c r="D76" s="56" t="s">
        <v>290</v>
      </c>
      <c r="E76" s="114">
        <v>4000</v>
      </c>
      <c r="F76" s="119"/>
      <c r="G76" s="119"/>
      <c r="H76" s="126">
        <f t="shared" si="127"/>
        <v>4000</v>
      </c>
      <c r="I76" s="119"/>
      <c r="J76" s="119"/>
      <c r="K76" s="126">
        <f t="shared" si="128"/>
        <v>4000</v>
      </c>
      <c r="L76" s="119"/>
      <c r="M76" s="119"/>
      <c r="N76" s="126">
        <f t="shared" si="129"/>
        <v>4000</v>
      </c>
      <c r="O76" s="119"/>
      <c r="P76" s="119"/>
      <c r="Q76" s="126">
        <f t="shared" si="130"/>
        <v>4000</v>
      </c>
      <c r="R76" s="119"/>
      <c r="S76" s="119"/>
      <c r="T76" s="126">
        <f t="shared" si="131"/>
        <v>4000</v>
      </c>
      <c r="U76" s="119"/>
      <c r="V76" s="119"/>
      <c r="W76" s="126">
        <f t="shared" si="132"/>
        <v>4000</v>
      </c>
      <c r="X76" s="119"/>
      <c r="Y76" s="119"/>
      <c r="Z76" s="126">
        <f t="shared" si="133"/>
        <v>4000</v>
      </c>
      <c r="AA76" s="119"/>
      <c r="AB76" s="119"/>
      <c r="AC76" s="126">
        <f t="shared" si="134"/>
        <v>4000</v>
      </c>
      <c r="AD76" s="119"/>
      <c r="AE76" s="119"/>
      <c r="AF76" s="126">
        <f t="shared" si="135"/>
        <v>4000</v>
      </c>
      <c r="AG76" s="119"/>
      <c r="AH76" s="119"/>
      <c r="AI76" s="126">
        <f t="shared" si="136"/>
        <v>4000</v>
      </c>
      <c r="AJ76" s="119"/>
      <c r="AK76" s="119"/>
      <c r="AL76" s="126">
        <f t="shared" si="137"/>
        <v>4000</v>
      </c>
      <c r="AM76" s="119"/>
      <c r="AN76" s="119"/>
      <c r="AO76" s="126">
        <f t="shared" si="138"/>
        <v>4000</v>
      </c>
      <c r="AP76" s="119"/>
      <c r="AQ76" s="119"/>
      <c r="AR76" s="126">
        <f t="shared" si="139"/>
        <v>4000</v>
      </c>
      <c r="AS76" s="119"/>
      <c r="AT76" s="119">
        <v>1000</v>
      </c>
      <c r="AU76" s="126">
        <f t="shared" si="140"/>
        <v>3000</v>
      </c>
      <c r="AV76" s="337"/>
    </row>
    <row r="77" spans="1:48" s="37" customFormat="1" ht="21" customHeight="1">
      <c r="A77" s="120"/>
      <c r="B77" s="116"/>
      <c r="C77" s="98">
        <v>4410</v>
      </c>
      <c r="D77" s="56" t="s">
        <v>107</v>
      </c>
      <c r="E77" s="114">
        <v>44000</v>
      </c>
      <c r="F77" s="119"/>
      <c r="G77" s="119"/>
      <c r="H77" s="126">
        <f t="shared" si="127"/>
        <v>44000</v>
      </c>
      <c r="I77" s="119"/>
      <c r="J77" s="119"/>
      <c r="K77" s="126">
        <f t="shared" si="128"/>
        <v>44000</v>
      </c>
      <c r="L77" s="119"/>
      <c r="M77" s="119"/>
      <c r="N77" s="126">
        <f t="shared" si="129"/>
        <v>44000</v>
      </c>
      <c r="O77" s="119"/>
      <c r="P77" s="119"/>
      <c r="Q77" s="126">
        <f t="shared" si="130"/>
        <v>44000</v>
      </c>
      <c r="R77" s="119"/>
      <c r="S77" s="119"/>
      <c r="T77" s="126">
        <f t="shared" si="131"/>
        <v>44000</v>
      </c>
      <c r="U77" s="119"/>
      <c r="V77" s="119"/>
      <c r="W77" s="126">
        <f t="shared" si="132"/>
        <v>44000</v>
      </c>
      <c r="X77" s="119">
        <v>10000</v>
      </c>
      <c r="Y77" s="119"/>
      <c r="Z77" s="126">
        <f t="shared" si="133"/>
        <v>54000</v>
      </c>
      <c r="AA77" s="119"/>
      <c r="AB77" s="119"/>
      <c r="AC77" s="126">
        <f t="shared" si="134"/>
        <v>54000</v>
      </c>
      <c r="AD77" s="119"/>
      <c r="AE77" s="119"/>
      <c r="AF77" s="126">
        <f t="shared" si="135"/>
        <v>54000</v>
      </c>
      <c r="AG77" s="119"/>
      <c r="AH77" s="119"/>
      <c r="AI77" s="126">
        <f t="shared" si="136"/>
        <v>54000</v>
      </c>
      <c r="AJ77" s="119"/>
      <c r="AK77" s="119"/>
      <c r="AL77" s="126">
        <f t="shared" si="137"/>
        <v>54000</v>
      </c>
      <c r="AM77" s="119"/>
      <c r="AN77" s="119"/>
      <c r="AO77" s="126">
        <f t="shared" si="138"/>
        <v>54000</v>
      </c>
      <c r="AP77" s="119"/>
      <c r="AQ77" s="119"/>
      <c r="AR77" s="126">
        <f t="shared" si="139"/>
        <v>54000</v>
      </c>
      <c r="AS77" s="119"/>
      <c r="AT77" s="119"/>
      <c r="AU77" s="126">
        <f t="shared" si="140"/>
        <v>54000</v>
      </c>
      <c r="AV77" s="337"/>
    </row>
    <row r="78" spans="1:48" s="37" customFormat="1" ht="21" customHeight="1">
      <c r="A78" s="120"/>
      <c r="B78" s="116"/>
      <c r="C78" s="120">
        <v>4420</v>
      </c>
      <c r="D78" s="56" t="s">
        <v>110</v>
      </c>
      <c r="E78" s="114">
        <v>5000</v>
      </c>
      <c r="F78" s="119"/>
      <c r="G78" s="119"/>
      <c r="H78" s="126">
        <f t="shared" si="127"/>
        <v>5000</v>
      </c>
      <c r="I78" s="119"/>
      <c r="J78" s="119"/>
      <c r="K78" s="126">
        <f t="shared" si="128"/>
        <v>5000</v>
      </c>
      <c r="L78" s="119"/>
      <c r="M78" s="119"/>
      <c r="N78" s="126">
        <f t="shared" si="129"/>
        <v>5000</v>
      </c>
      <c r="O78" s="119"/>
      <c r="P78" s="119"/>
      <c r="Q78" s="126">
        <f t="shared" si="130"/>
        <v>5000</v>
      </c>
      <c r="R78" s="119"/>
      <c r="S78" s="119"/>
      <c r="T78" s="126">
        <f t="shared" si="131"/>
        <v>5000</v>
      </c>
      <c r="U78" s="119"/>
      <c r="V78" s="119"/>
      <c r="W78" s="126">
        <f t="shared" si="132"/>
        <v>5000</v>
      </c>
      <c r="X78" s="119"/>
      <c r="Y78" s="119"/>
      <c r="Z78" s="126">
        <f t="shared" si="133"/>
        <v>5000</v>
      </c>
      <c r="AA78" s="119"/>
      <c r="AB78" s="119"/>
      <c r="AC78" s="126">
        <f t="shared" si="134"/>
        <v>5000</v>
      </c>
      <c r="AD78" s="119"/>
      <c r="AE78" s="119"/>
      <c r="AF78" s="126">
        <f t="shared" si="135"/>
        <v>5000</v>
      </c>
      <c r="AG78" s="119"/>
      <c r="AH78" s="119"/>
      <c r="AI78" s="126">
        <f t="shared" si="136"/>
        <v>5000</v>
      </c>
      <c r="AJ78" s="119"/>
      <c r="AK78" s="119"/>
      <c r="AL78" s="126">
        <f t="shared" si="137"/>
        <v>5000</v>
      </c>
      <c r="AM78" s="119"/>
      <c r="AN78" s="119">
        <v>3000</v>
      </c>
      <c r="AO78" s="126">
        <f t="shared" si="138"/>
        <v>2000</v>
      </c>
      <c r="AP78" s="119"/>
      <c r="AQ78" s="119"/>
      <c r="AR78" s="126">
        <f t="shared" si="139"/>
        <v>2000</v>
      </c>
      <c r="AS78" s="119"/>
      <c r="AT78" s="119"/>
      <c r="AU78" s="126">
        <f t="shared" si="140"/>
        <v>2000</v>
      </c>
      <c r="AV78" s="337"/>
    </row>
    <row r="79" spans="1:48" s="37" customFormat="1" ht="21" customHeight="1">
      <c r="A79" s="120"/>
      <c r="B79" s="116"/>
      <c r="C79" s="101">
        <v>4430</v>
      </c>
      <c r="D79" s="56" t="s">
        <v>111</v>
      </c>
      <c r="E79" s="114">
        <v>47300</v>
      </c>
      <c r="F79" s="119"/>
      <c r="G79" s="119"/>
      <c r="H79" s="126">
        <f t="shared" si="127"/>
        <v>47300</v>
      </c>
      <c r="I79" s="119"/>
      <c r="J79" s="119"/>
      <c r="K79" s="126">
        <f t="shared" si="128"/>
        <v>47300</v>
      </c>
      <c r="L79" s="119"/>
      <c r="M79" s="119"/>
      <c r="N79" s="126">
        <f t="shared" si="129"/>
        <v>47300</v>
      </c>
      <c r="O79" s="119"/>
      <c r="P79" s="119"/>
      <c r="Q79" s="126">
        <f t="shared" si="130"/>
        <v>47300</v>
      </c>
      <c r="R79" s="119"/>
      <c r="S79" s="119"/>
      <c r="T79" s="126">
        <f t="shared" si="131"/>
        <v>47300</v>
      </c>
      <c r="U79" s="119"/>
      <c r="V79" s="119"/>
      <c r="W79" s="126">
        <f t="shared" si="132"/>
        <v>47300</v>
      </c>
      <c r="X79" s="119"/>
      <c r="Y79" s="119"/>
      <c r="Z79" s="126">
        <f t="shared" si="133"/>
        <v>47300</v>
      </c>
      <c r="AA79" s="119"/>
      <c r="AB79" s="119"/>
      <c r="AC79" s="126">
        <f t="shared" si="134"/>
        <v>47300</v>
      </c>
      <c r="AD79" s="119">
        <v>3500</v>
      </c>
      <c r="AE79" s="119"/>
      <c r="AF79" s="126">
        <f t="shared" si="135"/>
        <v>50800</v>
      </c>
      <c r="AG79" s="119"/>
      <c r="AH79" s="119"/>
      <c r="AI79" s="126">
        <f t="shared" si="136"/>
        <v>50800</v>
      </c>
      <c r="AJ79" s="119"/>
      <c r="AK79" s="119"/>
      <c r="AL79" s="126">
        <f t="shared" si="137"/>
        <v>50800</v>
      </c>
      <c r="AM79" s="119"/>
      <c r="AN79" s="119"/>
      <c r="AO79" s="126">
        <f t="shared" si="138"/>
        <v>50800</v>
      </c>
      <c r="AP79" s="119"/>
      <c r="AQ79" s="119"/>
      <c r="AR79" s="126">
        <f t="shared" si="139"/>
        <v>50800</v>
      </c>
      <c r="AS79" s="119"/>
      <c r="AT79" s="119">
        <v>6275</v>
      </c>
      <c r="AU79" s="126">
        <f t="shared" si="140"/>
        <v>44525</v>
      </c>
      <c r="AV79" s="337"/>
    </row>
    <row r="80" spans="1:48" s="37" customFormat="1" ht="21" customHeight="1">
      <c r="A80" s="120"/>
      <c r="B80" s="116"/>
      <c r="C80" s="101">
        <v>4440</v>
      </c>
      <c r="D80" s="56" t="s">
        <v>105</v>
      </c>
      <c r="E80" s="114">
        <v>52100</v>
      </c>
      <c r="F80" s="119"/>
      <c r="G80" s="119"/>
      <c r="H80" s="126">
        <f t="shared" si="127"/>
        <v>52100</v>
      </c>
      <c r="I80" s="119"/>
      <c r="J80" s="119"/>
      <c r="K80" s="126">
        <f t="shared" si="128"/>
        <v>52100</v>
      </c>
      <c r="L80" s="119"/>
      <c r="M80" s="119"/>
      <c r="N80" s="126">
        <f t="shared" si="129"/>
        <v>52100</v>
      </c>
      <c r="O80" s="119"/>
      <c r="P80" s="119"/>
      <c r="Q80" s="126">
        <f t="shared" si="130"/>
        <v>52100</v>
      </c>
      <c r="R80" s="119"/>
      <c r="S80" s="119"/>
      <c r="T80" s="126">
        <f t="shared" si="131"/>
        <v>52100</v>
      </c>
      <c r="U80" s="119">
        <v>455</v>
      </c>
      <c r="V80" s="119"/>
      <c r="W80" s="126">
        <f t="shared" si="132"/>
        <v>52555</v>
      </c>
      <c r="X80" s="119"/>
      <c r="Y80" s="119"/>
      <c r="Z80" s="126">
        <f t="shared" si="133"/>
        <v>52555</v>
      </c>
      <c r="AA80" s="119"/>
      <c r="AB80" s="119"/>
      <c r="AC80" s="126">
        <f t="shared" si="134"/>
        <v>52555</v>
      </c>
      <c r="AD80" s="119"/>
      <c r="AE80" s="119"/>
      <c r="AF80" s="126">
        <f t="shared" si="135"/>
        <v>52555</v>
      </c>
      <c r="AG80" s="119"/>
      <c r="AH80" s="119"/>
      <c r="AI80" s="126">
        <f t="shared" si="136"/>
        <v>52555</v>
      </c>
      <c r="AJ80" s="119"/>
      <c r="AK80" s="119"/>
      <c r="AL80" s="126">
        <f t="shared" si="137"/>
        <v>52555</v>
      </c>
      <c r="AM80" s="119"/>
      <c r="AN80" s="119"/>
      <c r="AO80" s="126">
        <f t="shared" si="138"/>
        <v>52555</v>
      </c>
      <c r="AP80" s="119"/>
      <c r="AQ80" s="119"/>
      <c r="AR80" s="126">
        <f t="shared" si="139"/>
        <v>52555</v>
      </c>
      <c r="AS80" s="119">
        <v>14177</v>
      </c>
      <c r="AT80" s="119"/>
      <c r="AU80" s="126">
        <f t="shared" si="140"/>
        <v>66732</v>
      </c>
      <c r="AV80" s="337"/>
    </row>
    <row r="81" spans="1:48" s="37" customFormat="1" ht="21" customHeight="1">
      <c r="A81" s="120"/>
      <c r="B81" s="116"/>
      <c r="C81" s="101">
        <v>6060</v>
      </c>
      <c r="D81" s="56" t="s">
        <v>113</v>
      </c>
      <c r="E81" s="114">
        <v>30000</v>
      </c>
      <c r="F81" s="119"/>
      <c r="G81" s="119"/>
      <c r="H81" s="126">
        <f t="shared" si="127"/>
        <v>30000</v>
      </c>
      <c r="I81" s="119"/>
      <c r="J81" s="119"/>
      <c r="K81" s="126">
        <f t="shared" si="128"/>
        <v>30000</v>
      </c>
      <c r="L81" s="119"/>
      <c r="M81" s="119"/>
      <c r="N81" s="126">
        <f t="shared" si="129"/>
        <v>30000</v>
      </c>
      <c r="O81" s="119"/>
      <c r="P81" s="119"/>
      <c r="Q81" s="126">
        <f t="shared" si="130"/>
        <v>30000</v>
      </c>
      <c r="R81" s="119"/>
      <c r="S81" s="119"/>
      <c r="T81" s="126">
        <f t="shared" si="131"/>
        <v>30000</v>
      </c>
      <c r="U81" s="119"/>
      <c r="V81" s="119"/>
      <c r="W81" s="126">
        <f t="shared" si="132"/>
        <v>30000</v>
      </c>
      <c r="X81" s="119"/>
      <c r="Y81" s="119"/>
      <c r="Z81" s="126">
        <f t="shared" si="133"/>
        <v>30000</v>
      </c>
      <c r="AA81" s="119"/>
      <c r="AB81" s="119"/>
      <c r="AC81" s="126">
        <f t="shared" si="134"/>
        <v>30000</v>
      </c>
      <c r="AD81" s="119"/>
      <c r="AE81" s="119"/>
      <c r="AF81" s="126">
        <f t="shared" si="135"/>
        <v>30000</v>
      </c>
      <c r="AG81" s="119"/>
      <c r="AH81" s="119"/>
      <c r="AI81" s="126">
        <f t="shared" si="136"/>
        <v>30000</v>
      </c>
      <c r="AJ81" s="119"/>
      <c r="AK81" s="119"/>
      <c r="AL81" s="126">
        <f t="shared" si="137"/>
        <v>30000</v>
      </c>
      <c r="AM81" s="119"/>
      <c r="AN81" s="119"/>
      <c r="AO81" s="126">
        <f t="shared" si="138"/>
        <v>30000</v>
      </c>
      <c r="AP81" s="119"/>
      <c r="AQ81" s="119"/>
      <c r="AR81" s="126">
        <f t="shared" si="139"/>
        <v>30000</v>
      </c>
      <c r="AS81" s="119"/>
      <c r="AT81" s="119"/>
      <c r="AU81" s="126">
        <f t="shared" si="140"/>
        <v>30000</v>
      </c>
      <c r="AV81" s="337"/>
    </row>
    <row r="82" spans="1:48" s="37" customFormat="1" ht="24" customHeight="1">
      <c r="A82" s="120"/>
      <c r="B82" s="116">
        <v>75075</v>
      </c>
      <c r="C82" s="120"/>
      <c r="D82" s="56" t="s">
        <v>284</v>
      </c>
      <c r="E82" s="114">
        <f aca="true" t="shared" si="141" ref="E82:K82">SUM(E83:E91)</f>
        <v>327238</v>
      </c>
      <c r="F82" s="114">
        <f t="shared" si="141"/>
        <v>0</v>
      </c>
      <c r="G82" s="114">
        <f t="shared" si="141"/>
        <v>0</v>
      </c>
      <c r="H82" s="114">
        <f t="shared" si="141"/>
        <v>327238</v>
      </c>
      <c r="I82" s="114">
        <f t="shared" si="141"/>
        <v>0</v>
      </c>
      <c r="J82" s="114">
        <f t="shared" si="141"/>
        <v>0</v>
      </c>
      <c r="K82" s="114">
        <f t="shared" si="141"/>
        <v>327238</v>
      </c>
      <c r="L82" s="114">
        <f aca="true" t="shared" si="142" ref="L82:Q82">SUM(L83:L91)</f>
        <v>0</v>
      </c>
      <c r="M82" s="114">
        <f t="shared" si="142"/>
        <v>0</v>
      </c>
      <c r="N82" s="114">
        <f t="shared" si="142"/>
        <v>327238</v>
      </c>
      <c r="O82" s="114">
        <f t="shared" si="142"/>
        <v>0</v>
      </c>
      <c r="P82" s="114">
        <f t="shared" si="142"/>
        <v>0</v>
      </c>
      <c r="Q82" s="114">
        <f t="shared" si="142"/>
        <v>327238</v>
      </c>
      <c r="R82" s="114">
        <f aca="true" t="shared" si="143" ref="R82:W82">SUM(R83:R91)</f>
        <v>16958</v>
      </c>
      <c r="S82" s="114">
        <f t="shared" si="143"/>
        <v>22258</v>
      </c>
      <c r="T82" s="114">
        <f t="shared" si="143"/>
        <v>321938</v>
      </c>
      <c r="U82" s="114">
        <f t="shared" si="143"/>
        <v>0</v>
      </c>
      <c r="V82" s="114">
        <f t="shared" si="143"/>
        <v>1200</v>
      </c>
      <c r="W82" s="114">
        <f t="shared" si="143"/>
        <v>320738</v>
      </c>
      <c r="X82" s="114">
        <f aca="true" t="shared" si="144" ref="X82:AC82">SUM(X83:X91)</f>
        <v>1700</v>
      </c>
      <c r="Y82" s="114">
        <f t="shared" si="144"/>
        <v>3200</v>
      </c>
      <c r="Z82" s="114">
        <f t="shared" si="144"/>
        <v>319238</v>
      </c>
      <c r="AA82" s="114">
        <f t="shared" si="144"/>
        <v>23000</v>
      </c>
      <c r="AB82" s="114">
        <f t="shared" si="144"/>
        <v>28330</v>
      </c>
      <c r="AC82" s="114">
        <f t="shared" si="144"/>
        <v>313908</v>
      </c>
      <c r="AD82" s="114">
        <f aca="true" t="shared" si="145" ref="AD82:AI82">SUM(AD83:AD91)</f>
        <v>47</v>
      </c>
      <c r="AE82" s="114">
        <f t="shared" si="145"/>
        <v>47</v>
      </c>
      <c r="AF82" s="114">
        <f t="shared" si="145"/>
        <v>313908</v>
      </c>
      <c r="AG82" s="114">
        <f t="shared" si="145"/>
        <v>0</v>
      </c>
      <c r="AH82" s="114">
        <f t="shared" si="145"/>
        <v>2317</v>
      </c>
      <c r="AI82" s="114">
        <f t="shared" si="145"/>
        <v>311591</v>
      </c>
      <c r="AJ82" s="114">
        <f aca="true" t="shared" si="146" ref="AJ82:AO82">SUM(AJ83:AJ91)</f>
        <v>0</v>
      </c>
      <c r="AK82" s="114">
        <f t="shared" si="146"/>
        <v>0</v>
      </c>
      <c r="AL82" s="114">
        <f t="shared" si="146"/>
        <v>311591</v>
      </c>
      <c r="AM82" s="114">
        <f t="shared" si="146"/>
        <v>8000</v>
      </c>
      <c r="AN82" s="114">
        <f t="shared" si="146"/>
        <v>8000</v>
      </c>
      <c r="AO82" s="114">
        <f t="shared" si="146"/>
        <v>311591</v>
      </c>
      <c r="AP82" s="114">
        <f aca="true" t="shared" si="147" ref="AP82:AU82">SUM(AP83:AP91)</f>
        <v>0</v>
      </c>
      <c r="AQ82" s="114">
        <f t="shared" si="147"/>
        <v>0</v>
      </c>
      <c r="AR82" s="114">
        <f t="shared" si="147"/>
        <v>311591</v>
      </c>
      <c r="AS82" s="114">
        <f t="shared" si="147"/>
        <v>300</v>
      </c>
      <c r="AT82" s="114">
        <f t="shared" si="147"/>
        <v>23648</v>
      </c>
      <c r="AU82" s="114">
        <f t="shared" si="147"/>
        <v>288243</v>
      </c>
      <c r="AV82" s="339"/>
    </row>
    <row r="83" spans="1:48" s="37" customFormat="1" ht="21" customHeight="1">
      <c r="A83" s="120"/>
      <c r="B83" s="116"/>
      <c r="C83" s="120">
        <v>3020</v>
      </c>
      <c r="D83" s="56" t="s">
        <v>246</v>
      </c>
      <c r="E83" s="114">
        <v>10100</v>
      </c>
      <c r="F83" s="119"/>
      <c r="G83" s="119"/>
      <c r="H83" s="126">
        <f aca="true" t="shared" si="148" ref="H83:H91">SUM(E83+F83-G83)</f>
        <v>10100</v>
      </c>
      <c r="I83" s="119"/>
      <c r="J83" s="119"/>
      <c r="K83" s="126">
        <f aca="true" t="shared" si="149" ref="K83:K91">SUM(H83+I83-J83)</f>
        <v>10100</v>
      </c>
      <c r="L83" s="119"/>
      <c r="M83" s="119"/>
      <c r="N83" s="126">
        <f aca="true" t="shared" si="150" ref="N83:N91">SUM(K83+L83-M83)</f>
        <v>10100</v>
      </c>
      <c r="O83" s="119"/>
      <c r="P83" s="119"/>
      <c r="Q83" s="126">
        <f aca="true" t="shared" si="151" ref="Q83:Q91">SUM(N83+O83-P83)</f>
        <v>10100</v>
      </c>
      <c r="R83" s="119"/>
      <c r="S83" s="119">
        <v>400</v>
      </c>
      <c r="T83" s="126">
        <f aca="true" t="shared" si="152" ref="T83:T91">SUM(Q83+R83-S83)</f>
        <v>9700</v>
      </c>
      <c r="U83" s="119"/>
      <c r="V83" s="119"/>
      <c r="W83" s="126">
        <f aca="true" t="shared" si="153" ref="W83:W91">SUM(T83+U83-V83)</f>
        <v>9700</v>
      </c>
      <c r="X83" s="119"/>
      <c r="Y83" s="119"/>
      <c r="Z83" s="126">
        <f aca="true" t="shared" si="154" ref="Z83:Z91">SUM(W83+X83-Y83)</f>
        <v>9700</v>
      </c>
      <c r="AA83" s="119"/>
      <c r="AB83" s="119"/>
      <c r="AC83" s="126">
        <f aca="true" t="shared" si="155" ref="AC83:AC91">SUM(Z83+AA83-AB83)</f>
        <v>9700</v>
      </c>
      <c r="AD83" s="119"/>
      <c r="AE83" s="119"/>
      <c r="AF83" s="126">
        <f aca="true" t="shared" si="156" ref="AF83:AF91">SUM(AC83+AD83-AE83)</f>
        <v>9700</v>
      </c>
      <c r="AG83" s="119"/>
      <c r="AH83" s="119"/>
      <c r="AI83" s="126">
        <f aca="true" t="shared" si="157" ref="AI83:AI91">SUM(AF83+AG83-AH83)</f>
        <v>9700</v>
      </c>
      <c r="AJ83" s="119"/>
      <c r="AK83" s="119"/>
      <c r="AL83" s="126">
        <f aca="true" t="shared" si="158" ref="AL83:AL91">SUM(AI83+AJ83-AK83)</f>
        <v>9700</v>
      </c>
      <c r="AM83" s="119"/>
      <c r="AN83" s="119"/>
      <c r="AO83" s="126">
        <f aca="true" t="shared" si="159" ref="AO83:AO91">SUM(AL83+AM83-AN83)</f>
        <v>9700</v>
      </c>
      <c r="AP83" s="119"/>
      <c r="AQ83" s="119"/>
      <c r="AR83" s="126">
        <f aca="true" t="shared" si="160" ref="AR83:AR91">SUM(AO83+AP83-AQ83)</f>
        <v>9700</v>
      </c>
      <c r="AS83" s="119"/>
      <c r="AT83" s="119">
        <v>100</v>
      </c>
      <c r="AU83" s="126">
        <f aca="true" t="shared" si="161" ref="AU83:AU91">SUM(AR83+AS83-AT83)</f>
        <v>9600</v>
      </c>
      <c r="AV83" s="337"/>
    </row>
    <row r="84" spans="1:48" s="37" customFormat="1" ht="21" customHeight="1">
      <c r="A84" s="120"/>
      <c r="B84" s="116"/>
      <c r="C84" s="120">
        <v>4170</v>
      </c>
      <c r="D84" s="56" t="s">
        <v>252</v>
      </c>
      <c r="E84" s="114">
        <f>4000+1600</f>
        <v>5600</v>
      </c>
      <c r="F84" s="119"/>
      <c r="G84" s="119"/>
      <c r="H84" s="126">
        <f t="shared" si="148"/>
        <v>5600</v>
      </c>
      <c r="I84" s="119"/>
      <c r="J84" s="119"/>
      <c r="K84" s="126">
        <f t="shared" si="149"/>
        <v>5600</v>
      </c>
      <c r="L84" s="119"/>
      <c r="M84" s="119"/>
      <c r="N84" s="126">
        <f t="shared" si="150"/>
        <v>5600</v>
      </c>
      <c r="O84" s="119"/>
      <c r="P84" s="119"/>
      <c r="Q84" s="126">
        <f t="shared" si="151"/>
        <v>5600</v>
      </c>
      <c r="R84" s="119"/>
      <c r="S84" s="119">
        <v>300</v>
      </c>
      <c r="T84" s="126">
        <f t="shared" si="152"/>
        <v>5300</v>
      </c>
      <c r="U84" s="119"/>
      <c r="V84" s="119"/>
      <c r="W84" s="126">
        <f t="shared" si="153"/>
        <v>5300</v>
      </c>
      <c r="X84" s="119">
        <v>1700</v>
      </c>
      <c r="Y84" s="119"/>
      <c r="Z84" s="126">
        <f t="shared" si="154"/>
        <v>7000</v>
      </c>
      <c r="AA84" s="119">
        <v>3000</v>
      </c>
      <c r="AB84" s="119"/>
      <c r="AC84" s="126">
        <f t="shared" si="155"/>
        <v>10000</v>
      </c>
      <c r="AD84" s="119"/>
      <c r="AE84" s="119"/>
      <c r="AF84" s="126">
        <f t="shared" si="156"/>
        <v>10000</v>
      </c>
      <c r="AG84" s="119"/>
      <c r="AH84" s="119">
        <v>200</v>
      </c>
      <c r="AI84" s="126">
        <f t="shared" si="157"/>
        <v>9800</v>
      </c>
      <c r="AJ84" s="119"/>
      <c r="AK84" s="119"/>
      <c r="AL84" s="126">
        <f t="shared" si="158"/>
        <v>9800</v>
      </c>
      <c r="AM84" s="119"/>
      <c r="AN84" s="119"/>
      <c r="AO84" s="126">
        <f t="shared" si="159"/>
        <v>9800</v>
      </c>
      <c r="AP84" s="119"/>
      <c r="AQ84" s="119"/>
      <c r="AR84" s="126">
        <f t="shared" si="160"/>
        <v>9800</v>
      </c>
      <c r="AS84" s="119"/>
      <c r="AT84" s="119"/>
      <c r="AU84" s="126">
        <f t="shared" si="161"/>
        <v>9800</v>
      </c>
      <c r="AV84" s="337">
        <f>SUM(AU84)</f>
        <v>9800</v>
      </c>
    </row>
    <row r="85" spans="1:48" s="37" customFormat="1" ht="21" customHeight="1">
      <c r="A85" s="120"/>
      <c r="B85" s="116"/>
      <c r="C85" s="120">
        <v>4210</v>
      </c>
      <c r="D85" s="56" t="s">
        <v>109</v>
      </c>
      <c r="E85" s="114">
        <f>99688+21150</f>
        <v>120838</v>
      </c>
      <c r="F85" s="119"/>
      <c r="G85" s="119"/>
      <c r="H85" s="126">
        <f t="shared" si="148"/>
        <v>120838</v>
      </c>
      <c r="I85" s="119"/>
      <c r="J85" s="119"/>
      <c r="K85" s="126">
        <f t="shared" si="149"/>
        <v>120838</v>
      </c>
      <c r="L85" s="119"/>
      <c r="M85" s="119"/>
      <c r="N85" s="126">
        <f t="shared" si="150"/>
        <v>120838</v>
      </c>
      <c r="O85" s="119"/>
      <c r="P85" s="119"/>
      <c r="Q85" s="126">
        <f t="shared" si="151"/>
        <v>120838</v>
      </c>
      <c r="R85" s="119"/>
      <c r="S85" s="119">
        <v>1558</v>
      </c>
      <c r="T85" s="126">
        <f t="shared" si="152"/>
        <v>119280</v>
      </c>
      <c r="U85" s="119"/>
      <c r="V85" s="119">
        <f>700+500</f>
        <v>1200</v>
      </c>
      <c r="W85" s="126">
        <f t="shared" si="153"/>
        <v>118080</v>
      </c>
      <c r="X85" s="119"/>
      <c r="Y85" s="119">
        <f>1000+1000</f>
        <v>2000</v>
      </c>
      <c r="Z85" s="126">
        <f t="shared" si="154"/>
        <v>116080</v>
      </c>
      <c r="AA85" s="119"/>
      <c r="AB85" s="119">
        <f>24000+2830+1500</f>
        <v>28330</v>
      </c>
      <c r="AC85" s="126">
        <f t="shared" si="155"/>
        <v>87750</v>
      </c>
      <c r="AD85" s="119"/>
      <c r="AE85" s="119">
        <v>47</v>
      </c>
      <c r="AF85" s="126">
        <f t="shared" si="156"/>
        <v>87703</v>
      </c>
      <c r="AG85" s="119"/>
      <c r="AH85" s="119">
        <v>2117</v>
      </c>
      <c r="AI85" s="126">
        <f t="shared" si="157"/>
        <v>85586</v>
      </c>
      <c r="AJ85" s="119"/>
      <c r="AK85" s="119"/>
      <c r="AL85" s="126">
        <f t="shared" si="158"/>
        <v>85586</v>
      </c>
      <c r="AM85" s="119">
        <v>8000</v>
      </c>
      <c r="AN85" s="119">
        <v>8000</v>
      </c>
      <c r="AO85" s="126">
        <f t="shared" si="159"/>
        <v>85586</v>
      </c>
      <c r="AP85" s="119"/>
      <c r="AQ85" s="119"/>
      <c r="AR85" s="126">
        <f t="shared" si="160"/>
        <v>85586</v>
      </c>
      <c r="AS85" s="119">
        <v>300</v>
      </c>
      <c r="AT85" s="119">
        <f>450+13820</f>
        <v>14270</v>
      </c>
      <c r="AU85" s="126">
        <f t="shared" si="161"/>
        <v>71616</v>
      </c>
      <c r="AV85" s="337"/>
    </row>
    <row r="86" spans="1:48" s="37" customFormat="1" ht="18.75" customHeight="1">
      <c r="A86" s="120"/>
      <c r="B86" s="116"/>
      <c r="C86" s="120">
        <v>4260</v>
      </c>
      <c r="D86" s="56" t="s">
        <v>112</v>
      </c>
      <c r="E86" s="114"/>
      <c r="F86" s="119"/>
      <c r="G86" s="119"/>
      <c r="H86" s="126"/>
      <c r="I86" s="119"/>
      <c r="J86" s="119"/>
      <c r="K86" s="126"/>
      <c r="L86" s="119"/>
      <c r="M86" s="119"/>
      <c r="N86" s="126"/>
      <c r="O86" s="119"/>
      <c r="P86" s="119"/>
      <c r="Q86" s="126"/>
      <c r="R86" s="119"/>
      <c r="S86" s="119"/>
      <c r="T86" s="126"/>
      <c r="U86" s="119"/>
      <c r="V86" s="119"/>
      <c r="W86" s="126"/>
      <c r="X86" s="119"/>
      <c r="Y86" s="119"/>
      <c r="Z86" s="126"/>
      <c r="AA86" s="119"/>
      <c r="AB86" s="119"/>
      <c r="AC86" s="126">
        <v>0</v>
      </c>
      <c r="AD86" s="119">
        <v>47</v>
      </c>
      <c r="AE86" s="119"/>
      <c r="AF86" s="126">
        <f t="shared" si="156"/>
        <v>47</v>
      </c>
      <c r="AG86" s="119"/>
      <c r="AH86" s="119"/>
      <c r="AI86" s="126">
        <f t="shared" si="157"/>
        <v>47</v>
      </c>
      <c r="AJ86" s="119"/>
      <c r="AK86" s="119"/>
      <c r="AL86" s="126">
        <f t="shared" si="158"/>
        <v>47</v>
      </c>
      <c r="AM86" s="119"/>
      <c r="AN86" s="119"/>
      <c r="AO86" s="126">
        <f t="shared" si="159"/>
        <v>47</v>
      </c>
      <c r="AP86" s="119"/>
      <c r="AQ86" s="119"/>
      <c r="AR86" s="126">
        <f t="shared" si="160"/>
        <v>47</v>
      </c>
      <c r="AS86" s="119"/>
      <c r="AT86" s="119"/>
      <c r="AU86" s="126">
        <f t="shared" si="161"/>
        <v>47</v>
      </c>
      <c r="AV86" s="337"/>
    </row>
    <row r="87" spans="1:48" s="37" customFormat="1" ht="19.5" customHeight="1">
      <c r="A87" s="120"/>
      <c r="B87" s="116"/>
      <c r="C87" s="98">
        <v>4300</v>
      </c>
      <c r="D87" s="56" t="s">
        <v>96</v>
      </c>
      <c r="E87" s="114">
        <f>173000+3700</f>
        <v>176700</v>
      </c>
      <c r="F87" s="119"/>
      <c r="G87" s="119"/>
      <c r="H87" s="126">
        <f t="shared" si="148"/>
        <v>176700</v>
      </c>
      <c r="I87" s="119"/>
      <c r="J87" s="119"/>
      <c r="K87" s="126">
        <f t="shared" si="149"/>
        <v>176700</v>
      </c>
      <c r="L87" s="119"/>
      <c r="M87" s="119"/>
      <c r="N87" s="126">
        <f t="shared" si="150"/>
        <v>176700</v>
      </c>
      <c r="O87" s="119"/>
      <c r="P87" s="119"/>
      <c r="Q87" s="126">
        <f t="shared" si="151"/>
        <v>176700</v>
      </c>
      <c r="R87" s="119">
        <v>16958</v>
      </c>
      <c r="S87" s="119">
        <v>20000</v>
      </c>
      <c r="T87" s="126">
        <f t="shared" si="152"/>
        <v>173658</v>
      </c>
      <c r="U87" s="119"/>
      <c r="V87" s="119"/>
      <c r="W87" s="126">
        <f t="shared" si="153"/>
        <v>173658</v>
      </c>
      <c r="X87" s="119"/>
      <c r="Y87" s="119">
        <v>1200</v>
      </c>
      <c r="Z87" s="126">
        <f t="shared" si="154"/>
        <v>172458</v>
      </c>
      <c r="AA87" s="119">
        <v>20000</v>
      </c>
      <c r="AB87" s="119"/>
      <c r="AC87" s="126">
        <f t="shared" si="155"/>
        <v>192458</v>
      </c>
      <c r="AD87" s="119"/>
      <c r="AE87" s="119"/>
      <c r="AF87" s="126">
        <f t="shared" si="156"/>
        <v>192458</v>
      </c>
      <c r="AG87" s="119"/>
      <c r="AH87" s="119"/>
      <c r="AI87" s="126">
        <f t="shared" si="157"/>
        <v>192458</v>
      </c>
      <c r="AJ87" s="119"/>
      <c r="AK87" s="119"/>
      <c r="AL87" s="126">
        <f t="shared" si="158"/>
        <v>192458</v>
      </c>
      <c r="AM87" s="119"/>
      <c r="AN87" s="119"/>
      <c r="AO87" s="126">
        <f t="shared" si="159"/>
        <v>192458</v>
      </c>
      <c r="AP87" s="119"/>
      <c r="AQ87" s="119"/>
      <c r="AR87" s="126">
        <f t="shared" si="160"/>
        <v>192458</v>
      </c>
      <c r="AS87" s="119"/>
      <c r="AT87" s="119">
        <f>690+2096</f>
        <v>2786</v>
      </c>
      <c r="AU87" s="126">
        <f t="shared" si="161"/>
        <v>189672</v>
      </c>
      <c r="AV87" s="337"/>
    </row>
    <row r="88" spans="1:48" s="37" customFormat="1" ht="21" customHeight="1">
      <c r="A88" s="120"/>
      <c r="B88" s="116"/>
      <c r="C88" s="98">
        <v>4350</v>
      </c>
      <c r="D88" s="56" t="s">
        <v>286</v>
      </c>
      <c r="E88" s="114">
        <v>2500</v>
      </c>
      <c r="F88" s="119"/>
      <c r="G88" s="119"/>
      <c r="H88" s="126">
        <f t="shared" si="148"/>
        <v>2500</v>
      </c>
      <c r="I88" s="119"/>
      <c r="J88" s="119"/>
      <c r="K88" s="126">
        <f t="shared" si="149"/>
        <v>2500</v>
      </c>
      <c r="L88" s="119"/>
      <c r="M88" s="119"/>
      <c r="N88" s="126">
        <f t="shared" si="150"/>
        <v>2500</v>
      </c>
      <c r="O88" s="119"/>
      <c r="P88" s="119"/>
      <c r="Q88" s="126">
        <f t="shared" si="151"/>
        <v>2500</v>
      </c>
      <c r="R88" s="119"/>
      <c r="S88" s="119"/>
      <c r="T88" s="126">
        <f t="shared" si="152"/>
        <v>2500</v>
      </c>
      <c r="U88" s="119"/>
      <c r="V88" s="119"/>
      <c r="W88" s="126">
        <f t="shared" si="153"/>
        <v>2500</v>
      </c>
      <c r="X88" s="119"/>
      <c r="Y88" s="119"/>
      <c r="Z88" s="126">
        <f t="shared" si="154"/>
        <v>2500</v>
      </c>
      <c r="AA88" s="119"/>
      <c r="AB88" s="119"/>
      <c r="AC88" s="126">
        <f t="shared" si="155"/>
        <v>2500</v>
      </c>
      <c r="AD88" s="119"/>
      <c r="AE88" s="119"/>
      <c r="AF88" s="126">
        <f t="shared" si="156"/>
        <v>2500</v>
      </c>
      <c r="AG88" s="119"/>
      <c r="AH88" s="119"/>
      <c r="AI88" s="126">
        <f t="shared" si="157"/>
        <v>2500</v>
      </c>
      <c r="AJ88" s="119"/>
      <c r="AK88" s="119"/>
      <c r="AL88" s="126">
        <f t="shared" si="158"/>
        <v>2500</v>
      </c>
      <c r="AM88" s="119"/>
      <c r="AN88" s="119"/>
      <c r="AO88" s="126">
        <f t="shared" si="159"/>
        <v>2500</v>
      </c>
      <c r="AP88" s="119"/>
      <c r="AQ88" s="119"/>
      <c r="AR88" s="126">
        <f t="shared" si="160"/>
        <v>2500</v>
      </c>
      <c r="AS88" s="119"/>
      <c r="AT88" s="119">
        <v>1000</v>
      </c>
      <c r="AU88" s="126">
        <f t="shared" si="161"/>
        <v>1500</v>
      </c>
      <c r="AV88" s="337"/>
    </row>
    <row r="89" spans="1:48" s="37" customFormat="1" ht="21" customHeight="1">
      <c r="A89" s="120"/>
      <c r="B89" s="116"/>
      <c r="C89" s="98">
        <v>4410</v>
      </c>
      <c r="D89" s="56" t="s">
        <v>107</v>
      </c>
      <c r="E89" s="114">
        <v>1000</v>
      </c>
      <c r="F89" s="119"/>
      <c r="G89" s="119"/>
      <c r="H89" s="126">
        <f t="shared" si="148"/>
        <v>1000</v>
      </c>
      <c r="I89" s="119"/>
      <c r="J89" s="119"/>
      <c r="K89" s="126">
        <f t="shared" si="149"/>
        <v>1000</v>
      </c>
      <c r="L89" s="119"/>
      <c r="M89" s="119"/>
      <c r="N89" s="126">
        <f t="shared" si="150"/>
        <v>1000</v>
      </c>
      <c r="O89" s="119"/>
      <c r="P89" s="119"/>
      <c r="Q89" s="126">
        <f t="shared" si="151"/>
        <v>1000</v>
      </c>
      <c r="R89" s="119"/>
      <c r="S89" s="119"/>
      <c r="T89" s="126">
        <f t="shared" si="152"/>
        <v>1000</v>
      </c>
      <c r="U89" s="119"/>
      <c r="V89" s="119"/>
      <c r="W89" s="126">
        <f t="shared" si="153"/>
        <v>1000</v>
      </c>
      <c r="X89" s="119"/>
      <c r="Y89" s="119"/>
      <c r="Z89" s="126">
        <f t="shared" si="154"/>
        <v>1000</v>
      </c>
      <c r="AA89" s="119"/>
      <c r="AB89" s="119"/>
      <c r="AC89" s="126">
        <f t="shared" si="155"/>
        <v>1000</v>
      </c>
      <c r="AD89" s="119"/>
      <c r="AE89" s="119"/>
      <c r="AF89" s="126">
        <f t="shared" si="156"/>
        <v>1000</v>
      </c>
      <c r="AG89" s="119"/>
      <c r="AH89" s="119"/>
      <c r="AI89" s="126">
        <f t="shared" si="157"/>
        <v>1000</v>
      </c>
      <c r="AJ89" s="119"/>
      <c r="AK89" s="119"/>
      <c r="AL89" s="126">
        <f t="shared" si="158"/>
        <v>1000</v>
      </c>
      <c r="AM89" s="119"/>
      <c r="AN89" s="119"/>
      <c r="AO89" s="126">
        <f t="shared" si="159"/>
        <v>1000</v>
      </c>
      <c r="AP89" s="119"/>
      <c r="AQ89" s="119"/>
      <c r="AR89" s="126">
        <f t="shared" si="160"/>
        <v>1000</v>
      </c>
      <c r="AS89" s="119"/>
      <c r="AT89" s="119">
        <v>902</v>
      </c>
      <c r="AU89" s="126">
        <f t="shared" si="161"/>
        <v>98</v>
      </c>
      <c r="AV89" s="337"/>
    </row>
    <row r="90" spans="1:48" s="37" customFormat="1" ht="21" customHeight="1">
      <c r="A90" s="120"/>
      <c r="B90" s="116"/>
      <c r="C90" s="120">
        <v>4420</v>
      </c>
      <c r="D90" s="56" t="s">
        <v>110</v>
      </c>
      <c r="E90" s="114">
        <v>10000</v>
      </c>
      <c r="F90" s="119"/>
      <c r="G90" s="119"/>
      <c r="H90" s="126">
        <f t="shared" si="148"/>
        <v>10000</v>
      </c>
      <c r="I90" s="119"/>
      <c r="J90" s="119"/>
      <c r="K90" s="126">
        <f t="shared" si="149"/>
        <v>10000</v>
      </c>
      <c r="L90" s="119"/>
      <c r="M90" s="119"/>
      <c r="N90" s="126">
        <f t="shared" si="150"/>
        <v>10000</v>
      </c>
      <c r="O90" s="119"/>
      <c r="P90" s="119"/>
      <c r="Q90" s="126">
        <f t="shared" si="151"/>
        <v>10000</v>
      </c>
      <c r="R90" s="119"/>
      <c r="S90" s="119"/>
      <c r="T90" s="126">
        <f t="shared" si="152"/>
        <v>10000</v>
      </c>
      <c r="U90" s="119"/>
      <c r="V90" s="119"/>
      <c r="W90" s="126">
        <f t="shared" si="153"/>
        <v>10000</v>
      </c>
      <c r="X90" s="119"/>
      <c r="Y90" s="119"/>
      <c r="Z90" s="126">
        <f t="shared" si="154"/>
        <v>10000</v>
      </c>
      <c r="AA90" s="119"/>
      <c r="AB90" s="119"/>
      <c r="AC90" s="126">
        <f t="shared" si="155"/>
        <v>10000</v>
      </c>
      <c r="AD90" s="119"/>
      <c r="AE90" s="119"/>
      <c r="AF90" s="126">
        <f t="shared" si="156"/>
        <v>10000</v>
      </c>
      <c r="AG90" s="119"/>
      <c r="AH90" s="119"/>
      <c r="AI90" s="126">
        <f t="shared" si="157"/>
        <v>10000</v>
      </c>
      <c r="AJ90" s="119"/>
      <c r="AK90" s="119"/>
      <c r="AL90" s="126">
        <f t="shared" si="158"/>
        <v>10000</v>
      </c>
      <c r="AM90" s="119"/>
      <c r="AN90" s="119"/>
      <c r="AO90" s="126">
        <f t="shared" si="159"/>
        <v>10000</v>
      </c>
      <c r="AP90" s="119"/>
      <c r="AQ90" s="119"/>
      <c r="AR90" s="126">
        <f t="shared" si="160"/>
        <v>10000</v>
      </c>
      <c r="AS90" s="119"/>
      <c r="AT90" s="119">
        <v>4590</v>
      </c>
      <c r="AU90" s="126">
        <f t="shared" si="161"/>
        <v>5410</v>
      </c>
      <c r="AV90" s="337"/>
    </row>
    <row r="91" spans="1:48" s="37" customFormat="1" ht="21" customHeight="1">
      <c r="A91" s="120"/>
      <c r="B91" s="116"/>
      <c r="C91" s="98">
        <v>4430</v>
      </c>
      <c r="D91" s="56" t="s">
        <v>111</v>
      </c>
      <c r="E91" s="114">
        <v>500</v>
      </c>
      <c r="F91" s="119"/>
      <c r="G91" s="119"/>
      <c r="H91" s="126">
        <f t="shared" si="148"/>
        <v>500</v>
      </c>
      <c r="I91" s="119"/>
      <c r="J91" s="119"/>
      <c r="K91" s="126">
        <f t="shared" si="149"/>
        <v>500</v>
      </c>
      <c r="L91" s="119"/>
      <c r="M91" s="119"/>
      <c r="N91" s="126">
        <f t="shared" si="150"/>
        <v>500</v>
      </c>
      <c r="O91" s="119"/>
      <c r="P91" s="119"/>
      <c r="Q91" s="126">
        <f t="shared" si="151"/>
        <v>500</v>
      </c>
      <c r="R91" s="119"/>
      <c r="S91" s="119"/>
      <c r="T91" s="126">
        <f t="shared" si="152"/>
        <v>500</v>
      </c>
      <c r="U91" s="119"/>
      <c r="V91" s="119"/>
      <c r="W91" s="126">
        <f t="shared" si="153"/>
        <v>500</v>
      </c>
      <c r="X91" s="119"/>
      <c r="Y91" s="119"/>
      <c r="Z91" s="126">
        <f t="shared" si="154"/>
        <v>500</v>
      </c>
      <c r="AA91" s="119"/>
      <c r="AB91" s="119"/>
      <c r="AC91" s="126">
        <f t="shared" si="155"/>
        <v>500</v>
      </c>
      <c r="AD91" s="119"/>
      <c r="AE91" s="119"/>
      <c r="AF91" s="126">
        <f t="shared" si="156"/>
        <v>500</v>
      </c>
      <c r="AG91" s="119"/>
      <c r="AH91" s="119"/>
      <c r="AI91" s="126">
        <f t="shared" si="157"/>
        <v>500</v>
      </c>
      <c r="AJ91" s="119"/>
      <c r="AK91" s="119"/>
      <c r="AL91" s="126">
        <f t="shared" si="158"/>
        <v>500</v>
      </c>
      <c r="AM91" s="119"/>
      <c r="AN91" s="119"/>
      <c r="AO91" s="126">
        <f t="shared" si="159"/>
        <v>500</v>
      </c>
      <c r="AP91" s="119"/>
      <c r="AQ91" s="119"/>
      <c r="AR91" s="126">
        <f t="shared" si="160"/>
        <v>500</v>
      </c>
      <c r="AS91" s="119"/>
      <c r="AT91" s="119"/>
      <c r="AU91" s="126">
        <f t="shared" si="161"/>
        <v>500</v>
      </c>
      <c r="AV91" s="337"/>
    </row>
    <row r="92" spans="1:48" s="8" customFormat="1" ht="48.75" customHeight="1">
      <c r="A92" s="51">
        <v>751</v>
      </c>
      <c r="B92" s="52"/>
      <c r="C92" s="53"/>
      <c r="D92" s="54" t="s">
        <v>552</v>
      </c>
      <c r="E92" s="55">
        <f aca="true" t="shared" si="162" ref="E92:AB92">SUM(E93)</f>
        <v>3930</v>
      </c>
      <c r="F92" s="55">
        <f t="shared" si="162"/>
        <v>0</v>
      </c>
      <c r="G92" s="55">
        <f t="shared" si="162"/>
        <v>100</v>
      </c>
      <c r="H92" s="55">
        <f t="shared" si="162"/>
        <v>3830</v>
      </c>
      <c r="I92" s="55">
        <f t="shared" si="162"/>
        <v>0</v>
      </c>
      <c r="J92" s="55">
        <f t="shared" si="162"/>
        <v>0</v>
      </c>
      <c r="K92" s="55">
        <f t="shared" si="162"/>
        <v>3830</v>
      </c>
      <c r="L92" s="55">
        <f t="shared" si="162"/>
        <v>0</v>
      </c>
      <c r="M92" s="55">
        <f t="shared" si="162"/>
        <v>0</v>
      </c>
      <c r="N92" s="55">
        <f t="shared" si="162"/>
        <v>3830</v>
      </c>
      <c r="O92" s="55">
        <f t="shared" si="162"/>
        <v>0</v>
      </c>
      <c r="P92" s="55">
        <f t="shared" si="162"/>
        <v>0</v>
      </c>
      <c r="Q92" s="55">
        <f t="shared" si="162"/>
        <v>3830</v>
      </c>
      <c r="R92" s="55">
        <f t="shared" si="162"/>
        <v>0</v>
      </c>
      <c r="S92" s="55">
        <f t="shared" si="162"/>
        <v>0</v>
      </c>
      <c r="T92" s="55">
        <f t="shared" si="162"/>
        <v>3830</v>
      </c>
      <c r="U92" s="55">
        <f t="shared" si="162"/>
        <v>0</v>
      </c>
      <c r="V92" s="55">
        <f t="shared" si="162"/>
        <v>0</v>
      </c>
      <c r="W92" s="55">
        <f t="shared" si="162"/>
        <v>3830</v>
      </c>
      <c r="X92" s="55">
        <f t="shared" si="162"/>
        <v>0</v>
      </c>
      <c r="Y92" s="55">
        <f t="shared" si="162"/>
        <v>0</v>
      </c>
      <c r="Z92" s="55">
        <f t="shared" si="162"/>
        <v>3830</v>
      </c>
      <c r="AA92" s="55">
        <f t="shared" si="162"/>
        <v>0</v>
      </c>
      <c r="AB92" s="55">
        <f t="shared" si="162"/>
        <v>0</v>
      </c>
      <c r="AC92" s="55">
        <f aca="true" t="shared" si="163" ref="AC92:AI92">SUM(AC93,AC96)</f>
        <v>3830</v>
      </c>
      <c r="AD92" s="55">
        <f t="shared" si="163"/>
        <v>79240</v>
      </c>
      <c r="AE92" s="55">
        <f t="shared" si="163"/>
        <v>0</v>
      </c>
      <c r="AF92" s="55">
        <f t="shared" si="163"/>
        <v>83070</v>
      </c>
      <c r="AG92" s="55">
        <f t="shared" si="163"/>
        <v>0</v>
      </c>
      <c r="AH92" s="55">
        <f t="shared" si="163"/>
        <v>0</v>
      </c>
      <c r="AI92" s="55">
        <f t="shared" si="163"/>
        <v>83070</v>
      </c>
      <c r="AJ92" s="55">
        <f aca="true" t="shared" si="164" ref="AJ92:AO92">SUM(AJ93,AJ96)</f>
        <v>0</v>
      </c>
      <c r="AK92" s="55">
        <f t="shared" si="164"/>
        <v>0</v>
      </c>
      <c r="AL92" s="55">
        <f t="shared" si="164"/>
        <v>83070</v>
      </c>
      <c r="AM92" s="55">
        <f t="shared" si="164"/>
        <v>2016</v>
      </c>
      <c r="AN92" s="55">
        <f t="shared" si="164"/>
        <v>2016</v>
      </c>
      <c r="AO92" s="55">
        <f t="shared" si="164"/>
        <v>83070</v>
      </c>
      <c r="AP92" s="55">
        <f aca="true" t="shared" si="165" ref="AP92:AU92">SUM(AP93,AP96)</f>
        <v>248</v>
      </c>
      <c r="AQ92" s="55">
        <f t="shared" si="165"/>
        <v>248</v>
      </c>
      <c r="AR92" s="55">
        <f t="shared" si="165"/>
        <v>83070</v>
      </c>
      <c r="AS92" s="55">
        <f t="shared" si="165"/>
        <v>255</v>
      </c>
      <c r="AT92" s="55">
        <f t="shared" si="165"/>
        <v>255</v>
      </c>
      <c r="AU92" s="55">
        <f t="shared" si="165"/>
        <v>83070</v>
      </c>
      <c r="AV92" s="338"/>
    </row>
    <row r="93" spans="1:48" s="37" customFormat="1" ht="32.25" customHeight="1">
      <c r="A93" s="120"/>
      <c r="B93" s="116">
        <v>75101</v>
      </c>
      <c r="C93" s="120"/>
      <c r="D93" s="56" t="s">
        <v>446</v>
      </c>
      <c r="E93" s="114">
        <f aca="true" t="shared" si="166" ref="E93:K93">SUM(E94:E95)</f>
        <v>3930</v>
      </c>
      <c r="F93" s="114">
        <f t="shared" si="166"/>
        <v>0</v>
      </c>
      <c r="G93" s="114">
        <f t="shared" si="166"/>
        <v>100</v>
      </c>
      <c r="H93" s="114">
        <f t="shared" si="166"/>
        <v>3830</v>
      </c>
      <c r="I93" s="114">
        <f t="shared" si="166"/>
        <v>0</v>
      </c>
      <c r="J93" s="114">
        <f t="shared" si="166"/>
        <v>0</v>
      </c>
      <c r="K93" s="114">
        <f t="shared" si="166"/>
        <v>3830</v>
      </c>
      <c r="L93" s="114">
        <f aca="true" t="shared" si="167" ref="L93:Q93">SUM(L94:L95)</f>
        <v>0</v>
      </c>
      <c r="M93" s="114">
        <f t="shared" si="167"/>
        <v>0</v>
      </c>
      <c r="N93" s="114">
        <f t="shared" si="167"/>
        <v>3830</v>
      </c>
      <c r="O93" s="114">
        <f t="shared" si="167"/>
        <v>0</v>
      </c>
      <c r="P93" s="114">
        <f t="shared" si="167"/>
        <v>0</v>
      </c>
      <c r="Q93" s="114">
        <f t="shared" si="167"/>
        <v>3830</v>
      </c>
      <c r="R93" s="114">
        <f aca="true" t="shared" si="168" ref="R93:W93">SUM(R94:R95)</f>
        <v>0</v>
      </c>
      <c r="S93" s="114">
        <f t="shared" si="168"/>
        <v>0</v>
      </c>
      <c r="T93" s="114">
        <f t="shared" si="168"/>
        <v>3830</v>
      </c>
      <c r="U93" s="114">
        <f t="shared" si="168"/>
        <v>0</v>
      </c>
      <c r="V93" s="114">
        <f t="shared" si="168"/>
        <v>0</v>
      </c>
      <c r="W93" s="114">
        <f t="shared" si="168"/>
        <v>3830</v>
      </c>
      <c r="X93" s="114">
        <f aca="true" t="shared" si="169" ref="X93:AC93">SUM(X94:X95)</f>
        <v>0</v>
      </c>
      <c r="Y93" s="114">
        <f t="shared" si="169"/>
        <v>0</v>
      </c>
      <c r="Z93" s="114">
        <f t="shared" si="169"/>
        <v>3830</v>
      </c>
      <c r="AA93" s="114">
        <f t="shared" si="169"/>
        <v>0</v>
      </c>
      <c r="AB93" s="114">
        <f t="shared" si="169"/>
        <v>0</v>
      </c>
      <c r="AC93" s="114">
        <f t="shared" si="169"/>
        <v>3830</v>
      </c>
      <c r="AD93" s="114">
        <f aca="true" t="shared" si="170" ref="AD93:AI93">SUM(AD94:AD95)</f>
        <v>0</v>
      </c>
      <c r="AE93" s="114">
        <f t="shared" si="170"/>
        <v>0</v>
      </c>
      <c r="AF93" s="114">
        <f t="shared" si="170"/>
        <v>3830</v>
      </c>
      <c r="AG93" s="114">
        <f t="shared" si="170"/>
        <v>0</v>
      </c>
      <c r="AH93" s="114">
        <f t="shared" si="170"/>
        <v>0</v>
      </c>
      <c r="AI93" s="114">
        <f t="shared" si="170"/>
        <v>3830</v>
      </c>
      <c r="AJ93" s="114">
        <f aca="true" t="shared" si="171" ref="AJ93:AO93">SUM(AJ94:AJ95)</f>
        <v>0</v>
      </c>
      <c r="AK93" s="114">
        <f t="shared" si="171"/>
        <v>0</v>
      </c>
      <c r="AL93" s="114">
        <f t="shared" si="171"/>
        <v>3830</v>
      </c>
      <c r="AM93" s="114">
        <f t="shared" si="171"/>
        <v>657</v>
      </c>
      <c r="AN93" s="114">
        <f t="shared" si="171"/>
        <v>657</v>
      </c>
      <c r="AO93" s="114">
        <f t="shared" si="171"/>
        <v>3830</v>
      </c>
      <c r="AP93" s="114">
        <f aca="true" t="shared" si="172" ref="AP93:AU93">SUM(AP94:AP95)</f>
        <v>0</v>
      </c>
      <c r="AQ93" s="114">
        <f t="shared" si="172"/>
        <v>0</v>
      </c>
      <c r="AR93" s="114">
        <f t="shared" si="172"/>
        <v>3830</v>
      </c>
      <c r="AS93" s="114">
        <f t="shared" si="172"/>
        <v>0</v>
      </c>
      <c r="AT93" s="114">
        <f t="shared" si="172"/>
        <v>0</v>
      </c>
      <c r="AU93" s="114">
        <f t="shared" si="172"/>
        <v>3830</v>
      </c>
      <c r="AV93" s="339"/>
    </row>
    <row r="94" spans="1:48" s="37" customFormat="1" ht="21" customHeight="1">
      <c r="A94" s="120"/>
      <c r="B94" s="116"/>
      <c r="C94" s="98">
        <v>4210</v>
      </c>
      <c r="D94" s="56" t="s">
        <v>109</v>
      </c>
      <c r="E94" s="114">
        <v>1930</v>
      </c>
      <c r="F94" s="119"/>
      <c r="G94" s="119">
        <v>100</v>
      </c>
      <c r="H94" s="126">
        <f>SUM(E94+F94-G94)</f>
        <v>1830</v>
      </c>
      <c r="I94" s="119"/>
      <c r="J94" s="119"/>
      <c r="K94" s="126">
        <f>SUM(H94+I94-J94)</f>
        <v>1830</v>
      </c>
      <c r="L94" s="119"/>
      <c r="M94" s="119"/>
      <c r="N94" s="126">
        <f>SUM(K94+L94-M94)</f>
        <v>1830</v>
      </c>
      <c r="O94" s="119"/>
      <c r="P94" s="119"/>
      <c r="Q94" s="126">
        <f>SUM(N94+O94-P94)</f>
        <v>1830</v>
      </c>
      <c r="R94" s="119"/>
      <c r="S94" s="119"/>
      <c r="T94" s="126">
        <f>SUM(Q94+R94-S94)</f>
        <v>1830</v>
      </c>
      <c r="U94" s="119"/>
      <c r="V94" s="119"/>
      <c r="W94" s="126">
        <f>SUM(T94+U94-V94)</f>
        <v>1830</v>
      </c>
      <c r="X94" s="119"/>
      <c r="Y94" s="119"/>
      <c r="Z94" s="126">
        <f>SUM(W94+X94-Y94)</f>
        <v>1830</v>
      </c>
      <c r="AA94" s="119"/>
      <c r="AB94" s="119"/>
      <c r="AC94" s="126">
        <f>SUM(Z94+AA94-AB94)</f>
        <v>1830</v>
      </c>
      <c r="AD94" s="119"/>
      <c r="AE94" s="119"/>
      <c r="AF94" s="126">
        <f>SUM(AC94+AD94-AE94)</f>
        <v>1830</v>
      </c>
      <c r="AG94" s="119"/>
      <c r="AH94" s="119"/>
      <c r="AI94" s="126">
        <f>SUM(AF94+AG94-AH94)</f>
        <v>1830</v>
      </c>
      <c r="AJ94" s="119"/>
      <c r="AK94" s="119"/>
      <c r="AL94" s="126">
        <f>SUM(AI94+AJ94-AK94)</f>
        <v>1830</v>
      </c>
      <c r="AM94" s="119">
        <v>657</v>
      </c>
      <c r="AN94" s="119"/>
      <c r="AO94" s="126">
        <f>SUM(AL94+AM94-AN94)</f>
        <v>2487</v>
      </c>
      <c r="AP94" s="119"/>
      <c r="AQ94" s="119"/>
      <c r="AR94" s="126">
        <f>SUM(AO94+AP94-AQ94)</f>
        <v>2487</v>
      </c>
      <c r="AS94" s="119"/>
      <c r="AT94" s="119"/>
      <c r="AU94" s="126">
        <f>SUM(AR94+AS94-AT94)</f>
        <v>2487</v>
      </c>
      <c r="AV94" s="337"/>
    </row>
    <row r="95" spans="1:48" s="37" customFormat="1" ht="21" customHeight="1">
      <c r="A95" s="120"/>
      <c r="B95" s="116"/>
      <c r="C95" s="98">
        <v>4300</v>
      </c>
      <c r="D95" s="56" t="s">
        <v>96</v>
      </c>
      <c r="E95" s="114">
        <v>2000</v>
      </c>
      <c r="F95" s="119"/>
      <c r="G95" s="119"/>
      <c r="H95" s="126">
        <f>SUM(E95+F95-G95)</f>
        <v>2000</v>
      </c>
      <c r="I95" s="119"/>
      <c r="J95" s="119"/>
      <c r="K95" s="126">
        <f>SUM(H95+I95-J95)</f>
        <v>2000</v>
      </c>
      <c r="L95" s="119"/>
      <c r="M95" s="119"/>
      <c r="N95" s="126">
        <f>SUM(K95+L95-M95)</f>
        <v>2000</v>
      </c>
      <c r="O95" s="119"/>
      <c r="P95" s="119"/>
      <c r="Q95" s="126">
        <f>SUM(N95+O95-P95)</f>
        <v>2000</v>
      </c>
      <c r="R95" s="119"/>
      <c r="S95" s="119"/>
      <c r="T95" s="126">
        <f>SUM(Q95+R95-S95)</f>
        <v>2000</v>
      </c>
      <c r="U95" s="119"/>
      <c r="V95" s="119"/>
      <c r="W95" s="126">
        <f>SUM(T95+U95-V95)</f>
        <v>2000</v>
      </c>
      <c r="X95" s="119"/>
      <c r="Y95" s="119"/>
      <c r="Z95" s="126">
        <f>SUM(W95+X95-Y95)</f>
        <v>2000</v>
      </c>
      <c r="AA95" s="119"/>
      <c r="AB95" s="119"/>
      <c r="AC95" s="126">
        <f>SUM(Z95+AA95-AB95)</f>
        <v>2000</v>
      </c>
      <c r="AD95" s="119"/>
      <c r="AE95" s="119"/>
      <c r="AF95" s="126">
        <f>SUM(AC95+AD95-AE95)</f>
        <v>2000</v>
      </c>
      <c r="AG95" s="119"/>
      <c r="AH95" s="119"/>
      <c r="AI95" s="126">
        <f>SUM(AF95+AG95-AH95)</f>
        <v>2000</v>
      </c>
      <c r="AJ95" s="119"/>
      <c r="AK95" s="119"/>
      <c r="AL95" s="126">
        <f>SUM(AI95+AJ95-AK95)</f>
        <v>2000</v>
      </c>
      <c r="AM95" s="119"/>
      <c r="AN95" s="119">
        <v>657</v>
      </c>
      <c r="AO95" s="126">
        <f>SUM(AL95+AM95-AN95)</f>
        <v>1343</v>
      </c>
      <c r="AP95" s="119"/>
      <c r="AQ95" s="119"/>
      <c r="AR95" s="126">
        <f>SUM(AO95+AP95-AQ95)</f>
        <v>1343</v>
      </c>
      <c r="AS95" s="119"/>
      <c r="AT95" s="119"/>
      <c r="AU95" s="126">
        <f>SUM(AR95+AS95-AT95)</f>
        <v>1343</v>
      </c>
      <c r="AV95" s="337"/>
    </row>
    <row r="96" spans="1:48" s="37" customFormat="1" ht="60">
      <c r="A96" s="120"/>
      <c r="B96" s="116">
        <v>75109</v>
      </c>
      <c r="C96" s="98"/>
      <c r="D96" s="56" t="s">
        <v>599</v>
      </c>
      <c r="E96" s="114"/>
      <c r="F96" s="119"/>
      <c r="G96" s="119"/>
      <c r="H96" s="126"/>
      <c r="I96" s="119"/>
      <c r="J96" s="119"/>
      <c r="K96" s="126"/>
      <c r="L96" s="119"/>
      <c r="M96" s="119"/>
      <c r="N96" s="126"/>
      <c r="O96" s="119"/>
      <c r="P96" s="119"/>
      <c r="Q96" s="126"/>
      <c r="R96" s="119"/>
      <c r="S96" s="119"/>
      <c r="T96" s="126"/>
      <c r="U96" s="119"/>
      <c r="V96" s="119"/>
      <c r="W96" s="126"/>
      <c r="X96" s="119"/>
      <c r="Y96" s="119"/>
      <c r="Z96" s="126"/>
      <c r="AA96" s="119"/>
      <c r="AB96" s="119"/>
      <c r="AC96" s="126">
        <f aca="true" t="shared" si="173" ref="AC96:AI96">SUM(AC97:AC105)</f>
        <v>0</v>
      </c>
      <c r="AD96" s="126">
        <f t="shared" si="173"/>
        <v>79240</v>
      </c>
      <c r="AE96" s="126">
        <f t="shared" si="173"/>
        <v>0</v>
      </c>
      <c r="AF96" s="126">
        <f t="shared" si="173"/>
        <v>79240</v>
      </c>
      <c r="AG96" s="126">
        <f t="shared" si="173"/>
        <v>0</v>
      </c>
      <c r="AH96" s="126">
        <f t="shared" si="173"/>
        <v>0</v>
      </c>
      <c r="AI96" s="126">
        <f t="shared" si="173"/>
        <v>79240</v>
      </c>
      <c r="AJ96" s="126">
        <f aca="true" t="shared" si="174" ref="AJ96:AO96">SUM(AJ97:AJ105)</f>
        <v>0</v>
      </c>
      <c r="AK96" s="126">
        <f t="shared" si="174"/>
        <v>0</v>
      </c>
      <c r="AL96" s="126">
        <f t="shared" si="174"/>
        <v>79240</v>
      </c>
      <c r="AM96" s="126">
        <f t="shared" si="174"/>
        <v>1359</v>
      </c>
      <c r="AN96" s="126">
        <f t="shared" si="174"/>
        <v>1359</v>
      </c>
      <c r="AO96" s="126">
        <f t="shared" si="174"/>
        <v>79240</v>
      </c>
      <c r="AP96" s="126">
        <f aca="true" t="shared" si="175" ref="AP96:AU96">SUM(AP97:AP105)</f>
        <v>248</v>
      </c>
      <c r="AQ96" s="126">
        <f t="shared" si="175"/>
        <v>248</v>
      </c>
      <c r="AR96" s="126">
        <f t="shared" si="175"/>
        <v>79240</v>
      </c>
      <c r="AS96" s="126">
        <f t="shared" si="175"/>
        <v>255</v>
      </c>
      <c r="AT96" s="126">
        <f t="shared" si="175"/>
        <v>255</v>
      </c>
      <c r="AU96" s="126">
        <f t="shared" si="175"/>
        <v>79240</v>
      </c>
      <c r="AV96" s="337"/>
    </row>
    <row r="97" spans="1:48" s="37" customFormat="1" ht="21" customHeight="1">
      <c r="A97" s="120"/>
      <c r="B97" s="116"/>
      <c r="C97" s="98">
        <v>3030</v>
      </c>
      <c r="D97" s="56" t="s">
        <v>106</v>
      </c>
      <c r="E97" s="114"/>
      <c r="F97" s="119"/>
      <c r="G97" s="119"/>
      <c r="H97" s="126"/>
      <c r="I97" s="119"/>
      <c r="J97" s="119"/>
      <c r="K97" s="126"/>
      <c r="L97" s="119"/>
      <c r="M97" s="119"/>
      <c r="N97" s="126"/>
      <c r="O97" s="119"/>
      <c r="P97" s="119"/>
      <c r="Q97" s="126"/>
      <c r="R97" s="119"/>
      <c r="S97" s="119"/>
      <c r="T97" s="126"/>
      <c r="U97" s="119"/>
      <c r="V97" s="119"/>
      <c r="W97" s="126"/>
      <c r="X97" s="119"/>
      <c r="Y97" s="119"/>
      <c r="Z97" s="126"/>
      <c r="AA97" s="119"/>
      <c r="AB97" s="119"/>
      <c r="AC97" s="126">
        <v>0</v>
      </c>
      <c r="AD97" s="119">
        <v>46040</v>
      </c>
      <c r="AE97" s="119"/>
      <c r="AF97" s="126">
        <f>SUM(AC97+AD97-AE97)</f>
        <v>46040</v>
      </c>
      <c r="AG97" s="119"/>
      <c r="AH97" s="119"/>
      <c r="AI97" s="126">
        <f>SUM(AF97+AG97-AH97)</f>
        <v>46040</v>
      </c>
      <c r="AJ97" s="119"/>
      <c r="AK97" s="119"/>
      <c r="AL97" s="126">
        <f>SUM(AI97+AJ97-AK97)</f>
        <v>46040</v>
      </c>
      <c r="AM97" s="119"/>
      <c r="AN97" s="119"/>
      <c r="AO97" s="126">
        <f>SUM(AL97+AM97-AN97)</f>
        <v>46040</v>
      </c>
      <c r="AP97" s="119"/>
      <c r="AQ97" s="119"/>
      <c r="AR97" s="126">
        <f>SUM(AO97+AP97-AQ97)</f>
        <v>46040</v>
      </c>
      <c r="AS97" s="119"/>
      <c r="AT97" s="119"/>
      <c r="AU97" s="126">
        <f>SUM(AR97+AS97-AT97)</f>
        <v>46040</v>
      </c>
      <c r="AV97" s="337"/>
    </row>
    <row r="98" spans="1:48" s="37" customFormat="1" ht="21" customHeight="1">
      <c r="A98" s="120"/>
      <c r="B98" s="116"/>
      <c r="C98" s="98">
        <v>4170</v>
      </c>
      <c r="D98" s="56" t="s">
        <v>252</v>
      </c>
      <c r="E98" s="114"/>
      <c r="F98" s="119"/>
      <c r="G98" s="119"/>
      <c r="H98" s="126"/>
      <c r="I98" s="119"/>
      <c r="J98" s="119"/>
      <c r="K98" s="126"/>
      <c r="L98" s="119"/>
      <c r="M98" s="119"/>
      <c r="N98" s="126"/>
      <c r="O98" s="119"/>
      <c r="P98" s="119"/>
      <c r="Q98" s="126"/>
      <c r="R98" s="119"/>
      <c r="S98" s="119"/>
      <c r="T98" s="126"/>
      <c r="U98" s="119"/>
      <c r="V98" s="119"/>
      <c r="W98" s="126"/>
      <c r="X98" s="119"/>
      <c r="Y98" s="119"/>
      <c r="Z98" s="126"/>
      <c r="AA98" s="119"/>
      <c r="AB98" s="119"/>
      <c r="AC98" s="126">
        <v>0</v>
      </c>
      <c r="AD98" s="119">
        <v>12500</v>
      </c>
      <c r="AE98" s="119"/>
      <c r="AF98" s="126">
        <f aca="true" t="shared" si="176" ref="AF98:AF105">SUM(AC98+AD98-AE98)</f>
        <v>12500</v>
      </c>
      <c r="AG98" s="119"/>
      <c r="AH98" s="119"/>
      <c r="AI98" s="126">
        <f aca="true" t="shared" si="177" ref="AI98:AI105">SUM(AF98+AG98-AH98)</f>
        <v>12500</v>
      </c>
      <c r="AJ98" s="119"/>
      <c r="AK98" s="119"/>
      <c r="AL98" s="126">
        <f aca="true" t="shared" si="178" ref="AL98:AL105">SUM(AI98+AJ98-AK98)</f>
        <v>12500</v>
      </c>
      <c r="AM98" s="119"/>
      <c r="AN98" s="119"/>
      <c r="AO98" s="126">
        <f aca="true" t="shared" si="179" ref="AO98:AO105">SUM(AL98+AM98-AN98)</f>
        <v>12500</v>
      </c>
      <c r="AP98" s="119"/>
      <c r="AQ98" s="119"/>
      <c r="AR98" s="126">
        <f aca="true" t="shared" si="180" ref="AR98:AR105">SUM(AO98+AP98-AQ98)</f>
        <v>12500</v>
      </c>
      <c r="AS98" s="119"/>
      <c r="AT98" s="119"/>
      <c r="AU98" s="126">
        <f aca="true" t="shared" si="181" ref="AU98:AU105">SUM(AR98+AS98-AT98)</f>
        <v>12500</v>
      </c>
      <c r="AV98" s="337">
        <f>SUM(AU98)</f>
        <v>12500</v>
      </c>
    </row>
    <row r="99" spans="1:48" s="37" customFormat="1" ht="21" customHeight="1">
      <c r="A99" s="120"/>
      <c r="B99" s="116"/>
      <c r="C99" s="98">
        <v>4110</v>
      </c>
      <c r="D99" s="56" t="s">
        <v>103</v>
      </c>
      <c r="E99" s="114"/>
      <c r="F99" s="119"/>
      <c r="G99" s="119"/>
      <c r="H99" s="126"/>
      <c r="I99" s="119"/>
      <c r="J99" s="119"/>
      <c r="K99" s="126"/>
      <c r="L99" s="119"/>
      <c r="M99" s="119"/>
      <c r="N99" s="126"/>
      <c r="O99" s="119"/>
      <c r="P99" s="119"/>
      <c r="Q99" s="126"/>
      <c r="R99" s="119"/>
      <c r="S99" s="119"/>
      <c r="T99" s="126"/>
      <c r="U99" s="119"/>
      <c r="V99" s="119"/>
      <c r="W99" s="126"/>
      <c r="X99" s="119"/>
      <c r="Y99" s="119"/>
      <c r="Z99" s="126"/>
      <c r="AA99" s="119"/>
      <c r="AB99" s="119"/>
      <c r="AC99" s="126">
        <v>0</v>
      </c>
      <c r="AD99" s="119">
        <v>1384</v>
      </c>
      <c r="AE99" s="119"/>
      <c r="AF99" s="126">
        <f t="shared" si="176"/>
        <v>1384</v>
      </c>
      <c r="AG99" s="119"/>
      <c r="AH99" s="119"/>
      <c r="AI99" s="126">
        <f t="shared" si="177"/>
        <v>1384</v>
      </c>
      <c r="AJ99" s="119"/>
      <c r="AK99" s="119"/>
      <c r="AL99" s="126">
        <f t="shared" si="178"/>
        <v>1384</v>
      </c>
      <c r="AM99" s="119"/>
      <c r="AN99" s="119"/>
      <c r="AO99" s="126">
        <f t="shared" si="179"/>
        <v>1384</v>
      </c>
      <c r="AP99" s="119"/>
      <c r="AQ99" s="119"/>
      <c r="AR99" s="126">
        <f t="shared" si="180"/>
        <v>1384</v>
      </c>
      <c r="AS99" s="119"/>
      <c r="AT99" s="119">
        <v>229</v>
      </c>
      <c r="AU99" s="126">
        <f t="shared" si="181"/>
        <v>1155</v>
      </c>
      <c r="AV99" s="337">
        <f>SUM(AU99)</f>
        <v>1155</v>
      </c>
    </row>
    <row r="100" spans="1:48" s="37" customFormat="1" ht="21" customHeight="1">
      <c r="A100" s="120"/>
      <c r="B100" s="116"/>
      <c r="C100" s="98">
        <v>4120</v>
      </c>
      <c r="D100" s="56" t="s">
        <v>302</v>
      </c>
      <c r="E100" s="114"/>
      <c r="F100" s="119"/>
      <c r="G100" s="119"/>
      <c r="H100" s="126"/>
      <c r="I100" s="119"/>
      <c r="J100" s="119"/>
      <c r="K100" s="126"/>
      <c r="L100" s="119"/>
      <c r="M100" s="119"/>
      <c r="N100" s="126"/>
      <c r="O100" s="119"/>
      <c r="P100" s="119"/>
      <c r="Q100" s="126"/>
      <c r="R100" s="119"/>
      <c r="S100" s="119"/>
      <c r="T100" s="126"/>
      <c r="U100" s="119"/>
      <c r="V100" s="119"/>
      <c r="W100" s="126"/>
      <c r="X100" s="119"/>
      <c r="Y100" s="119"/>
      <c r="Z100" s="126"/>
      <c r="AA100" s="119"/>
      <c r="AB100" s="119"/>
      <c r="AC100" s="126">
        <v>0</v>
      </c>
      <c r="AD100" s="119">
        <v>197</v>
      </c>
      <c r="AE100" s="119"/>
      <c r="AF100" s="126">
        <f t="shared" si="176"/>
        <v>197</v>
      </c>
      <c r="AG100" s="119"/>
      <c r="AH100" s="119"/>
      <c r="AI100" s="126">
        <f t="shared" si="177"/>
        <v>197</v>
      </c>
      <c r="AJ100" s="119"/>
      <c r="AK100" s="119"/>
      <c r="AL100" s="126">
        <f t="shared" si="178"/>
        <v>197</v>
      </c>
      <c r="AM100" s="119"/>
      <c r="AN100" s="119"/>
      <c r="AO100" s="126">
        <f t="shared" si="179"/>
        <v>197</v>
      </c>
      <c r="AP100" s="119"/>
      <c r="AQ100" s="119"/>
      <c r="AR100" s="126">
        <f t="shared" si="180"/>
        <v>197</v>
      </c>
      <c r="AS100" s="119"/>
      <c r="AT100" s="119">
        <v>26</v>
      </c>
      <c r="AU100" s="126">
        <f t="shared" si="181"/>
        <v>171</v>
      </c>
      <c r="AV100" s="337">
        <f>SUM(AU100)</f>
        <v>171</v>
      </c>
    </row>
    <row r="101" spans="1:48" s="37" customFormat="1" ht="21" customHeight="1">
      <c r="A101" s="120"/>
      <c r="B101" s="116"/>
      <c r="C101" s="98">
        <v>4210</v>
      </c>
      <c r="D101" s="56" t="s">
        <v>109</v>
      </c>
      <c r="E101" s="114"/>
      <c r="F101" s="119"/>
      <c r="G101" s="119"/>
      <c r="H101" s="126"/>
      <c r="I101" s="119"/>
      <c r="J101" s="119"/>
      <c r="K101" s="126"/>
      <c r="L101" s="119"/>
      <c r="M101" s="119"/>
      <c r="N101" s="126"/>
      <c r="O101" s="119"/>
      <c r="P101" s="119"/>
      <c r="Q101" s="126"/>
      <c r="R101" s="119"/>
      <c r="S101" s="119"/>
      <c r="T101" s="126"/>
      <c r="U101" s="119"/>
      <c r="V101" s="119"/>
      <c r="W101" s="126"/>
      <c r="X101" s="119"/>
      <c r="Y101" s="119"/>
      <c r="Z101" s="126"/>
      <c r="AA101" s="119"/>
      <c r="AB101" s="119"/>
      <c r="AC101" s="126">
        <v>0</v>
      </c>
      <c r="AD101" s="119">
        <v>8749</v>
      </c>
      <c r="AE101" s="119"/>
      <c r="AF101" s="126">
        <f t="shared" si="176"/>
        <v>8749</v>
      </c>
      <c r="AG101" s="119"/>
      <c r="AH101" s="119"/>
      <c r="AI101" s="126">
        <f t="shared" si="177"/>
        <v>8749</v>
      </c>
      <c r="AJ101" s="119"/>
      <c r="AK101" s="119"/>
      <c r="AL101" s="126">
        <f t="shared" si="178"/>
        <v>8749</v>
      </c>
      <c r="AM101" s="119"/>
      <c r="AN101" s="119"/>
      <c r="AO101" s="126">
        <f t="shared" si="179"/>
        <v>8749</v>
      </c>
      <c r="AP101" s="119"/>
      <c r="AQ101" s="119">
        <v>248</v>
      </c>
      <c r="AR101" s="126">
        <f t="shared" si="180"/>
        <v>8501</v>
      </c>
      <c r="AS101" s="119">
        <v>167</v>
      </c>
      <c r="AT101" s="119"/>
      <c r="AU101" s="126">
        <f t="shared" si="181"/>
        <v>8668</v>
      </c>
      <c r="AV101" s="337"/>
    </row>
    <row r="102" spans="1:48" s="37" customFormat="1" ht="21" customHeight="1">
      <c r="A102" s="120"/>
      <c r="B102" s="116"/>
      <c r="C102" s="98">
        <v>4260</v>
      </c>
      <c r="D102" s="56" t="s">
        <v>112</v>
      </c>
      <c r="E102" s="114"/>
      <c r="F102" s="119"/>
      <c r="G102" s="119"/>
      <c r="H102" s="126"/>
      <c r="I102" s="119"/>
      <c r="J102" s="119"/>
      <c r="K102" s="126"/>
      <c r="L102" s="119"/>
      <c r="M102" s="119"/>
      <c r="N102" s="126"/>
      <c r="O102" s="119"/>
      <c r="P102" s="119"/>
      <c r="Q102" s="126"/>
      <c r="R102" s="119"/>
      <c r="S102" s="119"/>
      <c r="T102" s="126"/>
      <c r="U102" s="119"/>
      <c r="V102" s="119"/>
      <c r="W102" s="126"/>
      <c r="X102" s="119"/>
      <c r="Y102" s="119"/>
      <c r="Z102" s="126"/>
      <c r="AA102" s="119"/>
      <c r="AB102" s="119"/>
      <c r="AC102" s="126"/>
      <c r="AD102" s="119"/>
      <c r="AE102" s="119"/>
      <c r="AF102" s="126"/>
      <c r="AG102" s="119"/>
      <c r="AH102" s="119"/>
      <c r="AI102" s="126"/>
      <c r="AJ102" s="119"/>
      <c r="AK102" s="119"/>
      <c r="AL102" s="126"/>
      <c r="AM102" s="119"/>
      <c r="AN102" s="119"/>
      <c r="AO102" s="126">
        <v>0</v>
      </c>
      <c r="AP102" s="119">
        <v>42</v>
      </c>
      <c r="AQ102" s="119"/>
      <c r="AR102" s="126">
        <f t="shared" si="180"/>
        <v>42</v>
      </c>
      <c r="AS102" s="119"/>
      <c r="AT102" s="119"/>
      <c r="AU102" s="126">
        <f t="shared" si="181"/>
        <v>42</v>
      </c>
      <c r="AV102" s="337"/>
    </row>
    <row r="103" spans="1:48" s="37" customFormat="1" ht="21" customHeight="1">
      <c r="A103" s="120"/>
      <c r="B103" s="116"/>
      <c r="C103" s="98">
        <v>4270</v>
      </c>
      <c r="D103" s="56" t="s">
        <v>95</v>
      </c>
      <c r="E103" s="114"/>
      <c r="F103" s="119"/>
      <c r="G103" s="119"/>
      <c r="H103" s="126"/>
      <c r="I103" s="119"/>
      <c r="J103" s="119"/>
      <c r="K103" s="126"/>
      <c r="L103" s="119"/>
      <c r="M103" s="119"/>
      <c r="N103" s="126"/>
      <c r="O103" s="119"/>
      <c r="P103" s="119"/>
      <c r="Q103" s="126"/>
      <c r="R103" s="119"/>
      <c r="S103" s="119"/>
      <c r="T103" s="126"/>
      <c r="U103" s="119"/>
      <c r="V103" s="119"/>
      <c r="W103" s="126"/>
      <c r="X103" s="119"/>
      <c r="Y103" s="119"/>
      <c r="Z103" s="126"/>
      <c r="AA103" s="119"/>
      <c r="AB103" s="119"/>
      <c r="AC103" s="126"/>
      <c r="AD103" s="119"/>
      <c r="AE103" s="119"/>
      <c r="AF103" s="126"/>
      <c r="AG103" s="119"/>
      <c r="AH103" s="119"/>
      <c r="AI103" s="126"/>
      <c r="AJ103" s="119"/>
      <c r="AK103" s="119"/>
      <c r="AL103" s="126">
        <v>0</v>
      </c>
      <c r="AM103" s="119">
        <v>251</v>
      </c>
      <c r="AN103" s="119"/>
      <c r="AO103" s="126">
        <f t="shared" si="179"/>
        <v>251</v>
      </c>
      <c r="AP103" s="119">
        <v>0</v>
      </c>
      <c r="AQ103" s="119"/>
      <c r="AR103" s="126">
        <f t="shared" si="180"/>
        <v>251</v>
      </c>
      <c r="AS103" s="119"/>
      <c r="AT103" s="119"/>
      <c r="AU103" s="126">
        <f t="shared" si="181"/>
        <v>251</v>
      </c>
      <c r="AV103" s="337"/>
    </row>
    <row r="104" spans="1:48" s="37" customFormat="1" ht="21" customHeight="1">
      <c r="A104" s="120"/>
      <c r="B104" s="116"/>
      <c r="C104" s="98">
        <v>4300</v>
      </c>
      <c r="D104" s="56" t="s">
        <v>96</v>
      </c>
      <c r="E104" s="114"/>
      <c r="F104" s="119"/>
      <c r="G104" s="119"/>
      <c r="H104" s="126"/>
      <c r="I104" s="119"/>
      <c r="J104" s="119"/>
      <c r="K104" s="126"/>
      <c r="L104" s="119"/>
      <c r="M104" s="119"/>
      <c r="N104" s="126"/>
      <c r="O104" s="119"/>
      <c r="P104" s="119"/>
      <c r="Q104" s="126"/>
      <c r="R104" s="119"/>
      <c r="S104" s="119"/>
      <c r="T104" s="126"/>
      <c r="U104" s="119"/>
      <c r="V104" s="119"/>
      <c r="W104" s="126"/>
      <c r="X104" s="119"/>
      <c r="Y104" s="119"/>
      <c r="Z104" s="126"/>
      <c r="AA104" s="119"/>
      <c r="AB104" s="119"/>
      <c r="AC104" s="126">
        <v>0</v>
      </c>
      <c r="AD104" s="119">
        <v>7070</v>
      </c>
      <c r="AE104" s="119"/>
      <c r="AF104" s="126">
        <f t="shared" si="176"/>
        <v>7070</v>
      </c>
      <c r="AG104" s="119"/>
      <c r="AH104" s="119"/>
      <c r="AI104" s="126">
        <f t="shared" si="177"/>
        <v>7070</v>
      </c>
      <c r="AJ104" s="119"/>
      <c r="AK104" s="119"/>
      <c r="AL104" s="126">
        <f t="shared" si="178"/>
        <v>7070</v>
      </c>
      <c r="AM104" s="119">
        <v>1108</v>
      </c>
      <c r="AN104" s="119"/>
      <c r="AO104" s="126">
        <f t="shared" si="179"/>
        <v>8178</v>
      </c>
      <c r="AP104" s="119"/>
      <c r="AQ104" s="119"/>
      <c r="AR104" s="126">
        <f t="shared" si="180"/>
        <v>8178</v>
      </c>
      <c r="AS104" s="119"/>
      <c r="AT104" s="119"/>
      <c r="AU104" s="126">
        <f t="shared" si="181"/>
        <v>8178</v>
      </c>
      <c r="AV104" s="337"/>
    </row>
    <row r="105" spans="1:48" s="37" customFormat="1" ht="21" customHeight="1">
      <c r="A105" s="120"/>
      <c r="B105" s="116"/>
      <c r="C105" s="98">
        <v>4410</v>
      </c>
      <c r="D105" s="56" t="s">
        <v>107</v>
      </c>
      <c r="E105" s="114"/>
      <c r="F105" s="119"/>
      <c r="G105" s="119"/>
      <c r="H105" s="126"/>
      <c r="I105" s="119"/>
      <c r="J105" s="119"/>
      <c r="K105" s="126"/>
      <c r="L105" s="119"/>
      <c r="M105" s="119"/>
      <c r="N105" s="126"/>
      <c r="O105" s="119"/>
      <c r="P105" s="119"/>
      <c r="Q105" s="126"/>
      <c r="R105" s="119"/>
      <c r="S105" s="119"/>
      <c r="T105" s="126"/>
      <c r="U105" s="119"/>
      <c r="V105" s="119"/>
      <c r="W105" s="126"/>
      <c r="X105" s="119"/>
      <c r="Y105" s="119"/>
      <c r="Z105" s="126"/>
      <c r="AA105" s="119"/>
      <c r="AB105" s="119"/>
      <c r="AC105" s="126">
        <v>0</v>
      </c>
      <c r="AD105" s="119">
        <v>3300</v>
      </c>
      <c r="AE105" s="119"/>
      <c r="AF105" s="126">
        <f t="shared" si="176"/>
        <v>3300</v>
      </c>
      <c r="AG105" s="119"/>
      <c r="AH105" s="119"/>
      <c r="AI105" s="126">
        <f t="shared" si="177"/>
        <v>3300</v>
      </c>
      <c r="AJ105" s="119"/>
      <c r="AK105" s="119"/>
      <c r="AL105" s="126">
        <f t="shared" si="178"/>
        <v>3300</v>
      </c>
      <c r="AM105" s="119"/>
      <c r="AN105" s="119">
        <v>1359</v>
      </c>
      <c r="AO105" s="126">
        <f t="shared" si="179"/>
        <v>1941</v>
      </c>
      <c r="AP105" s="119">
        <v>206</v>
      </c>
      <c r="AQ105" s="119"/>
      <c r="AR105" s="126">
        <f t="shared" si="180"/>
        <v>2147</v>
      </c>
      <c r="AS105" s="119">
        <v>88</v>
      </c>
      <c r="AT105" s="119"/>
      <c r="AU105" s="126">
        <f t="shared" si="181"/>
        <v>2235</v>
      </c>
      <c r="AV105" s="337"/>
    </row>
    <row r="106" spans="1:48" s="8" customFormat="1" ht="27.75" customHeight="1">
      <c r="A106" s="51" t="s">
        <v>29</v>
      </c>
      <c r="B106" s="52"/>
      <c r="C106" s="53"/>
      <c r="D106" s="54" t="s">
        <v>115</v>
      </c>
      <c r="E106" s="55">
        <f aca="true" t="shared" si="182" ref="E106:K106">SUM(E107,E120,E123,E136,)</f>
        <v>306600</v>
      </c>
      <c r="F106" s="55">
        <f t="shared" si="182"/>
        <v>0</v>
      </c>
      <c r="G106" s="55">
        <f t="shared" si="182"/>
        <v>0</v>
      </c>
      <c r="H106" s="55">
        <f t="shared" si="182"/>
        <v>306600</v>
      </c>
      <c r="I106" s="55">
        <f t="shared" si="182"/>
        <v>0</v>
      </c>
      <c r="J106" s="55">
        <f t="shared" si="182"/>
        <v>0</v>
      </c>
      <c r="K106" s="55">
        <f t="shared" si="182"/>
        <v>306600</v>
      </c>
      <c r="L106" s="55">
        <f aca="true" t="shared" si="183" ref="L106:Q106">SUM(L107,L120,L123,L136,)</f>
        <v>0</v>
      </c>
      <c r="M106" s="55">
        <f t="shared" si="183"/>
        <v>0</v>
      </c>
      <c r="N106" s="55">
        <f t="shared" si="183"/>
        <v>306600</v>
      </c>
      <c r="O106" s="55">
        <f t="shared" si="183"/>
        <v>7500</v>
      </c>
      <c r="P106" s="55">
        <f t="shared" si="183"/>
        <v>0</v>
      </c>
      <c r="Q106" s="55">
        <f t="shared" si="183"/>
        <v>314100</v>
      </c>
      <c r="R106" s="55">
        <f aca="true" t="shared" si="184" ref="R106:W106">SUM(R107,R120,R123,R136,)</f>
        <v>3655</v>
      </c>
      <c r="S106" s="55">
        <f t="shared" si="184"/>
        <v>3655</v>
      </c>
      <c r="T106" s="55">
        <f t="shared" si="184"/>
        <v>314100</v>
      </c>
      <c r="U106" s="55">
        <f t="shared" si="184"/>
        <v>0</v>
      </c>
      <c r="V106" s="55">
        <f t="shared" si="184"/>
        <v>0</v>
      </c>
      <c r="W106" s="55">
        <f t="shared" si="184"/>
        <v>314100</v>
      </c>
      <c r="X106" s="55">
        <f aca="true" t="shared" si="185" ref="X106:AC106">SUM(X107,X120,X123,X136,)</f>
        <v>1190</v>
      </c>
      <c r="Y106" s="55">
        <f t="shared" si="185"/>
        <v>1190</v>
      </c>
      <c r="Z106" s="55">
        <f t="shared" si="185"/>
        <v>314100</v>
      </c>
      <c r="AA106" s="55">
        <f t="shared" si="185"/>
        <v>5600</v>
      </c>
      <c r="AB106" s="55">
        <f t="shared" si="185"/>
        <v>4600</v>
      </c>
      <c r="AC106" s="55">
        <f t="shared" si="185"/>
        <v>315100</v>
      </c>
      <c r="AD106" s="55">
        <f aca="true" t="shared" si="186" ref="AD106:AI106">SUM(AD107,AD120,AD123,AD136,)</f>
        <v>0</v>
      </c>
      <c r="AE106" s="55">
        <f t="shared" si="186"/>
        <v>0</v>
      </c>
      <c r="AF106" s="55">
        <f t="shared" si="186"/>
        <v>315100</v>
      </c>
      <c r="AG106" s="55">
        <f t="shared" si="186"/>
        <v>5600</v>
      </c>
      <c r="AH106" s="55">
        <f t="shared" si="186"/>
        <v>0</v>
      </c>
      <c r="AI106" s="55">
        <f t="shared" si="186"/>
        <v>320700</v>
      </c>
      <c r="AJ106" s="55">
        <f aca="true" t="shared" si="187" ref="AJ106:AO106">SUM(AJ107,AJ120,AJ123,AJ136,)</f>
        <v>0</v>
      </c>
      <c r="AK106" s="55">
        <f t="shared" si="187"/>
        <v>0</v>
      </c>
      <c r="AL106" s="55">
        <f t="shared" si="187"/>
        <v>320700</v>
      </c>
      <c r="AM106" s="55">
        <f t="shared" si="187"/>
        <v>8500</v>
      </c>
      <c r="AN106" s="55">
        <f t="shared" si="187"/>
        <v>8500</v>
      </c>
      <c r="AO106" s="55">
        <f t="shared" si="187"/>
        <v>320700</v>
      </c>
      <c r="AP106" s="55">
        <f aca="true" t="shared" si="188" ref="AP106:AU106">SUM(AP107,AP120,AP123,AP136,)</f>
        <v>0</v>
      </c>
      <c r="AQ106" s="55">
        <f t="shared" si="188"/>
        <v>0</v>
      </c>
      <c r="AR106" s="55">
        <f t="shared" si="188"/>
        <v>320700</v>
      </c>
      <c r="AS106" s="55">
        <f t="shared" si="188"/>
        <v>9868</v>
      </c>
      <c r="AT106" s="55">
        <f t="shared" si="188"/>
        <v>11343</v>
      </c>
      <c r="AU106" s="55">
        <f t="shared" si="188"/>
        <v>319225</v>
      </c>
      <c r="AV106" s="338"/>
    </row>
    <row r="107" spans="1:48" s="37" customFormat="1" ht="21.75" customHeight="1">
      <c r="A107" s="120"/>
      <c r="B107" s="116" t="s">
        <v>116</v>
      </c>
      <c r="C107" s="120"/>
      <c r="D107" s="56" t="s">
        <v>117</v>
      </c>
      <c r="E107" s="114">
        <f aca="true" t="shared" si="189" ref="E107:K107">SUM(E108:E119)</f>
        <v>153100</v>
      </c>
      <c r="F107" s="114">
        <f t="shared" si="189"/>
        <v>0</v>
      </c>
      <c r="G107" s="114">
        <f t="shared" si="189"/>
        <v>0</v>
      </c>
      <c r="H107" s="114">
        <f t="shared" si="189"/>
        <v>153100</v>
      </c>
      <c r="I107" s="114">
        <f t="shared" si="189"/>
        <v>0</v>
      </c>
      <c r="J107" s="114">
        <f t="shared" si="189"/>
        <v>0</v>
      </c>
      <c r="K107" s="114">
        <f t="shared" si="189"/>
        <v>153100</v>
      </c>
      <c r="L107" s="114">
        <f aca="true" t="shared" si="190" ref="L107:Q107">SUM(L108:L119)</f>
        <v>0</v>
      </c>
      <c r="M107" s="114">
        <f t="shared" si="190"/>
        <v>0</v>
      </c>
      <c r="N107" s="114">
        <f t="shared" si="190"/>
        <v>153100</v>
      </c>
      <c r="O107" s="114">
        <f t="shared" si="190"/>
        <v>7500</v>
      </c>
      <c r="P107" s="114">
        <f t="shared" si="190"/>
        <v>0</v>
      </c>
      <c r="Q107" s="114">
        <f t="shared" si="190"/>
        <v>160600</v>
      </c>
      <c r="R107" s="114">
        <f aca="true" t="shared" si="191" ref="R107:W107">SUM(R108:R119)</f>
        <v>3655</v>
      </c>
      <c r="S107" s="114">
        <f t="shared" si="191"/>
        <v>3655</v>
      </c>
      <c r="T107" s="114">
        <f t="shared" si="191"/>
        <v>160600</v>
      </c>
      <c r="U107" s="114">
        <f t="shared" si="191"/>
        <v>0</v>
      </c>
      <c r="V107" s="114">
        <f t="shared" si="191"/>
        <v>0</v>
      </c>
      <c r="W107" s="114">
        <f t="shared" si="191"/>
        <v>160600</v>
      </c>
      <c r="X107" s="114">
        <f aca="true" t="shared" si="192" ref="X107:AC107">SUM(X108:X119)</f>
        <v>1190</v>
      </c>
      <c r="Y107" s="114">
        <f t="shared" si="192"/>
        <v>1190</v>
      </c>
      <c r="Z107" s="114">
        <f t="shared" si="192"/>
        <v>160600</v>
      </c>
      <c r="AA107" s="114">
        <f t="shared" si="192"/>
        <v>5600</v>
      </c>
      <c r="AB107" s="114">
        <f t="shared" si="192"/>
        <v>4600</v>
      </c>
      <c r="AC107" s="114">
        <f t="shared" si="192"/>
        <v>161600</v>
      </c>
      <c r="AD107" s="114">
        <f aca="true" t="shared" si="193" ref="AD107:AI107">SUM(AD108:AD119)</f>
        <v>0</v>
      </c>
      <c r="AE107" s="114">
        <f t="shared" si="193"/>
        <v>0</v>
      </c>
      <c r="AF107" s="114">
        <f t="shared" si="193"/>
        <v>161600</v>
      </c>
      <c r="AG107" s="114">
        <f t="shared" si="193"/>
        <v>5600</v>
      </c>
      <c r="AH107" s="114">
        <f t="shared" si="193"/>
        <v>0</v>
      </c>
      <c r="AI107" s="114">
        <f t="shared" si="193"/>
        <v>167200</v>
      </c>
      <c r="AJ107" s="114">
        <f aca="true" t="shared" si="194" ref="AJ107:AO107">SUM(AJ108:AJ119)</f>
        <v>0</v>
      </c>
      <c r="AK107" s="114">
        <f t="shared" si="194"/>
        <v>0</v>
      </c>
      <c r="AL107" s="114">
        <f t="shared" si="194"/>
        <v>167200</v>
      </c>
      <c r="AM107" s="114">
        <f t="shared" si="194"/>
        <v>8200</v>
      </c>
      <c r="AN107" s="114">
        <f t="shared" si="194"/>
        <v>0</v>
      </c>
      <c r="AO107" s="114">
        <f t="shared" si="194"/>
        <v>175400</v>
      </c>
      <c r="AP107" s="114">
        <f aca="true" t="shared" si="195" ref="AP107:AU107">SUM(AP108:AP119)</f>
        <v>0</v>
      </c>
      <c r="AQ107" s="114">
        <f t="shared" si="195"/>
        <v>0</v>
      </c>
      <c r="AR107" s="114">
        <f t="shared" si="195"/>
        <v>175400</v>
      </c>
      <c r="AS107" s="114">
        <f t="shared" si="195"/>
        <v>9500</v>
      </c>
      <c r="AT107" s="114">
        <f t="shared" si="195"/>
        <v>0</v>
      </c>
      <c r="AU107" s="114">
        <f t="shared" si="195"/>
        <v>184900</v>
      </c>
      <c r="AV107" s="339"/>
    </row>
    <row r="108" spans="1:48" s="37" customFormat="1" ht="21" customHeight="1">
      <c r="A108" s="120"/>
      <c r="B108" s="116"/>
      <c r="C108" s="120">
        <v>3020</v>
      </c>
      <c r="D108" s="56" t="s">
        <v>246</v>
      </c>
      <c r="E108" s="114">
        <v>10400</v>
      </c>
      <c r="F108" s="114"/>
      <c r="G108" s="114"/>
      <c r="H108" s="126">
        <f aca="true" t="shared" si="196" ref="H108:H119">SUM(E108+F108-G108)</f>
        <v>10400</v>
      </c>
      <c r="I108" s="114"/>
      <c r="J108" s="114"/>
      <c r="K108" s="126">
        <f aca="true" t="shared" si="197" ref="K108:K119">SUM(H108+I108-J108)</f>
        <v>10400</v>
      </c>
      <c r="L108" s="114"/>
      <c r="M108" s="114"/>
      <c r="N108" s="126">
        <f aca="true" t="shared" si="198" ref="N108:N119">SUM(K108+L108-M108)</f>
        <v>10400</v>
      </c>
      <c r="O108" s="114"/>
      <c r="P108" s="114"/>
      <c r="Q108" s="126">
        <f aca="true" t="shared" si="199" ref="Q108:Q119">SUM(N108+O108-P108)</f>
        <v>10400</v>
      </c>
      <c r="R108" s="114"/>
      <c r="S108" s="114">
        <v>1400</v>
      </c>
      <c r="T108" s="126">
        <f aca="true" t="shared" si="200" ref="T108:T119">SUM(Q108+R108-S108)</f>
        <v>9000</v>
      </c>
      <c r="U108" s="114"/>
      <c r="V108" s="114"/>
      <c r="W108" s="126">
        <f aca="true" t="shared" si="201" ref="W108:W119">SUM(T108+U108-V108)</f>
        <v>9000</v>
      </c>
      <c r="X108" s="114"/>
      <c r="Y108" s="114"/>
      <c r="Z108" s="126">
        <f aca="true" t="shared" si="202" ref="Z108:Z119">SUM(W108+X108-Y108)</f>
        <v>9000</v>
      </c>
      <c r="AA108" s="114">
        <v>4000</v>
      </c>
      <c r="AB108" s="114">
        <v>800</v>
      </c>
      <c r="AC108" s="126">
        <f aca="true" t="shared" si="203" ref="AC108:AC119">SUM(Z108+AA108-AB108)</f>
        <v>12200</v>
      </c>
      <c r="AD108" s="114"/>
      <c r="AE108" s="114"/>
      <c r="AF108" s="126">
        <f aca="true" t="shared" si="204" ref="AF108:AF119">SUM(AC108+AD108-AE108)</f>
        <v>12200</v>
      </c>
      <c r="AG108" s="114">
        <v>2000</v>
      </c>
      <c r="AH108" s="114"/>
      <c r="AI108" s="126">
        <f aca="true" t="shared" si="205" ref="AI108:AI119">SUM(AF108+AG108-AH108)</f>
        <v>14200</v>
      </c>
      <c r="AJ108" s="114"/>
      <c r="AK108" s="114"/>
      <c r="AL108" s="126">
        <f aca="true" t="shared" si="206" ref="AL108:AL119">SUM(AI108+AJ108-AK108)</f>
        <v>14200</v>
      </c>
      <c r="AM108" s="114">
        <v>2800</v>
      </c>
      <c r="AN108" s="114"/>
      <c r="AO108" s="126">
        <f aca="true" t="shared" si="207" ref="AO108:AO119">SUM(AL108+AM108-AN108)</f>
        <v>17000</v>
      </c>
      <c r="AP108" s="114"/>
      <c r="AQ108" s="114"/>
      <c r="AR108" s="126">
        <f aca="true" t="shared" si="208" ref="AR108:AR119">SUM(AO108+AP108-AQ108)</f>
        <v>17000</v>
      </c>
      <c r="AS108" s="114">
        <v>3000</v>
      </c>
      <c r="AT108" s="114"/>
      <c r="AU108" s="126">
        <f aca="true" t="shared" si="209" ref="AU108:AU119">SUM(AR108+AS108-AT108)</f>
        <v>20000</v>
      </c>
      <c r="AV108" s="337"/>
    </row>
    <row r="109" spans="1:48" s="37" customFormat="1" ht="21" customHeight="1">
      <c r="A109" s="120"/>
      <c r="B109" s="116"/>
      <c r="C109" s="120">
        <v>4110</v>
      </c>
      <c r="D109" s="56" t="s">
        <v>103</v>
      </c>
      <c r="E109" s="114">
        <v>3600</v>
      </c>
      <c r="F109" s="114"/>
      <c r="G109" s="114"/>
      <c r="H109" s="126">
        <f t="shared" si="196"/>
        <v>3600</v>
      </c>
      <c r="I109" s="114"/>
      <c r="J109" s="114"/>
      <c r="K109" s="126">
        <f t="shared" si="197"/>
        <v>3600</v>
      </c>
      <c r="L109" s="114"/>
      <c r="M109" s="114"/>
      <c r="N109" s="126">
        <f t="shared" si="198"/>
        <v>3600</v>
      </c>
      <c r="O109" s="114"/>
      <c r="P109" s="114"/>
      <c r="Q109" s="126">
        <f t="shared" si="199"/>
        <v>3600</v>
      </c>
      <c r="R109" s="114"/>
      <c r="S109" s="114">
        <v>1655</v>
      </c>
      <c r="T109" s="126">
        <f t="shared" si="200"/>
        <v>1945</v>
      </c>
      <c r="U109" s="114"/>
      <c r="V109" s="114"/>
      <c r="W109" s="126">
        <f t="shared" si="201"/>
        <v>1945</v>
      </c>
      <c r="X109" s="114"/>
      <c r="Y109" s="114"/>
      <c r="Z109" s="126">
        <f t="shared" si="202"/>
        <v>1945</v>
      </c>
      <c r="AA109" s="114"/>
      <c r="AB109" s="114"/>
      <c r="AC109" s="126">
        <f t="shared" si="203"/>
        <v>1945</v>
      </c>
      <c r="AD109" s="114"/>
      <c r="AE109" s="114"/>
      <c r="AF109" s="126">
        <f t="shared" si="204"/>
        <v>1945</v>
      </c>
      <c r="AG109" s="114"/>
      <c r="AH109" s="114"/>
      <c r="AI109" s="126">
        <f t="shared" si="205"/>
        <v>1945</v>
      </c>
      <c r="AJ109" s="114"/>
      <c r="AK109" s="114"/>
      <c r="AL109" s="126">
        <f t="shared" si="206"/>
        <v>1945</v>
      </c>
      <c r="AM109" s="114"/>
      <c r="AN109" s="114"/>
      <c r="AO109" s="126">
        <f t="shared" si="207"/>
        <v>1945</v>
      </c>
      <c r="AP109" s="114"/>
      <c r="AQ109" s="114"/>
      <c r="AR109" s="126">
        <f t="shared" si="208"/>
        <v>1945</v>
      </c>
      <c r="AS109" s="114"/>
      <c r="AT109" s="114"/>
      <c r="AU109" s="126">
        <f t="shared" si="209"/>
        <v>1945</v>
      </c>
      <c r="AV109" s="337">
        <f>SUM(AU109)</f>
        <v>1945</v>
      </c>
    </row>
    <row r="110" spans="1:48" s="37" customFormat="1" ht="21" customHeight="1">
      <c r="A110" s="120"/>
      <c r="B110" s="116"/>
      <c r="C110" s="120">
        <v>4120</v>
      </c>
      <c r="D110" s="56" t="s">
        <v>302</v>
      </c>
      <c r="E110" s="114">
        <v>600</v>
      </c>
      <c r="F110" s="114"/>
      <c r="G110" s="114"/>
      <c r="H110" s="126">
        <f t="shared" si="196"/>
        <v>600</v>
      </c>
      <c r="I110" s="114"/>
      <c r="J110" s="114"/>
      <c r="K110" s="126">
        <f t="shared" si="197"/>
        <v>600</v>
      </c>
      <c r="L110" s="114"/>
      <c r="M110" s="114"/>
      <c r="N110" s="126">
        <f t="shared" si="198"/>
        <v>600</v>
      </c>
      <c r="O110" s="114"/>
      <c r="P110" s="114"/>
      <c r="Q110" s="126">
        <f t="shared" si="199"/>
        <v>600</v>
      </c>
      <c r="R110" s="114"/>
      <c r="S110" s="114">
        <v>600</v>
      </c>
      <c r="T110" s="126">
        <f t="shared" si="200"/>
        <v>0</v>
      </c>
      <c r="U110" s="114"/>
      <c r="V110" s="114"/>
      <c r="W110" s="126">
        <f t="shared" si="201"/>
        <v>0</v>
      </c>
      <c r="X110" s="114"/>
      <c r="Y110" s="114"/>
      <c r="Z110" s="126">
        <f t="shared" si="202"/>
        <v>0</v>
      </c>
      <c r="AA110" s="114"/>
      <c r="AB110" s="114"/>
      <c r="AC110" s="126">
        <f t="shared" si="203"/>
        <v>0</v>
      </c>
      <c r="AD110" s="114"/>
      <c r="AE110" s="114"/>
      <c r="AF110" s="126">
        <f t="shared" si="204"/>
        <v>0</v>
      </c>
      <c r="AG110" s="114"/>
      <c r="AH110" s="114"/>
      <c r="AI110" s="126">
        <f t="shared" si="205"/>
        <v>0</v>
      </c>
      <c r="AJ110" s="114"/>
      <c r="AK110" s="114"/>
      <c r="AL110" s="126">
        <f t="shared" si="206"/>
        <v>0</v>
      </c>
      <c r="AM110" s="114"/>
      <c r="AN110" s="114"/>
      <c r="AO110" s="126">
        <f t="shared" si="207"/>
        <v>0</v>
      </c>
      <c r="AP110" s="114"/>
      <c r="AQ110" s="114"/>
      <c r="AR110" s="126">
        <f t="shared" si="208"/>
        <v>0</v>
      </c>
      <c r="AS110" s="114"/>
      <c r="AT110" s="114"/>
      <c r="AU110" s="126">
        <f t="shared" si="209"/>
        <v>0</v>
      </c>
      <c r="AV110" s="337">
        <f>SUM(AU110)</f>
        <v>0</v>
      </c>
    </row>
    <row r="111" spans="1:48" s="37" customFormat="1" ht="21" customHeight="1">
      <c r="A111" s="120"/>
      <c r="B111" s="116"/>
      <c r="C111" s="98">
        <v>4170</v>
      </c>
      <c r="D111" s="56" t="s">
        <v>252</v>
      </c>
      <c r="E111" s="114">
        <v>21000</v>
      </c>
      <c r="F111" s="159"/>
      <c r="G111" s="159"/>
      <c r="H111" s="126">
        <f t="shared" si="196"/>
        <v>21000</v>
      </c>
      <c r="I111" s="159"/>
      <c r="J111" s="159"/>
      <c r="K111" s="126">
        <f t="shared" si="197"/>
        <v>21000</v>
      </c>
      <c r="L111" s="159"/>
      <c r="M111" s="159"/>
      <c r="N111" s="126">
        <f t="shared" si="198"/>
        <v>21000</v>
      </c>
      <c r="O111" s="159"/>
      <c r="P111" s="159"/>
      <c r="Q111" s="126">
        <f t="shared" si="199"/>
        <v>21000</v>
      </c>
      <c r="R111" s="159">
        <v>218</v>
      </c>
      <c r="S111" s="159"/>
      <c r="T111" s="126">
        <f t="shared" si="200"/>
        <v>21218</v>
      </c>
      <c r="U111" s="159"/>
      <c r="V111" s="159"/>
      <c r="W111" s="126">
        <f t="shared" si="201"/>
        <v>21218</v>
      </c>
      <c r="X111" s="159"/>
      <c r="Y111" s="159"/>
      <c r="Z111" s="126">
        <f t="shared" si="202"/>
        <v>21218</v>
      </c>
      <c r="AA111" s="159"/>
      <c r="AB111" s="159"/>
      <c r="AC111" s="126">
        <f t="shared" si="203"/>
        <v>21218</v>
      </c>
      <c r="AD111" s="159"/>
      <c r="AE111" s="159"/>
      <c r="AF111" s="126">
        <f t="shared" si="204"/>
        <v>21218</v>
      </c>
      <c r="AG111" s="159"/>
      <c r="AH111" s="159"/>
      <c r="AI111" s="126">
        <f t="shared" si="205"/>
        <v>21218</v>
      </c>
      <c r="AJ111" s="159"/>
      <c r="AK111" s="159"/>
      <c r="AL111" s="126">
        <f t="shared" si="206"/>
        <v>21218</v>
      </c>
      <c r="AM111" s="159"/>
      <c r="AN111" s="159"/>
      <c r="AO111" s="126">
        <f t="shared" si="207"/>
        <v>21218</v>
      </c>
      <c r="AP111" s="159"/>
      <c r="AQ111" s="159"/>
      <c r="AR111" s="126">
        <f t="shared" si="208"/>
        <v>21218</v>
      </c>
      <c r="AS111" s="159"/>
      <c r="AT111" s="159"/>
      <c r="AU111" s="126">
        <f t="shared" si="209"/>
        <v>21218</v>
      </c>
      <c r="AV111" s="337">
        <f>SUM(AU111)</f>
        <v>21218</v>
      </c>
    </row>
    <row r="112" spans="1:48" s="37" customFormat="1" ht="21" customHeight="1">
      <c r="A112" s="120"/>
      <c r="B112" s="116"/>
      <c r="C112" s="98">
        <v>4210</v>
      </c>
      <c r="D112" s="56" t="s">
        <v>109</v>
      </c>
      <c r="E112" s="114">
        <f>16900+5000</f>
        <v>21900</v>
      </c>
      <c r="F112" s="159"/>
      <c r="G112" s="159"/>
      <c r="H112" s="126">
        <f t="shared" si="196"/>
        <v>21900</v>
      </c>
      <c r="I112" s="159"/>
      <c r="J112" s="159"/>
      <c r="K112" s="126">
        <f t="shared" si="197"/>
        <v>21900</v>
      </c>
      <c r="L112" s="159"/>
      <c r="M112" s="159"/>
      <c r="N112" s="126">
        <f t="shared" si="198"/>
        <v>21900</v>
      </c>
      <c r="O112" s="159"/>
      <c r="P112" s="159"/>
      <c r="Q112" s="126">
        <f t="shared" si="199"/>
        <v>21900</v>
      </c>
      <c r="R112" s="159">
        <v>200</v>
      </c>
      <c r="S112" s="159"/>
      <c r="T112" s="126">
        <f t="shared" si="200"/>
        <v>22100</v>
      </c>
      <c r="U112" s="159"/>
      <c r="V112" s="159"/>
      <c r="W112" s="126">
        <f t="shared" si="201"/>
        <v>22100</v>
      </c>
      <c r="X112" s="159"/>
      <c r="Y112" s="159">
        <v>1190</v>
      </c>
      <c r="Z112" s="126">
        <f t="shared" si="202"/>
        <v>20910</v>
      </c>
      <c r="AA112" s="159"/>
      <c r="AB112" s="159">
        <v>1400</v>
      </c>
      <c r="AC112" s="126">
        <f t="shared" si="203"/>
        <v>19510</v>
      </c>
      <c r="AD112" s="159"/>
      <c r="AE112" s="159"/>
      <c r="AF112" s="126">
        <f t="shared" si="204"/>
        <v>19510</v>
      </c>
      <c r="AG112" s="159">
        <f>2600+1000</f>
        <v>3600</v>
      </c>
      <c r="AH112" s="159"/>
      <c r="AI112" s="126">
        <f t="shared" si="205"/>
        <v>23110</v>
      </c>
      <c r="AJ112" s="159"/>
      <c r="AK112" s="159"/>
      <c r="AL112" s="126">
        <f t="shared" si="206"/>
        <v>23110</v>
      </c>
      <c r="AM112" s="159">
        <v>3000</v>
      </c>
      <c r="AN112" s="159"/>
      <c r="AO112" s="126">
        <f t="shared" si="207"/>
        <v>26110</v>
      </c>
      <c r="AP112" s="159"/>
      <c r="AQ112" s="159"/>
      <c r="AR112" s="126">
        <f t="shared" si="208"/>
        <v>26110</v>
      </c>
      <c r="AS112" s="159">
        <v>1500</v>
      </c>
      <c r="AT112" s="159"/>
      <c r="AU112" s="126">
        <f t="shared" si="209"/>
        <v>27610</v>
      </c>
      <c r="AV112" s="337"/>
    </row>
    <row r="113" spans="1:48" s="37" customFormat="1" ht="21" customHeight="1">
      <c r="A113" s="120"/>
      <c r="B113" s="116"/>
      <c r="C113" s="98">
        <v>4260</v>
      </c>
      <c r="D113" s="56" t="s">
        <v>112</v>
      </c>
      <c r="E113" s="114">
        <v>6400</v>
      </c>
      <c r="F113" s="159"/>
      <c r="G113" s="159"/>
      <c r="H113" s="126">
        <f t="shared" si="196"/>
        <v>6400</v>
      </c>
      <c r="I113" s="159"/>
      <c r="J113" s="159"/>
      <c r="K113" s="126">
        <f t="shared" si="197"/>
        <v>6400</v>
      </c>
      <c r="L113" s="159"/>
      <c r="M113" s="159"/>
      <c r="N113" s="126">
        <f t="shared" si="198"/>
        <v>6400</v>
      </c>
      <c r="O113" s="159"/>
      <c r="P113" s="159"/>
      <c r="Q113" s="126">
        <f t="shared" si="199"/>
        <v>6400</v>
      </c>
      <c r="R113" s="159">
        <v>1137</v>
      </c>
      <c r="S113" s="159"/>
      <c r="T113" s="126">
        <f t="shared" si="200"/>
        <v>7537</v>
      </c>
      <c r="U113" s="159"/>
      <c r="V113" s="159"/>
      <c r="W113" s="126">
        <f t="shared" si="201"/>
        <v>7537</v>
      </c>
      <c r="X113" s="159"/>
      <c r="Y113" s="159"/>
      <c r="Z113" s="126">
        <f t="shared" si="202"/>
        <v>7537</v>
      </c>
      <c r="AA113" s="159">
        <v>600</v>
      </c>
      <c r="AB113" s="159"/>
      <c r="AC113" s="126">
        <f t="shared" si="203"/>
        <v>8137</v>
      </c>
      <c r="AD113" s="159"/>
      <c r="AE113" s="159"/>
      <c r="AF113" s="126">
        <f t="shared" si="204"/>
        <v>8137</v>
      </c>
      <c r="AG113" s="159"/>
      <c r="AH113" s="159"/>
      <c r="AI113" s="126">
        <f t="shared" si="205"/>
        <v>8137</v>
      </c>
      <c r="AJ113" s="159"/>
      <c r="AK113" s="159"/>
      <c r="AL113" s="126">
        <f t="shared" si="206"/>
        <v>8137</v>
      </c>
      <c r="AM113" s="159"/>
      <c r="AN113" s="159"/>
      <c r="AO113" s="126">
        <f t="shared" si="207"/>
        <v>8137</v>
      </c>
      <c r="AP113" s="159"/>
      <c r="AQ113" s="159"/>
      <c r="AR113" s="126">
        <f t="shared" si="208"/>
        <v>8137</v>
      </c>
      <c r="AS113" s="159">
        <v>1000</v>
      </c>
      <c r="AT113" s="159"/>
      <c r="AU113" s="126">
        <f t="shared" si="209"/>
        <v>9137</v>
      </c>
      <c r="AV113" s="337"/>
    </row>
    <row r="114" spans="1:48" s="37" customFormat="1" ht="21" customHeight="1">
      <c r="A114" s="120"/>
      <c r="B114" s="116"/>
      <c r="C114" s="98">
        <v>4270</v>
      </c>
      <c r="D114" s="56" t="s">
        <v>95</v>
      </c>
      <c r="E114" s="114">
        <v>5500</v>
      </c>
      <c r="F114" s="159"/>
      <c r="G114" s="159"/>
      <c r="H114" s="126">
        <f t="shared" si="196"/>
        <v>5500</v>
      </c>
      <c r="I114" s="159"/>
      <c r="J114" s="159"/>
      <c r="K114" s="126">
        <f t="shared" si="197"/>
        <v>5500</v>
      </c>
      <c r="L114" s="159"/>
      <c r="M114" s="159"/>
      <c r="N114" s="126">
        <f t="shared" si="198"/>
        <v>5500</v>
      </c>
      <c r="O114" s="159">
        <v>7500</v>
      </c>
      <c r="P114" s="159"/>
      <c r="Q114" s="126">
        <f t="shared" si="199"/>
        <v>13000</v>
      </c>
      <c r="R114" s="159">
        <v>500</v>
      </c>
      <c r="S114" s="159"/>
      <c r="T114" s="126">
        <f t="shared" si="200"/>
        <v>13500</v>
      </c>
      <c r="U114" s="159"/>
      <c r="V114" s="159"/>
      <c r="W114" s="126">
        <f t="shared" si="201"/>
        <v>13500</v>
      </c>
      <c r="X114" s="159">
        <v>70</v>
      </c>
      <c r="Y114" s="159"/>
      <c r="Z114" s="126">
        <f t="shared" si="202"/>
        <v>13570</v>
      </c>
      <c r="AA114" s="159"/>
      <c r="AB114" s="159">
        <v>400</v>
      </c>
      <c r="AC114" s="126">
        <f t="shared" si="203"/>
        <v>13170</v>
      </c>
      <c r="AD114" s="159"/>
      <c r="AE114" s="159"/>
      <c r="AF114" s="126">
        <f t="shared" si="204"/>
        <v>13170</v>
      </c>
      <c r="AG114" s="159"/>
      <c r="AH114" s="159"/>
      <c r="AI114" s="126">
        <f t="shared" si="205"/>
        <v>13170</v>
      </c>
      <c r="AJ114" s="159"/>
      <c r="AK114" s="159"/>
      <c r="AL114" s="126">
        <f t="shared" si="206"/>
        <v>13170</v>
      </c>
      <c r="AM114" s="159"/>
      <c r="AN114" s="159"/>
      <c r="AO114" s="126">
        <f t="shared" si="207"/>
        <v>13170</v>
      </c>
      <c r="AP114" s="159"/>
      <c r="AQ114" s="159"/>
      <c r="AR114" s="126">
        <f t="shared" si="208"/>
        <v>13170</v>
      </c>
      <c r="AS114" s="159">
        <v>1000</v>
      </c>
      <c r="AT114" s="159"/>
      <c r="AU114" s="126">
        <f t="shared" si="209"/>
        <v>14170</v>
      </c>
      <c r="AV114" s="337"/>
    </row>
    <row r="115" spans="1:48" s="37" customFormat="1" ht="21" customHeight="1">
      <c r="A115" s="120"/>
      <c r="B115" s="116"/>
      <c r="C115" s="98">
        <v>4280</v>
      </c>
      <c r="D115" s="56" t="s">
        <v>301</v>
      </c>
      <c r="E115" s="114">
        <v>2700</v>
      </c>
      <c r="F115" s="159"/>
      <c r="G115" s="159"/>
      <c r="H115" s="126">
        <f t="shared" si="196"/>
        <v>2700</v>
      </c>
      <c r="I115" s="159"/>
      <c r="J115" s="159"/>
      <c r="K115" s="126">
        <f t="shared" si="197"/>
        <v>2700</v>
      </c>
      <c r="L115" s="159"/>
      <c r="M115" s="159"/>
      <c r="N115" s="126">
        <f t="shared" si="198"/>
        <v>2700</v>
      </c>
      <c r="O115" s="159"/>
      <c r="P115" s="159"/>
      <c r="Q115" s="126">
        <f t="shared" si="199"/>
        <v>2700</v>
      </c>
      <c r="R115" s="159"/>
      <c r="S115" s="159"/>
      <c r="T115" s="126">
        <f t="shared" si="200"/>
        <v>2700</v>
      </c>
      <c r="U115" s="159"/>
      <c r="V115" s="159"/>
      <c r="W115" s="126">
        <f t="shared" si="201"/>
        <v>2700</v>
      </c>
      <c r="X115" s="159"/>
      <c r="Y115" s="159"/>
      <c r="Z115" s="126">
        <f t="shared" si="202"/>
        <v>2700</v>
      </c>
      <c r="AA115" s="159"/>
      <c r="AB115" s="159"/>
      <c r="AC115" s="126">
        <f t="shared" si="203"/>
        <v>2700</v>
      </c>
      <c r="AD115" s="159"/>
      <c r="AE115" s="159"/>
      <c r="AF115" s="126">
        <f t="shared" si="204"/>
        <v>2700</v>
      </c>
      <c r="AG115" s="159"/>
      <c r="AH115" s="159"/>
      <c r="AI115" s="126">
        <f t="shared" si="205"/>
        <v>2700</v>
      </c>
      <c r="AJ115" s="159"/>
      <c r="AK115" s="159"/>
      <c r="AL115" s="126">
        <f t="shared" si="206"/>
        <v>2700</v>
      </c>
      <c r="AM115" s="159"/>
      <c r="AN115" s="159"/>
      <c r="AO115" s="126">
        <f t="shared" si="207"/>
        <v>2700</v>
      </c>
      <c r="AP115" s="159"/>
      <c r="AQ115" s="159"/>
      <c r="AR115" s="126">
        <f t="shared" si="208"/>
        <v>2700</v>
      </c>
      <c r="AS115" s="159"/>
      <c r="AT115" s="159"/>
      <c r="AU115" s="126">
        <f t="shared" si="209"/>
        <v>2700</v>
      </c>
      <c r="AV115" s="337"/>
    </row>
    <row r="116" spans="1:48" s="37" customFormat="1" ht="21" customHeight="1">
      <c r="A116" s="120"/>
      <c r="B116" s="116"/>
      <c r="C116" s="98">
        <v>4300</v>
      </c>
      <c r="D116" s="56" t="s">
        <v>96</v>
      </c>
      <c r="E116" s="114">
        <v>4000</v>
      </c>
      <c r="F116" s="159"/>
      <c r="G116" s="159"/>
      <c r="H116" s="126">
        <f t="shared" si="196"/>
        <v>4000</v>
      </c>
      <c r="I116" s="159"/>
      <c r="J116" s="159"/>
      <c r="K116" s="126">
        <f t="shared" si="197"/>
        <v>4000</v>
      </c>
      <c r="L116" s="159"/>
      <c r="M116" s="159"/>
      <c r="N116" s="126">
        <f t="shared" si="198"/>
        <v>4000</v>
      </c>
      <c r="O116" s="159"/>
      <c r="P116" s="159"/>
      <c r="Q116" s="126">
        <f t="shared" si="199"/>
        <v>4000</v>
      </c>
      <c r="R116" s="159"/>
      <c r="S116" s="159"/>
      <c r="T116" s="126">
        <f t="shared" si="200"/>
        <v>4000</v>
      </c>
      <c r="U116" s="159"/>
      <c r="V116" s="159"/>
      <c r="W116" s="126">
        <f t="shared" si="201"/>
        <v>4000</v>
      </c>
      <c r="X116" s="159">
        <v>1120</v>
      </c>
      <c r="Y116" s="159"/>
      <c r="Z116" s="126">
        <f t="shared" si="202"/>
        <v>5120</v>
      </c>
      <c r="AA116" s="159"/>
      <c r="AB116" s="159">
        <v>2000</v>
      </c>
      <c r="AC116" s="126">
        <f t="shared" si="203"/>
        <v>3120</v>
      </c>
      <c r="AD116" s="159"/>
      <c r="AE116" s="159"/>
      <c r="AF116" s="126">
        <f t="shared" si="204"/>
        <v>3120</v>
      </c>
      <c r="AG116" s="159"/>
      <c r="AH116" s="159"/>
      <c r="AI116" s="126">
        <f t="shared" si="205"/>
        <v>3120</v>
      </c>
      <c r="AJ116" s="159"/>
      <c r="AK116" s="159"/>
      <c r="AL116" s="126">
        <f t="shared" si="206"/>
        <v>3120</v>
      </c>
      <c r="AM116" s="159"/>
      <c r="AN116" s="159"/>
      <c r="AO116" s="126">
        <f t="shared" si="207"/>
        <v>3120</v>
      </c>
      <c r="AP116" s="159"/>
      <c r="AQ116" s="159"/>
      <c r="AR116" s="126">
        <f t="shared" si="208"/>
        <v>3120</v>
      </c>
      <c r="AS116" s="159">
        <v>3000</v>
      </c>
      <c r="AT116" s="159"/>
      <c r="AU116" s="126">
        <f t="shared" si="209"/>
        <v>6120</v>
      </c>
      <c r="AV116" s="337"/>
    </row>
    <row r="117" spans="1:48" s="37" customFormat="1" ht="21" customHeight="1">
      <c r="A117" s="120"/>
      <c r="B117" s="116"/>
      <c r="C117" s="98">
        <v>4410</v>
      </c>
      <c r="D117" s="56" t="s">
        <v>107</v>
      </c>
      <c r="E117" s="114">
        <v>3000</v>
      </c>
      <c r="F117" s="159"/>
      <c r="G117" s="159"/>
      <c r="H117" s="126">
        <f t="shared" si="196"/>
        <v>3000</v>
      </c>
      <c r="I117" s="159"/>
      <c r="J117" s="159"/>
      <c r="K117" s="126">
        <f t="shared" si="197"/>
        <v>3000</v>
      </c>
      <c r="L117" s="159"/>
      <c r="M117" s="159"/>
      <c r="N117" s="126">
        <f t="shared" si="198"/>
        <v>3000</v>
      </c>
      <c r="O117" s="159"/>
      <c r="P117" s="159"/>
      <c r="Q117" s="126">
        <f t="shared" si="199"/>
        <v>3000</v>
      </c>
      <c r="R117" s="159"/>
      <c r="S117" s="159"/>
      <c r="T117" s="126">
        <f t="shared" si="200"/>
        <v>3000</v>
      </c>
      <c r="U117" s="159"/>
      <c r="V117" s="159"/>
      <c r="W117" s="126">
        <f t="shared" si="201"/>
        <v>3000</v>
      </c>
      <c r="X117" s="159"/>
      <c r="Y117" s="159"/>
      <c r="Z117" s="126">
        <f t="shared" si="202"/>
        <v>3000</v>
      </c>
      <c r="AA117" s="159"/>
      <c r="AB117" s="159"/>
      <c r="AC117" s="126">
        <f t="shared" si="203"/>
        <v>3000</v>
      </c>
      <c r="AD117" s="159"/>
      <c r="AE117" s="159"/>
      <c r="AF117" s="126">
        <f t="shared" si="204"/>
        <v>3000</v>
      </c>
      <c r="AG117" s="159"/>
      <c r="AH117" s="159"/>
      <c r="AI117" s="126">
        <f t="shared" si="205"/>
        <v>3000</v>
      </c>
      <c r="AJ117" s="159"/>
      <c r="AK117" s="159"/>
      <c r="AL117" s="126">
        <f t="shared" si="206"/>
        <v>3000</v>
      </c>
      <c r="AM117" s="159"/>
      <c r="AN117" s="159"/>
      <c r="AO117" s="126">
        <f t="shared" si="207"/>
        <v>3000</v>
      </c>
      <c r="AP117" s="159"/>
      <c r="AQ117" s="159"/>
      <c r="AR117" s="126">
        <f t="shared" si="208"/>
        <v>3000</v>
      </c>
      <c r="AS117" s="159"/>
      <c r="AT117" s="159"/>
      <c r="AU117" s="126">
        <f t="shared" si="209"/>
        <v>3000</v>
      </c>
      <c r="AV117" s="337"/>
    </row>
    <row r="118" spans="1:48" s="37" customFormat="1" ht="21" customHeight="1">
      <c r="A118" s="120"/>
      <c r="B118" s="116"/>
      <c r="C118" s="98">
        <v>4430</v>
      </c>
      <c r="D118" s="56" t="s">
        <v>111</v>
      </c>
      <c r="E118" s="114">
        <v>4000</v>
      </c>
      <c r="F118" s="159"/>
      <c r="G118" s="159"/>
      <c r="H118" s="126">
        <f t="shared" si="196"/>
        <v>4000</v>
      </c>
      <c r="I118" s="159"/>
      <c r="J118" s="159"/>
      <c r="K118" s="126">
        <f t="shared" si="197"/>
        <v>4000</v>
      </c>
      <c r="L118" s="159"/>
      <c r="M118" s="159"/>
      <c r="N118" s="126">
        <f t="shared" si="198"/>
        <v>4000</v>
      </c>
      <c r="O118" s="159"/>
      <c r="P118" s="159"/>
      <c r="Q118" s="126">
        <f t="shared" si="199"/>
        <v>4000</v>
      </c>
      <c r="R118" s="159">
        <v>1600</v>
      </c>
      <c r="S118" s="159"/>
      <c r="T118" s="126">
        <f t="shared" si="200"/>
        <v>5600</v>
      </c>
      <c r="U118" s="159"/>
      <c r="V118" s="159"/>
      <c r="W118" s="126">
        <f t="shared" si="201"/>
        <v>5600</v>
      </c>
      <c r="X118" s="159"/>
      <c r="Y118" s="159"/>
      <c r="Z118" s="126">
        <f t="shared" si="202"/>
        <v>5600</v>
      </c>
      <c r="AA118" s="159"/>
      <c r="AB118" s="159"/>
      <c r="AC118" s="126">
        <f t="shared" si="203"/>
        <v>5600</v>
      </c>
      <c r="AD118" s="159"/>
      <c r="AE118" s="159"/>
      <c r="AF118" s="126">
        <f t="shared" si="204"/>
        <v>5600</v>
      </c>
      <c r="AG118" s="159"/>
      <c r="AH118" s="159"/>
      <c r="AI118" s="126">
        <f t="shared" si="205"/>
        <v>5600</v>
      </c>
      <c r="AJ118" s="159"/>
      <c r="AK118" s="159"/>
      <c r="AL118" s="126">
        <f t="shared" si="206"/>
        <v>5600</v>
      </c>
      <c r="AM118" s="159">
        <v>2400</v>
      </c>
      <c r="AN118" s="159"/>
      <c r="AO118" s="126">
        <f t="shared" si="207"/>
        <v>8000</v>
      </c>
      <c r="AP118" s="159"/>
      <c r="AQ118" s="159"/>
      <c r="AR118" s="126">
        <f t="shared" si="208"/>
        <v>8000</v>
      </c>
      <c r="AS118" s="159"/>
      <c r="AT118" s="159"/>
      <c r="AU118" s="126">
        <f t="shared" si="209"/>
        <v>8000</v>
      </c>
      <c r="AV118" s="337"/>
    </row>
    <row r="119" spans="1:48" s="37" customFormat="1" ht="21" customHeight="1">
      <c r="A119" s="120"/>
      <c r="B119" s="116"/>
      <c r="C119" s="98">
        <v>6050</v>
      </c>
      <c r="D119" s="56" t="s">
        <v>90</v>
      </c>
      <c r="E119" s="114">
        <v>70000</v>
      </c>
      <c r="F119" s="159"/>
      <c r="G119" s="159"/>
      <c r="H119" s="126">
        <f t="shared" si="196"/>
        <v>70000</v>
      </c>
      <c r="I119" s="159"/>
      <c r="J119" s="159"/>
      <c r="K119" s="126">
        <f t="shared" si="197"/>
        <v>70000</v>
      </c>
      <c r="L119" s="159"/>
      <c r="M119" s="159"/>
      <c r="N119" s="126">
        <f t="shared" si="198"/>
        <v>70000</v>
      </c>
      <c r="O119" s="159"/>
      <c r="P119" s="159"/>
      <c r="Q119" s="126">
        <f t="shared" si="199"/>
        <v>70000</v>
      </c>
      <c r="R119" s="159"/>
      <c r="S119" s="159"/>
      <c r="T119" s="126">
        <f t="shared" si="200"/>
        <v>70000</v>
      </c>
      <c r="U119" s="159"/>
      <c r="V119" s="159"/>
      <c r="W119" s="126">
        <f t="shared" si="201"/>
        <v>70000</v>
      </c>
      <c r="X119" s="159"/>
      <c r="Y119" s="159"/>
      <c r="Z119" s="126">
        <f t="shared" si="202"/>
        <v>70000</v>
      </c>
      <c r="AA119" s="159">
        <v>1000</v>
      </c>
      <c r="AB119" s="159"/>
      <c r="AC119" s="126">
        <f t="shared" si="203"/>
        <v>71000</v>
      </c>
      <c r="AD119" s="159"/>
      <c r="AE119" s="159"/>
      <c r="AF119" s="126">
        <f t="shared" si="204"/>
        <v>71000</v>
      </c>
      <c r="AG119" s="159"/>
      <c r="AH119" s="159"/>
      <c r="AI119" s="126">
        <f t="shared" si="205"/>
        <v>71000</v>
      </c>
      <c r="AJ119" s="159"/>
      <c r="AK119" s="159"/>
      <c r="AL119" s="126">
        <f t="shared" si="206"/>
        <v>71000</v>
      </c>
      <c r="AM119" s="159"/>
      <c r="AN119" s="159"/>
      <c r="AO119" s="126">
        <f t="shared" si="207"/>
        <v>71000</v>
      </c>
      <c r="AP119" s="159"/>
      <c r="AQ119" s="159"/>
      <c r="AR119" s="126">
        <f t="shared" si="208"/>
        <v>71000</v>
      </c>
      <c r="AS119" s="159"/>
      <c r="AT119" s="159"/>
      <c r="AU119" s="126">
        <f t="shared" si="209"/>
        <v>71000</v>
      </c>
      <c r="AV119" s="337"/>
    </row>
    <row r="120" spans="1:48" s="37" customFormat="1" ht="21.75" customHeight="1">
      <c r="A120" s="120"/>
      <c r="B120" s="116" t="s">
        <v>31</v>
      </c>
      <c r="C120" s="120"/>
      <c r="D120" s="56" t="s">
        <v>118</v>
      </c>
      <c r="E120" s="114">
        <f aca="true" t="shared" si="210" ref="E120:AK120">SUM(E122)</f>
        <v>400</v>
      </c>
      <c r="F120" s="114">
        <f t="shared" si="210"/>
        <v>0</v>
      </c>
      <c r="G120" s="114">
        <f t="shared" si="210"/>
        <v>0</v>
      </c>
      <c r="H120" s="114">
        <f t="shared" si="210"/>
        <v>400</v>
      </c>
      <c r="I120" s="114">
        <f t="shared" si="210"/>
        <v>0</v>
      </c>
      <c r="J120" s="114">
        <f t="shared" si="210"/>
        <v>0</v>
      </c>
      <c r="K120" s="114">
        <f t="shared" si="210"/>
        <v>400</v>
      </c>
      <c r="L120" s="114">
        <f t="shared" si="210"/>
        <v>0</v>
      </c>
      <c r="M120" s="114">
        <f t="shared" si="210"/>
        <v>0</v>
      </c>
      <c r="N120" s="114">
        <f t="shared" si="210"/>
        <v>400</v>
      </c>
      <c r="O120" s="114">
        <f t="shared" si="210"/>
        <v>0</v>
      </c>
      <c r="P120" s="114">
        <f t="shared" si="210"/>
        <v>0</v>
      </c>
      <c r="Q120" s="114">
        <f t="shared" si="210"/>
        <v>400</v>
      </c>
      <c r="R120" s="114">
        <f t="shared" si="210"/>
        <v>0</v>
      </c>
      <c r="S120" s="114">
        <f t="shared" si="210"/>
        <v>0</v>
      </c>
      <c r="T120" s="114">
        <f t="shared" si="210"/>
        <v>400</v>
      </c>
      <c r="U120" s="114">
        <f t="shared" si="210"/>
        <v>0</v>
      </c>
      <c r="V120" s="114">
        <f t="shared" si="210"/>
        <v>0</v>
      </c>
      <c r="W120" s="114">
        <f t="shared" si="210"/>
        <v>400</v>
      </c>
      <c r="X120" s="114">
        <f t="shared" si="210"/>
        <v>0</v>
      </c>
      <c r="Y120" s="114">
        <f t="shared" si="210"/>
        <v>0</v>
      </c>
      <c r="Z120" s="114">
        <f t="shared" si="210"/>
        <v>400</v>
      </c>
      <c r="AA120" s="114">
        <f t="shared" si="210"/>
        <v>0</v>
      </c>
      <c r="AB120" s="114">
        <f t="shared" si="210"/>
        <v>0</v>
      </c>
      <c r="AC120" s="114">
        <f t="shared" si="210"/>
        <v>400</v>
      </c>
      <c r="AD120" s="114">
        <f t="shared" si="210"/>
        <v>0</v>
      </c>
      <c r="AE120" s="114">
        <f t="shared" si="210"/>
        <v>0</v>
      </c>
      <c r="AF120" s="114">
        <f t="shared" si="210"/>
        <v>400</v>
      </c>
      <c r="AG120" s="114">
        <f t="shared" si="210"/>
        <v>0</v>
      </c>
      <c r="AH120" s="114">
        <f t="shared" si="210"/>
        <v>0</v>
      </c>
      <c r="AI120" s="114">
        <f t="shared" si="210"/>
        <v>400</v>
      </c>
      <c r="AJ120" s="114">
        <f t="shared" si="210"/>
        <v>0</v>
      </c>
      <c r="AK120" s="114">
        <f t="shared" si="210"/>
        <v>0</v>
      </c>
      <c r="AL120" s="114">
        <f aca="true" t="shared" si="211" ref="AL120:AR120">SUM(AL121:AL122)</f>
        <v>400</v>
      </c>
      <c r="AM120" s="114">
        <f t="shared" si="211"/>
        <v>300</v>
      </c>
      <c r="AN120" s="114">
        <f t="shared" si="211"/>
        <v>300</v>
      </c>
      <c r="AO120" s="114">
        <f t="shared" si="211"/>
        <v>400</v>
      </c>
      <c r="AP120" s="114">
        <f t="shared" si="211"/>
        <v>0</v>
      </c>
      <c r="AQ120" s="114">
        <f t="shared" si="211"/>
        <v>0</v>
      </c>
      <c r="AR120" s="114">
        <f t="shared" si="211"/>
        <v>400</v>
      </c>
      <c r="AS120" s="114">
        <f>SUM(AS121:AS122)</f>
        <v>300</v>
      </c>
      <c r="AT120" s="114">
        <f>SUM(AT121:AT122)</f>
        <v>300</v>
      </c>
      <c r="AU120" s="114">
        <f>SUM(AU121:AU122)</f>
        <v>400</v>
      </c>
      <c r="AV120" s="339"/>
    </row>
    <row r="121" spans="1:48" s="37" customFormat="1" ht="21.75" customHeight="1">
      <c r="A121" s="120"/>
      <c r="B121" s="116"/>
      <c r="C121" s="120">
        <v>4210</v>
      </c>
      <c r="D121" s="56" t="s">
        <v>109</v>
      </c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>
        <v>0</v>
      </c>
      <c r="AM121" s="114">
        <v>300</v>
      </c>
      <c r="AN121" s="114"/>
      <c r="AO121" s="126">
        <f>SUM(AL121+AM121-AN121)</f>
        <v>300</v>
      </c>
      <c r="AP121" s="114"/>
      <c r="AQ121" s="114"/>
      <c r="AR121" s="126">
        <f>SUM(AO121+AP121-AQ121)</f>
        <v>300</v>
      </c>
      <c r="AS121" s="114"/>
      <c r="AT121" s="114">
        <v>300</v>
      </c>
      <c r="AU121" s="126">
        <f>SUM(AR121+AS121-AT121)</f>
        <v>0</v>
      </c>
      <c r="AV121" s="337"/>
    </row>
    <row r="122" spans="1:48" s="37" customFormat="1" ht="21" customHeight="1">
      <c r="A122" s="120"/>
      <c r="B122" s="116"/>
      <c r="C122" s="98">
        <v>4300</v>
      </c>
      <c r="D122" s="56" t="s">
        <v>96</v>
      </c>
      <c r="E122" s="114">
        <v>400</v>
      </c>
      <c r="F122" s="119"/>
      <c r="G122" s="119"/>
      <c r="H122" s="126">
        <f>SUM(E122+F122-G122)</f>
        <v>400</v>
      </c>
      <c r="I122" s="119"/>
      <c r="J122" s="119"/>
      <c r="K122" s="126">
        <f>SUM(H122+I122-J122)</f>
        <v>400</v>
      </c>
      <c r="L122" s="119"/>
      <c r="M122" s="119"/>
      <c r="N122" s="126">
        <f>SUM(K122+L122-M122)</f>
        <v>400</v>
      </c>
      <c r="O122" s="119"/>
      <c r="P122" s="119"/>
      <c r="Q122" s="126">
        <f>SUM(N122+O122-P122)</f>
        <v>400</v>
      </c>
      <c r="R122" s="119"/>
      <c r="S122" s="119"/>
      <c r="T122" s="126">
        <f>SUM(Q122+R122-S122)</f>
        <v>400</v>
      </c>
      <c r="U122" s="119"/>
      <c r="V122" s="119"/>
      <c r="W122" s="126">
        <f>SUM(T122+U122-V122)</f>
        <v>400</v>
      </c>
      <c r="X122" s="119"/>
      <c r="Y122" s="119"/>
      <c r="Z122" s="126">
        <f>SUM(W122+X122-Y122)</f>
        <v>400</v>
      </c>
      <c r="AA122" s="119"/>
      <c r="AB122" s="119"/>
      <c r="AC122" s="126">
        <f>SUM(Z122+AA122-AB122)</f>
        <v>400</v>
      </c>
      <c r="AD122" s="119"/>
      <c r="AE122" s="119"/>
      <c r="AF122" s="126">
        <f>SUM(AC122+AD122-AE122)</f>
        <v>400</v>
      </c>
      <c r="AG122" s="119"/>
      <c r="AH122" s="119"/>
      <c r="AI122" s="126">
        <f>SUM(AF122+AG122-AH122)</f>
        <v>400</v>
      </c>
      <c r="AJ122" s="119"/>
      <c r="AK122" s="119"/>
      <c r="AL122" s="126">
        <f>SUM(AI122+AJ122-AK122)</f>
        <v>400</v>
      </c>
      <c r="AM122" s="119"/>
      <c r="AN122" s="119">
        <v>300</v>
      </c>
      <c r="AO122" s="126">
        <f>SUM(AL122+AM122-AN122)</f>
        <v>100</v>
      </c>
      <c r="AP122" s="119"/>
      <c r="AQ122" s="119"/>
      <c r="AR122" s="126">
        <f>SUM(AO122+AP122-AQ122)</f>
        <v>100</v>
      </c>
      <c r="AS122" s="119">
        <v>300</v>
      </c>
      <c r="AT122" s="119"/>
      <c r="AU122" s="126">
        <f>SUM(AR122+AS122-AT122)</f>
        <v>400</v>
      </c>
      <c r="AV122" s="337"/>
    </row>
    <row r="123" spans="1:48" s="37" customFormat="1" ht="21.75" customHeight="1">
      <c r="A123" s="120"/>
      <c r="B123" s="116">
        <v>75416</v>
      </c>
      <c r="C123" s="120"/>
      <c r="D123" s="56" t="s">
        <v>34</v>
      </c>
      <c r="E123" s="114">
        <f aca="true" t="shared" si="212" ref="E123:K123">SUM(E124:E135)</f>
        <v>148100</v>
      </c>
      <c r="F123" s="114">
        <f t="shared" si="212"/>
        <v>0</v>
      </c>
      <c r="G123" s="114">
        <f t="shared" si="212"/>
        <v>0</v>
      </c>
      <c r="H123" s="114">
        <f t="shared" si="212"/>
        <v>148100</v>
      </c>
      <c r="I123" s="114">
        <f t="shared" si="212"/>
        <v>0</v>
      </c>
      <c r="J123" s="114">
        <f t="shared" si="212"/>
        <v>0</v>
      </c>
      <c r="K123" s="114">
        <f t="shared" si="212"/>
        <v>148100</v>
      </c>
      <c r="L123" s="114">
        <f aca="true" t="shared" si="213" ref="L123:Q123">SUM(L124:L135)</f>
        <v>0</v>
      </c>
      <c r="M123" s="114">
        <f t="shared" si="213"/>
        <v>0</v>
      </c>
      <c r="N123" s="114">
        <f t="shared" si="213"/>
        <v>148100</v>
      </c>
      <c r="O123" s="114">
        <f t="shared" si="213"/>
        <v>0</v>
      </c>
      <c r="P123" s="114">
        <f t="shared" si="213"/>
        <v>0</v>
      </c>
      <c r="Q123" s="114">
        <f t="shared" si="213"/>
        <v>148100</v>
      </c>
      <c r="R123" s="114">
        <f aca="true" t="shared" si="214" ref="R123:W123">SUM(R124:R135)</f>
        <v>0</v>
      </c>
      <c r="S123" s="114">
        <f t="shared" si="214"/>
        <v>0</v>
      </c>
      <c r="T123" s="114">
        <f t="shared" si="214"/>
        <v>148100</v>
      </c>
      <c r="U123" s="114">
        <f t="shared" si="214"/>
        <v>0</v>
      </c>
      <c r="V123" s="114">
        <f t="shared" si="214"/>
        <v>0</v>
      </c>
      <c r="W123" s="114">
        <f t="shared" si="214"/>
        <v>148100</v>
      </c>
      <c r="X123" s="114">
        <f aca="true" t="shared" si="215" ref="X123:AC123">SUM(X124:X135)</f>
        <v>0</v>
      </c>
      <c r="Y123" s="114">
        <f t="shared" si="215"/>
        <v>0</v>
      </c>
      <c r="Z123" s="114">
        <f t="shared" si="215"/>
        <v>148100</v>
      </c>
      <c r="AA123" s="114">
        <f t="shared" si="215"/>
        <v>0</v>
      </c>
      <c r="AB123" s="114">
        <f t="shared" si="215"/>
        <v>0</v>
      </c>
      <c r="AC123" s="114">
        <f t="shared" si="215"/>
        <v>148100</v>
      </c>
      <c r="AD123" s="114">
        <f aca="true" t="shared" si="216" ref="AD123:AI123">SUM(AD124:AD135)</f>
        <v>0</v>
      </c>
      <c r="AE123" s="114">
        <f t="shared" si="216"/>
        <v>0</v>
      </c>
      <c r="AF123" s="114">
        <f t="shared" si="216"/>
        <v>148100</v>
      </c>
      <c r="AG123" s="114">
        <f t="shared" si="216"/>
        <v>0</v>
      </c>
      <c r="AH123" s="114">
        <f t="shared" si="216"/>
        <v>0</v>
      </c>
      <c r="AI123" s="114">
        <f t="shared" si="216"/>
        <v>148100</v>
      </c>
      <c r="AJ123" s="114">
        <f aca="true" t="shared" si="217" ref="AJ123:AO123">SUM(AJ124:AJ135)</f>
        <v>0</v>
      </c>
      <c r="AK123" s="114">
        <f t="shared" si="217"/>
        <v>0</v>
      </c>
      <c r="AL123" s="114">
        <f t="shared" si="217"/>
        <v>148100</v>
      </c>
      <c r="AM123" s="114">
        <f t="shared" si="217"/>
        <v>0</v>
      </c>
      <c r="AN123" s="114">
        <f t="shared" si="217"/>
        <v>8200</v>
      </c>
      <c r="AO123" s="114">
        <f t="shared" si="217"/>
        <v>139900</v>
      </c>
      <c r="AP123" s="114">
        <f aca="true" t="shared" si="218" ref="AP123:AU123">SUM(AP124:AP135)</f>
        <v>0</v>
      </c>
      <c r="AQ123" s="114">
        <f t="shared" si="218"/>
        <v>0</v>
      </c>
      <c r="AR123" s="114">
        <f t="shared" si="218"/>
        <v>139900</v>
      </c>
      <c r="AS123" s="114">
        <f t="shared" si="218"/>
        <v>68</v>
      </c>
      <c r="AT123" s="114">
        <f t="shared" si="218"/>
        <v>11043</v>
      </c>
      <c r="AU123" s="114">
        <f t="shared" si="218"/>
        <v>128925</v>
      </c>
      <c r="AV123" s="339"/>
    </row>
    <row r="124" spans="1:48" s="37" customFormat="1" ht="21" customHeight="1">
      <c r="A124" s="120"/>
      <c r="B124" s="116"/>
      <c r="C124" s="98">
        <v>3020</v>
      </c>
      <c r="D124" s="56" t="s">
        <v>246</v>
      </c>
      <c r="E124" s="114">
        <v>10500</v>
      </c>
      <c r="F124" s="119"/>
      <c r="G124" s="119"/>
      <c r="H124" s="126">
        <f aca="true" t="shared" si="219" ref="H124:H135">SUM(E124+F124-G124)</f>
        <v>10500</v>
      </c>
      <c r="I124" s="119"/>
      <c r="J124" s="119"/>
      <c r="K124" s="126">
        <f aca="true" t="shared" si="220" ref="K124:K135">SUM(H124+I124-J124)</f>
        <v>10500</v>
      </c>
      <c r="L124" s="119"/>
      <c r="M124" s="119"/>
      <c r="N124" s="126">
        <f aca="true" t="shared" si="221" ref="N124:N135">SUM(K124+L124-M124)</f>
        <v>10500</v>
      </c>
      <c r="O124" s="119"/>
      <c r="P124" s="119"/>
      <c r="Q124" s="126">
        <f aca="true" t="shared" si="222" ref="Q124:Q135">SUM(N124+O124-P124)</f>
        <v>10500</v>
      </c>
      <c r="R124" s="119"/>
      <c r="S124" s="119"/>
      <c r="T124" s="126">
        <f aca="true" t="shared" si="223" ref="T124:T135">SUM(Q124+R124-S124)</f>
        <v>10500</v>
      </c>
      <c r="U124" s="119"/>
      <c r="V124" s="119"/>
      <c r="W124" s="126">
        <f aca="true" t="shared" si="224" ref="W124:W135">SUM(T124+U124-V124)</f>
        <v>10500</v>
      </c>
      <c r="X124" s="119"/>
      <c r="Y124" s="119"/>
      <c r="Z124" s="126">
        <f aca="true" t="shared" si="225" ref="Z124:Z135">SUM(W124+X124-Y124)</f>
        <v>10500</v>
      </c>
      <c r="AA124" s="119"/>
      <c r="AB124" s="119"/>
      <c r="AC124" s="126">
        <f aca="true" t="shared" si="226" ref="AC124:AC135">SUM(Z124+AA124-AB124)</f>
        <v>10500</v>
      </c>
      <c r="AD124" s="119"/>
      <c r="AE124" s="119"/>
      <c r="AF124" s="126">
        <f aca="true" t="shared" si="227" ref="AF124:AF135">SUM(AC124+AD124-AE124)</f>
        <v>10500</v>
      </c>
      <c r="AG124" s="119"/>
      <c r="AH124" s="119"/>
      <c r="AI124" s="126">
        <f aca="true" t="shared" si="228" ref="AI124:AI135">SUM(AF124+AG124-AH124)</f>
        <v>10500</v>
      </c>
      <c r="AJ124" s="119"/>
      <c r="AK124" s="119"/>
      <c r="AL124" s="126">
        <f aca="true" t="shared" si="229" ref="AL124:AL135">SUM(AI124+AJ124-AK124)</f>
        <v>10500</v>
      </c>
      <c r="AM124" s="119"/>
      <c r="AN124" s="119"/>
      <c r="AO124" s="126">
        <f aca="true" t="shared" si="230" ref="AO124:AO135">SUM(AL124+AM124-AN124)</f>
        <v>10500</v>
      </c>
      <c r="AP124" s="119"/>
      <c r="AQ124" s="119"/>
      <c r="AR124" s="126">
        <f aca="true" t="shared" si="231" ref="AR124:AR135">SUM(AO124+AP124-AQ124)</f>
        <v>10500</v>
      </c>
      <c r="AS124" s="119"/>
      <c r="AT124" s="119">
        <v>2068</v>
      </c>
      <c r="AU124" s="126">
        <f aca="true" t="shared" si="232" ref="AU124:AU135">SUM(AR124+AS124-AT124)</f>
        <v>8432</v>
      </c>
      <c r="AV124" s="337"/>
    </row>
    <row r="125" spans="1:48" s="37" customFormat="1" ht="21" customHeight="1">
      <c r="A125" s="120"/>
      <c r="B125" s="116"/>
      <c r="C125" s="98">
        <v>4010</v>
      </c>
      <c r="D125" s="56" t="s">
        <v>101</v>
      </c>
      <c r="E125" s="114">
        <v>87200</v>
      </c>
      <c r="F125" s="119"/>
      <c r="G125" s="119"/>
      <c r="H125" s="126">
        <f t="shared" si="219"/>
        <v>87200</v>
      </c>
      <c r="I125" s="119"/>
      <c r="J125" s="119"/>
      <c r="K125" s="126">
        <f t="shared" si="220"/>
        <v>87200</v>
      </c>
      <c r="L125" s="119"/>
      <c r="M125" s="119"/>
      <c r="N125" s="126">
        <f t="shared" si="221"/>
        <v>87200</v>
      </c>
      <c r="O125" s="119"/>
      <c r="P125" s="119"/>
      <c r="Q125" s="126">
        <f t="shared" si="222"/>
        <v>87200</v>
      </c>
      <c r="R125" s="119"/>
      <c r="S125" s="119"/>
      <c r="T125" s="126">
        <f t="shared" si="223"/>
        <v>87200</v>
      </c>
      <c r="U125" s="119"/>
      <c r="V125" s="119"/>
      <c r="W125" s="126">
        <f t="shared" si="224"/>
        <v>87200</v>
      </c>
      <c r="X125" s="119"/>
      <c r="Y125" s="119"/>
      <c r="Z125" s="126">
        <f t="shared" si="225"/>
        <v>87200</v>
      </c>
      <c r="AA125" s="119"/>
      <c r="AB125" s="119"/>
      <c r="AC125" s="126">
        <f t="shared" si="226"/>
        <v>87200</v>
      </c>
      <c r="AD125" s="119"/>
      <c r="AE125" s="119"/>
      <c r="AF125" s="126">
        <f t="shared" si="227"/>
        <v>87200</v>
      </c>
      <c r="AG125" s="119"/>
      <c r="AH125" s="119"/>
      <c r="AI125" s="126">
        <f t="shared" si="228"/>
        <v>87200</v>
      </c>
      <c r="AJ125" s="119"/>
      <c r="AK125" s="119"/>
      <c r="AL125" s="126">
        <f t="shared" si="229"/>
        <v>87200</v>
      </c>
      <c r="AM125" s="119"/>
      <c r="AN125" s="119"/>
      <c r="AO125" s="126">
        <f t="shared" si="230"/>
        <v>87200</v>
      </c>
      <c r="AP125" s="119"/>
      <c r="AQ125" s="119"/>
      <c r="AR125" s="126">
        <f t="shared" si="231"/>
        <v>87200</v>
      </c>
      <c r="AS125" s="119"/>
      <c r="AT125" s="119">
        <v>8000</v>
      </c>
      <c r="AU125" s="126">
        <f t="shared" si="232"/>
        <v>79200</v>
      </c>
      <c r="AV125" s="337">
        <f>SUM(AU125)</f>
        <v>79200</v>
      </c>
    </row>
    <row r="126" spans="1:48" s="37" customFormat="1" ht="21" customHeight="1">
      <c r="A126" s="120"/>
      <c r="B126" s="116"/>
      <c r="C126" s="98">
        <v>4040</v>
      </c>
      <c r="D126" s="56" t="s">
        <v>102</v>
      </c>
      <c r="E126" s="114">
        <v>5500</v>
      </c>
      <c r="F126" s="119"/>
      <c r="G126" s="119"/>
      <c r="H126" s="126">
        <f t="shared" si="219"/>
        <v>5500</v>
      </c>
      <c r="I126" s="119"/>
      <c r="J126" s="119"/>
      <c r="K126" s="126">
        <f t="shared" si="220"/>
        <v>5500</v>
      </c>
      <c r="L126" s="119"/>
      <c r="M126" s="119"/>
      <c r="N126" s="126">
        <f t="shared" si="221"/>
        <v>5500</v>
      </c>
      <c r="O126" s="119"/>
      <c r="P126" s="119"/>
      <c r="Q126" s="126">
        <f t="shared" si="222"/>
        <v>5500</v>
      </c>
      <c r="R126" s="119"/>
      <c r="S126" s="119"/>
      <c r="T126" s="126">
        <f t="shared" si="223"/>
        <v>5500</v>
      </c>
      <c r="U126" s="119"/>
      <c r="V126" s="119"/>
      <c r="W126" s="126">
        <f t="shared" si="224"/>
        <v>5500</v>
      </c>
      <c r="X126" s="119"/>
      <c r="Y126" s="119"/>
      <c r="Z126" s="126">
        <f t="shared" si="225"/>
        <v>5500</v>
      </c>
      <c r="AA126" s="119"/>
      <c r="AB126" s="119"/>
      <c r="AC126" s="126">
        <f t="shared" si="226"/>
        <v>5500</v>
      </c>
      <c r="AD126" s="119"/>
      <c r="AE126" s="119"/>
      <c r="AF126" s="126">
        <f t="shared" si="227"/>
        <v>5500</v>
      </c>
      <c r="AG126" s="119"/>
      <c r="AH126" s="119"/>
      <c r="AI126" s="126">
        <f t="shared" si="228"/>
        <v>5500</v>
      </c>
      <c r="AJ126" s="119"/>
      <c r="AK126" s="119"/>
      <c r="AL126" s="126">
        <f t="shared" si="229"/>
        <v>5500</v>
      </c>
      <c r="AM126" s="119"/>
      <c r="AN126" s="119"/>
      <c r="AO126" s="126">
        <f t="shared" si="230"/>
        <v>5500</v>
      </c>
      <c r="AP126" s="119"/>
      <c r="AQ126" s="119"/>
      <c r="AR126" s="126">
        <f t="shared" si="231"/>
        <v>5500</v>
      </c>
      <c r="AS126" s="119"/>
      <c r="AT126" s="119">
        <v>168</v>
      </c>
      <c r="AU126" s="126">
        <f t="shared" si="232"/>
        <v>5332</v>
      </c>
      <c r="AV126" s="337">
        <f>SUM(AU126)</f>
        <v>5332</v>
      </c>
    </row>
    <row r="127" spans="1:48" s="37" customFormat="1" ht="21" customHeight="1">
      <c r="A127" s="120"/>
      <c r="B127" s="116"/>
      <c r="C127" s="98">
        <v>4110</v>
      </c>
      <c r="D127" s="56" t="s">
        <v>103</v>
      </c>
      <c r="E127" s="114">
        <v>16100</v>
      </c>
      <c r="F127" s="119"/>
      <c r="G127" s="119"/>
      <c r="H127" s="126">
        <f t="shared" si="219"/>
        <v>16100</v>
      </c>
      <c r="I127" s="119"/>
      <c r="J127" s="119"/>
      <c r="K127" s="126">
        <f t="shared" si="220"/>
        <v>16100</v>
      </c>
      <c r="L127" s="119"/>
      <c r="M127" s="119"/>
      <c r="N127" s="126">
        <f t="shared" si="221"/>
        <v>16100</v>
      </c>
      <c r="O127" s="119"/>
      <c r="P127" s="119"/>
      <c r="Q127" s="126">
        <f t="shared" si="222"/>
        <v>16100</v>
      </c>
      <c r="R127" s="119"/>
      <c r="S127" s="119"/>
      <c r="T127" s="126">
        <f t="shared" si="223"/>
        <v>16100</v>
      </c>
      <c r="U127" s="119"/>
      <c r="V127" s="119"/>
      <c r="W127" s="126">
        <f t="shared" si="224"/>
        <v>16100</v>
      </c>
      <c r="X127" s="119"/>
      <c r="Y127" s="119"/>
      <c r="Z127" s="126">
        <f t="shared" si="225"/>
        <v>16100</v>
      </c>
      <c r="AA127" s="119"/>
      <c r="AB127" s="119"/>
      <c r="AC127" s="126">
        <f t="shared" si="226"/>
        <v>16100</v>
      </c>
      <c r="AD127" s="119"/>
      <c r="AE127" s="119"/>
      <c r="AF127" s="126">
        <f t="shared" si="227"/>
        <v>16100</v>
      </c>
      <c r="AG127" s="119"/>
      <c r="AH127" s="119"/>
      <c r="AI127" s="126">
        <f t="shared" si="228"/>
        <v>16100</v>
      </c>
      <c r="AJ127" s="119"/>
      <c r="AK127" s="119"/>
      <c r="AL127" s="126">
        <f t="shared" si="229"/>
        <v>16100</v>
      </c>
      <c r="AM127" s="119"/>
      <c r="AN127" s="119"/>
      <c r="AO127" s="126">
        <f t="shared" si="230"/>
        <v>16100</v>
      </c>
      <c r="AP127" s="119"/>
      <c r="AQ127" s="119"/>
      <c r="AR127" s="126">
        <f t="shared" si="231"/>
        <v>16100</v>
      </c>
      <c r="AS127" s="119"/>
      <c r="AT127" s="119"/>
      <c r="AU127" s="126">
        <f t="shared" si="232"/>
        <v>16100</v>
      </c>
      <c r="AV127" s="337">
        <f>SUM(AU127)</f>
        <v>16100</v>
      </c>
    </row>
    <row r="128" spans="1:48" s="37" customFormat="1" ht="21" customHeight="1">
      <c r="A128" s="120"/>
      <c r="B128" s="116"/>
      <c r="C128" s="98">
        <v>4120</v>
      </c>
      <c r="D128" s="56" t="s">
        <v>104</v>
      </c>
      <c r="E128" s="114">
        <v>2200</v>
      </c>
      <c r="F128" s="119"/>
      <c r="G128" s="119"/>
      <c r="H128" s="126">
        <f t="shared" si="219"/>
        <v>2200</v>
      </c>
      <c r="I128" s="119"/>
      <c r="J128" s="119"/>
      <c r="K128" s="126">
        <f t="shared" si="220"/>
        <v>2200</v>
      </c>
      <c r="L128" s="119"/>
      <c r="M128" s="119"/>
      <c r="N128" s="126">
        <f t="shared" si="221"/>
        <v>2200</v>
      </c>
      <c r="O128" s="119"/>
      <c r="P128" s="119"/>
      <c r="Q128" s="126">
        <f t="shared" si="222"/>
        <v>2200</v>
      </c>
      <c r="R128" s="119"/>
      <c r="S128" s="119"/>
      <c r="T128" s="126">
        <f t="shared" si="223"/>
        <v>2200</v>
      </c>
      <c r="U128" s="119"/>
      <c r="V128" s="119"/>
      <c r="W128" s="126">
        <f t="shared" si="224"/>
        <v>2200</v>
      </c>
      <c r="X128" s="119"/>
      <c r="Y128" s="119"/>
      <c r="Z128" s="126">
        <f t="shared" si="225"/>
        <v>2200</v>
      </c>
      <c r="AA128" s="119"/>
      <c r="AB128" s="119"/>
      <c r="AC128" s="126">
        <f t="shared" si="226"/>
        <v>2200</v>
      </c>
      <c r="AD128" s="119"/>
      <c r="AE128" s="119"/>
      <c r="AF128" s="126">
        <f t="shared" si="227"/>
        <v>2200</v>
      </c>
      <c r="AG128" s="119"/>
      <c r="AH128" s="119"/>
      <c r="AI128" s="126">
        <f t="shared" si="228"/>
        <v>2200</v>
      </c>
      <c r="AJ128" s="119"/>
      <c r="AK128" s="119"/>
      <c r="AL128" s="126">
        <f t="shared" si="229"/>
        <v>2200</v>
      </c>
      <c r="AM128" s="119"/>
      <c r="AN128" s="119"/>
      <c r="AO128" s="126">
        <f t="shared" si="230"/>
        <v>2200</v>
      </c>
      <c r="AP128" s="119"/>
      <c r="AQ128" s="119"/>
      <c r="AR128" s="126">
        <f t="shared" si="231"/>
        <v>2200</v>
      </c>
      <c r="AS128" s="119"/>
      <c r="AT128" s="119"/>
      <c r="AU128" s="126">
        <f t="shared" si="232"/>
        <v>2200</v>
      </c>
      <c r="AV128" s="337">
        <f>SUM(AU128)</f>
        <v>2200</v>
      </c>
    </row>
    <row r="129" spans="1:48" s="37" customFormat="1" ht="21" customHeight="1">
      <c r="A129" s="120"/>
      <c r="B129" s="116"/>
      <c r="C129" s="98">
        <v>4210</v>
      </c>
      <c r="D129" s="56" t="s">
        <v>109</v>
      </c>
      <c r="E129" s="114">
        <v>8000</v>
      </c>
      <c r="F129" s="119"/>
      <c r="G129" s="119"/>
      <c r="H129" s="126">
        <f t="shared" si="219"/>
        <v>8000</v>
      </c>
      <c r="I129" s="119"/>
      <c r="J129" s="119"/>
      <c r="K129" s="126">
        <f t="shared" si="220"/>
        <v>8000</v>
      </c>
      <c r="L129" s="119"/>
      <c r="M129" s="119"/>
      <c r="N129" s="126">
        <f t="shared" si="221"/>
        <v>8000</v>
      </c>
      <c r="O129" s="119"/>
      <c r="P129" s="119"/>
      <c r="Q129" s="126">
        <f t="shared" si="222"/>
        <v>8000</v>
      </c>
      <c r="R129" s="119"/>
      <c r="S129" s="119"/>
      <c r="T129" s="126">
        <f t="shared" si="223"/>
        <v>8000</v>
      </c>
      <c r="U129" s="119"/>
      <c r="V129" s="119"/>
      <c r="W129" s="126">
        <f t="shared" si="224"/>
        <v>8000</v>
      </c>
      <c r="X129" s="119"/>
      <c r="Y129" s="119"/>
      <c r="Z129" s="126">
        <f t="shared" si="225"/>
        <v>8000</v>
      </c>
      <c r="AA129" s="119"/>
      <c r="AB129" s="119"/>
      <c r="AC129" s="126">
        <f t="shared" si="226"/>
        <v>8000</v>
      </c>
      <c r="AD129" s="119"/>
      <c r="AE129" s="119"/>
      <c r="AF129" s="126">
        <f t="shared" si="227"/>
        <v>8000</v>
      </c>
      <c r="AG129" s="119"/>
      <c r="AH129" s="119"/>
      <c r="AI129" s="126">
        <f t="shared" si="228"/>
        <v>8000</v>
      </c>
      <c r="AJ129" s="119"/>
      <c r="AK129" s="119"/>
      <c r="AL129" s="126">
        <f t="shared" si="229"/>
        <v>8000</v>
      </c>
      <c r="AM129" s="119"/>
      <c r="AN129" s="119">
        <v>1600</v>
      </c>
      <c r="AO129" s="126">
        <f t="shared" si="230"/>
        <v>6400</v>
      </c>
      <c r="AP129" s="119"/>
      <c r="AQ129" s="119"/>
      <c r="AR129" s="126">
        <f t="shared" si="231"/>
        <v>6400</v>
      </c>
      <c r="AS129" s="119"/>
      <c r="AT129" s="119"/>
      <c r="AU129" s="126">
        <f t="shared" si="232"/>
        <v>6400</v>
      </c>
      <c r="AV129" s="337"/>
    </row>
    <row r="130" spans="1:48" s="37" customFormat="1" ht="21" customHeight="1">
      <c r="A130" s="120"/>
      <c r="B130" s="116"/>
      <c r="C130" s="98">
        <v>4270</v>
      </c>
      <c r="D130" s="56" t="s">
        <v>95</v>
      </c>
      <c r="E130" s="114">
        <v>3000</v>
      </c>
      <c r="F130" s="119"/>
      <c r="G130" s="119"/>
      <c r="H130" s="126">
        <f t="shared" si="219"/>
        <v>3000</v>
      </c>
      <c r="I130" s="119"/>
      <c r="J130" s="119"/>
      <c r="K130" s="126">
        <f t="shared" si="220"/>
        <v>3000</v>
      </c>
      <c r="L130" s="119"/>
      <c r="M130" s="119"/>
      <c r="N130" s="126">
        <f t="shared" si="221"/>
        <v>3000</v>
      </c>
      <c r="O130" s="119"/>
      <c r="P130" s="119"/>
      <c r="Q130" s="126">
        <f t="shared" si="222"/>
        <v>3000</v>
      </c>
      <c r="R130" s="119"/>
      <c r="S130" s="119"/>
      <c r="T130" s="126">
        <f t="shared" si="223"/>
        <v>3000</v>
      </c>
      <c r="U130" s="119"/>
      <c r="V130" s="119"/>
      <c r="W130" s="126">
        <f t="shared" si="224"/>
        <v>3000</v>
      </c>
      <c r="X130" s="119"/>
      <c r="Y130" s="119"/>
      <c r="Z130" s="126">
        <f t="shared" si="225"/>
        <v>3000</v>
      </c>
      <c r="AA130" s="119"/>
      <c r="AB130" s="119"/>
      <c r="AC130" s="126">
        <f t="shared" si="226"/>
        <v>3000</v>
      </c>
      <c r="AD130" s="119"/>
      <c r="AE130" s="119"/>
      <c r="AF130" s="126">
        <f t="shared" si="227"/>
        <v>3000</v>
      </c>
      <c r="AG130" s="119"/>
      <c r="AH130" s="119"/>
      <c r="AI130" s="126">
        <f t="shared" si="228"/>
        <v>3000</v>
      </c>
      <c r="AJ130" s="119"/>
      <c r="AK130" s="119"/>
      <c r="AL130" s="126">
        <f t="shared" si="229"/>
        <v>3000</v>
      </c>
      <c r="AM130" s="119"/>
      <c r="AN130" s="119">
        <v>1400</v>
      </c>
      <c r="AO130" s="126">
        <f t="shared" si="230"/>
        <v>1600</v>
      </c>
      <c r="AP130" s="119"/>
      <c r="AQ130" s="119"/>
      <c r="AR130" s="126">
        <f t="shared" si="231"/>
        <v>1600</v>
      </c>
      <c r="AS130" s="119"/>
      <c r="AT130" s="119"/>
      <c r="AU130" s="126">
        <f t="shared" si="232"/>
        <v>1600</v>
      </c>
      <c r="AV130" s="337"/>
    </row>
    <row r="131" spans="1:48" s="37" customFormat="1" ht="21" customHeight="1">
      <c r="A131" s="120"/>
      <c r="B131" s="116"/>
      <c r="C131" s="98">
        <v>4280</v>
      </c>
      <c r="D131" s="56" t="s">
        <v>301</v>
      </c>
      <c r="E131" s="114">
        <v>1500</v>
      </c>
      <c r="F131" s="119"/>
      <c r="G131" s="119"/>
      <c r="H131" s="126">
        <f t="shared" si="219"/>
        <v>1500</v>
      </c>
      <c r="I131" s="119"/>
      <c r="J131" s="119"/>
      <c r="K131" s="126">
        <f t="shared" si="220"/>
        <v>1500</v>
      </c>
      <c r="L131" s="119"/>
      <c r="M131" s="119"/>
      <c r="N131" s="126">
        <f t="shared" si="221"/>
        <v>1500</v>
      </c>
      <c r="O131" s="119"/>
      <c r="P131" s="119"/>
      <c r="Q131" s="126">
        <f t="shared" si="222"/>
        <v>1500</v>
      </c>
      <c r="R131" s="119"/>
      <c r="S131" s="119"/>
      <c r="T131" s="126">
        <f t="shared" si="223"/>
        <v>1500</v>
      </c>
      <c r="U131" s="119"/>
      <c r="V131" s="119"/>
      <c r="W131" s="126">
        <f t="shared" si="224"/>
        <v>1500</v>
      </c>
      <c r="X131" s="119"/>
      <c r="Y131" s="119"/>
      <c r="Z131" s="126">
        <f t="shared" si="225"/>
        <v>1500</v>
      </c>
      <c r="AA131" s="119"/>
      <c r="AB131" s="119"/>
      <c r="AC131" s="126">
        <f t="shared" si="226"/>
        <v>1500</v>
      </c>
      <c r="AD131" s="119"/>
      <c r="AE131" s="119"/>
      <c r="AF131" s="126">
        <f t="shared" si="227"/>
        <v>1500</v>
      </c>
      <c r="AG131" s="119"/>
      <c r="AH131" s="119"/>
      <c r="AI131" s="126">
        <f t="shared" si="228"/>
        <v>1500</v>
      </c>
      <c r="AJ131" s="119"/>
      <c r="AK131" s="119"/>
      <c r="AL131" s="126">
        <f t="shared" si="229"/>
        <v>1500</v>
      </c>
      <c r="AM131" s="119"/>
      <c r="AN131" s="119">
        <v>1400</v>
      </c>
      <c r="AO131" s="126">
        <f t="shared" si="230"/>
        <v>100</v>
      </c>
      <c r="AP131" s="119"/>
      <c r="AQ131" s="119"/>
      <c r="AR131" s="126">
        <f t="shared" si="231"/>
        <v>100</v>
      </c>
      <c r="AS131" s="119"/>
      <c r="AT131" s="119"/>
      <c r="AU131" s="126">
        <f t="shared" si="232"/>
        <v>100</v>
      </c>
      <c r="AV131" s="337"/>
    </row>
    <row r="132" spans="1:48" s="37" customFormat="1" ht="21" customHeight="1">
      <c r="A132" s="120"/>
      <c r="B132" s="116"/>
      <c r="C132" s="98">
        <v>4300</v>
      </c>
      <c r="D132" s="56" t="s">
        <v>96</v>
      </c>
      <c r="E132" s="114">
        <v>7500</v>
      </c>
      <c r="F132" s="119"/>
      <c r="G132" s="119"/>
      <c r="H132" s="126">
        <f t="shared" si="219"/>
        <v>7500</v>
      </c>
      <c r="I132" s="119"/>
      <c r="J132" s="119"/>
      <c r="K132" s="126">
        <f t="shared" si="220"/>
        <v>7500</v>
      </c>
      <c r="L132" s="119"/>
      <c r="M132" s="119"/>
      <c r="N132" s="126">
        <f t="shared" si="221"/>
        <v>7500</v>
      </c>
      <c r="O132" s="119"/>
      <c r="P132" s="119"/>
      <c r="Q132" s="126">
        <f t="shared" si="222"/>
        <v>7500</v>
      </c>
      <c r="R132" s="119"/>
      <c r="S132" s="119"/>
      <c r="T132" s="126">
        <f t="shared" si="223"/>
        <v>7500</v>
      </c>
      <c r="U132" s="119"/>
      <c r="V132" s="119"/>
      <c r="W132" s="126">
        <f t="shared" si="224"/>
        <v>7500</v>
      </c>
      <c r="X132" s="119"/>
      <c r="Y132" s="119"/>
      <c r="Z132" s="126">
        <f t="shared" si="225"/>
        <v>7500</v>
      </c>
      <c r="AA132" s="119"/>
      <c r="AB132" s="119"/>
      <c r="AC132" s="126">
        <f t="shared" si="226"/>
        <v>7500</v>
      </c>
      <c r="AD132" s="119"/>
      <c r="AE132" s="119"/>
      <c r="AF132" s="126">
        <f t="shared" si="227"/>
        <v>7500</v>
      </c>
      <c r="AG132" s="119"/>
      <c r="AH132" s="119"/>
      <c r="AI132" s="126">
        <f t="shared" si="228"/>
        <v>7500</v>
      </c>
      <c r="AJ132" s="119"/>
      <c r="AK132" s="119"/>
      <c r="AL132" s="126">
        <f t="shared" si="229"/>
        <v>7500</v>
      </c>
      <c r="AM132" s="119"/>
      <c r="AN132" s="119">
        <v>2400</v>
      </c>
      <c r="AO132" s="126">
        <f t="shared" si="230"/>
        <v>5100</v>
      </c>
      <c r="AP132" s="119"/>
      <c r="AQ132" s="119"/>
      <c r="AR132" s="126">
        <f t="shared" si="231"/>
        <v>5100</v>
      </c>
      <c r="AS132" s="119"/>
      <c r="AT132" s="119"/>
      <c r="AU132" s="126">
        <f t="shared" si="232"/>
        <v>5100</v>
      </c>
      <c r="AV132" s="337"/>
    </row>
    <row r="133" spans="1:48" s="37" customFormat="1" ht="21" customHeight="1">
      <c r="A133" s="120"/>
      <c r="B133" s="116"/>
      <c r="C133" s="98">
        <v>4410</v>
      </c>
      <c r="D133" s="56" t="s">
        <v>107</v>
      </c>
      <c r="E133" s="114">
        <v>500</v>
      </c>
      <c r="F133" s="119"/>
      <c r="G133" s="119"/>
      <c r="H133" s="126">
        <f t="shared" si="219"/>
        <v>500</v>
      </c>
      <c r="I133" s="119"/>
      <c r="J133" s="119"/>
      <c r="K133" s="126">
        <f t="shared" si="220"/>
        <v>500</v>
      </c>
      <c r="L133" s="119"/>
      <c r="M133" s="119"/>
      <c r="N133" s="126">
        <f t="shared" si="221"/>
        <v>500</v>
      </c>
      <c r="O133" s="119"/>
      <c r="P133" s="119"/>
      <c r="Q133" s="126">
        <f t="shared" si="222"/>
        <v>500</v>
      </c>
      <c r="R133" s="119"/>
      <c r="S133" s="119"/>
      <c r="T133" s="126">
        <f t="shared" si="223"/>
        <v>500</v>
      </c>
      <c r="U133" s="119"/>
      <c r="V133" s="119"/>
      <c r="W133" s="126">
        <f t="shared" si="224"/>
        <v>500</v>
      </c>
      <c r="X133" s="119"/>
      <c r="Y133" s="119"/>
      <c r="Z133" s="126">
        <f t="shared" si="225"/>
        <v>500</v>
      </c>
      <c r="AA133" s="119"/>
      <c r="AB133" s="119"/>
      <c r="AC133" s="126">
        <f t="shared" si="226"/>
        <v>500</v>
      </c>
      <c r="AD133" s="119"/>
      <c r="AE133" s="119"/>
      <c r="AF133" s="126">
        <f t="shared" si="227"/>
        <v>500</v>
      </c>
      <c r="AG133" s="119"/>
      <c r="AH133" s="119"/>
      <c r="AI133" s="126">
        <f t="shared" si="228"/>
        <v>500</v>
      </c>
      <c r="AJ133" s="119"/>
      <c r="AK133" s="119"/>
      <c r="AL133" s="126">
        <f t="shared" si="229"/>
        <v>500</v>
      </c>
      <c r="AM133" s="119"/>
      <c r="AN133" s="119"/>
      <c r="AO133" s="126">
        <f t="shared" si="230"/>
        <v>500</v>
      </c>
      <c r="AP133" s="119"/>
      <c r="AQ133" s="119"/>
      <c r="AR133" s="126">
        <f t="shared" si="231"/>
        <v>500</v>
      </c>
      <c r="AS133" s="119"/>
      <c r="AT133" s="119"/>
      <c r="AU133" s="126">
        <f t="shared" si="232"/>
        <v>500</v>
      </c>
      <c r="AV133" s="337"/>
    </row>
    <row r="134" spans="1:48" s="37" customFormat="1" ht="21" customHeight="1">
      <c r="A134" s="120"/>
      <c r="B134" s="116"/>
      <c r="C134" s="101">
        <v>4430</v>
      </c>
      <c r="D134" s="56" t="s">
        <v>111</v>
      </c>
      <c r="E134" s="114">
        <v>3000</v>
      </c>
      <c r="F134" s="119"/>
      <c r="G134" s="119"/>
      <c r="H134" s="126">
        <f t="shared" si="219"/>
        <v>3000</v>
      </c>
      <c r="I134" s="119"/>
      <c r="J134" s="119"/>
      <c r="K134" s="126">
        <f t="shared" si="220"/>
        <v>3000</v>
      </c>
      <c r="L134" s="119"/>
      <c r="M134" s="119"/>
      <c r="N134" s="126">
        <f t="shared" si="221"/>
        <v>3000</v>
      </c>
      <c r="O134" s="119"/>
      <c r="P134" s="119"/>
      <c r="Q134" s="126">
        <f t="shared" si="222"/>
        <v>3000</v>
      </c>
      <c r="R134" s="119"/>
      <c r="S134" s="119"/>
      <c r="T134" s="126">
        <f t="shared" si="223"/>
        <v>3000</v>
      </c>
      <c r="U134" s="119"/>
      <c r="V134" s="119"/>
      <c r="W134" s="126">
        <f t="shared" si="224"/>
        <v>3000</v>
      </c>
      <c r="X134" s="119"/>
      <c r="Y134" s="119"/>
      <c r="Z134" s="126">
        <f t="shared" si="225"/>
        <v>3000</v>
      </c>
      <c r="AA134" s="119"/>
      <c r="AB134" s="119"/>
      <c r="AC134" s="126">
        <f t="shared" si="226"/>
        <v>3000</v>
      </c>
      <c r="AD134" s="119"/>
      <c r="AE134" s="119"/>
      <c r="AF134" s="126">
        <f t="shared" si="227"/>
        <v>3000</v>
      </c>
      <c r="AG134" s="119"/>
      <c r="AH134" s="119"/>
      <c r="AI134" s="126">
        <f t="shared" si="228"/>
        <v>3000</v>
      </c>
      <c r="AJ134" s="119"/>
      <c r="AK134" s="119"/>
      <c r="AL134" s="126">
        <f t="shared" si="229"/>
        <v>3000</v>
      </c>
      <c r="AM134" s="119"/>
      <c r="AN134" s="119">
        <v>1400</v>
      </c>
      <c r="AO134" s="126">
        <f t="shared" si="230"/>
        <v>1600</v>
      </c>
      <c r="AP134" s="119"/>
      <c r="AQ134" s="119"/>
      <c r="AR134" s="126">
        <f t="shared" si="231"/>
        <v>1600</v>
      </c>
      <c r="AS134" s="119">
        <v>68</v>
      </c>
      <c r="AT134" s="119"/>
      <c r="AU134" s="126">
        <f t="shared" si="232"/>
        <v>1668</v>
      </c>
      <c r="AV134" s="337"/>
    </row>
    <row r="135" spans="1:48" s="37" customFormat="1" ht="21" customHeight="1">
      <c r="A135" s="120"/>
      <c r="B135" s="116"/>
      <c r="C135" s="101">
        <v>4440</v>
      </c>
      <c r="D135" s="56" t="s">
        <v>105</v>
      </c>
      <c r="E135" s="114">
        <v>3100</v>
      </c>
      <c r="F135" s="119"/>
      <c r="G135" s="119"/>
      <c r="H135" s="126">
        <f t="shared" si="219"/>
        <v>3100</v>
      </c>
      <c r="I135" s="119"/>
      <c r="J135" s="119"/>
      <c r="K135" s="126">
        <f t="shared" si="220"/>
        <v>3100</v>
      </c>
      <c r="L135" s="119"/>
      <c r="M135" s="119"/>
      <c r="N135" s="126">
        <f t="shared" si="221"/>
        <v>3100</v>
      </c>
      <c r="O135" s="119"/>
      <c r="P135" s="119"/>
      <c r="Q135" s="126">
        <f t="shared" si="222"/>
        <v>3100</v>
      </c>
      <c r="R135" s="119"/>
      <c r="S135" s="119"/>
      <c r="T135" s="126">
        <f t="shared" si="223"/>
        <v>3100</v>
      </c>
      <c r="U135" s="119"/>
      <c r="V135" s="119"/>
      <c r="W135" s="126">
        <f t="shared" si="224"/>
        <v>3100</v>
      </c>
      <c r="X135" s="119"/>
      <c r="Y135" s="119"/>
      <c r="Z135" s="126">
        <f t="shared" si="225"/>
        <v>3100</v>
      </c>
      <c r="AA135" s="119"/>
      <c r="AB135" s="119"/>
      <c r="AC135" s="126">
        <f t="shared" si="226"/>
        <v>3100</v>
      </c>
      <c r="AD135" s="119"/>
      <c r="AE135" s="119"/>
      <c r="AF135" s="126">
        <f t="shared" si="227"/>
        <v>3100</v>
      </c>
      <c r="AG135" s="119"/>
      <c r="AH135" s="119"/>
      <c r="AI135" s="126">
        <f t="shared" si="228"/>
        <v>3100</v>
      </c>
      <c r="AJ135" s="119"/>
      <c r="AK135" s="119"/>
      <c r="AL135" s="126">
        <f t="shared" si="229"/>
        <v>3100</v>
      </c>
      <c r="AM135" s="119"/>
      <c r="AN135" s="119"/>
      <c r="AO135" s="126">
        <f t="shared" si="230"/>
        <v>3100</v>
      </c>
      <c r="AP135" s="119"/>
      <c r="AQ135" s="119"/>
      <c r="AR135" s="126">
        <f t="shared" si="231"/>
        <v>3100</v>
      </c>
      <c r="AS135" s="119"/>
      <c r="AT135" s="119">
        <v>807</v>
      </c>
      <c r="AU135" s="126">
        <f t="shared" si="232"/>
        <v>2293</v>
      </c>
      <c r="AV135" s="337"/>
    </row>
    <row r="136" spans="1:48" s="37" customFormat="1" ht="21.75" customHeight="1">
      <c r="A136" s="120"/>
      <c r="B136" s="116" t="s">
        <v>119</v>
      </c>
      <c r="C136" s="120"/>
      <c r="D136" s="56" t="s">
        <v>10</v>
      </c>
      <c r="E136" s="114">
        <f>E137</f>
        <v>5000</v>
      </c>
      <c r="F136" s="114">
        <f aca="true" t="shared" si="233" ref="F136:AU136">SUM(F137)</f>
        <v>0</v>
      </c>
      <c r="G136" s="114">
        <f t="shared" si="233"/>
        <v>0</v>
      </c>
      <c r="H136" s="114">
        <f t="shared" si="233"/>
        <v>5000</v>
      </c>
      <c r="I136" s="114">
        <f t="shared" si="233"/>
        <v>0</v>
      </c>
      <c r="J136" s="114">
        <f t="shared" si="233"/>
        <v>0</v>
      </c>
      <c r="K136" s="114">
        <f t="shared" si="233"/>
        <v>5000</v>
      </c>
      <c r="L136" s="114">
        <f t="shared" si="233"/>
        <v>0</v>
      </c>
      <c r="M136" s="114">
        <f t="shared" si="233"/>
        <v>0</v>
      </c>
      <c r="N136" s="114">
        <f t="shared" si="233"/>
        <v>5000</v>
      </c>
      <c r="O136" s="114">
        <f t="shared" si="233"/>
        <v>0</v>
      </c>
      <c r="P136" s="114">
        <f t="shared" si="233"/>
        <v>0</v>
      </c>
      <c r="Q136" s="114">
        <f t="shared" si="233"/>
        <v>5000</v>
      </c>
      <c r="R136" s="114">
        <f t="shared" si="233"/>
        <v>0</v>
      </c>
      <c r="S136" s="114">
        <f t="shared" si="233"/>
        <v>0</v>
      </c>
      <c r="T136" s="114">
        <f t="shared" si="233"/>
        <v>5000</v>
      </c>
      <c r="U136" s="114">
        <f t="shared" si="233"/>
        <v>0</v>
      </c>
      <c r="V136" s="114">
        <f t="shared" si="233"/>
        <v>0</v>
      </c>
      <c r="W136" s="114">
        <f t="shared" si="233"/>
        <v>5000</v>
      </c>
      <c r="X136" s="114">
        <f t="shared" si="233"/>
        <v>0</v>
      </c>
      <c r="Y136" s="114">
        <f t="shared" si="233"/>
        <v>0</v>
      </c>
      <c r="Z136" s="114">
        <f t="shared" si="233"/>
        <v>5000</v>
      </c>
      <c r="AA136" s="114">
        <f t="shared" si="233"/>
        <v>0</v>
      </c>
      <c r="AB136" s="114">
        <f t="shared" si="233"/>
        <v>0</v>
      </c>
      <c r="AC136" s="114">
        <f t="shared" si="233"/>
        <v>5000</v>
      </c>
      <c r="AD136" s="114">
        <f t="shared" si="233"/>
        <v>0</v>
      </c>
      <c r="AE136" s="114">
        <f t="shared" si="233"/>
        <v>0</v>
      </c>
      <c r="AF136" s="114">
        <f t="shared" si="233"/>
        <v>5000</v>
      </c>
      <c r="AG136" s="114">
        <f t="shared" si="233"/>
        <v>0</v>
      </c>
      <c r="AH136" s="114">
        <f t="shared" si="233"/>
        <v>0</v>
      </c>
      <c r="AI136" s="114">
        <f t="shared" si="233"/>
        <v>5000</v>
      </c>
      <c r="AJ136" s="114">
        <f t="shared" si="233"/>
        <v>0</v>
      </c>
      <c r="AK136" s="114">
        <f t="shared" si="233"/>
        <v>0</v>
      </c>
      <c r="AL136" s="114">
        <f t="shared" si="233"/>
        <v>5000</v>
      </c>
      <c r="AM136" s="114">
        <f t="shared" si="233"/>
        <v>0</v>
      </c>
      <c r="AN136" s="114">
        <f t="shared" si="233"/>
        <v>0</v>
      </c>
      <c r="AO136" s="114">
        <f t="shared" si="233"/>
        <v>5000</v>
      </c>
      <c r="AP136" s="114">
        <f t="shared" si="233"/>
        <v>0</v>
      </c>
      <c r="AQ136" s="114">
        <f t="shared" si="233"/>
        <v>0</v>
      </c>
      <c r="AR136" s="114">
        <f t="shared" si="233"/>
        <v>5000</v>
      </c>
      <c r="AS136" s="114">
        <f t="shared" si="233"/>
        <v>0</v>
      </c>
      <c r="AT136" s="114">
        <f t="shared" si="233"/>
        <v>0</v>
      </c>
      <c r="AU136" s="114">
        <f t="shared" si="233"/>
        <v>5000</v>
      </c>
      <c r="AV136" s="339"/>
    </row>
    <row r="137" spans="1:48" s="37" customFormat="1" ht="21" customHeight="1">
      <c r="A137" s="120"/>
      <c r="B137" s="116"/>
      <c r="C137" s="101">
        <v>4430</v>
      </c>
      <c r="D137" s="56" t="s">
        <v>111</v>
      </c>
      <c r="E137" s="114">
        <v>5000</v>
      </c>
      <c r="F137" s="119"/>
      <c r="G137" s="119"/>
      <c r="H137" s="126">
        <f>SUM(E137+F137-G137)</f>
        <v>5000</v>
      </c>
      <c r="I137" s="119"/>
      <c r="J137" s="119"/>
      <c r="K137" s="126">
        <f>SUM(H137+I137-J137)</f>
        <v>5000</v>
      </c>
      <c r="L137" s="119"/>
      <c r="M137" s="119"/>
      <c r="N137" s="126">
        <f>SUM(K137+L137-M137)</f>
        <v>5000</v>
      </c>
      <c r="O137" s="119"/>
      <c r="P137" s="119"/>
      <c r="Q137" s="126">
        <f>SUM(N137+O137-P137)</f>
        <v>5000</v>
      </c>
      <c r="R137" s="119"/>
      <c r="S137" s="119"/>
      <c r="T137" s="126">
        <f>SUM(Q137+R137-S137)</f>
        <v>5000</v>
      </c>
      <c r="U137" s="119"/>
      <c r="V137" s="119"/>
      <c r="W137" s="126">
        <f>SUM(T137+U137-V137)</f>
        <v>5000</v>
      </c>
      <c r="X137" s="119"/>
      <c r="Y137" s="119"/>
      <c r="Z137" s="126">
        <f>SUM(W137+X137-Y137)</f>
        <v>5000</v>
      </c>
      <c r="AA137" s="119"/>
      <c r="AB137" s="119"/>
      <c r="AC137" s="126">
        <f>SUM(Z137+AA137-AB137)</f>
        <v>5000</v>
      </c>
      <c r="AD137" s="119"/>
      <c r="AE137" s="119"/>
      <c r="AF137" s="126">
        <f>SUM(AC137+AD137-AE137)</f>
        <v>5000</v>
      </c>
      <c r="AG137" s="119"/>
      <c r="AH137" s="119"/>
      <c r="AI137" s="126">
        <f>SUM(AF137+AG137-AH137)</f>
        <v>5000</v>
      </c>
      <c r="AJ137" s="119"/>
      <c r="AK137" s="119"/>
      <c r="AL137" s="126">
        <f>SUM(AI137+AJ137-AK137)</f>
        <v>5000</v>
      </c>
      <c r="AM137" s="119"/>
      <c r="AN137" s="119"/>
      <c r="AO137" s="126">
        <f>SUM(AL137+AM137-AN137)</f>
        <v>5000</v>
      </c>
      <c r="AP137" s="119"/>
      <c r="AQ137" s="119"/>
      <c r="AR137" s="126">
        <f>SUM(AO137+AP137-AQ137)</f>
        <v>5000</v>
      </c>
      <c r="AS137" s="119"/>
      <c r="AT137" s="119"/>
      <c r="AU137" s="126">
        <f>SUM(AR137+AS137-AT137)</f>
        <v>5000</v>
      </c>
      <c r="AV137" s="337"/>
    </row>
    <row r="138" spans="1:48" s="59" customFormat="1" ht="73.5" customHeight="1">
      <c r="A138" s="53">
        <v>756</v>
      </c>
      <c r="B138" s="93"/>
      <c r="C138" s="92"/>
      <c r="D138" s="54" t="s">
        <v>193</v>
      </c>
      <c r="E138" s="55">
        <f aca="true" t="shared" si="234" ref="E138:AU138">SUM(E139)</f>
        <v>73500</v>
      </c>
      <c r="F138" s="55">
        <f t="shared" si="234"/>
        <v>0</v>
      </c>
      <c r="G138" s="55">
        <f t="shared" si="234"/>
        <v>0</v>
      </c>
      <c r="H138" s="55">
        <f t="shared" si="234"/>
        <v>73500</v>
      </c>
      <c r="I138" s="55">
        <f t="shared" si="234"/>
        <v>0</v>
      </c>
      <c r="J138" s="55">
        <f t="shared" si="234"/>
        <v>0</v>
      </c>
      <c r="K138" s="55">
        <f t="shared" si="234"/>
        <v>73500</v>
      </c>
      <c r="L138" s="55">
        <f t="shared" si="234"/>
        <v>0</v>
      </c>
      <c r="M138" s="55">
        <f t="shared" si="234"/>
        <v>0</v>
      </c>
      <c r="N138" s="55">
        <f t="shared" si="234"/>
        <v>73500</v>
      </c>
      <c r="O138" s="55">
        <f t="shared" si="234"/>
        <v>0</v>
      </c>
      <c r="P138" s="55">
        <f t="shared" si="234"/>
        <v>0</v>
      </c>
      <c r="Q138" s="55">
        <f t="shared" si="234"/>
        <v>73500</v>
      </c>
      <c r="R138" s="55">
        <f t="shared" si="234"/>
        <v>1400</v>
      </c>
      <c r="S138" s="55">
        <f t="shared" si="234"/>
        <v>1400</v>
      </c>
      <c r="T138" s="55">
        <f t="shared" si="234"/>
        <v>73500</v>
      </c>
      <c r="U138" s="55">
        <f t="shared" si="234"/>
        <v>0</v>
      </c>
      <c r="V138" s="55">
        <f t="shared" si="234"/>
        <v>0</v>
      </c>
      <c r="W138" s="55">
        <f t="shared" si="234"/>
        <v>73500</v>
      </c>
      <c r="X138" s="55">
        <f t="shared" si="234"/>
        <v>0</v>
      </c>
      <c r="Y138" s="55">
        <f t="shared" si="234"/>
        <v>0</v>
      </c>
      <c r="Z138" s="55">
        <f t="shared" si="234"/>
        <v>73500</v>
      </c>
      <c r="AA138" s="55">
        <f t="shared" si="234"/>
        <v>0</v>
      </c>
      <c r="AB138" s="55">
        <f t="shared" si="234"/>
        <v>0</v>
      </c>
      <c r="AC138" s="55">
        <f t="shared" si="234"/>
        <v>73500</v>
      </c>
      <c r="AD138" s="55">
        <f t="shared" si="234"/>
        <v>0</v>
      </c>
      <c r="AE138" s="55">
        <f t="shared" si="234"/>
        <v>0</v>
      </c>
      <c r="AF138" s="55">
        <f t="shared" si="234"/>
        <v>73500</v>
      </c>
      <c r="AG138" s="55">
        <f t="shared" si="234"/>
        <v>0</v>
      </c>
      <c r="AH138" s="55">
        <f t="shared" si="234"/>
        <v>0</v>
      </c>
      <c r="AI138" s="55">
        <f t="shared" si="234"/>
        <v>73500</v>
      </c>
      <c r="AJ138" s="55">
        <f t="shared" si="234"/>
        <v>0</v>
      </c>
      <c r="AK138" s="55">
        <f t="shared" si="234"/>
        <v>0</v>
      </c>
      <c r="AL138" s="55">
        <f t="shared" si="234"/>
        <v>73500</v>
      </c>
      <c r="AM138" s="55">
        <f t="shared" si="234"/>
        <v>0</v>
      </c>
      <c r="AN138" s="55">
        <f t="shared" si="234"/>
        <v>0</v>
      </c>
      <c r="AO138" s="55">
        <f t="shared" si="234"/>
        <v>73500</v>
      </c>
      <c r="AP138" s="55">
        <f t="shared" si="234"/>
        <v>0</v>
      </c>
      <c r="AQ138" s="55">
        <f t="shared" si="234"/>
        <v>0</v>
      </c>
      <c r="AR138" s="55">
        <f t="shared" si="234"/>
        <v>73500</v>
      </c>
      <c r="AS138" s="55">
        <f t="shared" si="234"/>
        <v>15500</v>
      </c>
      <c r="AT138" s="55">
        <f t="shared" si="234"/>
        <v>8000</v>
      </c>
      <c r="AU138" s="55">
        <f t="shared" si="234"/>
        <v>81000</v>
      </c>
      <c r="AV138" s="338"/>
    </row>
    <row r="139" spans="1:48" s="37" customFormat="1" ht="36">
      <c r="A139" s="120"/>
      <c r="B139" s="116">
        <v>75647</v>
      </c>
      <c r="C139" s="101"/>
      <c r="D139" s="56" t="s">
        <v>227</v>
      </c>
      <c r="E139" s="114">
        <f aca="true" t="shared" si="235" ref="E139:K139">SUM(E140:E145)</f>
        <v>73500</v>
      </c>
      <c r="F139" s="114">
        <f t="shared" si="235"/>
        <v>0</v>
      </c>
      <c r="G139" s="114">
        <f t="shared" si="235"/>
        <v>0</v>
      </c>
      <c r="H139" s="114">
        <f t="shared" si="235"/>
        <v>73500</v>
      </c>
      <c r="I139" s="114">
        <f t="shared" si="235"/>
        <v>0</v>
      </c>
      <c r="J139" s="114">
        <f t="shared" si="235"/>
        <v>0</v>
      </c>
      <c r="K139" s="114">
        <f t="shared" si="235"/>
        <v>73500</v>
      </c>
      <c r="L139" s="114">
        <f aca="true" t="shared" si="236" ref="L139:Q139">SUM(L140:L145)</f>
        <v>0</v>
      </c>
      <c r="M139" s="114">
        <f t="shared" si="236"/>
        <v>0</v>
      </c>
      <c r="N139" s="114">
        <f t="shared" si="236"/>
        <v>73500</v>
      </c>
      <c r="O139" s="114">
        <f t="shared" si="236"/>
        <v>0</v>
      </c>
      <c r="P139" s="114">
        <f t="shared" si="236"/>
        <v>0</v>
      </c>
      <c r="Q139" s="114">
        <f t="shared" si="236"/>
        <v>73500</v>
      </c>
      <c r="R139" s="114">
        <f aca="true" t="shared" si="237" ref="R139:W139">SUM(R140:R145)</f>
        <v>1400</v>
      </c>
      <c r="S139" s="114">
        <f t="shared" si="237"/>
        <v>1400</v>
      </c>
      <c r="T139" s="114">
        <f t="shared" si="237"/>
        <v>73500</v>
      </c>
      <c r="U139" s="114">
        <f t="shared" si="237"/>
        <v>0</v>
      </c>
      <c r="V139" s="114">
        <f t="shared" si="237"/>
        <v>0</v>
      </c>
      <c r="W139" s="114">
        <f t="shared" si="237"/>
        <v>73500</v>
      </c>
      <c r="X139" s="114">
        <f aca="true" t="shared" si="238" ref="X139:AC139">SUM(X140:X145)</f>
        <v>0</v>
      </c>
      <c r="Y139" s="114">
        <f t="shared" si="238"/>
        <v>0</v>
      </c>
      <c r="Z139" s="114">
        <f t="shared" si="238"/>
        <v>73500</v>
      </c>
      <c r="AA139" s="114">
        <f t="shared" si="238"/>
        <v>0</v>
      </c>
      <c r="AB139" s="114">
        <f t="shared" si="238"/>
        <v>0</v>
      </c>
      <c r="AC139" s="114">
        <f t="shared" si="238"/>
        <v>73500</v>
      </c>
      <c r="AD139" s="114">
        <f aca="true" t="shared" si="239" ref="AD139:AI139">SUM(AD140:AD145)</f>
        <v>0</v>
      </c>
      <c r="AE139" s="114">
        <f t="shared" si="239"/>
        <v>0</v>
      </c>
      <c r="AF139" s="114">
        <f t="shared" si="239"/>
        <v>73500</v>
      </c>
      <c r="AG139" s="114">
        <f t="shared" si="239"/>
        <v>0</v>
      </c>
      <c r="AH139" s="114">
        <f t="shared" si="239"/>
        <v>0</v>
      </c>
      <c r="AI139" s="114">
        <f t="shared" si="239"/>
        <v>73500</v>
      </c>
      <c r="AJ139" s="114">
        <f aca="true" t="shared" si="240" ref="AJ139:AO139">SUM(AJ140:AJ145)</f>
        <v>0</v>
      </c>
      <c r="AK139" s="114">
        <f t="shared" si="240"/>
        <v>0</v>
      </c>
      <c r="AL139" s="114">
        <f t="shared" si="240"/>
        <v>73500</v>
      </c>
      <c r="AM139" s="114">
        <f t="shared" si="240"/>
        <v>0</v>
      </c>
      <c r="AN139" s="114">
        <f t="shared" si="240"/>
        <v>0</v>
      </c>
      <c r="AO139" s="114">
        <f t="shared" si="240"/>
        <v>73500</v>
      </c>
      <c r="AP139" s="114">
        <f aca="true" t="shared" si="241" ref="AP139:AU139">SUM(AP140:AP145)</f>
        <v>0</v>
      </c>
      <c r="AQ139" s="114">
        <f t="shared" si="241"/>
        <v>0</v>
      </c>
      <c r="AR139" s="114">
        <f t="shared" si="241"/>
        <v>73500</v>
      </c>
      <c r="AS139" s="114">
        <f t="shared" si="241"/>
        <v>15500</v>
      </c>
      <c r="AT139" s="114">
        <f t="shared" si="241"/>
        <v>8000</v>
      </c>
      <c r="AU139" s="114">
        <f t="shared" si="241"/>
        <v>81000</v>
      </c>
      <c r="AV139" s="339"/>
    </row>
    <row r="140" spans="1:48" s="37" customFormat="1" ht="21.75" customHeight="1">
      <c r="A140" s="120"/>
      <c r="B140" s="116"/>
      <c r="C140" s="101">
        <v>4100</v>
      </c>
      <c r="D140" s="56" t="s">
        <v>114</v>
      </c>
      <c r="E140" s="114">
        <v>35000</v>
      </c>
      <c r="F140" s="119"/>
      <c r="G140" s="119"/>
      <c r="H140" s="126">
        <f aca="true" t="shared" si="242" ref="H140:H145">SUM(E140+F140-G140)</f>
        <v>35000</v>
      </c>
      <c r="I140" s="119"/>
      <c r="J140" s="119"/>
      <c r="K140" s="126">
        <f aca="true" t="shared" si="243" ref="K140:K145">SUM(H140+I140-J140)</f>
        <v>35000</v>
      </c>
      <c r="L140" s="119"/>
      <c r="M140" s="119"/>
      <c r="N140" s="126">
        <f aca="true" t="shared" si="244" ref="N140:N145">SUM(K140+L140-M140)</f>
        <v>35000</v>
      </c>
      <c r="O140" s="119"/>
      <c r="P140" s="119"/>
      <c r="Q140" s="126">
        <f aca="true" t="shared" si="245" ref="Q140:Q145">SUM(N140+O140-P140)</f>
        <v>35000</v>
      </c>
      <c r="R140" s="119"/>
      <c r="S140" s="119">
        <v>1400</v>
      </c>
      <c r="T140" s="126">
        <f aca="true" t="shared" si="246" ref="T140:T145">SUM(Q140+R140-S140)</f>
        <v>33600</v>
      </c>
      <c r="U140" s="119"/>
      <c r="V140" s="119"/>
      <c r="W140" s="126">
        <f aca="true" t="shared" si="247" ref="W140:W145">SUM(T140+U140-V140)</f>
        <v>33600</v>
      </c>
      <c r="X140" s="119"/>
      <c r="Y140" s="119"/>
      <c r="Z140" s="126">
        <f aca="true" t="shared" si="248" ref="Z140:Z145">SUM(W140+X140-Y140)</f>
        <v>33600</v>
      </c>
      <c r="AA140" s="119"/>
      <c r="AB140" s="119"/>
      <c r="AC140" s="126">
        <f aca="true" t="shared" si="249" ref="AC140:AC145">SUM(Z140+AA140-AB140)</f>
        <v>33600</v>
      </c>
      <c r="AD140" s="119"/>
      <c r="AE140" s="119"/>
      <c r="AF140" s="126">
        <f aca="true" t="shared" si="250" ref="AF140:AF145">SUM(AC140+AD140-AE140)</f>
        <v>33600</v>
      </c>
      <c r="AG140" s="119"/>
      <c r="AH140" s="119"/>
      <c r="AI140" s="126">
        <f aca="true" t="shared" si="251" ref="AI140:AI145">SUM(AF140+AG140-AH140)</f>
        <v>33600</v>
      </c>
      <c r="AJ140" s="119"/>
      <c r="AK140" s="119"/>
      <c r="AL140" s="126">
        <f aca="true" t="shared" si="252" ref="AL140:AL145">SUM(AI140+AJ140-AK140)</f>
        <v>33600</v>
      </c>
      <c r="AM140" s="119"/>
      <c r="AN140" s="119"/>
      <c r="AO140" s="126">
        <f aca="true" t="shared" si="253" ref="AO140:AO145">SUM(AL140+AM140-AN140)</f>
        <v>33600</v>
      </c>
      <c r="AP140" s="119"/>
      <c r="AQ140" s="119"/>
      <c r="AR140" s="126">
        <f aca="true" t="shared" si="254" ref="AR140:AR145">SUM(AO140+AP140-AQ140)</f>
        <v>33600</v>
      </c>
      <c r="AS140" s="119">
        <v>5500</v>
      </c>
      <c r="AT140" s="119"/>
      <c r="AU140" s="126">
        <f aca="true" t="shared" si="255" ref="AU140:AU145">SUM(AR140+AS140-AT140)</f>
        <v>39100</v>
      </c>
      <c r="AV140" s="337">
        <f>SUM(AU140)</f>
        <v>39100</v>
      </c>
    </row>
    <row r="141" spans="1:48" s="37" customFormat="1" ht="21" customHeight="1">
      <c r="A141" s="120"/>
      <c r="B141" s="116"/>
      <c r="C141" s="101">
        <v>4170</v>
      </c>
      <c r="D141" s="56" t="s">
        <v>252</v>
      </c>
      <c r="E141" s="114">
        <v>8000</v>
      </c>
      <c r="F141" s="119"/>
      <c r="G141" s="119"/>
      <c r="H141" s="126">
        <f t="shared" si="242"/>
        <v>8000</v>
      </c>
      <c r="I141" s="119"/>
      <c r="J141" s="119"/>
      <c r="K141" s="126">
        <f t="shared" si="243"/>
        <v>8000</v>
      </c>
      <c r="L141" s="119"/>
      <c r="M141" s="119"/>
      <c r="N141" s="126">
        <f t="shared" si="244"/>
        <v>8000</v>
      </c>
      <c r="O141" s="119"/>
      <c r="P141" s="119"/>
      <c r="Q141" s="126">
        <f t="shared" si="245"/>
        <v>8000</v>
      </c>
      <c r="R141" s="119">
        <v>1400</v>
      </c>
      <c r="S141" s="119"/>
      <c r="T141" s="126">
        <f t="shared" si="246"/>
        <v>9400</v>
      </c>
      <c r="U141" s="119"/>
      <c r="V141" s="119"/>
      <c r="W141" s="126">
        <f t="shared" si="247"/>
        <v>9400</v>
      </c>
      <c r="X141" s="119"/>
      <c r="Y141" s="119"/>
      <c r="Z141" s="126">
        <f t="shared" si="248"/>
        <v>9400</v>
      </c>
      <c r="AA141" s="119"/>
      <c r="AB141" s="119"/>
      <c r="AC141" s="126">
        <f t="shared" si="249"/>
        <v>9400</v>
      </c>
      <c r="AD141" s="119"/>
      <c r="AE141" s="119"/>
      <c r="AF141" s="126">
        <f t="shared" si="250"/>
        <v>9400</v>
      </c>
      <c r="AG141" s="119"/>
      <c r="AH141" s="119"/>
      <c r="AI141" s="126">
        <f t="shared" si="251"/>
        <v>9400</v>
      </c>
      <c r="AJ141" s="119"/>
      <c r="AK141" s="119"/>
      <c r="AL141" s="126">
        <f t="shared" si="252"/>
        <v>9400</v>
      </c>
      <c r="AM141" s="119"/>
      <c r="AN141" s="119"/>
      <c r="AO141" s="126">
        <f t="shared" si="253"/>
        <v>9400</v>
      </c>
      <c r="AP141" s="119"/>
      <c r="AQ141" s="119"/>
      <c r="AR141" s="126">
        <f t="shared" si="254"/>
        <v>9400</v>
      </c>
      <c r="AS141" s="119">
        <v>4000</v>
      </c>
      <c r="AT141" s="119"/>
      <c r="AU141" s="126">
        <f t="shared" si="255"/>
        <v>13400</v>
      </c>
      <c r="AV141" s="337">
        <f>SUM(AU141)</f>
        <v>13400</v>
      </c>
    </row>
    <row r="142" spans="1:48" s="37" customFormat="1" ht="21" customHeight="1">
      <c r="A142" s="120"/>
      <c r="B142" s="116"/>
      <c r="C142" s="101">
        <v>4210</v>
      </c>
      <c r="D142" s="56" t="s">
        <v>89</v>
      </c>
      <c r="E142" s="114">
        <v>6000</v>
      </c>
      <c r="F142" s="119"/>
      <c r="G142" s="119"/>
      <c r="H142" s="126">
        <f t="shared" si="242"/>
        <v>6000</v>
      </c>
      <c r="I142" s="119"/>
      <c r="J142" s="119"/>
      <c r="K142" s="126">
        <f t="shared" si="243"/>
        <v>6000</v>
      </c>
      <c r="L142" s="119"/>
      <c r="M142" s="119"/>
      <c r="N142" s="126">
        <f t="shared" si="244"/>
        <v>6000</v>
      </c>
      <c r="O142" s="119"/>
      <c r="P142" s="119"/>
      <c r="Q142" s="126">
        <f t="shared" si="245"/>
        <v>6000</v>
      </c>
      <c r="R142" s="119"/>
      <c r="S142" s="119"/>
      <c r="T142" s="126">
        <f t="shared" si="246"/>
        <v>6000</v>
      </c>
      <c r="U142" s="119"/>
      <c r="V142" s="119"/>
      <c r="W142" s="126">
        <f t="shared" si="247"/>
        <v>6000</v>
      </c>
      <c r="X142" s="119"/>
      <c r="Y142" s="119"/>
      <c r="Z142" s="126">
        <f t="shared" si="248"/>
        <v>6000</v>
      </c>
      <c r="AA142" s="119"/>
      <c r="AB142" s="119"/>
      <c r="AC142" s="126">
        <f t="shared" si="249"/>
        <v>6000</v>
      </c>
      <c r="AD142" s="119"/>
      <c r="AE142" s="119"/>
      <c r="AF142" s="126">
        <f t="shared" si="250"/>
        <v>6000</v>
      </c>
      <c r="AG142" s="119"/>
      <c r="AH142" s="119"/>
      <c r="AI142" s="126">
        <f t="shared" si="251"/>
        <v>6000</v>
      </c>
      <c r="AJ142" s="119"/>
      <c r="AK142" s="119"/>
      <c r="AL142" s="126">
        <f t="shared" si="252"/>
        <v>6000</v>
      </c>
      <c r="AM142" s="119"/>
      <c r="AN142" s="119"/>
      <c r="AO142" s="126">
        <f t="shared" si="253"/>
        <v>6000</v>
      </c>
      <c r="AP142" s="119"/>
      <c r="AQ142" s="119"/>
      <c r="AR142" s="126">
        <f t="shared" si="254"/>
        <v>6000</v>
      </c>
      <c r="AS142" s="119"/>
      <c r="AT142" s="119">
        <v>2000</v>
      </c>
      <c r="AU142" s="126">
        <f t="shared" si="255"/>
        <v>4000</v>
      </c>
      <c r="AV142" s="337"/>
    </row>
    <row r="143" spans="1:48" s="37" customFormat="1" ht="21" customHeight="1">
      <c r="A143" s="120"/>
      <c r="B143" s="116"/>
      <c r="C143" s="101">
        <v>4300</v>
      </c>
      <c r="D143" s="56" t="s">
        <v>96</v>
      </c>
      <c r="E143" s="114">
        <v>18000</v>
      </c>
      <c r="F143" s="119"/>
      <c r="G143" s="119"/>
      <c r="H143" s="126">
        <f t="shared" si="242"/>
        <v>18000</v>
      </c>
      <c r="I143" s="119"/>
      <c r="J143" s="119"/>
      <c r="K143" s="126">
        <f t="shared" si="243"/>
        <v>18000</v>
      </c>
      <c r="L143" s="119"/>
      <c r="M143" s="119"/>
      <c r="N143" s="126">
        <f t="shared" si="244"/>
        <v>18000</v>
      </c>
      <c r="O143" s="119"/>
      <c r="P143" s="119"/>
      <c r="Q143" s="126">
        <f t="shared" si="245"/>
        <v>18000</v>
      </c>
      <c r="R143" s="119"/>
      <c r="S143" s="119"/>
      <c r="T143" s="126">
        <f t="shared" si="246"/>
        <v>18000</v>
      </c>
      <c r="U143" s="119"/>
      <c r="V143" s="119"/>
      <c r="W143" s="126">
        <f t="shared" si="247"/>
        <v>18000</v>
      </c>
      <c r="X143" s="119"/>
      <c r="Y143" s="119"/>
      <c r="Z143" s="126">
        <f t="shared" si="248"/>
        <v>18000</v>
      </c>
      <c r="AA143" s="119"/>
      <c r="AB143" s="119"/>
      <c r="AC143" s="126">
        <f t="shared" si="249"/>
        <v>18000</v>
      </c>
      <c r="AD143" s="119"/>
      <c r="AE143" s="119"/>
      <c r="AF143" s="126">
        <f t="shared" si="250"/>
        <v>18000</v>
      </c>
      <c r="AG143" s="119"/>
      <c r="AH143" s="119"/>
      <c r="AI143" s="126">
        <f t="shared" si="251"/>
        <v>18000</v>
      </c>
      <c r="AJ143" s="119"/>
      <c r="AK143" s="119"/>
      <c r="AL143" s="126">
        <f t="shared" si="252"/>
        <v>18000</v>
      </c>
      <c r="AM143" s="119"/>
      <c r="AN143" s="119"/>
      <c r="AO143" s="126">
        <f t="shared" si="253"/>
        <v>18000</v>
      </c>
      <c r="AP143" s="119"/>
      <c r="AQ143" s="119"/>
      <c r="AR143" s="126">
        <f t="shared" si="254"/>
        <v>18000</v>
      </c>
      <c r="AS143" s="119"/>
      <c r="AT143" s="119">
        <v>6000</v>
      </c>
      <c r="AU143" s="126">
        <f t="shared" si="255"/>
        <v>12000</v>
      </c>
      <c r="AV143" s="337"/>
    </row>
    <row r="144" spans="1:48" s="37" customFormat="1" ht="24">
      <c r="A144" s="120"/>
      <c r="B144" s="116"/>
      <c r="C144" s="101">
        <v>4610</v>
      </c>
      <c r="D144" s="56" t="s">
        <v>451</v>
      </c>
      <c r="E144" s="114">
        <v>6000</v>
      </c>
      <c r="F144" s="119"/>
      <c r="G144" s="119"/>
      <c r="H144" s="126">
        <f t="shared" si="242"/>
        <v>6000</v>
      </c>
      <c r="I144" s="119"/>
      <c r="J144" s="119"/>
      <c r="K144" s="126">
        <f t="shared" si="243"/>
        <v>6000</v>
      </c>
      <c r="L144" s="119"/>
      <c r="M144" s="119"/>
      <c r="N144" s="126">
        <f t="shared" si="244"/>
        <v>6000</v>
      </c>
      <c r="O144" s="119"/>
      <c r="P144" s="119"/>
      <c r="Q144" s="126">
        <f t="shared" si="245"/>
        <v>6000</v>
      </c>
      <c r="R144" s="119"/>
      <c r="S144" s="119"/>
      <c r="T144" s="126">
        <f t="shared" si="246"/>
        <v>6000</v>
      </c>
      <c r="U144" s="119"/>
      <c r="V144" s="119"/>
      <c r="W144" s="126">
        <f t="shared" si="247"/>
        <v>6000</v>
      </c>
      <c r="X144" s="119"/>
      <c r="Y144" s="119"/>
      <c r="Z144" s="126">
        <f t="shared" si="248"/>
        <v>6000</v>
      </c>
      <c r="AA144" s="119"/>
      <c r="AB144" s="119"/>
      <c r="AC144" s="126">
        <f t="shared" si="249"/>
        <v>6000</v>
      </c>
      <c r="AD144" s="119"/>
      <c r="AE144" s="119"/>
      <c r="AF144" s="126">
        <f t="shared" si="250"/>
        <v>6000</v>
      </c>
      <c r="AG144" s="119"/>
      <c r="AH144" s="119"/>
      <c r="AI144" s="126">
        <f t="shared" si="251"/>
        <v>6000</v>
      </c>
      <c r="AJ144" s="119"/>
      <c r="AK144" s="119"/>
      <c r="AL144" s="126">
        <f t="shared" si="252"/>
        <v>6000</v>
      </c>
      <c r="AM144" s="119"/>
      <c r="AN144" s="119"/>
      <c r="AO144" s="126">
        <f t="shared" si="253"/>
        <v>6000</v>
      </c>
      <c r="AP144" s="119"/>
      <c r="AQ144" s="119"/>
      <c r="AR144" s="126">
        <f t="shared" si="254"/>
        <v>6000</v>
      </c>
      <c r="AS144" s="119">
        <v>6000</v>
      </c>
      <c r="AT144" s="119"/>
      <c r="AU144" s="126">
        <f t="shared" si="255"/>
        <v>12000</v>
      </c>
      <c r="AV144" s="337"/>
    </row>
    <row r="145" spans="1:48" s="37" customFormat="1" ht="21" customHeight="1">
      <c r="A145" s="120"/>
      <c r="B145" s="116"/>
      <c r="C145" s="101">
        <v>4430</v>
      </c>
      <c r="D145" s="56" t="s">
        <v>111</v>
      </c>
      <c r="E145" s="114">
        <v>500</v>
      </c>
      <c r="F145" s="119"/>
      <c r="G145" s="119"/>
      <c r="H145" s="126">
        <f t="shared" si="242"/>
        <v>500</v>
      </c>
      <c r="I145" s="119"/>
      <c r="J145" s="119"/>
      <c r="K145" s="126">
        <f t="shared" si="243"/>
        <v>500</v>
      </c>
      <c r="L145" s="119"/>
      <c r="M145" s="119"/>
      <c r="N145" s="126">
        <f t="shared" si="244"/>
        <v>500</v>
      </c>
      <c r="O145" s="119"/>
      <c r="P145" s="119"/>
      <c r="Q145" s="126">
        <f t="shared" si="245"/>
        <v>500</v>
      </c>
      <c r="R145" s="119"/>
      <c r="S145" s="119"/>
      <c r="T145" s="126">
        <f t="shared" si="246"/>
        <v>500</v>
      </c>
      <c r="U145" s="119"/>
      <c r="V145" s="119"/>
      <c r="W145" s="126">
        <f t="shared" si="247"/>
        <v>500</v>
      </c>
      <c r="X145" s="119"/>
      <c r="Y145" s="119"/>
      <c r="Z145" s="126">
        <f t="shared" si="248"/>
        <v>500</v>
      </c>
      <c r="AA145" s="119"/>
      <c r="AB145" s="119"/>
      <c r="AC145" s="126">
        <f t="shared" si="249"/>
        <v>500</v>
      </c>
      <c r="AD145" s="119"/>
      <c r="AE145" s="119"/>
      <c r="AF145" s="126">
        <f t="shared" si="250"/>
        <v>500</v>
      </c>
      <c r="AG145" s="119"/>
      <c r="AH145" s="119"/>
      <c r="AI145" s="126">
        <f t="shared" si="251"/>
        <v>500</v>
      </c>
      <c r="AJ145" s="119"/>
      <c r="AK145" s="119"/>
      <c r="AL145" s="126">
        <f t="shared" si="252"/>
        <v>500</v>
      </c>
      <c r="AM145" s="119"/>
      <c r="AN145" s="119"/>
      <c r="AO145" s="126">
        <f t="shared" si="253"/>
        <v>500</v>
      </c>
      <c r="AP145" s="119"/>
      <c r="AQ145" s="119"/>
      <c r="AR145" s="126">
        <f t="shared" si="254"/>
        <v>500</v>
      </c>
      <c r="AS145" s="119"/>
      <c r="AT145" s="119"/>
      <c r="AU145" s="126">
        <f t="shared" si="255"/>
        <v>500</v>
      </c>
      <c r="AV145" s="337"/>
    </row>
    <row r="146" spans="1:48" s="8" customFormat="1" ht="20.25" customHeight="1">
      <c r="A146" s="51" t="s">
        <v>120</v>
      </c>
      <c r="B146" s="52"/>
      <c r="C146" s="53"/>
      <c r="D146" s="54" t="s">
        <v>121</v>
      </c>
      <c r="E146" s="55">
        <f aca="true" t="shared" si="256" ref="E146:AU146">SUM(E147)</f>
        <v>680614</v>
      </c>
      <c r="F146" s="55">
        <f t="shared" si="256"/>
        <v>0</v>
      </c>
      <c r="G146" s="55">
        <f t="shared" si="256"/>
        <v>0</v>
      </c>
      <c r="H146" s="55">
        <f t="shared" si="256"/>
        <v>680614</v>
      </c>
      <c r="I146" s="55">
        <f t="shared" si="256"/>
        <v>0</v>
      </c>
      <c r="J146" s="55">
        <f t="shared" si="256"/>
        <v>0</v>
      </c>
      <c r="K146" s="55">
        <f t="shared" si="256"/>
        <v>680614</v>
      </c>
      <c r="L146" s="55">
        <f t="shared" si="256"/>
        <v>0</v>
      </c>
      <c r="M146" s="55">
        <f t="shared" si="256"/>
        <v>0</v>
      </c>
      <c r="N146" s="55">
        <f t="shared" si="256"/>
        <v>680614</v>
      </c>
      <c r="O146" s="55">
        <f t="shared" si="256"/>
        <v>0</v>
      </c>
      <c r="P146" s="55">
        <f t="shared" si="256"/>
        <v>0</v>
      </c>
      <c r="Q146" s="55">
        <f t="shared" si="256"/>
        <v>680614</v>
      </c>
      <c r="R146" s="55">
        <f t="shared" si="256"/>
        <v>0</v>
      </c>
      <c r="S146" s="55">
        <f t="shared" si="256"/>
        <v>0</v>
      </c>
      <c r="T146" s="55">
        <f t="shared" si="256"/>
        <v>680614</v>
      </c>
      <c r="U146" s="55">
        <f t="shared" si="256"/>
        <v>0</v>
      </c>
      <c r="V146" s="55">
        <f t="shared" si="256"/>
        <v>0</v>
      </c>
      <c r="W146" s="55">
        <f t="shared" si="256"/>
        <v>680614</v>
      </c>
      <c r="X146" s="55">
        <f t="shared" si="256"/>
        <v>0</v>
      </c>
      <c r="Y146" s="55">
        <f t="shared" si="256"/>
        <v>0</v>
      </c>
      <c r="Z146" s="55">
        <f t="shared" si="256"/>
        <v>680614</v>
      </c>
      <c r="AA146" s="55">
        <f t="shared" si="256"/>
        <v>0</v>
      </c>
      <c r="AB146" s="55">
        <f t="shared" si="256"/>
        <v>0</v>
      </c>
      <c r="AC146" s="55">
        <f t="shared" si="256"/>
        <v>680614</v>
      </c>
      <c r="AD146" s="55">
        <f t="shared" si="256"/>
        <v>0</v>
      </c>
      <c r="AE146" s="55">
        <f t="shared" si="256"/>
        <v>0</v>
      </c>
      <c r="AF146" s="55">
        <f t="shared" si="256"/>
        <v>680614</v>
      </c>
      <c r="AG146" s="55">
        <f t="shared" si="256"/>
        <v>0</v>
      </c>
      <c r="AH146" s="55">
        <f t="shared" si="256"/>
        <v>0</v>
      </c>
      <c r="AI146" s="55">
        <f t="shared" si="256"/>
        <v>680614</v>
      </c>
      <c r="AJ146" s="55">
        <f t="shared" si="256"/>
        <v>0</v>
      </c>
      <c r="AK146" s="55">
        <f t="shared" si="256"/>
        <v>0</v>
      </c>
      <c r="AL146" s="55">
        <f t="shared" si="256"/>
        <v>680614</v>
      </c>
      <c r="AM146" s="55">
        <f t="shared" si="256"/>
        <v>0</v>
      </c>
      <c r="AN146" s="55">
        <f t="shared" si="256"/>
        <v>0</v>
      </c>
      <c r="AO146" s="55">
        <f t="shared" si="256"/>
        <v>680614</v>
      </c>
      <c r="AP146" s="55">
        <f t="shared" si="256"/>
        <v>0</v>
      </c>
      <c r="AQ146" s="55">
        <f t="shared" si="256"/>
        <v>0</v>
      </c>
      <c r="AR146" s="55">
        <f t="shared" si="256"/>
        <v>680614</v>
      </c>
      <c r="AS146" s="55">
        <f t="shared" si="256"/>
        <v>22000</v>
      </c>
      <c r="AT146" s="55">
        <f t="shared" si="256"/>
        <v>22000</v>
      </c>
      <c r="AU146" s="55">
        <f t="shared" si="256"/>
        <v>680614</v>
      </c>
      <c r="AV146" s="338"/>
    </row>
    <row r="147" spans="1:48" s="37" customFormat="1" ht="36">
      <c r="A147" s="98"/>
      <c r="B147" s="116" t="s">
        <v>122</v>
      </c>
      <c r="C147" s="120"/>
      <c r="D147" s="56" t="s">
        <v>123</v>
      </c>
      <c r="E147" s="114">
        <f aca="true" t="shared" si="257" ref="E147:K147">SUM(E148:E149)</f>
        <v>680614</v>
      </c>
      <c r="F147" s="114">
        <f t="shared" si="257"/>
        <v>0</v>
      </c>
      <c r="G147" s="114">
        <f t="shared" si="257"/>
        <v>0</v>
      </c>
      <c r="H147" s="114">
        <f t="shared" si="257"/>
        <v>680614</v>
      </c>
      <c r="I147" s="114">
        <f t="shared" si="257"/>
        <v>0</v>
      </c>
      <c r="J147" s="114">
        <f t="shared" si="257"/>
        <v>0</v>
      </c>
      <c r="K147" s="114">
        <f t="shared" si="257"/>
        <v>680614</v>
      </c>
      <c r="L147" s="114">
        <f aca="true" t="shared" si="258" ref="L147:Q147">SUM(L148:L149)</f>
        <v>0</v>
      </c>
      <c r="M147" s="114">
        <f t="shared" si="258"/>
        <v>0</v>
      </c>
      <c r="N147" s="114">
        <f t="shared" si="258"/>
        <v>680614</v>
      </c>
      <c r="O147" s="114">
        <f t="shared" si="258"/>
        <v>0</v>
      </c>
      <c r="P147" s="114">
        <f t="shared" si="258"/>
        <v>0</v>
      </c>
      <c r="Q147" s="114">
        <f t="shared" si="258"/>
        <v>680614</v>
      </c>
      <c r="R147" s="114">
        <f aca="true" t="shared" si="259" ref="R147:W147">SUM(R148:R149)</f>
        <v>0</v>
      </c>
      <c r="S147" s="114">
        <f t="shared" si="259"/>
        <v>0</v>
      </c>
      <c r="T147" s="114">
        <f t="shared" si="259"/>
        <v>680614</v>
      </c>
      <c r="U147" s="114">
        <f t="shared" si="259"/>
        <v>0</v>
      </c>
      <c r="V147" s="114">
        <f t="shared" si="259"/>
        <v>0</v>
      </c>
      <c r="W147" s="114">
        <f t="shared" si="259"/>
        <v>680614</v>
      </c>
      <c r="X147" s="114">
        <f aca="true" t="shared" si="260" ref="X147:AC147">SUM(X148:X149)</f>
        <v>0</v>
      </c>
      <c r="Y147" s="114">
        <f t="shared" si="260"/>
        <v>0</v>
      </c>
      <c r="Z147" s="114">
        <f t="shared" si="260"/>
        <v>680614</v>
      </c>
      <c r="AA147" s="114">
        <f t="shared" si="260"/>
        <v>0</v>
      </c>
      <c r="AB147" s="114">
        <f t="shared" si="260"/>
        <v>0</v>
      </c>
      <c r="AC147" s="114">
        <f t="shared" si="260"/>
        <v>680614</v>
      </c>
      <c r="AD147" s="114">
        <f aca="true" t="shared" si="261" ref="AD147:AI147">SUM(AD148:AD149)</f>
        <v>0</v>
      </c>
      <c r="AE147" s="114">
        <f t="shared" si="261"/>
        <v>0</v>
      </c>
      <c r="AF147" s="114">
        <f t="shared" si="261"/>
        <v>680614</v>
      </c>
      <c r="AG147" s="114">
        <f t="shared" si="261"/>
        <v>0</v>
      </c>
      <c r="AH147" s="114">
        <f t="shared" si="261"/>
        <v>0</v>
      </c>
      <c r="AI147" s="114">
        <f t="shared" si="261"/>
        <v>680614</v>
      </c>
      <c r="AJ147" s="114">
        <f aca="true" t="shared" si="262" ref="AJ147:AO147">SUM(AJ148:AJ149)</f>
        <v>0</v>
      </c>
      <c r="AK147" s="114">
        <f t="shared" si="262"/>
        <v>0</v>
      </c>
      <c r="AL147" s="114">
        <f t="shared" si="262"/>
        <v>680614</v>
      </c>
      <c r="AM147" s="114">
        <f t="shared" si="262"/>
        <v>0</v>
      </c>
      <c r="AN147" s="114">
        <f t="shared" si="262"/>
        <v>0</v>
      </c>
      <c r="AO147" s="114">
        <f t="shared" si="262"/>
        <v>680614</v>
      </c>
      <c r="AP147" s="114">
        <f aca="true" t="shared" si="263" ref="AP147:AU147">SUM(AP148:AP149)</f>
        <v>0</v>
      </c>
      <c r="AQ147" s="114">
        <f t="shared" si="263"/>
        <v>0</v>
      </c>
      <c r="AR147" s="114">
        <f t="shared" si="263"/>
        <v>680614</v>
      </c>
      <c r="AS147" s="114">
        <f t="shared" si="263"/>
        <v>22000</v>
      </c>
      <c r="AT147" s="114">
        <f t="shared" si="263"/>
        <v>22000</v>
      </c>
      <c r="AU147" s="114">
        <f t="shared" si="263"/>
        <v>680614</v>
      </c>
      <c r="AV147" s="339"/>
    </row>
    <row r="148" spans="1:48" s="37" customFormat="1" ht="45" customHeight="1">
      <c r="A148" s="98"/>
      <c r="B148" s="121"/>
      <c r="C148" s="120">
        <v>8070</v>
      </c>
      <c r="D148" s="56" t="s">
        <v>452</v>
      </c>
      <c r="E148" s="114">
        <v>658614</v>
      </c>
      <c r="F148" s="128"/>
      <c r="G148" s="128"/>
      <c r="H148" s="126">
        <f>SUM(E148+F148-G148)</f>
        <v>658614</v>
      </c>
      <c r="I148" s="128"/>
      <c r="J148" s="128"/>
      <c r="K148" s="126">
        <f>SUM(H148+I148-J148)</f>
        <v>658614</v>
      </c>
      <c r="L148" s="128"/>
      <c r="M148" s="128"/>
      <c r="N148" s="126">
        <f>SUM(K148+L148-M148)</f>
        <v>658614</v>
      </c>
      <c r="O148" s="128"/>
      <c r="P148" s="128"/>
      <c r="Q148" s="126">
        <f>SUM(N148+O148-P148)</f>
        <v>658614</v>
      </c>
      <c r="R148" s="128"/>
      <c r="S148" s="128"/>
      <c r="T148" s="126">
        <f>SUM(Q148+R148-S148)</f>
        <v>658614</v>
      </c>
      <c r="U148" s="128"/>
      <c r="V148" s="128"/>
      <c r="W148" s="126">
        <f>SUM(T148+U148-V148)</f>
        <v>658614</v>
      </c>
      <c r="X148" s="128"/>
      <c r="Y148" s="128"/>
      <c r="Z148" s="126">
        <f>SUM(W148+X148-Y148)</f>
        <v>658614</v>
      </c>
      <c r="AA148" s="128"/>
      <c r="AB148" s="128"/>
      <c r="AC148" s="126">
        <f>SUM(Z148+AA148-AB148)</f>
        <v>658614</v>
      </c>
      <c r="AD148" s="128"/>
      <c r="AE148" s="128"/>
      <c r="AF148" s="126">
        <f>SUM(AC148+AD148-AE148)</f>
        <v>658614</v>
      </c>
      <c r="AG148" s="128"/>
      <c r="AH148" s="128"/>
      <c r="AI148" s="126">
        <f>SUM(AF148+AG148-AH148)</f>
        <v>658614</v>
      </c>
      <c r="AJ148" s="128"/>
      <c r="AK148" s="128"/>
      <c r="AL148" s="126">
        <f>SUM(AI148+AJ148-AK148)</f>
        <v>658614</v>
      </c>
      <c r="AM148" s="119"/>
      <c r="AN148" s="128"/>
      <c r="AO148" s="126">
        <f>SUM(AL148+AM148-AN148)</f>
        <v>658614</v>
      </c>
      <c r="AP148" s="119"/>
      <c r="AQ148" s="128"/>
      <c r="AR148" s="126">
        <f>SUM(AO148+AP148-AQ148)</f>
        <v>658614</v>
      </c>
      <c r="AS148" s="119">
        <v>22000</v>
      </c>
      <c r="AT148" s="128"/>
      <c r="AU148" s="126">
        <f>SUM(AR148+AS148-AT148)</f>
        <v>680614</v>
      </c>
      <c r="AV148" s="337"/>
    </row>
    <row r="149" spans="1:48" s="37" customFormat="1" ht="46.5" customHeight="1">
      <c r="A149" s="98"/>
      <c r="B149" s="121"/>
      <c r="C149" s="120">
        <v>8079</v>
      </c>
      <c r="D149" s="56" t="s">
        <v>453</v>
      </c>
      <c r="E149" s="114">
        <v>22000</v>
      </c>
      <c r="F149" s="128"/>
      <c r="G149" s="128"/>
      <c r="H149" s="126">
        <f>SUM(E149+F149-G149)</f>
        <v>22000</v>
      </c>
      <c r="I149" s="128"/>
      <c r="J149" s="128"/>
      <c r="K149" s="126">
        <f>SUM(H149+I149-J149)</f>
        <v>22000</v>
      </c>
      <c r="L149" s="128"/>
      <c r="M149" s="128"/>
      <c r="N149" s="126">
        <f>SUM(K149+L149-M149)</f>
        <v>22000</v>
      </c>
      <c r="O149" s="128"/>
      <c r="P149" s="128"/>
      <c r="Q149" s="126">
        <f>SUM(N149+O149-P149)</f>
        <v>22000</v>
      </c>
      <c r="R149" s="128"/>
      <c r="S149" s="128"/>
      <c r="T149" s="126">
        <f>SUM(Q149+R149-S149)</f>
        <v>22000</v>
      </c>
      <c r="U149" s="128"/>
      <c r="V149" s="128"/>
      <c r="W149" s="126">
        <f>SUM(T149+U149-V149)</f>
        <v>22000</v>
      </c>
      <c r="X149" s="128"/>
      <c r="Y149" s="128"/>
      <c r="Z149" s="126">
        <f>SUM(W149+X149-Y149)</f>
        <v>22000</v>
      </c>
      <c r="AA149" s="128"/>
      <c r="AB149" s="128"/>
      <c r="AC149" s="126">
        <f>SUM(Z149+AA149-AB149)</f>
        <v>22000</v>
      </c>
      <c r="AD149" s="128"/>
      <c r="AE149" s="128"/>
      <c r="AF149" s="126">
        <f>SUM(AC149+AD149-AE149)</f>
        <v>22000</v>
      </c>
      <c r="AG149" s="128"/>
      <c r="AH149" s="128"/>
      <c r="AI149" s="126">
        <f>SUM(AF149+AG149-AH149)</f>
        <v>22000</v>
      </c>
      <c r="AJ149" s="128"/>
      <c r="AK149" s="128"/>
      <c r="AL149" s="126">
        <f>SUM(AI149+AJ149-AK149)</f>
        <v>22000</v>
      </c>
      <c r="AM149" s="128"/>
      <c r="AN149" s="128"/>
      <c r="AO149" s="126">
        <f>SUM(AL149+AM149-AN149)</f>
        <v>22000</v>
      </c>
      <c r="AP149" s="128"/>
      <c r="AQ149" s="128"/>
      <c r="AR149" s="126">
        <f>SUM(AO149+AP149-AQ149)</f>
        <v>22000</v>
      </c>
      <c r="AS149" s="128"/>
      <c r="AT149" s="128">
        <v>22000</v>
      </c>
      <c r="AU149" s="126">
        <f>SUM(AR149+AS149-AT149)</f>
        <v>0</v>
      </c>
      <c r="AV149" s="337"/>
    </row>
    <row r="150" spans="1:48" s="8" customFormat="1" ht="24.75" customHeight="1">
      <c r="A150" s="51" t="s">
        <v>60</v>
      </c>
      <c r="B150" s="52"/>
      <c r="C150" s="53"/>
      <c r="D150" s="54" t="s">
        <v>61</v>
      </c>
      <c r="E150" s="55">
        <f>SUM(E151)</f>
        <v>300000</v>
      </c>
      <c r="F150" s="55">
        <f aca="true" t="shared" si="264" ref="F150:U151">SUM(F151)</f>
        <v>0</v>
      </c>
      <c r="G150" s="55">
        <f t="shared" si="264"/>
        <v>0</v>
      </c>
      <c r="H150" s="55">
        <f t="shared" si="264"/>
        <v>300000</v>
      </c>
      <c r="I150" s="55">
        <f t="shared" si="264"/>
        <v>0</v>
      </c>
      <c r="J150" s="55">
        <f t="shared" si="264"/>
        <v>0</v>
      </c>
      <c r="K150" s="55">
        <f t="shared" si="264"/>
        <v>300000</v>
      </c>
      <c r="L150" s="55">
        <f t="shared" si="264"/>
        <v>0</v>
      </c>
      <c r="M150" s="55">
        <f t="shared" si="264"/>
        <v>0</v>
      </c>
      <c r="N150" s="55">
        <f t="shared" si="264"/>
        <v>300000</v>
      </c>
      <c r="O150" s="55">
        <f t="shared" si="264"/>
        <v>0</v>
      </c>
      <c r="P150" s="55">
        <f t="shared" si="264"/>
        <v>0</v>
      </c>
      <c r="Q150" s="55">
        <f t="shared" si="264"/>
        <v>300000</v>
      </c>
      <c r="R150" s="55">
        <f t="shared" si="264"/>
        <v>0</v>
      </c>
      <c r="S150" s="55">
        <f t="shared" si="264"/>
        <v>40000</v>
      </c>
      <c r="T150" s="55">
        <f t="shared" si="264"/>
        <v>260000</v>
      </c>
      <c r="U150" s="55">
        <f t="shared" si="264"/>
        <v>0</v>
      </c>
      <c r="V150" s="55">
        <f aca="true" t="shared" si="265" ref="U150:AJ151">SUM(V151)</f>
        <v>41330</v>
      </c>
      <c r="W150" s="55">
        <f t="shared" si="265"/>
        <v>218670</v>
      </c>
      <c r="X150" s="55">
        <f t="shared" si="265"/>
        <v>0</v>
      </c>
      <c r="Y150" s="55">
        <f t="shared" si="265"/>
        <v>70000</v>
      </c>
      <c r="Z150" s="55">
        <f t="shared" si="265"/>
        <v>148670</v>
      </c>
      <c r="AA150" s="55">
        <f t="shared" si="265"/>
        <v>0</v>
      </c>
      <c r="AB150" s="55">
        <f t="shared" si="265"/>
        <v>0</v>
      </c>
      <c r="AC150" s="55">
        <f t="shared" si="265"/>
        <v>148670</v>
      </c>
      <c r="AD150" s="55">
        <f t="shared" si="265"/>
        <v>0</v>
      </c>
      <c r="AE150" s="55">
        <f t="shared" si="265"/>
        <v>0</v>
      </c>
      <c r="AF150" s="55">
        <f t="shared" si="265"/>
        <v>148670</v>
      </c>
      <c r="AG150" s="55">
        <f t="shared" si="265"/>
        <v>0</v>
      </c>
      <c r="AH150" s="55">
        <f t="shared" si="265"/>
        <v>0</v>
      </c>
      <c r="AI150" s="55">
        <f t="shared" si="265"/>
        <v>148670</v>
      </c>
      <c r="AJ150" s="55">
        <f t="shared" si="265"/>
        <v>0</v>
      </c>
      <c r="AK150" s="55">
        <f aca="true" t="shared" si="266" ref="AJ150:AU151">SUM(AK151)</f>
        <v>10000</v>
      </c>
      <c r="AL150" s="55">
        <f t="shared" si="266"/>
        <v>138670</v>
      </c>
      <c r="AM150" s="55">
        <f t="shared" si="266"/>
        <v>0</v>
      </c>
      <c r="AN150" s="55">
        <f t="shared" si="266"/>
        <v>76000</v>
      </c>
      <c r="AO150" s="55">
        <f t="shared" si="266"/>
        <v>62670</v>
      </c>
      <c r="AP150" s="55">
        <f t="shared" si="266"/>
        <v>0</v>
      </c>
      <c r="AQ150" s="55">
        <f t="shared" si="266"/>
        <v>0</v>
      </c>
      <c r="AR150" s="55">
        <f t="shared" si="266"/>
        <v>62670</v>
      </c>
      <c r="AS150" s="55">
        <f t="shared" si="266"/>
        <v>0</v>
      </c>
      <c r="AT150" s="55">
        <f t="shared" si="266"/>
        <v>62670</v>
      </c>
      <c r="AU150" s="55">
        <f t="shared" si="266"/>
        <v>0</v>
      </c>
      <c r="AV150" s="338"/>
    </row>
    <row r="151" spans="1:48" s="37" customFormat="1" ht="21.75" customHeight="1">
      <c r="A151" s="98"/>
      <c r="B151" s="116" t="s">
        <v>124</v>
      </c>
      <c r="C151" s="120"/>
      <c r="D151" s="56" t="s">
        <v>125</v>
      </c>
      <c r="E151" s="114">
        <f>SUM(E152)</f>
        <v>300000</v>
      </c>
      <c r="F151" s="114">
        <f t="shared" si="264"/>
        <v>0</v>
      </c>
      <c r="G151" s="114">
        <f t="shared" si="264"/>
        <v>0</v>
      </c>
      <c r="H151" s="114">
        <f t="shared" si="264"/>
        <v>300000</v>
      </c>
      <c r="I151" s="114">
        <f t="shared" si="264"/>
        <v>0</v>
      </c>
      <c r="J151" s="114">
        <f t="shared" si="264"/>
        <v>0</v>
      </c>
      <c r="K151" s="114">
        <f t="shared" si="264"/>
        <v>300000</v>
      </c>
      <c r="L151" s="114">
        <f t="shared" si="264"/>
        <v>0</v>
      </c>
      <c r="M151" s="114">
        <f t="shared" si="264"/>
        <v>0</v>
      </c>
      <c r="N151" s="114">
        <f t="shared" si="264"/>
        <v>300000</v>
      </c>
      <c r="O151" s="114">
        <f t="shared" si="264"/>
        <v>0</v>
      </c>
      <c r="P151" s="114">
        <f t="shared" si="264"/>
        <v>0</v>
      </c>
      <c r="Q151" s="114">
        <f t="shared" si="264"/>
        <v>300000</v>
      </c>
      <c r="R151" s="114">
        <f t="shared" si="264"/>
        <v>0</v>
      </c>
      <c r="S151" s="114">
        <f t="shared" si="264"/>
        <v>40000</v>
      </c>
      <c r="T151" s="114">
        <f t="shared" si="264"/>
        <v>260000</v>
      </c>
      <c r="U151" s="114">
        <f t="shared" si="265"/>
        <v>0</v>
      </c>
      <c r="V151" s="114">
        <f t="shared" si="265"/>
        <v>41330</v>
      </c>
      <c r="W151" s="114">
        <f t="shared" si="265"/>
        <v>218670</v>
      </c>
      <c r="X151" s="114">
        <f t="shared" si="265"/>
        <v>0</v>
      </c>
      <c r="Y151" s="114">
        <f t="shared" si="265"/>
        <v>70000</v>
      </c>
      <c r="Z151" s="114">
        <f t="shared" si="265"/>
        <v>148670</v>
      </c>
      <c r="AA151" s="114">
        <f t="shared" si="265"/>
        <v>0</v>
      </c>
      <c r="AB151" s="114">
        <f t="shared" si="265"/>
        <v>0</v>
      </c>
      <c r="AC151" s="114">
        <f t="shared" si="265"/>
        <v>148670</v>
      </c>
      <c r="AD151" s="114">
        <f t="shared" si="265"/>
        <v>0</v>
      </c>
      <c r="AE151" s="114">
        <f t="shared" si="265"/>
        <v>0</v>
      </c>
      <c r="AF151" s="114">
        <f t="shared" si="265"/>
        <v>148670</v>
      </c>
      <c r="AG151" s="114">
        <f t="shared" si="265"/>
        <v>0</v>
      </c>
      <c r="AH151" s="114">
        <f t="shared" si="265"/>
        <v>0</v>
      </c>
      <c r="AI151" s="114">
        <f t="shared" si="265"/>
        <v>148670</v>
      </c>
      <c r="AJ151" s="114">
        <f t="shared" si="266"/>
        <v>0</v>
      </c>
      <c r="AK151" s="114">
        <f t="shared" si="266"/>
        <v>10000</v>
      </c>
      <c r="AL151" s="114">
        <f t="shared" si="266"/>
        <v>138670</v>
      </c>
      <c r="AM151" s="114">
        <f t="shared" si="266"/>
        <v>0</v>
      </c>
      <c r="AN151" s="114">
        <f t="shared" si="266"/>
        <v>76000</v>
      </c>
      <c r="AO151" s="114">
        <f t="shared" si="266"/>
        <v>62670</v>
      </c>
      <c r="AP151" s="114">
        <f t="shared" si="266"/>
        <v>0</v>
      </c>
      <c r="AQ151" s="114">
        <f t="shared" si="266"/>
        <v>0</v>
      </c>
      <c r="AR151" s="114">
        <f t="shared" si="266"/>
        <v>62670</v>
      </c>
      <c r="AS151" s="114">
        <f t="shared" si="266"/>
        <v>0</v>
      </c>
      <c r="AT151" s="114">
        <f t="shared" si="266"/>
        <v>62670</v>
      </c>
      <c r="AU151" s="114">
        <f t="shared" si="266"/>
        <v>0</v>
      </c>
      <c r="AV151" s="339"/>
    </row>
    <row r="152" spans="1:48" s="37" customFormat="1" ht="21" customHeight="1">
      <c r="A152" s="98"/>
      <c r="B152" s="121"/>
      <c r="C152" s="120">
        <v>4810</v>
      </c>
      <c r="D152" s="56" t="s">
        <v>126</v>
      </c>
      <c r="E152" s="114">
        <v>300000</v>
      </c>
      <c r="F152" s="119"/>
      <c r="G152" s="119"/>
      <c r="H152" s="126">
        <f>SUM(E152+F152-G152)</f>
        <v>300000</v>
      </c>
      <c r="I152" s="119"/>
      <c r="J152" s="119"/>
      <c r="K152" s="126">
        <f>SUM(H152+I152-J152)</f>
        <v>300000</v>
      </c>
      <c r="L152" s="119"/>
      <c r="M152" s="119"/>
      <c r="N152" s="126">
        <f>SUM(K152+L152-M152)</f>
        <v>300000</v>
      </c>
      <c r="O152" s="119"/>
      <c r="P152" s="119"/>
      <c r="Q152" s="126">
        <f>SUM(N152+O152-P152)</f>
        <v>300000</v>
      </c>
      <c r="R152" s="119"/>
      <c r="S152" s="119">
        <v>40000</v>
      </c>
      <c r="T152" s="126">
        <f>SUM(Q152+R152-S152)</f>
        <v>260000</v>
      </c>
      <c r="U152" s="119"/>
      <c r="V152" s="119">
        <f>25232+16098</f>
        <v>41330</v>
      </c>
      <c r="W152" s="126">
        <f>SUM(T152+U152-V152)</f>
        <v>218670</v>
      </c>
      <c r="X152" s="119"/>
      <c r="Y152" s="119">
        <f>40000+30000</f>
        <v>70000</v>
      </c>
      <c r="Z152" s="126">
        <f>SUM(W152+X152-Y152)</f>
        <v>148670</v>
      </c>
      <c r="AA152" s="119"/>
      <c r="AB152" s="119"/>
      <c r="AC152" s="126">
        <f>SUM(Z152+AA152-AB152)</f>
        <v>148670</v>
      </c>
      <c r="AD152" s="119"/>
      <c r="AE152" s="119"/>
      <c r="AF152" s="126">
        <f>SUM(AC152+AD152-AE152)</f>
        <v>148670</v>
      </c>
      <c r="AG152" s="119"/>
      <c r="AH152" s="119"/>
      <c r="AI152" s="126">
        <f>SUM(AF152+AG152-AH152)</f>
        <v>148670</v>
      </c>
      <c r="AJ152" s="119"/>
      <c r="AK152" s="119">
        <f>3000+7000</f>
        <v>10000</v>
      </c>
      <c r="AL152" s="126">
        <f>SUM(AI152+AJ152-AK152)</f>
        <v>138670</v>
      </c>
      <c r="AM152" s="119"/>
      <c r="AN152" s="119">
        <v>76000</v>
      </c>
      <c r="AO152" s="126">
        <f>SUM(AL152+AM152-AN152)</f>
        <v>62670</v>
      </c>
      <c r="AP152" s="119"/>
      <c r="AQ152" s="119"/>
      <c r="AR152" s="126">
        <f>SUM(AO152+AP152-AQ152)</f>
        <v>62670</v>
      </c>
      <c r="AS152" s="119"/>
      <c r="AT152" s="119">
        <v>62670</v>
      </c>
      <c r="AU152" s="126">
        <f>SUM(AR152+AS152-AT152)</f>
        <v>0</v>
      </c>
      <c r="AV152" s="337"/>
    </row>
    <row r="153" spans="1:48" s="9" customFormat="1" ht="24.75" customHeight="1">
      <c r="A153" s="51" t="s">
        <v>127</v>
      </c>
      <c r="B153" s="52"/>
      <c r="C153" s="53"/>
      <c r="D153" s="54" t="s">
        <v>128</v>
      </c>
      <c r="E153" s="55">
        <f aca="true" t="shared" si="267" ref="E153:K153">SUM(E154,E174,E188,E191,E214,E221,E226)</f>
        <v>16819030</v>
      </c>
      <c r="F153" s="55">
        <f t="shared" si="267"/>
        <v>162040</v>
      </c>
      <c r="G153" s="55">
        <f t="shared" si="267"/>
        <v>32040</v>
      </c>
      <c r="H153" s="55">
        <f t="shared" si="267"/>
        <v>16949030</v>
      </c>
      <c r="I153" s="55">
        <f t="shared" si="267"/>
        <v>139303</v>
      </c>
      <c r="J153" s="55">
        <f t="shared" si="267"/>
        <v>102733</v>
      </c>
      <c r="K153" s="55">
        <f t="shared" si="267"/>
        <v>16985600</v>
      </c>
      <c r="L153" s="55">
        <f aca="true" t="shared" si="268" ref="L153:Q153">SUM(L154,L174,L188,L191,L214,L221,L226)</f>
        <v>0</v>
      </c>
      <c r="M153" s="55">
        <f t="shared" si="268"/>
        <v>0</v>
      </c>
      <c r="N153" s="55">
        <f t="shared" si="268"/>
        <v>16985600</v>
      </c>
      <c r="O153" s="55">
        <f t="shared" si="268"/>
        <v>35000</v>
      </c>
      <c r="P153" s="55">
        <f t="shared" si="268"/>
        <v>0</v>
      </c>
      <c r="Q153" s="55">
        <f t="shared" si="268"/>
        <v>17020600</v>
      </c>
      <c r="R153" s="55">
        <f aca="true" t="shared" si="269" ref="R153:W153">SUM(R154,R174,R188,R191,R214,R221,R226)</f>
        <v>40883</v>
      </c>
      <c r="S153" s="55">
        <f t="shared" si="269"/>
        <v>40383</v>
      </c>
      <c r="T153" s="55">
        <f t="shared" si="269"/>
        <v>17021100</v>
      </c>
      <c r="U153" s="55">
        <f t="shared" si="269"/>
        <v>14535</v>
      </c>
      <c r="V153" s="55">
        <f t="shared" si="269"/>
        <v>5000</v>
      </c>
      <c r="W153" s="55">
        <f t="shared" si="269"/>
        <v>17030635</v>
      </c>
      <c r="X153" s="55">
        <f aca="true" t="shared" si="270" ref="X153:AC153">SUM(X154,X174,X188,X191,X214,X221,X226)</f>
        <v>129588</v>
      </c>
      <c r="Y153" s="55">
        <f t="shared" si="270"/>
        <v>42232</v>
      </c>
      <c r="Z153" s="55">
        <f t="shared" si="270"/>
        <v>17117991</v>
      </c>
      <c r="AA153" s="55">
        <f t="shared" si="270"/>
        <v>33310</v>
      </c>
      <c r="AB153" s="55">
        <f t="shared" si="270"/>
        <v>5359</v>
      </c>
      <c r="AC153" s="55">
        <f t="shared" si="270"/>
        <v>17145942</v>
      </c>
      <c r="AD153" s="55">
        <f aca="true" t="shared" si="271" ref="AD153:AI153">SUM(AD154,AD174,AD188,AD191,AD214,AD221,AD226)</f>
        <v>0</v>
      </c>
      <c r="AE153" s="55">
        <f t="shared" si="271"/>
        <v>0</v>
      </c>
      <c r="AF153" s="55">
        <f t="shared" si="271"/>
        <v>17145942</v>
      </c>
      <c r="AG153" s="55">
        <f t="shared" si="271"/>
        <v>127878</v>
      </c>
      <c r="AH153" s="55">
        <f t="shared" si="271"/>
        <v>301818</v>
      </c>
      <c r="AI153" s="55">
        <f t="shared" si="271"/>
        <v>16972002</v>
      </c>
      <c r="AJ153" s="55">
        <f aca="true" t="shared" si="272" ref="AJ153:AO153">SUM(AJ154,AJ174,AJ188,AJ191,AJ214,AJ221,AJ226)</f>
        <v>37928</v>
      </c>
      <c r="AK153" s="55">
        <f t="shared" si="272"/>
        <v>11846</v>
      </c>
      <c r="AL153" s="55">
        <f t="shared" si="272"/>
        <v>16998084</v>
      </c>
      <c r="AM153" s="55">
        <f t="shared" si="272"/>
        <v>4378</v>
      </c>
      <c r="AN153" s="55">
        <f t="shared" si="272"/>
        <v>3960</v>
      </c>
      <c r="AO153" s="55">
        <f t="shared" si="272"/>
        <v>16998502</v>
      </c>
      <c r="AP153" s="55">
        <f aca="true" t="shared" si="273" ref="AP153:AU153">SUM(AP154,AP174,AP188,AP191,AP214,AP221,AP226)</f>
        <v>51493</v>
      </c>
      <c r="AQ153" s="55">
        <f t="shared" si="273"/>
        <v>0</v>
      </c>
      <c r="AR153" s="55">
        <f t="shared" si="273"/>
        <v>17049995</v>
      </c>
      <c r="AS153" s="55">
        <f t="shared" si="273"/>
        <v>54312</v>
      </c>
      <c r="AT153" s="55">
        <f t="shared" si="273"/>
        <v>13763</v>
      </c>
      <c r="AU153" s="55">
        <f t="shared" si="273"/>
        <v>17090544</v>
      </c>
      <c r="AV153" s="338"/>
    </row>
    <row r="154" spans="1:48" s="37" customFormat="1" ht="21.75" customHeight="1">
      <c r="A154" s="98"/>
      <c r="B154" s="116" t="s">
        <v>129</v>
      </c>
      <c r="C154" s="120"/>
      <c r="D154" s="56" t="s">
        <v>66</v>
      </c>
      <c r="E154" s="114">
        <f aca="true" t="shared" si="274" ref="E154:K154">SUM(E155:E173)</f>
        <v>8994679</v>
      </c>
      <c r="F154" s="114">
        <f t="shared" si="274"/>
        <v>70000</v>
      </c>
      <c r="G154" s="114">
        <f t="shared" si="274"/>
        <v>0</v>
      </c>
      <c r="H154" s="114">
        <f t="shared" si="274"/>
        <v>9064679</v>
      </c>
      <c r="I154" s="114">
        <f t="shared" si="274"/>
        <v>84892</v>
      </c>
      <c r="J154" s="114">
        <f t="shared" si="274"/>
        <v>66764</v>
      </c>
      <c r="K154" s="114">
        <f t="shared" si="274"/>
        <v>9082807</v>
      </c>
      <c r="L154" s="114">
        <f aca="true" t="shared" si="275" ref="L154:Q154">SUM(L155:L173)</f>
        <v>0</v>
      </c>
      <c r="M154" s="114">
        <f t="shared" si="275"/>
        <v>0</v>
      </c>
      <c r="N154" s="114">
        <f t="shared" si="275"/>
        <v>9082807</v>
      </c>
      <c r="O154" s="114">
        <f t="shared" si="275"/>
        <v>20000</v>
      </c>
      <c r="P154" s="114">
        <f t="shared" si="275"/>
        <v>0</v>
      </c>
      <c r="Q154" s="114">
        <f t="shared" si="275"/>
        <v>9102807</v>
      </c>
      <c r="R154" s="114">
        <f aca="true" t="shared" si="276" ref="R154:W154">SUM(R155:R173)</f>
        <v>35147</v>
      </c>
      <c r="S154" s="114">
        <f t="shared" si="276"/>
        <v>4547</v>
      </c>
      <c r="T154" s="114">
        <f t="shared" si="276"/>
        <v>9133407</v>
      </c>
      <c r="U154" s="114">
        <f t="shared" si="276"/>
        <v>9535</v>
      </c>
      <c r="V154" s="114">
        <f t="shared" si="276"/>
        <v>0</v>
      </c>
      <c r="W154" s="114">
        <f t="shared" si="276"/>
        <v>9142942</v>
      </c>
      <c r="X154" s="114">
        <f aca="true" t="shared" si="277" ref="X154:AC154">SUM(X155:X173)</f>
        <v>67356</v>
      </c>
      <c r="Y154" s="114">
        <f t="shared" si="277"/>
        <v>0</v>
      </c>
      <c r="Z154" s="114">
        <f t="shared" si="277"/>
        <v>9210298</v>
      </c>
      <c r="AA154" s="114">
        <f t="shared" si="277"/>
        <v>3233</v>
      </c>
      <c r="AB154" s="114">
        <f t="shared" si="277"/>
        <v>3233</v>
      </c>
      <c r="AC154" s="114">
        <f t="shared" si="277"/>
        <v>9210298</v>
      </c>
      <c r="AD154" s="114">
        <f aca="true" t="shared" si="278" ref="AD154:AI154">SUM(AD155:AD173)</f>
        <v>0</v>
      </c>
      <c r="AE154" s="114">
        <f t="shared" si="278"/>
        <v>0</v>
      </c>
      <c r="AF154" s="114">
        <f t="shared" si="278"/>
        <v>9210298</v>
      </c>
      <c r="AG154" s="114">
        <f t="shared" si="278"/>
        <v>39066</v>
      </c>
      <c r="AH154" s="114">
        <f t="shared" si="278"/>
        <v>163065</v>
      </c>
      <c r="AI154" s="114">
        <f t="shared" si="278"/>
        <v>9086299</v>
      </c>
      <c r="AJ154" s="114">
        <f aca="true" t="shared" si="279" ref="AJ154:AO154">SUM(AJ155:AJ173)</f>
        <v>26082</v>
      </c>
      <c r="AK154" s="114">
        <f t="shared" si="279"/>
        <v>7000</v>
      </c>
      <c r="AL154" s="114">
        <f t="shared" si="279"/>
        <v>9105381</v>
      </c>
      <c r="AM154" s="114">
        <f t="shared" si="279"/>
        <v>3735</v>
      </c>
      <c r="AN154" s="114">
        <f t="shared" si="279"/>
        <v>3317</v>
      </c>
      <c r="AO154" s="114">
        <f t="shared" si="279"/>
        <v>9105799</v>
      </c>
      <c r="AP154" s="114">
        <f aca="true" t="shared" si="280" ref="AP154:AU154">SUM(AP155:AP173)</f>
        <v>0</v>
      </c>
      <c r="AQ154" s="114">
        <f t="shared" si="280"/>
        <v>0</v>
      </c>
      <c r="AR154" s="114">
        <f t="shared" si="280"/>
        <v>9105799</v>
      </c>
      <c r="AS154" s="114">
        <f t="shared" si="280"/>
        <v>18005</v>
      </c>
      <c r="AT154" s="114">
        <f t="shared" si="280"/>
        <v>4263</v>
      </c>
      <c r="AU154" s="114">
        <f t="shared" si="280"/>
        <v>9119541</v>
      </c>
      <c r="AV154" s="339"/>
    </row>
    <row r="155" spans="1:48" s="37" customFormat="1" ht="32.25" customHeight="1">
      <c r="A155" s="98"/>
      <c r="B155" s="116"/>
      <c r="C155" s="120">
        <v>2540</v>
      </c>
      <c r="D155" s="56" t="s">
        <v>231</v>
      </c>
      <c r="E155" s="114">
        <v>211428</v>
      </c>
      <c r="F155" s="119"/>
      <c r="G155" s="119"/>
      <c r="H155" s="126">
        <f aca="true" t="shared" si="281" ref="H155:H173">SUM(E155+F155-G155)</f>
        <v>211428</v>
      </c>
      <c r="I155" s="119"/>
      <c r="J155" s="119"/>
      <c r="K155" s="126">
        <f aca="true" t="shared" si="282" ref="K155:K173">SUM(H155+I155-J155)</f>
        <v>211428</v>
      </c>
      <c r="L155" s="119"/>
      <c r="M155" s="119"/>
      <c r="N155" s="126">
        <f aca="true" t="shared" si="283" ref="N155:N173">SUM(K155+L155-M155)</f>
        <v>211428</v>
      </c>
      <c r="O155" s="119"/>
      <c r="P155" s="119"/>
      <c r="Q155" s="126">
        <f aca="true" t="shared" si="284" ref="Q155:Q173">SUM(N155+O155-P155)</f>
        <v>211428</v>
      </c>
      <c r="R155" s="119"/>
      <c r="S155" s="119"/>
      <c r="T155" s="126">
        <f aca="true" t="shared" si="285" ref="T155:T173">SUM(Q155+R155-S155)</f>
        <v>211428</v>
      </c>
      <c r="U155" s="119"/>
      <c r="V155" s="119"/>
      <c r="W155" s="126">
        <f aca="true" t="shared" si="286" ref="W155:W173">SUM(T155+U155-V155)</f>
        <v>211428</v>
      </c>
      <c r="X155" s="119"/>
      <c r="Y155" s="119"/>
      <c r="Z155" s="126">
        <f aca="true" t="shared" si="287" ref="Z155:Z173">SUM(W155+X155-Y155)</f>
        <v>211428</v>
      </c>
      <c r="AA155" s="119"/>
      <c r="AB155" s="119"/>
      <c r="AC155" s="126">
        <f aca="true" t="shared" si="288" ref="AC155:AC173">SUM(Z155+AA155-AB155)</f>
        <v>211428</v>
      </c>
      <c r="AD155" s="119"/>
      <c r="AE155" s="119"/>
      <c r="AF155" s="126">
        <f aca="true" t="shared" si="289" ref="AF155:AF173">SUM(AC155+AD155-AE155)</f>
        <v>211428</v>
      </c>
      <c r="AG155" s="119">
        <v>13666</v>
      </c>
      <c r="AH155" s="119"/>
      <c r="AI155" s="126">
        <f aca="true" t="shared" si="290" ref="AI155:AI173">SUM(AF155+AG155-AH155)</f>
        <v>225094</v>
      </c>
      <c r="AJ155" s="119"/>
      <c r="AK155" s="119"/>
      <c r="AL155" s="126">
        <f aca="true" t="shared" si="291" ref="AL155:AL173">SUM(AI155+AJ155-AK155)</f>
        <v>225094</v>
      </c>
      <c r="AM155" s="119"/>
      <c r="AN155" s="119"/>
      <c r="AO155" s="126">
        <f aca="true" t="shared" si="292" ref="AO155:AO173">SUM(AL155+AM155-AN155)</f>
        <v>225094</v>
      </c>
      <c r="AP155" s="119"/>
      <c r="AQ155" s="119"/>
      <c r="AR155" s="126">
        <f aca="true" t="shared" si="293" ref="AR155:AR173">SUM(AO155+AP155-AQ155)</f>
        <v>225094</v>
      </c>
      <c r="AS155" s="119"/>
      <c r="AT155" s="119"/>
      <c r="AU155" s="126">
        <f aca="true" t="shared" si="294" ref="AU155:AU173">SUM(AR155+AS155-AT155)</f>
        <v>225094</v>
      </c>
      <c r="AV155" s="337"/>
    </row>
    <row r="156" spans="1:48" s="37" customFormat="1" ht="21" customHeight="1">
      <c r="A156" s="98"/>
      <c r="B156" s="116"/>
      <c r="C156" s="98">
        <v>3020</v>
      </c>
      <c r="D156" s="56" t="s">
        <v>293</v>
      </c>
      <c r="E156" s="114">
        <v>166622</v>
      </c>
      <c r="F156" s="119"/>
      <c r="G156" s="119"/>
      <c r="H156" s="126">
        <f t="shared" si="281"/>
        <v>166622</v>
      </c>
      <c r="I156" s="119">
        <v>4850</v>
      </c>
      <c r="J156" s="119"/>
      <c r="K156" s="126">
        <f t="shared" si="282"/>
        <v>171472</v>
      </c>
      <c r="L156" s="119"/>
      <c r="M156" s="119"/>
      <c r="N156" s="126">
        <f t="shared" si="283"/>
        <v>171472</v>
      </c>
      <c r="O156" s="119"/>
      <c r="P156" s="119"/>
      <c r="Q156" s="126">
        <f t="shared" si="284"/>
        <v>171472</v>
      </c>
      <c r="R156" s="119"/>
      <c r="S156" s="119"/>
      <c r="T156" s="126">
        <f t="shared" si="285"/>
        <v>171472</v>
      </c>
      <c r="U156" s="119"/>
      <c r="V156" s="119"/>
      <c r="W156" s="126">
        <f t="shared" si="286"/>
        <v>171472</v>
      </c>
      <c r="X156" s="119"/>
      <c r="Y156" s="119"/>
      <c r="Z156" s="126">
        <f t="shared" si="287"/>
        <v>171472</v>
      </c>
      <c r="AA156" s="119"/>
      <c r="AB156" s="119"/>
      <c r="AC156" s="126">
        <f t="shared" si="288"/>
        <v>171472</v>
      </c>
      <c r="AD156" s="119"/>
      <c r="AE156" s="119"/>
      <c r="AF156" s="126">
        <f t="shared" si="289"/>
        <v>171472</v>
      </c>
      <c r="AG156" s="119"/>
      <c r="AH156" s="119">
        <v>8464</v>
      </c>
      <c r="AI156" s="126">
        <f t="shared" si="290"/>
        <v>163008</v>
      </c>
      <c r="AJ156" s="119"/>
      <c r="AK156" s="119"/>
      <c r="AL156" s="126">
        <f t="shared" si="291"/>
        <v>163008</v>
      </c>
      <c r="AM156" s="119"/>
      <c r="AN156" s="119"/>
      <c r="AO156" s="126">
        <f t="shared" si="292"/>
        <v>163008</v>
      </c>
      <c r="AP156" s="119"/>
      <c r="AQ156" s="119"/>
      <c r="AR156" s="126">
        <f t="shared" si="293"/>
        <v>163008</v>
      </c>
      <c r="AS156" s="119"/>
      <c r="AT156" s="119">
        <v>169</v>
      </c>
      <c r="AU156" s="126">
        <f t="shared" si="294"/>
        <v>162839</v>
      </c>
      <c r="AV156" s="337"/>
    </row>
    <row r="157" spans="1:48" s="37" customFormat="1" ht="21" customHeight="1">
      <c r="A157" s="98"/>
      <c r="B157" s="116"/>
      <c r="C157" s="98">
        <v>3260</v>
      </c>
      <c r="D157" s="56" t="s">
        <v>534</v>
      </c>
      <c r="E157" s="114"/>
      <c r="F157" s="119"/>
      <c r="G157" s="119"/>
      <c r="H157" s="126"/>
      <c r="I157" s="119"/>
      <c r="J157" s="119"/>
      <c r="K157" s="126"/>
      <c r="L157" s="119"/>
      <c r="M157" s="119"/>
      <c r="N157" s="126"/>
      <c r="O157" s="119"/>
      <c r="P157" s="119"/>
      <c r="Q157" s="126"/>
      <c r="R157" s="119"/>
      <c r="S157" s="119"/>
      <c r="T157" s="126">
        <v>0</v>
      </c>
      <c r="U157" s="119">
        <v>8835</v>
      </c>
      <c r="V157" s="119"/>
      <c r="W157" s="126">
        <f t="shared" si="286"/>
        <v>8835</v>
      </c>
      <c r="X157" s="119">
        <v>2356</v>
      </c>
      <c r="Y157" s="119"/>
      <c r="Z157" s="126">
        <f t="shared" si="287"/>
        <v>11191</v>
      </c>
      <c r="AA157" s="119"/>
      <c r="AB157" s="119"/>
      <c r="AC157" s="126">
        <f t="shared" si="288"/>
        <v>11191</v>
      </c>
      <c r="AD157" s="119"/>
      <c r="AE157" s="119"/>
      <c r="AF157" s="126">
        <f t="shared" si="289"/>
        <v>11191</v>
      </c>
      <c r="AG157" s="119"/>
      <c r="AH157" s="119"/>
      <c r="AI157" s="126">
        <f t="shared" si="290"/>
        <v>11191</v>
      </c>
      <c r="AJ157" s="119"/>
      <c r="AK157" s="119"/>
      <c r="AL157" s="126">
        <f t="shared" si="291"/>
        <v>11191</v>
      </c>
      <c r="AM157" s="119">
        <v>418</v>
      </c>
      <c r="AN157" s="119"/>
      <c r="AO157" s="126">
        <f t="shared" si="292"/>
        <v>11609</v>
      </c>
      <c r="AP157" s="119"/>
      <c r="AQ157" s="119"/>
      <c r="AR157" s="126">
        <f t="shared" si="293"/>
        <v>11609</v>
      </c>
      <c r="AS157" s="119"/>
      <c r="AT157" s="119"/>
      <c r="AU157" s="126">
        <f t="shared" si="294"/>
        <v>11609</v>
      </c>
      <c r="AV157" s="337"/>
    </row>
    <row r="158" spans="1:48" s="37" customFormat="1" ht="21" customHeight="1">
      <c r="A158" s="98"/>
      <c r="B158" s="116"/>
      <c r="C158" s="98">
        <v>4010</v>
      </c>
      <c r="D158" s="56" t="s">
        <v>101</v>
      </c>
      <c r="E158" s="114">
        <v>5677907</v>
      </c>
      <c r="F158" s="119"/>
      <c r="G158" s="119"/>
      <c r="H158" s="126">
        <f t="shared" si="281"/>
        <v>5677907</v>
      </c>
      <c r="I158" s="119"/>
      <c r="J158" s="119"/>
      <c r="K158" s="126">
        <f t="shared" si="282"/>
        <v>5677907</v>
      </c>
      <c r="L158" s="119"/>
      <c r="M158" s="119"/>
      <c r="N158" s="126">
        <f t="shared" si="283"/>
        <v>5677907</v>
      </c>
      <c r="O158" s="119"/>
      <c r="P158" s="119"/>
      <c r="Q158" s="126">
        <f t="shared" si="284"/>
        <v>5677907</v>
      </c>
      <c r="R158" s="119"/>
      <c r="S158" s="119"/>
      <c r="T158" s="126">
        <f t="shared" si="285"/>
        <v>5677907</v>
      </c>
      <c r="U158" s="119"/>
      <c r="V158" s="119"/>
      <c r="W158" s="126">
        <f t="shared" si="286"/>
        <v>5677907</v>
      </c>
      <c r="X158" s="119"/>
      <c r="Y158" s="119"/>
      <c r="Z158" s="126">
        <f t="shared" si="287"/>
        <v>5677907</v>
      </c>
      <c r="AA158" s="119"/>
      <c r="AB158" s="119"/>
      <c r="AC158" s="126">
        <f t="shared" si="288"/>
        <v>5677907</v>
      </c>
      <c r="AD158" s="119"/>
      <c r="AE158" s="119"/>
      <c r="AF158" s="126">
        <f t="shared" si="289"/>
        <v>5677907</v>
      </c>
      <c r="AG158" s="119"/>
      <c r="AH158" s="119">
        <f>93940-2750</f>
        <v>91190</v>
      </c>
      <c r="AI158" s="126">
        <f t="shared" si="290"/>
        <v>5586717</v>
      </c>
      <c r="AJ158" s="119">
        <v>13410</v>
      </c>
      <c r="AK158" s="119"/>
      <c r="AL158" s="126">
        <f t="shared" si="291"/>
        <v>5600127</v>
      </c>
      <c r="AM158" s="119"/>
      <c r="AN158" s="119"/>
      <c r="AO158" s="126">
        <f t="shared" si="292"/>
        <v>5600127</v>
      </c>
      <c r="AP158" s="119"/>
      <c r="AQ158" s="119"/>
      <c r="AR158" s="126">
        <f t="shared" si="293"/>
        <v>5600127</v>
      </c>
      <c r="AS158" s="119">
        <f>140+840+394</f>
        <v>1374</v>
      </c>
      <c r="AT158" s="119"/>
      <c r="AU158" s="126">
        <f t="shared" si="294"/>
        <v>5601501</v>
      </c>
      <c r="AV158" s="337">
        <f>SUM(AU158)</f>
        <v>5601501</v>
      </c>
    </row>
    <row r="159" spans="1:48" s="37" customFormat="1" ht="21" customHeight="1">
      <c r="A159" s="98"/>
      <c r="B159" s="116"/>
      <c r="C159" s="98">
        <v>4040</v>
      </c>
      <c r="D159" s="56" t="s">
        <v>102</v>
      </c>
      <c r="E159" s="114">
        <v>459689</v>
      </c>
      <c r="F159" s="119"/>
      <c r="G159" s="119"/>
      <c r="H159" s="126">
        <f t="shared" si="281"/>
        <v>459689</v>
      </c>
      <c r="I159" s="119"/>
      <c r="J159" s="119">
        <v>22525</v>
      </c>
      <c r="K159" s="126">
        <f t="shared" si="282"/>
        <v>437164</v>
      </c>
      <c r="L159" s="119"/>
      <c r="M159" s="119"/>
      <c r="N159" s="126">
        <f t="shared" si="283"/>
        <v>437164</v>
      </c>
      <c r="O159" s="119"/>
      <c r="P159" s="119"/>
      <c r="Q159" s="126">
        <f t="shared" si="284"/>
        <v>437164</v>
      </c>
      <c r="R159" s="119"/>
      <c r="S159" s="119"/>
      <c r="T159" s="126">
        <f t="shared" si="285"/>
        <v>437164</v>
      </c>
      <c r="U159" s="119"/>
      <c r="V159" s="119"/>
      <c r="W159" s="126">
        <f t="shared" si="286"/>
        <v>437164</v>
      </c>
      <c r="X159" s="119"/>
      <c r="Y159" s="119"/>
      <c r="Z159" s="126">
        <f t="shared" si="287"/>
        <v>437164</v>
      </c>
      <c r="AA159" s="119"/>
      <c r="AB159" s="119"/>
      <c r="AC159" s="126">
        <f t="shared" si="288"/>
        <v>437164</v>
      </c>
      <c r="AD159" s="119"/>
      <c r="AE159" s="119"/>
      <c r="AF159" s="126">
        <f t="shared" si="289"/>
        <v>437164</v>
      </c>
      <c r="AG159" s="119"/>
      <c r="AH159" s="119"/>
      <c r="AI159" s="126">
        <f t="shared" si="290"/>
        <v>437164</v>
      </c>
      <c r="AJ159" s="119"/>
      <c r="AK159" s="119"/>
      <c r="AL159" s="126">
        <f t="shared" si="291"/>
        <v>437164</v>
      </c>
      <c r="AM159" s="119"/>
      <c r="AN159" s="119"/>
      <c r="AO159" s="126">
        <f t="shared" si="292"/>
        <v>437164</v>
      </c>
      <c r="AP159" s="119"/>
      <c r="AQ159" s="119"/>
      <c r="AR159" s="126">
        <f t="shared" si="293"/>
        <v>437164</v>
      </c>
      <c r="AS159" s="119"/>
      <c r="AT159" s="119"/>
      <c r="AU159" s="126">
        <f t="shared" si="294"/>
        <v>437164</v>
      </c>
      <c r="AV159" s="337">
        <f>SUM(AU159)</f>
        <v>437164</v>
      </c>
    </row>
    <row r="160" spans="1:48" s="37" customFormat="1" ht="21" customHeight="1">
      <c r="A160" s="98"/>
      <c r="B160" s="116"/>
      <c r="C160" s="98">
        <v>4110</v>
      </c>
      <c r="D160" s="56" t="s">
        <v>103</v>
      </c>
      <c r="E160" s="114">
        <v>1090140</v>
      </c>
      <c r="F160" s="119"/>
      <c r="G160" s="119"/>
      <c r="H160" s="126">
        <f t="shared" si="281"/>
        <v>1090140</v>
      </c>
      <c r="I160" s="119"/>
      <c r="J160" s="119"/>
      <c r="K160" s="126">
        <f t="shared" si="282"/>
        <v>1090140</v>
      </c>
      <c r="L160" s="119"/>
      <c r="M160" s="119"/>
      <c r="N160" s="126">
        <f t="shared" si="283"/>
        <v>1090140</v>
      </c>
      <c r="O160" s="119"/>
      <c r="P160" s="119"/>
      <c r="Q160" s="126">
        <f t="shared" si="284"/>
        <v>1090140</v>
      </c>
      <c r="R160" s="119"/>
      <c r="S160" s="119"/>
      <c r="T160" s="126">
        <f t="shared" si="285"/>
        <v>1090140</v>
      </c>
      <c r="U160" s="119"/>
      <c r="V160" s="119"/>
      <c r="W160" s="126">
        <f t="shared" si="286"/>
        <v>1090140</v>
      </c>
      <c r="X160" s="119"/>
      <c r="Y160" s="119"/>
      <c r="Z160" s="126">
        <f t="shared" si="287"/>
        <v>1090140</v>
      </c>
      <c r="AA160" s="119"/>
      <c r="AB160" s="119"/>
      <c r="AC160" s="126">
        <f t="shared" si="288"/>
        <v>1090140</v>
      </c>
      <c r="AD160" s="119"/>
      <c r="AE160" s="119"/>
      <c r="AF160" s="126">
        <f t="shared" si="289"/>
        <v>1090140</v>
      </c>
      <c r="AG160" s="119"/>
      <c r="AH160" s="119">
        <f>31978-473</f>
        <v>31505</v>
      </c>
      <c r="AI160" s="126">
        <f t="shared" si="290"/>
        <v>1058635</v>
      </c>
      <c r="AJ160" s="119">
        <v>2342</v>
      </c>
      <c r="AK160" s="119"/>
      <c r="AL160" s="126">
        <f t="shared" si="291"/>
        <v>1060977</v>
      </c>
      <c r="AM160" s="119"/>
      <c r="AN160" s="119"/>
      <c r="AO160" s="126">
        <f t="shared" si="292"/>
        <v>1060977</v>
      </c>
      <c r="AP160" s="119"/>
      <c r="AQ160" s="119"/>
      <c r="AR160" s="126">
        <f t="shared" si="293"/>
        <v>1060977</v>
      </c>
      <c r="AS160" s="119">
        <v>24</v>
      </c>
      <c r="AT160" s="119"/>
      <c r="AU160" s="126">
        <f t="shared" si="294"/>
        <v>1061001</v>
      </c>
      <c r="AV160" s="337">
        <f>SUM(AU160)</f>
        <v>1061001</v>
      </c>
    </row>
    <row r="161" spans="1:48" s="37" customFormat="1" ht="21" customHeight="1">
      <c r="A161" s="98"/>
      <c r="B161" s="116"/>
      <c r="C161" s="98">
        <v>4120</v>
      </c>
      <c r="D161" s="56" t="s">
        <v>104</v>
      </c>
      <c r="E161" s="114">
        <v>150918</v>
      </c>
      <c r="F161" s="119"/>
      <c r="G161" s="119"/>
      <c r="H161" s="126">
        <f t="shared" si="281"/>
        <v>150918</v>
      </c>
      <c r="I161" s="119"/>
      <c r="J161" s="119"/>
      <c r="K161" s="126">
        <f t="shared" si="282"/>
        <v>150918</v>
      </c>
      <c r="L161" s="119"/>
      <c r="M161" s="119"/>
      <c r="N161" s="126">
        <f t="shared" si="283"/>
        <v>150918</v>
      </c>
      <c r="O161" s="119"/>
      <c r="P161" s="119"/>
      <c r="Q161" s="126">
        <f t="shared" si="284"/>
        <v>150918</v>
      </c>
      <c r="R161" s="119"/>
      <c r="S161" s="119"/>
      <c r="T161" s="126">
        <f t="shared" si="285"/>
        <v>150918</v>
      </c>
      <c r="U161" s="119"/>
      <c r="V161" s="119"/>
      <c r="W161" s="126">
        <f t="shared" si="286"/>
        <v>150918</v>
      </c>
      <c r="X161" s="119"/>
      <c r="Y161" s="119"/>
      <c r="Z161" s="126">
        <f t="shared" si="287"/>
        <v>150918</v>
      </c>
      <c r="AA161" s="119"/>
      <c r="AB161" s="119"/>
      <c r="AC161" s="126">
        <f t="shared" si="288"/>
        <v>150918</v>
      </c>
      <c r="AD161" s="119"/>
      <c r="AE161" s="119"/>
      <c r="AF161" s="126">
        <f t="shared" si="289"/>
        <v>150918</v>
      </c>
      <c r="AG161" s="119"/>
      <c r="AH161" s="119">
        <f>1865-67</f>
        <v>1798</v>
      </c>
      <c r="AI161" s="126">
        <f t="shared" si="290"/>
        <v>149120</v>
      </c>
      <c r="AJ161" s="119">
        <v>330</v>
      </c>
      <c r="AK161" s="119"/>
      <c r="AL161" s="126">
        <f t="shared" si="291"/>
        <v>149450</v>
      </c>
      <c r="AM161" s="119"/>
      <c r="AN161" s="119"/>
      <c r="AO161" s="126">
        <f t="shared" si="292"/>
        <v>149450</v>
      </c>
      <c r="AP161" s="119"/>
      <c r="AQ161" s="119"/>
      <c r="AR161" s="126">
        <f t="shared" si="293"/>
        <v>149450</v>
      </c>
      <c r="AS161" s="119"/>
      <c r="AT161" s="119">
        <v>418</v>
      </c>
      <c r="AU161" s="126">
        <f t="shared" si="294"/>
        <v>149032</v>
      </c>
      <c r="AV161" s="337">
        <f>SUM(AU161)</f>
        <v>149032</v>
      </c>
    </row>
    <row r="162" spans="1:48" s="37" customFormat="1" ht="21" customHeight="1">
      <c r="A162" s="98"/>
      <c r="B162" s="116"/>
      <c r="C162" s="98">
        <v>4170</v>
      </c>
      <c r="D162" s="56" t="s">
        <v>252</v>
      </c>
      <c r="E162" s="114">
        <v>36475</v>
      </c>
      <c r="F162" s="119"/>
      <c r="G162" s="119"/>
      <c r="H162" s="126">
        <f t="shared" si="281"/>
        <v>36475</v>
      </c>
      <c r="I162" s="119"/>
      <c r="J162" s="119"/>
      <c r="K162" s="126">
        <f t="shared" si="282"/>
        <v>36475</v>
      </c>
      <c r="L162" s="119"/>
      <c r="M162" s="119"/>
      <c r="N162" s="126">
        <f t="shared" si="283"/>
        <v>36475</v>
      </c>
      <c r="O162" s="119"/>
      <c r="P162" s="119"/>
      <c r="Q162" s="126">
        <f t="shared" si="284"/>
        <v>36475</v>
      </c>
      <c r="R162" s="119"/>
      <c r="S162" s="119"/>
      <c r="T162" s="126">
        <f t="shared" si="285"/>
        <v>36475</v>
      </c>
      <c r="U162" s="119"/>
      <c r="V162" s="119"/>
      <c r="W162" s="126">
        <f t="shared" si="286"/>
        <v>36475</v>
      </c>
      <c r="X162" s="119"/>
      <c r="Y162" s="119"/>
      <c r="Z162" s="126">
        <f t="shared" si="287"/>
        <v>36475</v>
      </c>
      <c r="AA162" s="119">
        <v>800</v>
      </c>
      <c r="AB162" s="119"/>
      <c r="AC162" s="126">
        <f t="shared" si="288"/>
        <v>37275</v>
      </c>
      <c r="AD162" s="119"/>
      <c r="AE162" s="119"/>
      <c r="AF162" s="126">
        <f t="shared" si="289"/>
        <v>37275</v>
      </c>
      <c r="AG162" s="119"/>
      <c r="AH162" s="119">
        <v>10081</v>
      </c>
      <c r="AI162" s="126">
        <f t="shared" si="290"/>
        <v>27194</v>
      </c>
      <c r="AJ162" s="119"/>
      <c r="AK162" s="119"/>
      <c r="AL162" s="126">
        <f t="shared" si="291"/>
        <v>27194</v>
      </c>
      <c r="AM162" s="119"/>
      <c r="AN162" s="119"/>
      <c r="AO162" s="126">
        <f t="shared" si="292"/>
        <v>27194</v>
      </c>
      <c r="AP162" s="119"/>
      <c r="AQ162" s="119"/>
      <c r="AR162" s="126">
        <f t="shared" si="293"/>
        <v>27194</v>
      </c>
      <c r="AS162" s="119"/>
      <c r="AT162" s="119"/>
      <c r="AU162" s="126">
        <f t="shared" si="294"/>
        <v>27194</v>
      </c>
      <c r="AV162" s="337">
        <f>SUM(AU162)</f>
        <v>27194</v>
      </c>
    </row>
    <row r="163" spans="1:48" s="37" customFormat="1" ht="21" customHeight="1">
      <c r="A163" s="98"/>
      <c r="B163" s="116"/>
      <c r="C163" s="98">
        <v>4210</v>
      </c>
      <c r="D163" s="56" t="s">
        <v>109</v>
      </c>
      <c r="E163" s="114">
        <f>257900</f>
        <v>257900</v>
      </c>
      <c r="F163" s="119"/>
      <c r="G163" s="119"/>
      <c r="H163" s="126">
        <f t="shared" si="281"/>
        <v>257900</v>
      </c>
      <c r="I163" s="119">
        <f>600+20517-17024+36560</f>
        <v>40653</v>
      </c>
      <c r="J163" s="119">
        <v>4850</v>
      </c>
      <c r="K163" s="126">
        <f t="shared" si="282"/>
        <v>293703</v>
      </c>
      <c r="L163" s="119"/>
      <c r="M163" s="119"/>
      <c r="N163" s="126">
        <f t="shared" si="283"/>
        <v>293703</v>
      </c>
      <c r="O163" s="119"/>
      <c r="P163" s="119"/>
      <c r="Q163" s="126">
        <f t="shared" si="284"/>
        <v>293703</v>
      </c>
      <c r="R163" s="119">
        <v>500</v>
      </c>
      <c r="S163" s="119">
        <v>2481</v>
      </c>
      <c r="T163" s="126">
        <f t="shared" si="285"/>
        <v>291722</v>
      </c>
      <c r="U163" s="119">
        <v>350</v>
      </c>
      <c r="V163" s="119"/>
      <c r="W163" s="126">
        <f t="shared" si="286"/>
        <v>292072</v>
      </c>
      <c r="X163" s="119">
        <v>10000</v>
      </c>
      <c r="Y163" s="119"/>
      <c r="Z163" s="126">
        <f t="shared" si="287"/>
        <v>302072</v>
      </c>
      <c r="AA163" s="119"/>
      <c r="AB163" s="119">
        <v>3233</v>
      </c>
      <c r="AC163" s="126">
        <f t="shared" si="288"/>
        <v>298839</v>
      </c>
      <c r="AD163" s="119"/>
      <c r="AE163" s="119"/>
      <c r="AF163" s="126">
        <f t="shared" si="289"/>
        <v>298839</v>
      </c>
      <c r="AG163" s="119">
        <v>4892</v>
      </c>
      <c r="AH163" s="119">
        <v>4665</v>
      </c>
      <c r="AI163" s="126">
        <f t="shared" si="290"/>
        <v>299066</v>
      </c>
      <c r="AJ163" s="119"/>
      <c r="AK163" s="119">
        <v>7000</v>
      </c>
      <c r="AL163" s="126">
        <f t="shared" si="291"/>
        <v>292066</v>
      </c>
      <c r="AM163" s="119"/>
      <c r="AN163" s="119">
        <v>1563</v>
      </c>
      <c r="AO163" s="126">
        <f t="shared" si="292"/>
        <v>290503</v>
      </c>
      <c r="AP163" s="119"/>
      <c r="AQ163" s="119"/>
      <c r="AR163" s="126">
        <f t="shared" si="293"/>
        <v>290503</v>
      </c>
      <c r="AS163" s="119">
        <v>5872</v>
      </c>
      <c r="AT163" s="119"/>
      <c r="AU163" s="126">
        <f t="shared" si="294"/>
        <v>296375</v>
      </c>
      <c r="AV163" s="337"/>
    </row>
    <row r="164" spans="1:48" s="37" customFormat="1" ht="21" customHeight="1">
      <c r="A164" s="98"/>
      <c r="B164" s="116"/>
      <c r="C164" s="120">
        <v>4230</v>
      </c>
      <c r="D164" s="56" t="s">
        <v>131</v>
      </c>
      <c r="E164" s="114">
        <v>1260</v>
      </c>
      <c r="F164" s="119"/>
      <c r="G164" s="119"/>
      <c r="H164" s="126">
        <f t="shared" si="281"/>
        <v>1260</v>
      </c>
      <c r="I164" s="119"/>
      <c r="J164" s="119"/>
      <c r="K164" s="126">
        <f t="shared" si="282"/>
        <v>1260</v>
      </c>
      <c r="L164" s="119"/>
      <c r="M164" s="119"/>
      <c r="N164" s="126">
        <f t="shared" si="283"/>
        <v>1260</v>
      </c>
      <c r="O164" s="119"/>
      <c r="P164" s="119"/>
      <c r="Q164" s="126">
        <f t="shared" si="284"/>
        <v>1260</v>
      </c>
      <c r="R164" s="119"/>
      <c r="S164" s="119"/>
      <c r="T164" s="126">
        <f t="shared" si="285"/>
        <v>1260</v>
      </c>
      <c r="U164" s="119"/>
      <c r="V164" s="119"/>
      <c r="W164" s="126">
        <f t="shared" si="286"/>
        <v>1260</v>
      </c>
      <c r="X164" s="119"/>
      <c r="Y164" s="119"/>
      <c r="Z164" s="126">
        <f t="shared" si="287"/>
        <v>1260</v>
      </c>
      <c r="AA164" s="119"/>
      <c r="AB164" s="119"/>
      <c r="AC164" s="126">
        <f t="shared" si="288"/>
        <v>1260</v>
      </c>
      <c r="AD164" s="119"/>
      <c r="AE164" s="119"/>
      <c r="AF164" s="126">
        <f t="shared" si="289"/>
        <v>1260</v>
      </c>
      <c r="AG164" s="119"/>
      <c r="AH164" s="119"/>
      <c r="AI164" s="126">
        <f t="shared" si="290"/>
        <v>1260</v>
      </c>
      <c r="AJ164" s="119"/>
      <c r="AK164" s="119"/>
      <c r="AL164" s="126">
        <f t="shared" si="291"/>
        <v>1260</v>
      </c>
      <c r="AM164" s="119"/>
      <c r="AN164" s="119"/>
      <c r="AO164" s="126">
        <f t="shared" si="292"/>
        <v>1260</v>
      </c>
      <c r="AP164" s="119"/>
      <c r="AQ164" s="119"/>
      <c r="AR164" s="126">
        <f t="shared" si="293"/>
        <v>1260</v>
      </c>
      <c r="AS164" s="119"/>
      <c r="AT164" s="119"/>
      <c r="AU164" s="126">
        <f t="shared" si="294"/>
        <v>1260</v>
      </c>
      <c r="AV164" s="337"/>
    </row>
    <row r="165" spans="1:48" s="37" customFormat="1" ht="21" customHeight="1">
      <c r="A165" s="98"/>
      <c r="B165" s="116"/>
      <c r="C165" s="120">
        <v>4240</v>
      </c>
      <c r="D165" s="56" t="s">
        <v>142</v>
      </c>
      <c r="E165" s="114">
        <v>13000</v>
      </c>
      <c r="F165" s="119"/>
      <c r="G165" s="119"/>
      <c r="H165" s="126">
        <f t="shared" si="281"/>
        <v>13000</v>
      </c>
      <c r="I165" s="119"/>
      <c r="J165" s="119"/>
      <c r="K165" s="126">
        <f t="shared" si="282"/>
        <v>13000</v>
      </c>
      <c r="L165" s="119"/>
      <c r="M165" s="119"/>
      <c r="N165" s="126">
        <f t="shared" si="283"/>
        <v>13000</v>
      </c>
      <c r="O165" s="119">
        <v>20000</v>
      </c>
      <c r="P165" s="119"/>
      <c r="Q165" s="126">
        <f t="shared" si="284"/>
        <v>33000</v>
      </c>
      <c r="R165" s="119">
        <v>3981</v>
      </c>
      <c r="S165" s="119"/>
      <c r="T165" s="126">
        <f t="shared" si="285"/>
        <v>36981</v>
      </c>
      <c r="U165" s="119"/>
      <c r="V165" s="119"/>
      <c r="W165" s="126">
        <f t="shared" si="286"/>
        <v>36981</v>
      </c>
      <c r="X165" s="119"/>
      <c r="Y165" s="119"/>
      <c r="Z165" s="126">
        <f t="shared" si="287"/>
        <v>36981</v>
      </c>
      <c r="AA165" s="119"/>
      <c r="AB165" s="119"/>
      <c r="AC165" s="126">
        <f t="shared" si="288"/>
        <v>36981</v>
      </c>
      <c r="AD165" s="119"/>
      <c r="AE165" s="119"/>
      <c r="AF165" s="126">
        <f t="shared" si="289"/>
        <v>36981</v>
      </c>
      <c r="AG165" s="119"/>
      <c r="AH165" s="119"/>
      <c r="AI165" s="126">
        <f t="shared" si="290"/>
        <v>36981</v>
      </c>
      <c r="AJ165" s="119">
        <f>7000+3000</f>
        <v>10000</v>
      </c>
      <c r="AK165" s="119"/>
      <c r="AL165" s="126">
        <f t="shared" si="291"/>
        <v>46981</v>
      </c>
      <c r="AM165" s="119"/>
      <c r="AN165" s="119"/>
      <c r="AO165" s="126">
        <f t="shared" si="292"/>
        <v>46981</v>
      </c>
      <c r="AP165" s="119"/>
      <c r="AQ165" s="119"/>
      <c r="AR165" s="126">
        <f t="shared" si="293"/>
        <v>46981</v>
      </c>
      <c r="AS165" s="119"/>
      <c r="AT165" s="119"/>
      <c r="AU165" s="126">
        <f t="shared" si="294"/>
        <v>46981</v>
      </c>
      <c r="AV165" s="337"/>
    </row>
    <row r="166" spans="1:48" s="37" customFormat="1" ht="21" customHeight="1">
      <c r="A166" s="98"/>
      <c r="B166" s="116"/>
      <c r="C166" s="98">
        <v>4260</v>
      </c>
      <c r="D166" s="56" t="s">
        <v>112</v>
      </c>
      <c r="E166" s="114">
        <v>381320</v>
      </c>
      <c r="F166" s="119"/>
      <c r="G166" s="119"/>
      <c r="H166" s="126">
        <f t="shared" si="281"/>
        <v>381320</v>
      </c>
      <c r="I166" s="119"/>
      <c r="J166" s="119"/>
      <c r="K166" s="126">
        <f t="shared" si="282"/>
        <v>381320</v>
      </c>
      <c r="L166" s="119"/>
      <c r="M166" s="119"/>
      <c r="N166" s="126">
        <f t="shared" si="283"/>
        <v>381320</v>
      </c>
      <c r="O166" s="119"/>
      <c r="P166" s="119"/>
      <c r="Q166" s="126">
        <f t="shared" si="284"/>
        <v>381320</v>
      </c>
      <c r="R166" s="119"/>
      <c r="S166" s="119"/>
      <c r="T166" s="126">
        <f t="shared" si="285"/>
        <v>381320</v>
      </c>
      <c r="U166" s="119"/>
      <c r="V166" s="119"/>
      <c r="W166" s="126">
        <f t="shared" si="286"/>
        <v>381320</v>
      </c>
      <c r="X166" s="119">
        <v>55000</v>
      </c>
      <c r="Y166" s="119"/>
      <c r="Z166" s="126">
        <f t="shared" si="287"/>
        <v>436320</v>
      </c>
      <c r="AA166" s="119">
        <v>30</v>
      </c>
      <c r="AB166" s="119"/>
      <c r="AC166" s="126">
        <f t="shared" si="288"/>
        <v>436350</v>
      </c>
      <c r="AD166" s="119"/>
      <c r="AE166" s="119"/>
      <c r="AF166" s="126">
        <f t="shared" si="289"/>
        <v>436350</v>
      </c>
      <c r="AG166" s="119">
        <f>2007+30</f>
        <v>2037</v>
      </c>
      <c r="AH166" s="119"/>
      <c r="AI166" s="126">
        <f t="shared" si="290"/>
        <v>438387</v>
      </c>
      <c r="AJ166" s="119"/>
      <c r="AK166" s="119"/>
      <c r="AL166" s="126">
        <f t="shared" si="291"/>
        <v>438387</v>
      </c>
      <c r="AM166" s="119">
        <v>820</v>
      </c>
      <c r="AN166" s="119"/>
      <c r="AO166" s="126">
        <f t="shared" si="292"/>
        <v>439207</v>
      </c>
      <c r="AP166" s="119"/>
      <c r="AQ166" s="119"/>
      <c r="AR166" s="126">
        <f t="shared" si="293"/>
        <v>439207</v>
      </c>
      <c r="AS166" s="119"/>
      <c r="AT166" s="119">
        <v>1996</v>
      </c>
      <c r="AU166" s="126">
        <f t="shared" si="294"/>
        <v>437211</v>
      </c>
      <c r="AV166" s="337"/>
    </row>
    <row r="167" spans="1:48" s="37" customFormat="1" ht="21" customHeight="1">
      <c r="A167" s="98"/>
      <c r="B167" s="116"/>
      <c r="C167" s="98">
        <v>4270</v>
      </c>
      <c r="D167" s="56" t="s">
        <v>95</v>
      </c>
      <c r="E167" s="114">
        <v>7500</v>
      </c>
      <c r="F167" s="119">
        <v>70000</v>
      </c>
      <c r="G167" s="119"/>
      <c r="H167" s="126">
        <f t="shared" si="281"/>
        <v>77500</v>
      </c>
      <c r="I167" s="119">
        <v>25053</v>
      </c>
      <c r="J167" s="119"/>
      <c r="K167" s="126">
        <f t="shared" si="282"/>
        <v>102553</v>
      </c>
      <c r="L167" s="119"/>
      <c r="M167" s="119"/>
      <c r="N167" s="126">
        <f t="shared" si="283"/>
        <v>102553</v>
      </c>
      <c r="O167" s="119"/>
      <c r="P167" s="119"/>
      <c r="Q167" s="126">
        <f t="shared" si="284"/>
        <v>102553</v>
      </c>
      <c r="R167" s="119">
        <v>30600</v>
      </c>
      <c r="S167" s="119"/>
      <c r="T167" s="126">
        <f t="shared" si="285"/>
        <v>133153</v>
      </c>
      <c r="U167" s="119"/>
      <c r="V167" s="119"/>
      <c r="W167" s="126">
        <f t="shared" si="286"/>
        <v>133153</v>
      </c>
      <c r="X167" s="119"/>
      <c r="Y167" s="119"/>
      <c r="Z167" s="126">
        <f t="shared" si="287"/>
        <v>133153</v>
      </c>
      <c r="AA167" s="119"/>
      <c r="AB167" s="119"/>
      <c r="AC167" s="126">
        <f t="shared" si="288"/>
        <v>133153</v>
      </c>
      <c r="AD167" s="119"/>
      <c r="AE167" s="119"/>
      <c r="AF167" s="126">
        <f t="shared" si="289"/>
        <v>133153</v>
      </c>
      <c r="AG167" s="119">
        <f>5000+7959+4635</f>
        <v>17594</v>
      </c>
      <c r="AH167" s="119"/>
      <c r="AI167" s="126">
        <f t="shared" si="290"/>
        <v>150747</v>
      </c>
      <c r="AJ167" s="119"/>
      <c r="AK167" s="119"/>
      <c r="AL167" s="126">
        <f t="shared" si="291"/>
        <v>150747</v>
      </c>
      <c r="AM167" s="119"/>
      <c r="AN167" s="119">
        <v>200</v>
      </c>
      <c r="AO167" s="126">
        <f t="shared" si="292"/>
        <v>150547</v>
      </c>
      <c r="AP167" s="119"/>
      <c r="AQ167" s="119"/>
      <c r="AR167" s="126">
        <f t="shared" si="293"/>
        <v>150547</v>
      </c>
      <c r="AS167" s="119">
        <v>7000</v>
      </c>
      <c r="AT167" s="119">
        <v>1680</v>
      </c>
      <c r="AU167" s="126">
        <f t="shared" si="294"/>
        <v>155867</v>
      </c>
      <c r="AV167" s="337"/>
    </row>
    <row r="168" spans="1:48" s="37" customFormat="1" ht="21" customHeight="1">
      <c r="A168" s="98"/>
      <c r="B168" s="116"/>
      <c r="C168" s="98">
        <v>4280</v>
      </c>
      <c r="D168" s="56" t="s">
        <v>267</v>
      </c>
      <c r="E168" s="114"/>
      <c r="F168" s="119"/>
      <c r="G168" s="119"/>
      <c r="H168" s="126">
        <v>0</v>
      </c>
      <c r="I168" s="119">
        <v>14336</v>
      </c>
      <c r="J168" s="119"/>
      <c r="K168" s="126">
        <f t="shared" si="282"/>
        <v>14336</v>
      </c>
      <c r="L168" s="119"/>
      <c r="M168" s="119"/>
      <c r="N168" s="126">
        <f t="shared" si="283"/>
        <v>14336</v>
      </c>
      <c r="O168" s="119"/>
      <c r="P168" s="119"/>
      <c r="Q168" s="126">
        <f t="shared" si="284"/>
        <v>14336</v>
      </c>
      <c r="R168" s="119">
        <v>66</v>
      </c>
      <c r="S168" s="119"/>
      <c r="T168" s="126">
        <f t="shared" si="285"/>
        <v>14402</v>
      </c>
      <c r="U168" s="119"/>
      <c r="V168" s="119"/>
      <c r="W168" s="126">
        <f t="shared" si="286"/>
        <v>14402</v>
      </c>
      <c r="X168" s="119"/>
      <c r="Y168" s="119"/>
      <c r="Z168" s="126">
        <f t="shared" si="287"/>
        <v>14402</v>
      </c>
      <c r="AA168" s="119"/>
      <c r="AB168" s="119"/>
      <c r="AC168" s="126">
        <f t="shared" si="288"/>
        <v>14402</v>
      </c>
      <c r="AD168" s="119"/>
      <c r="AE168" s="119"/>
      <c r="AF168" s="126">
        <f t="shared" si="289"/>
        <v>14402</v>
      </c>
      <c r="AG168" s="119">
        <v>577</v>
      </c>
      <c r="AH168" s="119"/>
      <c r="AI168" s="126">
        <f t="shared" si="290"/>
        <v>14979</v>
      </c>
      <c r="AJ168" s="119"/>
      <c r="AK168" s="119"/>
      <c r="AL168" s="126">
        <f t="shared" si="291"/>
        <v>14979</v>
      </c>
      <c r="AM168" s="119"/>
      <c r="AN168" s="119">
        <v>1554</v>
      </c>
      <c r="AO168" s="126">
        <f t="shared" si="292"/>
        <v>13425</v>
      </c>
      <c r="AP168" s="119"/>
      <c r="AQ168" s="119"/>
      <c r="AR168" s="126">
        <f t="shared" si="293"/>
        <v>13425</v>
      </c>
      <c r="AS168" s="119">
        <v>980</v>
      </c>
      <c r="AT168" s="119"/>
      <c r="AU168" s="126">
        <f t="shared" si="294"/>
        <v>14405</v>
      </c>
      <c r="AV168" s="337"/>
    </row>
    <row r="169" spans="1:48" s="37" customFormat="1" ht="21" customHeight="1">
      <c r="A169" s="98"/>
      <c r="B169" s="116"/>
      <c r="C169" s="98">
        <v>4300</v>
      </c>
      <c r="D169" s="56" t="s">
        <v>96</v>
      </c>
      <c r="E169" s="114">
        <f>149500+4000</f>
        <v>153500</v>
      </c>
      <c r="F169" s="119"/>
      <c r="G169" s="119"/>
      <c r="H169" s="126">
        <f t="shared" si="281"/>
        <v>153500</v>
      </c>
      <c r="I169" s="119"/>
      <c r="J169" s="119">
        <v>39389</v>
      </c>
      <c r="K169" s="126">
        <f t="shared" si="282"/>
        <v>114111</v>
      </c>
      <c r="L169" s="119"/>
      <c r="M169" s="119"/>
      <c r="N169" s="126">
        <f t="shared" si="283"/>
        <v>114111</v>
      </c>
      <c r="O169" s="119"/>
      <c r="P169" s="119"/>
      <c r="Q169" s="126">
        <f t="shared" si="284"/>
        <v>114111</v>
      </c>
      <c r="R169" s="119"/>
      <c r="S169" s="119">
        <v>2066</v>
      </c>
      <c r="T169" s="126">
        <f t="shared" si="285"/>
        <v>112045</v>
      </c>
      <c r="U169" s="119">
        <v>350</v>
      </c>
      <c r="V169" s="119"/>
      <c r="W169" s="126">
        <f t="shared" si="286"/>
        <v>112395</v>
      </c>
      <c r="X169" s="119"/>
      <c r="Y169" s="119"/>
      <c r="Z169" s="126">
        <f t="shared" si="287"/>
        <v>112395</v>
      </c>
      <c r="AA169" s="119">
        <v>2403</v>
      </c>
      <c r="AB169" s="119"/>
      <c r="AC169" s="126">
        <f t="shared" si="288"/>
        <v>114798</v>
      </c>
      <c r="AD169" s="119"/>
      <c r="AE169" s="119"/>
      <c r="AF169" s="126">
        <f t="shared" si="289"/>
        <v>114798</v>
      </c>
      <c r="AG169" s="119"/>
      <c r="AH169" s="119">
        <v>5257</v>
      </c>
      <c r="AI169" s="126">
        <f t="shared" si="290"/>
        <v>109541</v>
      </c>
      <c r="AJ169" s="119"/>
      <c r="AK169" s="119"/>
      <c r="AL169" s="126">
        <f t="shared" si="291"/>
        <v>109541</v>
      </c>
      <c r="AM169" s="119">
        <v>1779</v>
      </c>
      <c r="AN169" s="119"/>
      <c r="AO169" s="126">
        <f t="shared" si="292"/>
        <v>111320</v>
      </c>
      <c r="AP169" s="119"/>
      <c r="AQ169" s="119"/>
      <c r="AR169" s="126">
        <f t="shared" si="293"/>
        <v>111320</v>
      </c>
      <c r="AS169" s="119">
        <v>2600</v>
      </c>
      <c r="AT169" s="119"/>
      <c r="AU169" s="126">
        <f t="shared" si="294"/>
        <v>113920</v>
      </c>
      <c r="AV169" s="337"/>
    </row>
    <row r="170" spans="1:48" s="37" customFormat="1" ht="21" customHeight="1">
      <c r="A170" s="98"/>
      <c r="B170" s="116"/>
      <c r="C170" s="98">
        <v>4350</v>
      </c>
      <c r="D170" s="56" t="s">
        <v>286</v>
      </c>
      <c r="E170" s="114">
        <v>8950</v>
      </c>
      <c r="F170" s="119"/>
      <c r="G170" s="119"/>
      <c r="H170" s="126">
        <f t="shared" si="281"/>
        <v>8950</v>
      </c>
      <c r="I170" s="119"/>
      <c r="J170" s="119"/>
      <c r="K170" s="126">
        <f t="shared" si="282"/>
        <v>8950</v>
      </c>
      <c r="L170" s="119"/>
      <c r="M170" s="119"/>
      <c r="N170" s="126">
        <f t="shared" si="283"/>
        <v>8950</v>
      </c>
      <c r="O170" s="119"/>
      <c r="P170" s="119"/>
      <c r="Q170" s="126">
        <f t="shared" si="284"/>
        <v>8950</v>
      </c>
      <c r="R170" s="119"/>
      <c r="S170" s="119"/>
      <c r="T170" s="126">
        <f t="shared" si="285"/>
        <v>8950</v>
      </c>
      <c r="U170" s="119"/>
      <c r="V170" s="119"/>
      <c r="W170" s="126">
        <f t="shared" si="286"/>
        <v>8950</v>
      </c>
      <c r="X170" s="119"/>
      <c r="Y170" s="119"/>
      <c r="Z170" s="126">
        <f t="shared" si="287"/>
        <v>8950</v>
      </c>
      <c r="AA170" s="119"/>
      <c r="AB170" s="119"/>
      <c r="AC170" s="126">
        <f t="shared" si="288"/>
        <v>8950</v>
      </c>
      <c r="AD170" s="119"/>
      <c r="AE170" s="119"/>
      <c r="AF170" s="126">
        <f t="shared" si="289"/>
        <v>8950</v>
      </c>
      <c r="AG170" s="119"/>
      <c r="AH170" s="119">
        <v>4719</v>
      </c>
      <c r="AI170" s="126">
        <f t="shared" si="290"/>
        <v>4231</v>
      </c>
      <c r="AJ170" s="119"/>
      <c r="AK170" s="119"/>
      <c r="AL170" s="126">
        <f t="shared" si="291"/>
        <v>4231</v>
      </c>
      <c r="AM170" s="119"/>
      <c r="AN170" s="119"/>
      <c r="AO170" s="126">
        <f t="shared" si="292"/>
        <v>4231</v>
      </c>
      <c r="AP170" s="119"/>
      <c r="AQ170" s="119"/>
      <c r="AR170" s="126">
        <f t="shared" si="293"/>
        <v>4231</v>
      </c>
      <c r="AS170" s="119"/>
      <c r="AT170" s="119"/>
      <c r="AU170" s="126">
        <f t="shared" si="294"/>
        <v>4231</v>
      </c>
      <c r="AV170" s="337"/>
    </row>
    <row r="171" spans="1:48" s="37" customFormat="1" ht="21" customHeight="1">
      <c r="A171" s="98"/>
      <c r="B171" s="116"/>
      <c r="C171" s="98">
        <v>4410</v>
      </c>
      <c r="D171" s="56" t="s">
        <v>107</v>
      </c>
      <c r="E171" s="114">
        <v>13000</v>
      </c>
      <c r="F171" s="119"/>
      <c r="G171" s="119"/>
      <c r="H171" s="126">
        <f t="shared" si="281"/>
        <v>13000</v>
      </c>
      <c r="I171" s="119"/>
      <c r="J171" s="119"/>
      <c r="K171" s="126">
        <f t="shared" si="282"/>
        <v>13000</v>
      </c>
      <c r="L171" s="119"/>
      <c r="M171" s="119"/>
      <c r="N171" s="126">
        <f t="shared" si="283"/>
        <v>13000</v>
      </c>
      <c r="O171" s="119"/>
      <c r="P171" s="119"/>
      <c r="Q171" s="126">
        <f t="shared" si="284"/>
        <v>13000</v>
      </c>
      <c r="R171" s="119"/>
      <c r="S171" s="119"/>
      <c r="T171" s="126">
        <f t="shared" si="285"/>
        <v>13000</v>
      </c>
      <c r="U171" s="119"/>
      <c r="V171" s="119"/>
      <c r="W171" s="126">
        <f t="shared" si="286"/>
        <v>13000</v>
      </c>
      <c r="X171" s="119"/>
      <c r="Y171" s="119"/>
      <c r="Z171" s="126">
        <f t="shared" si="287"/>
        <v>13000</v>
      </c>
      <c r="AA171" s="119"/>
      <c r="AB171" s="119"/>
      <c r="AC171" s="126">
        <f t="shared" si="288"/>
        <v>13000</v>
      </c>
      <c r="AD171" s="119"/>
      <c r="AE171" s="119"/>
      <c r="AF171" s="126">
        <f t="shared" si="289"/>
        <v>13000</v>
      </c>
      <c r="AG171" s="119">
        <v>300</v>
      </c>
      <c r="AH171" s="119"/>
      <c r="AI171" s="126">
        <f t="shared" si="290"/>
        <v>13300</v>
      </c>
      <c r="AJ171" s="119"/>
      <c r="AK171" s="119"/>
      <c r="AL171" s="126">
        <f t="shared" si="291"/>
        <v>13300</v>
      </c>
      <c r="AM171" s="119">
        <v>718</v>
      </c>
      <c r="AN171" s="119"/>
      <c r="AO171" s="126">
        <f t="shared" si="292"/>
        <v>14018</v>
      </c>
      <c r="AP171" s="119"/>
      <c r="AQ171" s="119"/>
      <c r="AR171" s="126">
        <f t="shared" si="293"/>
        <v>14018</v>
      </c>
      <c r="AS171" s="119">
        <v>155</v>
      </c>
      <c r="AT171" s="119"/>
      <c r="AU171" s="126">
        <f t="shared" si="294"/>
        <v>14173</v>
      </c>
      <c r="AV171" s="337"/>
    </row>
    <row r="172" spans="1:48" s="37" customFormat="1" ht="21" customHeight="1">
      <c r="A172" s="98"/>
      <c r="B172" s="116"/>
      <c r="C172" s="101">
        <v>4430</v>
      </c>
      <c r="D172" s="56" t="s">
        <v>111</v>
      </c>
      <c r="E172" s="114">
        <v>6630</v>
      </c>
      <c r="F172" s="119"/>
      <c r="G172" s="119"/>
      <c r="H172" s="126">
        <f t="shared" si="281"/>
        <v>6630</v>
      </c>
      <c r="I172" s="119"/>
      <c r="J172" s="119"/>
      <c r="K172" s="126">
        <f t="shared" si="282"/>
        <v>6630</v>
      </c>
      <c r="L172" s="119"/>
      <c r="M172" s="119"/>
      <c r="N172" s="126">
        <f t="shared" si="283"/>
        <v>6630</v>
      </c>
      <c r="O172" s="119"/>
      <c r="P172" s="119"/>
      <c r="Q172" s="126">
        <f t="shared" si="284"/>
        <v>6630</v>
      </c>
      <c r="R172" s="119"/>
      <c r="S172" s="119"/>
      <c r="T172" s="126">
        <f t="shared" si="285"/>
        <v>6630</v>
      </c>
      <c r="U172" s="119"/>
      <c r="V172" s="119"/>
      <c r="W172" s="126">
        <f t="shared" si="286"/>
        <v>6630</v>
      </c>
      <c r="X172" s="119"/>
      <c r="Y172" s="119"/>
      <c r="Z172" s="126">
        <f t="shared" si="287"/>
        <v>6630</v>
      </c>
      <c r="AA172" s="119"/>
      <c r="AB172" s="119"/>
      <c r="AC172" s="126">
        <f t="shared" si="288"/>
        <v>6630</v>
      </c>
      <c r="AD172" s="119"/>
      <c r="AE172" s="119"/>
      <c r="AF172" s="126">
        <f t="shared" si="289"/>
        <v>6630</v>
      </c>
      <c r="AG172" s="119"/>
      <c r="AH172" s="119">
        <v>2986</v>
      </c>
      <c r="AI172" s="126">
        <f t="shared" si="290"/>
        <v>3644</v>
      </c>
      <c r="AJ172" s="119"/>
      <c r="AK172" s="119"/>
      <c r="AL172" s="126">
        <f t="shared" si="291"/>
        <v>3644</v>
      </c>
      <c r="AM172" s="119"/>
      <c r="AN172" s="119"/>
      <c r="AO172" s="126">
        <f t="shared" si="292"/>
        <v>3644</v>
      </c>
      <c r="AP172" s="119"/>
      <c r="AQ172" s="119"/>
      <c r="AR172" s="126">
        <f t="shared" si="293"/>
        <v>3644</v>
      </c>
      <c r="AS172" s="119"/>
      <c r="AT172" s="119"/>
      <c r="AU172" s="126">
        <f t="shared" si="294"/>
        <v>3644</v>
      </c>
      <c r="AV172" s="337"/>
    </row>
    <row r="173" spans="1:48" s="37" customFormat="1" ht="21" customHeight="1">
      <c r="A173" s="98"/>
      <c r="B173" s="116"/>
      <c r="C173" s="101">
        <v>4440</v>
      </c>
      <c r="D173" s="56" t="s">
        <v>105</v>
      </c>
      <c r="E173" s="114">
        <v>358440</v>
      </c>
      <c r="F173" s="119"/>
      <c r="G173" s="119"/>
      <c r="H173" s="126">
        <f t="shared" si="281"/>
        <v>358440</v>
      </c>
      <c r="I173" s="119"/>
      <c r="J173" s="119"/>
      <c r="K173" s="126">
        <f t="shared" si="282"/>
        <v>358440</v>
      </c>
      <c r="L173" s="119"/>
      <c r="M173" s="119"/>
      <c r="N173" s="126">
        <f t="shared" si="283"/>
        <v>358440</v>
      </c>
      <c r="O173" s="119"/>
      <c r="P173" s="119"/>
      <c r="Q173" s="126">
        <f t="shared" si="284"/>
        <v>358440</v>
      </c>
      <c r="R173" s="119"/>
      <c r="S173" s="119"/>
      <c r="T173" s="126">
        <f t="shared" si="285"/>
        <v>358440</v>
      </c>
      <c r="U173" s="119"/>
      <c r="V173" s="119"/>
      <c r="W173" s="126">
        <f t="shared" si="286"/>
        <v>358440</v>
      </c>
      <c r="X173" s="119"/>
      <c r="Y173" s="119"/>
      <c r="Z173" s="126">
        <f t="shared" si="287"/>
        <v>358440</v>
      </c>
      <c r="AA173" s="119"/>
      <c r="AB173" s="119"/>
      <c r="AC173" s="126">
        <f t="shared" si="288"/>
        <v>358440</v>
      </c>
      <c r="AD173" s="119"/>
      <c r="AE173" s="119"/>
      <c r="AF173" s="126">
        <f t="shared" si="289"/>
        <v>358440</v>
      </c>
      <c r="AG173" s="119"/>
      <c r="AH173" s="119">
        <v>2400</v>
      </c>
      <c r="AI173" s="126">
        <f t="shared" si="290"/>
        <v>356040</v>
      </c>
      <c r="AJ173" s="119"/>
      <c r="AK173" s="119"/>
      <c r="AL173" s="126">
        <f t="shared" si="291"/>
        <v>356040</v>
      </c>
      <c r="AM173" s="119"/>
      <c r="AN173" s="119"/>
      <c r="AO173" s="126">
        <f t="shared" si="292"/>
        <v>356040</v>
      </c>
      <c r="AP173" s="119"/>
      <c r="AQ173" s="119"/>
      <c r="AR173" s="126">
        <f t="shared" si="293"/>
        <v>356040</v>
      </c>
      <c r="AS173" s="119"/>
      <c r="AT173" s="119"/>
      <c r="AU173" s="126">
        <f t="shared" si="294"/>
        <v>356040</v>
      </c>
      <c r="AV173" s="337"/>
    </row>
    <row r="174" spans="1:48" s="37" customFormat="1" ht="27.75" customHeight="1">
      <c r="A174" s="98"/>
      <c r="B174" s="116">
        <v>80103</v>
      </c>
      <c r="C174" s="101"/>
      <c r="D174" s="56" t="s">
        <v>283</v>
      </c>
      <c r="E174" s="114">
        <f aca="true" t="shared" si="295" ref="E174:K174">SUM(E175:E187)</f>
        <v>361579</v>
      </c>
      <c r="F174" s="114">
        <f t="shared" si="295"/>
        <v>1500</v>
      </c>
      <c r="G174" s="114">
        <f t="shared" si="295"/>
        <v>1500</v>
      </c>
      <c r="H174" s="114">
        <f t="shared" si="295"/>
        <v>361579</v>
      </c>
      <c r="I174" s="114">
        <f t="shared" si="295"/>
        <v>400</v>
      </c>
      <c r="J174" s="114">
        <f t="shared" si="295"/>
        <v>3329</v>
      </c>
      <c r="K174" s="114">
        <f t="shared" si="295"/>
        <v>358650</v>
      </c>
      <c r="L174" s="114"/>
      <c r="M174" s="114"/>
      <c r="N174" s="114">
        <f>SUM(N175:N187)</f>
        <v>358650</v>
      </c>
      <c r="O174" s="114"/>
      <c r="P174" s="114"/>
      <c r="Q174" s="114">
        <f aca="true" t="shared" si="296" ref="Q174:W174">SUM(Q175:Q187)</f>
        <v>358650</v>
      </c>
      <c r="R174" s="114">
        <f t="shared" si="296"/>
        <v>2000</v>
      </c>
      <c r="S174" s="114">
        <f t="shared" si="296"/>
        <v>1500</v>
      </c>
      <c r="T174" s="114">
        <f t="shared" si="296"/>
        <v>359150</v>
      </c>
      <c r="U174" s="114">
        <f t="shared" si="296"/>
        <v>0</v>
      </c>
      <c r="V174" s="114">
        <f t="shared" si="296"/>
        <v>0</v>
      </c>
      <c r="W174" s="114">
        <f t="shared" si="296"/>
        <v>359150</v>
      </c>
      <c r="X174" s="114">
        <f aca="true" t="shared" si="297" ref="X174:AC174">SUM(X175:X187)</f>
        <v>0</v>
      </c>
      <c r="Y174" s="114">
        <f t="shared" si="297"/>
        <v>0</v>
      </c>
      <c r="Z174" s="114">
        <f t="shared" si="297"/>
        <v>359150</v>
      </c>
      <c r="AA174" s="114">
        <f t="shared" si="297"/>
        <v>0</v>
      </c>
      <c r="AB174" s="114">
        <f t="shared" si="297"/>
        <v>0</v>
      </c>
      <c r="AC174" s="114">
        <f t="shared" si="297"/>
        <v>359150</v>
      </c>
      <c r="AD174" s="114">
        <f aca="true" t="shared" si="298" ref="AD174:AI174">SUM(AD175:AD187)</f>
        <v>0</v>
      </c>
      <c r="AE174" s="114">
        <f t="shared" si="298"/>
        <v>0</v>
      </c>
      <c r="AF174" s="114">
        <f t="shared" si="298"/>
        <v>359150</v>
      </c>
      <c r="AG174" s="114">
        <f t="shared" si="298"/>
        <v>336</v>
      </c>
      <c r="AH174" s="114">
        <f t="shared" si="298"/>
        <v>1193</v>
      </c>
      <c r="AI174" s="114">
        <f t="shared" si="298"/>
        <v>358293</v>
      </c>
      <c r="AJ174" s="114">
        <f aca="true" t="shared" si="299" ref="AJ174:AO174">SUM(AJ175:AJ187)</f>
        <v>0</v>
      </c>
      <c r="AK174" s="114">
        <f t="shared" si="299"/>
        <v>0</v>
      </c>
      <c r="AL174" s="114">
        <f t="shared" si="299"/>
        <v>358293</v>
      </c>
      <c r="AM174" s="114">
        <f t="shared" si="299"/>
        <v>8</v>
      </c>
      <c r="AN174" s="114">
        <f t="shared" si="299"/>
        <v>8</v>
      </c>
      <c r="AO174" s="114">
        <f t="shared" si="299"/>
        <v>358293</v>
      </c>
      <c r="AP174" s="114">
        <f aca="true" t="shared" si="300" ref="AP174:AU174">SUM(AP175:AP187)</f>
        <v>0</v>
      </c>
      <c r="AQ174" s="114">
        <f t="shared" si="300"/>
        <v>0</v>
      </c>
      <c r="AR174" s="114">
        <f t="shared" si="300"/>
        <v>358293</v>
      </c>
      <c r="AS174" s="114">
        <f t="shared" si="300"/>
        <v>705</v>
      </c>
      <c r="AT174" s="114">
        <f t="shared" si="300"/>
        <v>0</v>
      </c>
      <c r="AU174" s="114">
        <f t="shared" si="300"/>
        <v>358998</v>
      </c>
      <c r="AV174" s="339"/>
    </row>
    <row r="175" spans="1:48" s="37" customFormat="1" ht="31.5" customHeight="1">
      <c r="A175" s="98"/>
      <c r="B175" s="116"/>
      <c r="C175" s="120">
        <v>2540</v>
      </c>
      <c r="D175" s="56" t="s">
        <v>231</v>
      </c>
      <c r="E175" s="114">
        <v>68080</v>
      </c>
      <c r="F175" s="114"/>
      <c r="G175" s="114"/>
      <c r="H175" s="126">
        <f aca="true" t="shared" si="301" ref="H175:H187">SUM(E175+F175-G175)</f>
        <v>68080</v>
      </c>
      <c r="I175" s="114"/>
      <c r="J175" s="114"/>
      <c r="K175" s="126">
        <f aca="true" t="shared" si="302" ref="K175:K187">SUM(H175+I175-J175)</f>
        <v>68080</v>
      </c>
      <c r="L175" s="114"/>
      <c r="M175" s="114"/>
      <c r="N175" s="126">
        <f aca="true" t="shared" si="303" ref="N175:N187">SUM(K175+L175-M175)</f>
        <v>68080</v>
      </c>
      <c r="O175" s="114"/>
      <c r="P175" s="114"/>
      <c r="Q175" s="126">
        <f aca="true" t="shared" si="304" ref="Q175:Q187">SUM(N175+O175-P175)</f>
        <v>68080</v>
      </c>
      <c r="R175" s="114"/>
      <c r="S175" s="114"/>
      <c r="T175" s="126">
        <f aca="true" t="shared" si="305" ref="T175:T187">SUM(Q175+R175-S175)</f>
        <v>68080</v>
      </c>
      <c r="U175" s="114"/>
      <c r="V175" s="114"/>
      <c r="W175" s="126">
        <f aca="true" t="shared" si="306" ref="W175:W187">SUM(T175+U175-V175)</f>
        <v>68080</v>
      </c>
      <c r="X175" s="114"/>
      <c r="Y175" s="114"/>
      <c r="Z175" s="126">
        <f aca="true" t="shared" si="307" ref="Z175:Z187">SUM(W175+X175-Y175)</f>
        <v>68080</v>
      </c>
      <c r="AA175" s="114"/>
      <c r="AB175" s="114"/>
      <c r="AC175" s="126">
        <f aca="true" t="shared" si="308" ref="AC175:AC187">SUM(Z175+AA175-AB175)</f>
        <v>68080</v>
      </c>
      <c r="AD175" s="114"/>
      <c r="AE175" s="114"/>
      <c r="AF175" s="126">
        <f aca="true" t="shared" si="309" ref="AF175:AF187">SUM(AC175+AD175-AE175)</f>
        <v>68080</v>
      </c>
      <c r="AG175" s="114"/>
      <c r="AH175" s="114"/>
      <c r="AI175" s="126">
        <f aca="true" t="shared" si="310" ref="AI175:AI187">SUM(AF175+AG175-AH175)</f>
        <v>68080</v>
      </c>
      <c r="AJ175" s="114"/>
      <c r="AK175" s="114"/>
      <c r="AL175" s="126">
        <f aca="true" t="shared" si="311" ref="AL175:AL187">SUM(AI175+AJ175-AK175)</f>
        <v>68080</v>
      </c>
      <c r="AM175" s="114"/>
      <c r="AN175" s="114"/>
      <c r="AO175" s="126">
        <f aca="true" t="shared" si="312" ref="AO175:AO187">SUM(AL175+AM175-AN175)</f>
        <v>68080</v>
      </c>
      <c r="AP175" s="114"/>
      <c r="AQ175" s="114"/>
      <c r="AR175" s="126">
        <f aca="true" t="shared" si="313" ref="AR175:AR187">SUM(AO175+AP175-AQ175)</f>
        <v>68080</v>
      </c>
      <c r="AS175" s="114"/>
      <c r="AT175" s="114"/>
      <c r="AU175" s="126">
        <f aca="true" t="shared" si="314" ref="AU175:AU187">SUM(AR175+AS175-AT175)</f>
        <v>68080</v>
      </c>
      <c r="AV175" s="337"/>
    </row>
    <row r="176" spans="1:48" s="37" customFormat="1" ht="21" customHeight="1">
      <c r="A176" s="98"/>
      <c r="B176" s="116"/>
      <c r="C176" s="120">
        <v>3020</v>
      </c>
      <c r="D176" s="56" t="s">
        <v>246</v>
      </c>
      <c r="E176" s="114">
        <v>17750</v>
      </c>
      <c r="F176" s="119"/>
      <c r="G176" s="119"/>
      <c r="H176" s="126">
        <f t="shared" si="301"/>
        <v>17750</v>
      </c>
      <c r="I176" s="119"/>
      <c r="J176" s="119"/>
      <c r="K176" s="126">
        <f t="shared" si="302"/>
        <v>17750</v>
      </c>
      <c r="L176" s="119"/>
      <c r="M176" s="119"/>
      <c r="N176" s="126">
        <f t="shared" si="303"/>
        <v>17750</v>
      </c>
      <c r="O176" s="119"/>
      <c r="P176" s="119"/>
      <c r="Q176" s="126">
        <f t="shared" si="304"/>
        <v>17750</v>
      </c>
      <c r="R176" s="119"/>
      <c r="S176" s="119"/>
      <c r="T176" s="126">
        <f t="shared" si="305"/>
        <v>17750</v>
      </c>
      <c r="U176" s="119"/>
      <c r="V176" s="119"/>
      <c r="W176" s="126">
        <f t="shared" si="306"/>
        <v>17750</v>
      </c>
      <c r="X176" s="119"/>
      <c r="Y176" s="119"/>
      <c r="Z176" s="126">
        <f t="shared" si="307"/>
        <v>17750</v>
      </c>
      <c r="AA176" s="119"/>
      <c r="AB176" s="119"/>
      <c r="AC176" s="126">
        <f t="shared" si="308"/>
        <v>17750</v>
      </c>
      <c r="AD176" s="119"/>
      <c r="AE176" s="119"/>
      <c r="AF176" s="126">
        <f t="shared" si="309"/>
        <v>17750</v>
      </c>
      <c r="AG176" s="119"/>
      <c r="AH176" s="119">
        <v>9</v>
      </c>
      <c r="AI176" s="126">
        <f t="shared" si="310"/>
        <v>17741</v>
      </c>
      <c r="AJ176" s="119"/>
      <c r="AK176" s="119"/>
      <c r="AL176" s="126">
        <f t="shared" si="311"/>
        <v>17741</v>
      </c>
      <c r="AM176" s="119"/>
      <c r="AN176" s="119"/>
      <c r="AO176" s="126">
        <f t="shared" si="312"/>
        <v>17741</v>
      </c>
      <c r="AP176" s="119"/>
      <c r="AQ176" s="119"/>
      <c r="AR176" s="126">
        <f t="shared" si="313"/>
        <v>17741</v>
      </c>
      <c r="AS176" s="119"/>
      <c r="AT176" s="119"/>
      <c r="AU176" s="126">
        <f t="shared" si="314"/>
        <v>17741</v>
      </c>
      <c r="AV176" s="337"/>
    </row>
    <row r="177" spans="1:48" s="37" customFormat="1" ht="21" customHeight="1">
      <c r="A177" s="98"/>
      <c r="B177" s="116"/>
      <c r="C177" s="120">
        <v>4010</v>
      </c>
      <c r="D177" s="56" t="s">
        <v>101</v>
      </c>
      <c r="E177" s="114">
        <v>192997</v>
      </c>
      <c r="F177" s="119"/>
      <c r="G177" s="119"/>
      <c r="H177" s="126">
        <f t="shared" si="301"/>
        <v>192997</v>
      </c>
      <c r="I177" s="119"/>
      <c r="J177" s="119"/>
      <c r="K177" s="126">
        <f t="shared" si="302"/>
        <v>192997</v>
      </c>
      <c r="L177" s="119"/>
      <c r="M177" s="119"/>
      <c r="N177" s="126">
        <f t="shared" si="303"/>
        <v>192997</v>
      </c>
      <c r="O177" s="119"/>
      <c r="P177" s="119"/>
      <c r="Q177" s="126">
        <f t="shared" si="304"/>
        <v>192997</v>
      </c>
      <c r="R177" s="119"/>
      <c r="S177" s="119"/>
      <c r="T177" s="126">
        <f t="shared" si="305"/>
        <v>192997</v>
      </c>
      <c r="U177" s="119"/>
      <c r="V177" s="119"/>
      <c r="W177" s="126">
        <f t="shared" si="306"/>
        <v>192997</v>
      </c>
      <c r="X177" s="119"/>
      <c r="Y177" s="119"/>
      <c r="Z177" s="126">
        <f t="shared" si="307"/>
        <v>192997</v>
      </c>
      <c r="AA177" s="119"/>
      <c r="AB177" s="119"/>
      <c r="AC177" s="126">
        <f t="shared" si="308"/>
        <v>192997</v>
      </c>
      <c r="AD177" s="119"/>
      <c r="AE177" s="119"/>
      <c r="AF177" s="126">
        <f t="shared" si="309"/>
        <v>192997</v>
      </c>
      <c r="AG177" s="119">
        <v>248</v>
      </c>
      <c r="AH177" s="119"/>
      <c r="AI177" s="126">
        <f t="shared" si="310"/>
        <v>193245</v>
      </c>
      <c r="AJ177" s="119"/>
      <c r="AK177" s="119"/>
      <c r="AL177" s="126">
        <f t="shared" si="311"/>
        <v>193245</v>
      </c>
      <c r="AM177" s="119"/>
      <c r="AN177" s="119"/>
      <c r="AO177" s="126">
        <f t="shared" si="312"/>
        <v>193245</v>
      </c>
      <c r="AP177" s="119"/>
      <c r="AQ177" s="119"/>
      <c r="AR177" s="126">
        <f t="shared" si="313"/>
        <v>193245</v>
      </c>
      <c r="AS177" s="119">
        <v>705</v>
      </c>
      <c r="AT177" s="119"/>
      <c r="AU177" s="126">
        <f t="shared" si="314"/>
        <v>193950</v>
      </c>
      <c r="AV177" s="337">
        <f>SUM(AU177)</f>
        <v>193950</v>
      </c>
    </row>
    <row r="178" spans="1:48" s="37" customFormat="1" ht="21" customHeight="1">
      <c r="A178" s="98"/>
      <c r="B178" s="116"/>
      <c r="C178" s="120">
        <v>4040</v>
      </c>
      <c r="D178" s="56" t="s">
        <v>102</v>
      </c>
      <c r="E178" s="114">
        <v>15056</v>
      </c>
      <c r="F178" s="119"/>
      <c r="G178" s="119"/>
      <c r="H178" s="126">
        <f t="shared" si="301"/>
        <v>15056</v>
      </c>
      <c r="I178" s="119"/>
      <c r="J178" s="119">
        <v>2929</v>
      </c>
      <c r="K178" s="126">
        <f t="shared" si="302"/>
        <v>12127</v>
      </c>
      <c r="L178" s="119"/>
      <c r="M178" s="119"/>
      <c r="N178" s="126">
        <f t="shared" si="303"/>
        <v>12127</v>
      </c>
      <c r="O178" s="119"/>
      <c r="P178" s="119"/>
      <c r="Q178" s="126">
        <f t="shared" si="304"/>
        <v>12127</v>
      </c>
      <c r="R178" s="119"/>
      <c r="S178" s="119"/>
      <c r="T178" s="126">
        <f t="shared" si="305"/>
        <v>12127</v>
      </c>
      <c r="U178" s="119"/>
      <c r="V178" s="119"/>
      <c r="W178" s="126">
        <f t="shared" si="306"/>
        <v>12127</v>
      </c>
      <c r="X178" s="119"/>
      <c r="Y178" s="119"/>
      <c r="Z178" s="126">
        <f t="shared" si="307"/>
        <v>12127</v>
      </c>
      <c r="AA178" s="119"/>
      <c r="AB178" s="119"/>
      <c r="AC178" s="126">
        <f t="shared" si="308"/>
        <v>12127</v>
      </c>
      <c r="AD178" s="119"/>
      <c r="AE178" s="119"/>
      <c r="AF178" s="126">
        <f t="shared" si="309"/>
        <v>12127</v>
      </c>
      <c r="AG178" s="119"/>
      <c r="AH178" s="119"/>
      <c r="AI178" s="126">
        <f t="shared" si="310"/>
        <v>12127</v>
      </c>
      <c r="AJ178" s="119"/>
      <c r="AK178" s="119"/>
      <c r="AL178" s="126">
        <f t="shared" si="311"/>
        <v>12127</v>
      </c>
      <c r="AM178" s="119"/>
      <c r="AN178" s="119"/>
      <c r="AO178" s="126">
        <f t="shared" si="312"/>
        <v>12127</v>
      </c>
      <c r="AP178" s="119"/>
      <c r="AQ178" s="119"/>
      <c r="AR178" s="126">
        <f t="shared" si="313"/>
        <v>12127</v>
      </c>
      <c r="AS178" s="119"/>
      <c r="AT178" s="119"/>
      <c r="AU178" s="126">
        <f t="shared" si="314"/>
        <v>12127</v>
      </c>
      <c r="AV178" s="337">
        <f>SUM(AU178)</f>
        <v>12127</v>
      </c>
    </row>
    <row r="179" spans="1:48" s="37" customFormat="1" ht="21" customHeight="1">
      <c r="A179" s="98"/>
      <c r="B179" s="116"/>
      <c r="C179" s="120">
        <v>4110</v>
      </c>
      <c r="D179" s="56" t="s">
        <v>103</v>
      </c>
      <c r="E179" s="114">
        <v>39406</v>
      </c>
      <c r="F179" s="119"/>
      <c r="G179" s="119"/>
      <c r="H179" s="126">
        <f t="shared" si="301"/>
        <v>39406</v>
      </c>
      <c r="I179" s="119"/>
      <c r="J179" s="119"/>
      <c r="K179" s="126">
        <f t="shared" si="302"/>
        <v>39406</v>
      </c>
      <c r="L179" s="119"/>
      <c r="M179" s="119"/>
      <c r="N179" s="126">
        <f t="shared" si="303"/>
        <v>39406</v>
      </c>
      <c r="O179" s="119"/>
      <c r="P179" s="119"/>
      <c r="Q179" s="126">
        <f t="shared" si="304"/>
        <v>39406</v>
      </c>
      <c r="R179" s="119"/>
      <c r="S179" s="119"/>
      <c r="T179" s="126">
        <f t="shared" si="305"/>
        <v>39406</v>
      </c>
      <c r="U179" s="119"/>
      <c r="V179" s="119"/>
      <c r="W179" s="126">
        <f t="shared" si="306"/>
        <v>39406</v>
      </c>
      <c r="X179" s="119"/>
      <c r="Y179" s="119"/>
      <c r="Z179" s="126">
        <f t="shared" si="307"/>
        <v>39406</v>
      </c>
      <c r="AA179" s="119"/>
      <c r="AB179" s="119"/>
      <c r="AC179" s="126">
        <f t="shared" si="308"/>
        <v>39406</v>
      </c>
      <c r="AD179" s="119"/>
      <c r="AE179" s="119"/>
      <c r="AF179" s="126">
        <f t="shared" si="309"/>
        <v>39406</v>
      </c>
      <c r="AG179" s="119"/>
      <c r="AH179" s="119">
        <v>332</v>
      </c>
      <c r="AI179" s="126">
        <f t="shared" si="310"/>
        <v>39074</v>
      </c>
      <c r="AJ179" s="119"/>
      <c r="AK179" s="119"/>
      <c r="AL179" s="126">
        <f t="shared" si="311"/>
        <v>39074</v>
      </c>
      <c r="AM179" s="119"/>
      <c r="AN179" s="119"/>
      <c r="AO179" s="126">
        <f t="shared" si="312"/>
        <v>39074</v>
      </c>
      <c r="AP179" s="119"/>
      <c r="AQ179" s="119"/>
      <c r="AR179" s="126">
        <f t="shared" si="313"/>
        <v>39074</v>
      </c>
      <c r="AS179" s="119"/>
      <c r="AT179" s="119"/>
      <c r="AU179" s="126">
        <f t="shared" si="314"/>
        <v>39074</v>
      </c>
      <c r="AV179" s="337">
        <f>SUM(AU179)</f>
        <v>39074</v>
      </c>
    </row>
    <row r="180" spans="1:48" s="37" customFormat="1" ht="21" customHeight="1">
      <c r="A180" s="98"/>
      <c r="B180" s="116"/>
      <c r="C180" s="120">
        <v>4120</v>
      </c>
      <c r="D180" s="56" t="s">
        <v>104</v>
      </c>
      <c r="E180" s="114">
        <v>5367</v>
      </c>
      <c r="F180" s="119"/>
      <c r="G180" s="119"/>
      <c r="H180" s="126">
        <f t="shared" si="301"/>
        <v>5367</v>
      </c>
      <c r="I180" s="119"/>
      <c r="J180" s="119"/>
      <c r="K180" s="126">
        <f t="shared" si="302"/>
        <v>5367</v>
      </c>
      <c r="L180" s="119"/>
      <c r="M180" s="119"/>
      <c r="N180" s="126">
        <f t="shared" si="303"/>
        <v>5367</v>
      </c>
      <c r="O180" s="119"/>
      <c r="P180" s="119"/>
      <c r="Q180" s="126">
        <f t="shared" si="304"/>
        <v>5367</v>
      </c>
      <c r="R180" s="119"/>
      <c r="S180" s="119"/>
      <c r="T180" s="126">
        <f t="shared" si="305"/>
        <v>5367</v>
      </c>
      <c r="U180" s="119"/>
      <c r="V180" s="119"/>
      <c r="W180" s="126">
        <f t="shared" si="306"/>
        <v>5367</v>
      </c>
      <c r="X180" s="119"/>
      <c r="Y180" s="119"/>
      <c r="Z180" s="126">
        <f t="shared" si="307"/>
        <v>5367</v>
      </c>
      <c r="AA180" s="119"/>
      <c r="AB180" s="119"/>
      <c r="AC180" s="126">
        <f t="shared" si="308"/>
        <v>5367</v>
      </c>
      <c r="AD180" s="119"/>
      <c r="AE180" s="119"/>
      <c r="AF180" s="126">
        <f t="shared" si="309"/>
        <v>5367</v>
      </c>
      <c r="AG180" s="119">
        <v>88</v>
      </c>
      <c r="AH180" s="119"/>
      <c r="AI180" s="126">
        <f t="shared" si="310"/>
        <v>5455</v>
      </c>
      <c r="AJ180" s="119"/>
      <c r="AK180" s="119"/>
      <c r="AL180" s="126">
        <f t="shared" si="311"/>
        <v>5455</v>
      </c>
      <c r="AM180" s="119"/>
      <c r="AN180" s="119"/>
      <c r="AO180" s="126">
        <f t="shared" si="312"/>
        <v>5455</v>
      </c>
      <c r="AP180" s="119"/>
      <c r="AQ180" s="119"/>
      <c r="AR180" s="126">
        <f t="shared" si="313"/>
        <v>5455</v>
      </c>
      <c r="AS180" s="119"/>
      <c r="AT180" s="119"/>
      <c r="AU180" s="126">
        <f t="shared" si="314"/>
        <v>5455</v>
      </c>
      <c r="AV180" s="337">
        <f>SUM(AU180)</f>
        <v>5455</v>
      </c>
    </row>
    <row r="181" spans="1:48" s="37" customFormat="1" ht="21" customHeight="1">
      <c r="A181" s="98"/>
      <c r="B181" s="116"/>
      <c r="C181" s="120">
        <v>4210</v>
      </c>
      <c r="D181" s="56" t="s">
        <v>89</v>
      </c>
      <c r="E181" s="114">
        <f>2200+1500</f>
        <v>3700</v>
      </c>
      <c r="F181" s="119"/>
      <c r="G181" s="119">
        <v>1500</v>
      </c>
      <c r="H181" s="126">
        <f t="shared" si="301"/>
        <v>2200</v>
      </c>
      <c r="I181" s="119"/>
      <c r="J181" s="119"/>
      <c r="K181" s="126">
        <f t="shared" si="302"/>
        <v>2200</v>
      </c>
      <c r="L181" s="119"/>
      <c r="M181" s="119"/>
      <c r="N181" s="126">
        <f t="shared" si="303"/>
        <v>2200</v>
      </c>
      <c r="O181" s="119"/>
      <c r="P181" s="119"/>
      <c r="Q181" s="126">
        <f t="shared" si="304"/>
        <v>2200</v>
      </c>
      <c r="R181" s="119">
        <v>250</v>
      </c>
      <c r="S181" s="119"/>
      <c r="T181" s="126">
        <f t="shared" si="305"/>
        <v>2450</v>
      </c>
      <c r="U181" s="119"/>
      <c r="V181" s="119"/>
      <c r="W181" s="126">
        <f t="shared" si="306"/>
        <v>2450</v>
      </c>
      <c r="X181" s="119"/>
      <c r="Y181" s="119"/>
      <c r="Z181" s="126">
        <f t="shared" si="307"/>
        <v>2450</v>
      </c>
      <c r="AA181" s="119"/>
      <c r="AB181" s="119"/>
      <c r="AC181" s="126">
        <f t="shared" si="308"/>
        <v>2450</v>
      </c>
      <c r="AD181" s="119"/>
      <c r="AE181" s="119"/>
      <c r="AF181" s="126">
        <f t="shared" si="309"/>
        <v>2450</v>
      </c>
      <c r="AG181" s="119"/>
      <c r="AH181" s="119"/>
      <c r="AI181" s="126">
        <f t="shared" si="310"/>
        <v>2450</v>
      </c>
      <c r="AJ181" s="119"/>
      <c r="AK181" s="119"/>
      <c r="AL181" s="126">
        <f t="shared" si="311"/>
        <v>2450</v>
      </c>
      <c r="AM181" s="119"/>
      <c r="AN181" s="119">
        <v>8</v>
      </c>
      <c r="AO181" s="126">
        <f t="shared" si="312"/>
        <v>2442</v>
      </c>
      <c r="AP181" s="119"/>
      <c r="AQ181" s="119"/>
      <c r="AR181" s="126">
        <f t="shared" si="313"/>
        <v>2442</v>
      </c>
      <c r="AS181" s="119"/>
      <c r="AT181" s="119"/>
      <c r="AU181" s="126">
        <f t="shared" si="314"/>
        <v>2442</v>
      </c>
      <c r="AV181" s="337"/>
    </row>
    <row r="182" spans="1:48" s="37" customFormat="1" ht="21" customHeight="1">
      <c r="A182" s="98"/>
      <c r="B182" s="116"/>
      <c r="C182" s="120">
        <v>4240</v>
      </c>
      <c r="D182" s="56" t="s">
        <v>142</v>
      </c>
      <c r="E182" s="114">
        <v>1500</v>
      </c>
      <c r="F182" s="119"/>
      <c r="G182" s="119"/>
      <c r="H182" s="126">
        <f t="shared" si="301"/>
        <v>1500</v>
      </c>
      <c r="I182" s="119"/>
      <c r="J182" s="119"/>
      <c r="K182" s="126">
        <f t="shared" si="302"/>
        <v>1500</v>
      </c>
      <c r="L182" s="119"/>
      <c r="M182" s="119"/>
      <c r="N182" s="126">
        <f t="shared" si="303"/>
        <v>1500</v>
      </c>
      <c r="O182" s="119"/>
      <c r="P182" s="119"/>
      <c r="Q182" s="126">
        <f t="shared" si="304"/>
        <v>1500</v>
      </c>
      <c r="R182" s="119">
        <v>1250</v>
      </c>
      <c r="S182" s="119"/>
      <c r="T182" s="126">
        <f t="shared" si="305"/>
        <v>2750</v>
      </c>
      <c r="U182" s="119"/>
      <c r="V182" s="119"/>
      <c r="W182" s="126">
        <f t="shared" si="306"/>
        <v>2750</v>
      </c>
      <c r="X182" s="119"/>
      <c r="Y182" s="119"/>
      <c r="Z182" s="126">
        <f t="shared" si="307"/>
        <v>2750</v>
      </c>
      <c r="AA182" s="119"/>
      <c r="AB182" s="119"/>
      <c r="AC182" s="126">
        <f t="shared" si="308"/>
        <v>2750</v>
      </c>
      <c r="AD182" s="119"/>
      <c r="AE182" s="119"/>
      <c r="AF182" s="126">
        <f t="shared" si="309"/>
        <v>2750</v>
      </c>
      <c r="AG182" s="119"/>
      <c r="AH182" s="119"/>
      <c r="AI182" s="126">
        <f t="shared" si="310"/>
        <v>2750</v>
      </c>
      <c r="AJ182" s="119"/>
      <c r="AK182" s="119"/>
      <c r="AL182" s="126">
        <f t="shared" si="311"/>
        <v>2750</v>
      </c>
      <c r="AM182" s="119"/>
      <c r="AN182" s="119"/>
      <c r="AO182" s="126">
        <f t="shared" si="312"/>
        <v>2750</v>
      </c>
      <c r="AP182" s="119"/>
      <c r="AQ182" s="119"/>
      <c r="AR182" s="126">
        <f t="shared" si="313"/>
        <v>2750</v>
      </c>
      <c r="AS182" s="119"/>
      <c r="AT182" s="119"/>
      <c r="AU182" s="126">
        <f t="shared" si="314"/>
        <v>2750</v>
      </c>
      <c r="AV182" s="337"/>
    </row>
    <row r="183" spans="1:48" s="37" customFormat="1" ht="21" customHeight="1">
      <c r="A183" s="98"/>
      <c r="B183" s="116"/>
      <c r="C183" s="120">
        <v>4260</v>
      </c>
      <c r="D183" s="56" t="s">
        <v>112</v>
      </c>
      <c r="E183" s="114">
        <v>350</v>
      </c>
      <c r="F183" s="119"/>
      <c r="G183" s="119"/>
      <c r="H183" s="126">
        <f t="shared" si="301"/>
        <v>350</v>
      </c>
      <c r="I183" s="119"/>
      <c r="J183" s="119"/>
      <c r="K183" s="126">
        <f t="shared" si="302"/>
        <v>350</v>
      </c>
      <c r="L183" s="119"/>
      <c r="M183" s="119"/>
      <c r="N183" s="126">
        <f t="shared" si="303"/>
        <v>350</v>
      </c>
      <c r="O183" s="119"/>
      <c r="P183" s="119"/>
      <c r="Q183" s="126">
        <f t="shared" si="304"/>
        <v>350</v>
      </c>
      <c r="R183" s="119"/>
      <c r="S183" s="119"/>
      <c r="T183" s="126">
        <f t="shared" si="305"/>
        <v>350</v>
      </c>
      <c r="U183" s="119"/>
      <c r="V183" s="119"/>
      <c r="W183" s="126">
        <f t="shared" si="306"/>
        <v>350</v>
      </c>
      <c r="X183" s="119"/>
      <c r="Y183" s="119"/>
      <c r="Z183" s="126">
        <f t="shared" si="307"/>
        <v>350</v>
      </c>
      <c r="AA183" s="119"/>
      <c r="AB183" s="119"/>
      <c r="AC183" s="126">
        <f t="shared" si="308"/>
        <v>350</v>
      </c>
      <c r="AD183" s="119"/>
      <c r="AE183" s="119"/>
      <c r="AF183" s="126">
        <f t="shared" si="309"/>
        <v>350</v>
      </c>
      <c r="AG183" s="119"/>
      <c r="AH183" s="119">
        <v>50</v>
      </c>
      <c r="AI183" s="126">
        <f t="shared" si="310"/>
        <v>300</v>
      </c>
      <c r="AJ183" s="119"/>
      <c r="AK183" s="119"/>
      <c r="AL183" s="126">
        <f t="shared" si="311"/>
        <v>300</v>
      </c>
      <c r="AM183" s="119">
        <v>8</v>
      </c>
      <c r="AN183" s="119"/>
      <c r="AO183" s="126">
        <f t="shared" si="312"/>
        <v>308</v>
      </c>
      <c r="AP183" s="119"/>
      <c r="AQ183" s="119"/>
      <c r="AR183" s="126">
        <f t="shared" si="313"/>
        <v>308</v>
      </c>
      <c r="AS183" s="119"/>
      <c r="AT183" s="119"/>
      <c r="AU183" s="126">
        <f t="shared" si="314"/>
        <v>308</v>
      </c>
      <c r="AV183" s="337"/>
    </row>
    <row r="184" spans="1:48" s="37" customFormat="1" ht="19.5" customHeight="1">
      <c r="A184" s="98"/>
      <c r="B184" s="116"/>
      <c r="C184" s="120">
        <v>4270</v>
      </c>
      <c r="D184" s="56" t="s">
        <v>95</v>
      </c>
      <c r="E184" s="114"/>
      <c r="F184" s="119"/>
      <c r="G184" s="119"/>
      <c r="H184" s="126"/>
      <c r="I184" s="119"/>
      <c r="J184" s="119"/>
      <c r="K184" s="126"/>
      <c r="L184" s="119"/>
      <c r="M184" s="119"/>
      <c r="N184" s="126"/>
      <c r="O184" s="119"/>
      <c r="P184" s="119"/>
      <c r="Q184" s="126">
        <v>0</v>
      </c>
      <c r="R184" s="119">
        <v>500</v>
      </c>
      <c r="S184" s="119"/>
      <c r="T184" s="126">
        <f t="shared" si="305"/>
        <v>500</v>
      </c>
      <c r="U184" s="119"/>
      <c r="V184" s="119"/>
      <c r="W184" s="126">
        <f t="shared" si="306"/>
        <v>500</v>
      </c>
      <c r="X184" s="119"/>
      <c r="Y184" s="119"/>
      <c r="Z184" s="126">
        <f t="shared" si="307"/>
        <v>500</v>
      </c>
      <c r="AA184" s="119"/>
      <c r="AB184" s="119"/>
      <c r="AC184" s="126">
        <f t="shared" si="308"/>
        <v>500</v>
      </c>
      <c r="AD184" s="119"/>
      <c r="AE184" s="119"/>
      <c r="AF184" s="126">
        <f t="shared" si="309"/>
        <v>500</v>
      </c>
      <c r="AG184" s="119"/>
      <c r="AH184" s="119"/>
      <c r="AI184" s="126">
        <f t="shared" si="310"/>
        <v>500</v>
      </c>
      <c r="AJ184" s="119"/>
      <c r="AK184" s="119"/>
      <c r="AL184" s="126">
        <f t="shared" si="311"/>
        <v>500</v>
      </c>
      <c r="AM184" s="119"/>
      <c r="AN184" s="119"/>
      <c r="AO184" s="126">
        <f t="shared" si="312"/>
        <v>500</v>
      </c>
      <c r="AP184" s="119"/>
      <c r="AQ184" s="119"/>
      <c r="AR184" s="126">
        <f t="shared" si="313"/>
        <v>500</v>
      </c>
      <c r="AS184" s="119"/>
      <c r="AT184" s="119"/>
      <c r="AU184" s="126">
        <f t="shared" si="314"/>
        <v>500</v>
      </c>
      <c r="AV184" s="337"/>
    </row>
    <row r="185" spans="1:48" s="37" customFormat="1" ht="21" customHeight="1">
      <c r="A185" s="98"/>
      <c r="B185" s="116"/>
      <c r="C185" s="120">
        <v>4280</v>
      </c>
      <c r="D185" s="56" t="s">
        <v>267</v>
      </c>
      <c r="E185" s="114"/>
      <c r="F185" s="119"/>
      <c r="G185" s="119"/>
      <c r="H185" s="126">
        <v>0</v>
      </c>
      <c r="I185" s="119">
        <v>400</v>
      </c>
      <c r="J185" s="119"/>
      <c r="K185" s="126">
        <f t="shared" si="302"/>
        <v>400</v>
      </c>
      <c r="L185" s="119"/>
      <c r="M185" s="119"/>
      <c r="N185" s="126">
        <f t="shared" si="303"/>
        <v>400</v>
      </c>
      <c r="O185" s="119"/>
      <c r="P185" s="119"/>
      <c r="Q185" s="126">
        <f t="shared" si="304"/>
        <v>400</v>
      </c>
      <c r="R185" s="119"/>
      <c r="S185" s="119"/>
      <c r="T185" s="126">
        <f t="shared" si="305"/>
        <v>400</v>
      </c>
      <c r="U185" s="119"/>
      <c r="V185" s="119"/>
      <c r="W185" s="126">
        <f t="shared" si="306"/>
        <v>400</v>
      </c>
      <c r="X185" s="119"/>
      <c r="Y185" s="119"/>
      <c r="Z185" s="126">
        <f t="shared" si="307"/>
        <v>400</v>
      </c>
      <c r="AA185" s="119"/>
      <c r="AB185" s="119"/>
      <c r="AC185" s="126">
        <f t="shared" si="308"/>
        <v>400</v>
      </c>
      <c r="AD185" s="119"/>
      <c r="AE185" s="119"/>
      <c r="AF185" s="126">
        <f t="shared" si="309"/>
        <v>400</v>
      </c>
      <c r="AG185" s="119"/>
      <c r="AH185" s="119"/>
      <c r="AI185" s="126">
        <f t="shared" si="310"/>
        <v>400</v>
      </c>
      <c r="AJ185" s="119"/>
      <c r="AK185" s="119"/>
      <c r="AL185" s="126">
        <f t="shared" si="311"/>
        <v>400</v>
      </c>
      <c r="AM185" s="119"/>
      <c r="AN185" s="119"/>
      <c r="AO185" s="126">
        <f t="shared" si="312"/>
        <v>400</v>
      </c>
      <c r="AP185" s="119"/>
      <c r="AQ185" s="119"/>
      <c r="AR185" s="126">
        <f t="shared" si="313"/>
        <v>400</v>
      </c>
      <c r="AS185" s="119"/>
      <c r="AT185" s="119"/>
      <c r="AU185" s="126">
        <f t="shared" si="314"/>
        <v>400</v>
      </c>
      <c r="AV185" s="337"/>
    </row>
    <row r="186" spans="1:48" s="37" customFormat="1" ht="20.25" customHeight="1">
      <c r="A186" s="98"/>
      <c r="B186" s="116"/>
      <c r="C186" s="120">
        <v>4300</v>
      </c>
      <c r="D186" s="56" t="s">
        <v>96</v>
      </c>
      <c r="E186" s="114">
        <v>1200</v>
      </c>
      <c r="F186" s="119">
        <v>1500</v>
      </c>
      <c r="G186" s="119"/>
      <c r="H186" s="126">
        <f t="shared" si="301"/>
        <v>2700</v>
      </c>
      <c r="I186" s="119"/>
      <c r="J186" s="119">
        <v>400</v>
      </c>
      <c r="K186" s="126">
        <f t="shared" si="302"/>
        <v>2300</v>
      </c>
      <c r="L186" s="119"/>
      <c r="M186" s="119"/>
      <c r="N186" s="126">
        <f t="shared" si="303"/>
        <v>2300</v>
      </c>
      <c r="O186" s="119"/>
      <c r="P186" s="119"/>
      <c r="Q186" s="126">
        <f t="shared" si="304"/>
        <v>2300</v>
      </c>
      <c r="R186" s="119"/>
      <c r="S186" s="119">
        <v>1500</v>
      </c>
      <c r="T186" s="126">
        <f t="shared" si="305"/>
        <v>800</v>
      </c>
      <c r="U186" s="119"/>
      <c r="V186" s="119"/>
      <c r="W186" s="126">
        <f t="shared" si="306"/>
        <v>800</v>
      </c>
      <c r="X186" s="119"/>
      <c r="Y186" s="119"/>
      <c r="Z186" s="126">
        <f t="shared" si="307"/>
        <v>800</v>
      </c>
      <c r="AA186" s="119"/>
      <c r="AB186" s="119"/>
      <c r="AC186" s="126">
        <f t="shared" si="308"/>
        <v>800</v>
      </c>
      <c r="AD186" s="119"/>
      <c r="AE186" s="119"/>
      <c r="AF186" s="126">
        <f t="shared" si="309"/>
        <v>800</v>
      </c>
      <c r="AG186" s="119"/>
      <c r="AH186" s="119">
        <v>800</v>
      </c>
      <c r="AI186" s="126">
        <f t="shared" si="310"/>
        <v>0</v>
      </c>
      <c r="AJ186" s="119"/>
      <c r="AK186" s="119"/>
      <c r="AL186" s="126">
        <f t="shared" si="311"/>
        <v>0</v>
      </c>
      <c r="AM186" s="119"/>
      <c r="AN186" s="119"/>
      <c r="AO186" s="126">
        <f t="shared" si="312"/>
        <v>0</v>
      </c>
      <c r="AP186" s="119"/>
      <c r="AQ186" s="119"/>
      <c r="AR186" s="126">
        <f t="shared" si="313"/>
        <v>0</v>
      </c>
      <c r="AS186" s="119"/>
      <c r="AT186" s="119"/>
      <c r="AU186" s="126">
        <f t="shared" si="314"/>
        <v>0</v>
      </c>
      <c r="AV186" s="337"/>
    </row>
    <row r="187" spans="1:48" s="37" customFormat="1" ht="21" customHeight="1">
      <c r="A187" s="98"/>
      <c r="B187" s="116"/>
      <c r="C187" s="120">
        <v>4440</v>
      </c>
      <c r="D187" s="56" t="s">
        <v>133</v>
      </c>
      <c r="E187" s="114">
        <v>16173</v>
      </c>
      <c r="F187" s="119"/>
      <c r="G187" s="119"/>
      <c r="H187" s="126">
        <f t="shared" si="301"/>
        <v>16173</v>
      </c>
      <c r="I187" s="119"/>
      <c r="J187" s="119"/>
      <c r="K187" s="126">
        <f t="shared" si="302"/>
        <v>16173</v>
      </c>
      <c r="L187" s="119"/>
      <c r="M187" s="119"/>
      <c r="N187" s="126">
        <f t="shared" si="303"/>
        <v>16173</v>
      </c>
      <c r="O187" s="119"/>
      <c r="P187" s="119"/>
      <c r="Q187" s="126">
        <f t="shared" si="304"/>
        <v>16173</v>
      </c>
      <c r="R187" s="119"/>
      <c r="S187" s="119"/>
      <c r="T187" s="126">
        <f t="shared" si="305"/>
        <v>16173</v>
      </c>
      <c r="U187" s="119"/>
      <c r="V187" s="119"/>
      <c r="W187" s="126">
        <f t="shared" si="306"/>
        <v>16173</v>
      </c>
      <c r="X187" s="119"/>
      <c r="Y187" s="119"/>
      <c r="Z187" s="126">
        <f t="shared" si="307"/>
        <v>16173</v>
      </c>
      <c r="AA187" s="119"/>
      <c r="AB187" s="119"/>
      <c r="AC187" s="126">
        <f t="shared" si="308"/>
        <v>16173</v>
      </c>
      <c r="AD187" s="119"/>
      <c r="AE187" s="119"/>
      <c r="AF187" s="126">
        <f t="shared" si="309"/>
        <v>16173</v>
      </c>
      <c r="AG187" s="119"/>
      <c r="AH187" s="119">
        <v>2</v>
      </c>
      <c r="AI187" s="126">
        <f t="shared" si="310"/>
        <v>16171</v>
      </c>
      <c r="AJ187" s="119"/>
      <c r="AK187" s="119"/>
      <c r="AL187" s="126">
        <f t="shared" si="311"/>
        <v>16171</v>
      </c>
      <c r="AM187" s="119"/>
      <c r="AN187" s="119"/>
      <c r="AO187" s="126">
        <f t="shared" si="312"/>
        <v>16171</v>
      </c>
      <c r="AP187" s="119"/>
      <c r="AQ187" s="119"/>
      <c r="AR187" s="126">
        <f t="shared" si="313"/>
        <v>16171</v>
      </c>
      <c r="AS187" s="119"/>
      <c r="AT187" s="119"/>
      <c r="AU187" s="126">
        <f t="shared" si="314"/>
        <v>16171</v>
      </c>
      <c r="AV187" s="337"/>
    </row>
    <row r="188" spans="1:48" s="37" customFormat="1" ht="21.75" customHeight="1">
      <c r="A188" s="122"/>
      <c r="B188" s="116" t="s">
        <v>132</v>
      </c>
      <c r="C188" s="120"/>
      <c r="D188" s="56" t="s">
        <v>143</v>
      </c>
      <c r="E188" s="114">
        <f aca="true" t="shared" si="315" ref="E188:K188">SUM(E189:E190)</f>
        <v>2635055</v>
      </c>
      <c r="F188" s="114">
        <f t="shared" si="315"/>
        <v>30000</v>
      </c>
      <c r="G188" s="114">
        <f t="shared" si="315"/>
        <v>0</v>
      </c>
      <c r="H188" s="114">
        <f t="shared" si="315"/>
        <v>2665055</v>
      </c>
      <c r="I188" s="114">
        <f t="shared" si="315"/>
        <v>8060</v>
      </c>
      <c r="J188" s="114">
        <f t="shared" si="315"/>
        <v>0</v>
      </c>
      <c r="K188" s="114">
        <f t="shared" si="315"/>
        <v>2673115</v>
      </c>
      <c r="L188" s="114">
        <f aca="true" t="shared" si="316" ref="L188:Q188">SUM(L189:L190)</f>
        <v>0</v>
      </c>
      <c r="M188" s="114">
        <f t="shared" si="316"/>
        <v>0</v>
      </c>
      <c r="N188" s="114">
        <f t="shared" si="316"/>
        <v>2673115</v>
      </c>
      <c r="O188" s="114">
        <f t="shared" si="316"/>
        <v>5000</v>
      </c>
      <c r="P188" s="114">
        <f t="shared" si="316"/>
        <v>0</v>
      </c>
      <c r="Q188" s="114">
        <f t="shared" si="316"/>
        <v>2678115</v>
      </c>
      <c r="R188" s="114">
        <f aca="true" t="shared" si="317" ref="R188:W188">SUM(R189:R190)</f>
        <v>0</v>
      </c>
      <c r="S188" s="114">
        <f t="shared" si="317"/>
        <v>13800</v>
      </c>
      <c r="T188" s="114">
        <f t="shared" si="317"/>
        <v>2664315</v>
      </c>
      <c r="U188" s="114">
        <f t="shared" si="317"/>
        <v>0</v>
      </c>
      <c r="V188" s="114">
        <f t="shared" si="317"/>
        <v>0</v>
      </c>
      <c r="W188" s="114">
        <f t="shared" si="317"/>
        <v>2664315</v>
      </c>
      <c r="X188" s="114">
        <f aca="true" t="shared" si="318" ref="X188:AC188">SUM(X189:X190)</f>
        <v>0</v>
      </c>
      <c r="Y188" s="114">
        <f t="shared" si="318"/>
        <v>0</v>
      </c>
      <c r="Z188" s="114">
        <f t="shared" si="318"/>
        <v>2664315</v>
      </c>
      <c r="AA188" s="114">
        <f t="shared" si="318"/>
        <v>0</v>
      </c>
      <c r="AB188" s="114">
        <f t="shared" si="318"/>
        <v>0</v>
      </c>
      <c r="AC188" s="114">
        <f t="shared" si="318"/>
        <v>2664315</v>
      </c>
      <c r="AD188" s="114">
        <f aca="true" t="shared" si="319" ref="AD188:AI188">SUM(AD189:AD190)</f>
        <v>0</v>
      </c>
      <c r="AE188" s="114">
        <f t="shared" si="319"/>
        <v>0</v>
      </c>
      <c r="AF188" s="114">
        <f t="shared" si="319"/>
        <v>2664315</v>
      </c>
      <c r="AG188" s="114">
        <f t="shared" si="319"/>
        <v>0</v>
      </c>
      <c r="AH188" s="114">
        <f t="shared" si="319"/>
        <v>72389</v>
      </c>
      <c r="AI188" s="114">
        <f t="shared" si="319"/>
        <v>2591926</v>
      </c>
      <c r="AJ188" s="114">
        <f aca="true" t="shared" si="320" ref="AJ188:AO188">SUM(AJ189:AJ190)</f>
        <v>0</v>
      </c>
      <c r="AK188" s="114">
        <f t="shared" si="320"/>
        <v>0</v>
      </c>
      <c r="AL188" s="114">
        <f t="shared" si="320"/>
        <v>2591926</v>
      </c>
      <c r="AM188" s="114">
        <f t="shared" si="320"/>
        <v>0</v>
      </c>
      <c r="AN188" s="114">
        <f t="shared" si="320"/>
        <v>0</v>
      </c>
      <c r="AO188" s="114">
        <f t="shared" si="320"/>
        <v>2591926</v>
      </c>
      <c r="AP188" s="114">
        <f aca="true" t="shared" si="321" ref="AP188:AU188">SUM(AP189:AP190)</f>
        <v>0</v>
      </c>
      <c r="AQ188" s="114">
        <f t="shared" si="321"/>
        <v>0</v>
      </c>
      <c r="AR188" s="114">
        <f t="shared" si="321"/>
        <v>2591926</v>
      </c>
      <c r="AS188" s="114">
        <f t="shared" si="321"/>
        <v>15000</v>
      </c>
      <c r="AT188" s="114">
        <f t="shared" si="321"/>
        <v>0</v>
      </c>
      <c r="AU188" s="114">
        <f t="shared" si="321"/>
        <v>2606926</v>
      </c>
      <c r="AV188" s="339"/>
    </row>
    <row r="189" spans="1:48" s="37" customFormat="1" ht="23.25" customHeight="1">
      <c r="A189" s="122"/>
      <c r="B189" s="116"/>
      <c r="C189" s="120">
        <v>2510</v>
      </c>
      <c r="D189" s="56" t="s">
        <v>144</v>
      </c>
      <c r="E189" s="114">
        <f>2635055</f>
        <v>2635055</v>
      </c>
      <c r="F189" s="119"/>
      <c r="G189" s="119"/>
      <c r="H189" s="126">
        <f>SUM(E189+F189-G189)</f>
        <v>2635055</v>
      </c>
      <c r="I189" s="119">
        <f>3560+4500</f>
        <v>8060</v>
      </c>
      <c r="J189" s="119"/>
      <c r="K189" s="126">
        <f>SUM(H189+I189-J189)</f>
        <v>2643115</v>
      </c>
      <c r="L189" s="119"/>
      <c r="M189" s="119"/>
      <c r="N189" s="126">
        <f>SUM(K189+L189-M189)</f>
        <v>2643115</v>
      </c>
      <c r="O189" s="119">
        <v>5000</v>
      </c>
      <c r="P189" s="119"/>
      <c r="Q189" s="126">
        <f>SUM(N189+O189-P189)</f>
        <v>2648115</v>
      </c>
      <c r="R189" s="119"/>
      <c r="S189" s="119"/>
      <c r="T189" s="126">
        <f>SUM(Q189+R189-S189)</f>
        <v>2648115</v>
      </c>
      <c r="U189" s="119"/>
      <c r="V189" s="119"/>
      <c r="W189" s="126">
        <f>SUM(T189+U189-V189)</f>
        <v>2648115</v>
      </c>
      <c r="X189" s="119"/>
      <c r="Y189" s="119"/>
      <c r="Z189" s="126">
        <f>SUM(W189+X189-Y189)</f>
        <v>2648115</v>
      </c>
      <c r="AA189" s="119"/>
      <c r="AB189" s="119"/>
      <c r="AC189" s="126">
        <f>SUM(Z189+AA189-AB189)</f>
        <v>2648115</v>
      </c>
      <c r="AD189" s="119"/>
      <c r="AE189" s="119"/>
      <c r="AF189" s="126">
        <f>SUM(AC189+AD189-AE189)</f>
        <v>2648115</v>
      </c>
      <c r="AG189" s="119"/>
      <c r="AH189" s="119">
        <v>72389</v>
      </c>
      <c r="AI189" s="126">
        <f>SUM(AF189+AG189-AH189)</f>
        <v>2575726</v>
      </c>
      <c r="AJ189" s="119"/>
      <c r="AK189" s="119"/>
      <c r="AL189" s="126">
        <f>SUM(AI189+AJ189-AK189)</f>
        <v>2575726</v>
      </c>
      <c r="AM189" s="119"/>
      <c r="AN189" s="119"/>
      <c r="AO189" s="126">
        <f>SUM(AL189+AM189-AN189)</f>
        <v>2575726</v>
      </c>
      <c r="AP189" s="119"/>
      <c r="AQ189" s="119"/>
      <c r="AR189" s="126">
        <f>SUM(AO189+AP189-AQ189)</f>
        <v>2575726</v>
      </c>
      <c r="AS189" s="119"/>
      <c r="AT189" s="119"/>
      <c r="AU189" s="126">
        <f>SUM(AR189+AS189-AT189)</f>
        <v>2575726</v>
      </c>
      <c r="AV189" s="337"/>
    </row>
    <row r="190" spans="1:48" s="37" customFormat="1" ht="20.25" customHeight="1">
      <c r="A190" s="122"/>
      <c r="B190" s="116"/>
      <c r="C190" s="120">
        <v>4270</v>
      </c>
      <c r="D190" s="56" t="s">
        <v>95</v>
      </c>
      <c r="E190" s="114">
        <v>0</v>
      </c>
      <c r="F190" s="119">
        <v>30000</v>
      </c>
      <c r="G190" s="119"/>
      <c r="H190" s="126">
        <f>SUM(E190+F190-G190)</f>
        <v>30000</v>
      </c>
      <c r="I190" s="119"/>
      <c r="J190" s="119"/>
      <c r="K190" s="126">
        <f>SUM(H190+I190-J190)</f>
        <v>30000</v>
      </c>
      <c r="L190" s="119"/>
      <c r="M190" s="119"/>
      <c r="N190" s="126">
        <f>SUM(K190+L190-M190)</f>
        <v>30000</v>
      </c>
      <c r="O190" s="119"/>
      <c r="P190" s="119"/>
      <c r="Q190" s="126">
        <f>SUM(N190+O190-P190)</f>
        <v>30000</v>
      </c>
      <c r="R190" s="119"/>
      <c r="S190" s="119">
        <v>13800</v>
      </c>
      <c r="T190" s="126">
        <f>SUM(Q190+R190-S190)</f>
        <v>16200</v>
      </c>
      <c r="U190" s="119"/>
      <c r="V190" s="119"/>
      <c r="W190" s="126">
        <f>SUM(T190+U190-V190)</f>
        <v>16200</v>
      </c>
      <c r="X190" s="119"/>
      <c r="Y190" s="119"/>
      <c r="Z190" s="126">
        <f>SUM(W190+X190-Y190)</f>
        <v>16200</v>
      </c>
      <c r="AA190" s="119"/>
      <c r="AB190" s="119"/>
      <c r="AC190" s="126">
        <f>SUM(Z190+AA190-AB190)</f>
        <v>16200</v>
      </c>
      <c r="AD190" s="119"/>
      <c r="AE190" s="119"/>
      <c r="AF190" s="126">
        <f>SUM(AC190+AD190-AE190)</f>
        <v>16200</v>
      </c>
      <c r="AG190" s="119"/>
      <c r="AH190" s="119"/>
      <c r="AI190" s="126">
        <f>SUM(AF190+AG190-AH190)</f>
        <v>16200</v>
      </c>
      <c r="AJ190" s="119"/>
      <c r="AK190" s="119"/>
      <c r="AL190" s="126">
        <f>SUM(AI190+AJ190-AK190)</f>
        <v>16200</v>
      </c>
      <c r="AM190" s="119"/>
      <c r="AN190" s="119"/>
      <c r="AO190" s="126">
        <f>SUM(AL190+AM190-AN190)</f>
        <v>16200</v>
      </c>
      <c r="AP190" s="119"/>
      <c r="AQ190" s="119"/>
      <c r="AR190" s="126">
        <f>SUM(AO190+AP190-AQ190)</f>
        <v>16200</v>
      </c>
      <c r="AS190" s="119">
        <v>15000</v>
      </c>
      <c r="AT190" s="119"/>
      <c r="AU190" s="126">
        <f>SUM(AR190+AS190-AT190)</f>
        <v>31200</v>
      </c>
      <c r="AV190" s="337"/>
    </row>
    <row r="191" spans="1:48" s="37" customFormat="1" ht="21.75" customHeight="1">
      <c r="A191" s="122"/>
      <c r="B191" s="116" t="s">
        <v>134</v>
      </c>
      <c r="C191" s="120"/>
      <c r="D191" s="56" t="s">
        <v>67</v>
      </c>
      <c r="E191" s="114">
        <f aca="true" t="shared" si="322" ref="E191:K191">SUM(E192:E213)</f>
        <v>4254459</v>
      </c>
      <c r="F191" s="114">
        <f t="shared" si="322"/>
        <v>30000</v>
      </c>
      <c r="G191" s="114">
        <f t="shared" si="322"/>
        <v>0</v>
      </c>
      <c r="H191" s="114">
        <f t="shared" si="322"/>
        <v>4284459</v>
      </c>
      <c r="I191" s="114">
        <f t="shared" si="322"/>
        <v>45349</v>
      </c>
      <c r="J191" s="114">
        <f t="shared" si="322"/>
        <v>32038</v>
      </c>
      <c r="K191" s="114">
        <f t="shared" si="322"/>
        <v>4297770</v>
      </c>
      <c r="L191" s="114">
        <f aca="true" t="shared" si="323" ref="L191:Q191">SUM(L192:L213)</f>
        <v>0</v>
      </c>
      <c r="M191" s="114">
        <f t="shared" si="323"/>
        <v>0</v>
      </c>
      <c r="N191" s="114">
        <f t="shared" si="323"/>
        <v>4297770</v>
      </c>
      <c r="O191" s="114">
        <f t="shared" si="323"/>
        <v>10000</v>
      </c>
      <c r="P191" s="114">
        <f t="shared" si="323"/>
        <v>0</v>
      </c>
      <c r="Q191" s="114">
        <f t="shared" si="323"/>
        <v>4307770</v>
      </c>
      <c r="R191" s="114">
        <f aca="true" t="shared" si="324" ref="R191:W191">SUM(R192:R213)</f>
        <v>3736</v>
      </c>
      <c r="S191" s="114">
        <f t="shared" si="324"/>
        <v>20536</v>
      </c>
      <c r="T191" s="114">
        <f t="shared" si="324"/>
        <v>4290970</v>
      </c>
      <c r="U191" s="114">
        <f t="shared" si="324"/>
        <v>0</v>
      </c>
      <c r="V191" s="114">
        <f t="shared" si="324"/>
        <v>0</v>
      </c>
      <c r="W191" s="114">
        <f t="shared" si="324"/>
        <v>4290970</v>
      </c>
      <c r="X191" s="114">
        <f aca="true" t="shared" si="325" ref="X191:AC191">SUM(X192:X213)</f>
        <v>60000</v>
      </c>
      <c r="Y191" s="114">
        <f t="shared" si="325"/>
        <v>0</v>
      </c>
      <c r="Z191" s="114">
        <f t="shared" si="325"/>
        <v>4350970</v>
      </c>
      <c r="AA191" s="114">
        <f t="shared" si="325"/>
        <v>2126</v>
      </c>
      <c r="AB191" s="114">
        <f t="shared" si="325"/>
        <v>2126</v>
      </c>
      <c r="AC191" s="114">
        <f t="shared" si="325"/>
        <v>4350970</v>
      </c>
      <c r="AD191" s="114">
        <f aca="true" t="shared" si="326" ref="AD191:AI191">SUM(AD192:AD213)</f>
        <v>0</v>
      </c>
      <c r="AE191" s="114">
        <f t="shared" si="326"/>
        <v>0</v>
      </c>
      <c r="AF191" s="114">
        <f t="shared" si="326"/>
        <v>4350970</v>
      </c>
      <c r="AG191" s="114">
        <f t="shared" si="326"/>
        <v>62094</v>
      </c>
      <c r="AH191" s="114">
        <f t="shared" si="326"/>
        <v>40201</v>
      </c>
      <c r="AI191" s="114">
        <f t="shared" si="326"/>
        <v>4372863</v>
      </c>
      <c r="AJ191" s="114">
        <f aca="true" t="shared" si="327" ref="AJ191:AO191">SUM(AJ192:AJ213)</f>
        <v>10000</v>
      </c>
      <c r="AK191" s="114">
        <f t="shared" si="327"/>
        <v>3000</v>
      </c>
      <c r="AL191" s="114">
        <f t="shared" si="327"/>
        <v>4379863</v>
      </c>
      <c r="AM191" s="114">
        <f t="shared" si="327"/>
        <v>0</v>
      </c>
      <c r="AN191" s="114">
        <f t="shared" si="327"/>
        <v>0</v>
      </c>
      <c r="AO191" s="114">
        <f t="shared" si="327"/>
        <v>4379863</v>
      </c>
      <c r="AP191" s="114">
        <f aca="true" t="shared" si="328" ref="AP191:AU191">SUM(AP192:AP213)</f>
        <v>0</v>
      </c>
      <c r="AQ191" s="114">
        <f t="shared" si="328"/>
        <v>0</v>
      </c>
      <c r="AR191" s="114">
        <f t="shared" si="328"/>
        <v>4379863</v>
      </c>
      <c r="AS191" s="114">
        <f t="shared" si="328"/>
        <v>19550</v>
      </c>
      <c r="AT191" s="114">
        <f t="shared" si="328"/>
        <v>9050</v>
      </c>
      <c r="AU191" s="114">
        <f t="shared" si="328"/>
        <v>4390363</v>
      </c>
      <c r="AV191" s="339"/>
    </row>
    <row r="192" spans="1:48" s="37" customFormat="1" ht="21" customHeight="1">
      <c r="A192" s="98"/>
      <c r="B192" s="116"/>
      <c r="C192" s="120">
        <v>3020</v>
      </c>
      <c r="D192" s="56" t="s">
        <v>246</v>
      </c>
      <c r="E192" s="114">
        <v>30377</v>
      </c>
      <c r="F192" s="119"/>
      <c r="G192" s="119"/>
      <c r="H192" s="126">
        <f aca="true" t="shared" si="329" ref="H192:H213">SUM(E192+F192-G192)</f>
        <v>30377</v>
      </c>
      <c r="I192" s="119"/>
      <c r="J192" s="119"/>
      <c r="K192" s="126">
        <f aca="true" t="shared" si="330" ref="K192:K213">SUM(H192+I192-J192)</f>
        <v>30377</v>
      </c>
      <c r="L192" s="119"/>
      <c r="M192" s="119"/>
      <c r="N192" s="126">
        <f aca="true" t="shared" si="331" ref="N192:N213">SUM(K192+L192-M192)</f>
        <v>30377</v>
      </c>
      <c r="O192" s="119"/>
      <c r="P192" s="119"/>
      <c r="Q192" s="126">
        <f aca="true" t="shared" si="332" ref="Q192:Q213">SUM(N192+O192-P192)</f>
        <v>30377</v>
      </c>
      <c r="R192" s="119"/>
      <c r="S192" s="119"/>
      <c r="T192" s="126">
        <f aca="true" t="shared" si="333" ref="T192:T213">SUM(Q192+R192-S192)</f>
        <v>30377</v>
      </c>
      <c r="U192" s="119"/>
      <c r="V192" s="119"/>
      <c r="W192" s="126">
        <f aca="true" t="shared" si="334" ref="W192:W213">SUM(T192+U192-V192)</f>
        <v>30377</v>
      </c>
      <c r="X192" s="119"/>
      <c r="Y192" s="119"/>
      <c r="Z192" s="126">
        <f aca="true" t="shared" si="335" ref="Z192:Z213">SUM(W192+X192-Y192)</f>
        <v>30377</v>
      </c>
      <c r="AA192" s="119"/>
      <c r="AB192" s="119"/>
      <c r="AC192" s="126">
        <f aca="true" t="shared" si="336" ref="AC192:AC213">SUM(Z192+AA192-AB192)</f>
        <v>30377</v>
      </c>
      <c r="AD192" s="119"/>
      <c r="AE192" s="119"/>
      <c r="AF192" s="126">
        <f aca="true" t="shared" si="337" ref="AF192:AF213">SUM(AC192+AD192-AE192)</f>
        <v>30377</v>
      </c>
      <c r="AG192" s="119"/>
      <c r="AH192" s="119">
        <v>4010</v>
      </c>
      <c r="AI192" s="126">
        <f aca="true" t="shared" si="338" ref="AI192:AI213">SUM(AF192+AG192-AH192)</f>
        <v>26367</v>
      </c>
      <c r="AJ192" s="119"/>
      <c r="AK192" s="119"/>
      <c r="AL192" s="126">
        <f aca="true" t="shared" si="339" ref="AL192:AL213">SUM(AI192+AJ192-AK192)</f>
        <v>26367</v>
      </c>
      <c r="AM192" s="119"/>
      <c r="AN192" s="119"/>
      <c r="AO192" s="126">
        <f aca="true" t="shared" si="340" ref="AO192:AO213">SUM(AL192+AM192-AN192)</f>
        <v>26367</v>
      </c>
      <c r="AP192" s="119"/>
      <c r="AQ192" s="119"/>
      <c r="AR192" s="126">
        <f aca="true" t="shared" si="341" ref="AR192:AR213">SUM(AO192+AP192-AQ192)</f>
        <v>26367</v>
      </c>
      <c r="AS192" s="119"/>
      <c r="AT192" s="119">
        <v>800</v>
      </c>
      <c r="AU192" s="126">
        <f aca="true" t="shared" si="342" ref="AU192:AU213">SUM(AR192+AS192-AT192)</f>
        <v>25567</v>
      </c>
      <c r="AV192" s="337"/>
    </row>
    <row r="193" spans="1:48" s="37" customFormat="1" ht="21" customHeight="1">
      <c r="A193" s="98"/>
      <c r="B193" s="116"/>
      <c r="C193" s="120">
        <v>4010</v>
      </c>
      <c r="D193" s="56" t="s">
        <v>101</v>
      </c>
      <c r="E193" s="114">
        <v>2799505</v>
      </c>
      <c r="F193" s="119"/>
      <c r="G193" s="119"/>
      <c r="H193" s="126">
        <f t="shared" si="329"/>
        <v>2799505</v>
      </c>
      <c r="I193" s="119">
        <v>3985</v>
      </c>
      <c r="J193" s="119"/>
      <c r="K193" s="126">
        <f t="shared" si="330"/>
        <v>2803490</v>
      </c>
      <c r="L193" s="119"/>
      <c r="M193" s="119"/>
      <c r="N193" s="126">
        <f t="shared" si="331"/>
        <v>2803490</v>
      </c>
      <c r="O193" s="119"/>
      <c r="P193" s="119"/>
      <c r="Q193" s="126">
        <f t="shared" si="332"/>
        <v>2803490</v>
      </c>
      <c r="R193" s="119"/>
      <c r="S193" s="119"/>
      <c r="T193" s="126">
        <f t="shared" si="333"/>
        <v>2803490</v>
      </c>
      <c r="U193" s="119"/>
      <c r="V193" s="119"/>
      <c r="W193" s="126">
        <f t="shared" si="334"/>
        <v>2803490</v>
      </c>
      <c r="X193" s="119"/>
      <c r="Y193" s="119"/>
      <c r="Z193" s="126">
        <f t="shared" si="335"/>
        <v>2803490</v>
      </c>
      <c r="AA193" s="119"/>
      <c r="AB193" s="119"/>
      <c r="AC193" s="126">
        <f t="shared" si="336"/>
        <v>2803490</v>
      </c>
      <c r="AD193" s="119"/>
      <c r="AE193" s="119"/>
      <c r="AF193" s="126">
        <f t="shared" si="337"/>
        <v>2803490</v>
      </c>
      <c r="AG193" s="119">
        <v>50649</v>
      </c>
      <c r="AH193" s="119"/>
      <c r="AI193" s="126">
        <f t="shared" si="338"/>
        <v>2854139</v>
      </c>
      <c r="AJ193" s="119"/>
      <c r="AK193" s="119"/>
      <c r="AL193" s="126">
        <f t="shared" si="339"/>
        <v>2854139</v>
      </c>
      <c r="AM193" s="119"/>
      <c r="AN193" s="119"/>
      <c r="AO193" s="126">
        <f t="shared" si="340"/>
        <v>2854139</v>
      </c>
      <c r="AP193" s="119"/>
      <c r="AQ193" s="119"/>
      <c r="AR193" s="126">
        <f t="shared" si="341"/>
        <v>2854139</v>
      </c>
      <c r="AS193" s="119"/>
      <c r="AT193" s="119">
        <v>4000</v>
      </c>
      <c r="AU193" s="126">
        <f t="shared" si="342"/>
        <v>2850139</v>
      </c>
      <c r="AV193" s="337">
        <f>SUM(AU193)</f>
        <v>2850139</v>
      </c>
    </row>
    <row r="194" spans="1:48" s="37" customFormat="1" ht="21" customHeight="1">
      <c r="A194" s="98"/>
      <c r="B194" s="116"/>
      <c r="C194" s="120">
        <v>4040</v>
      </c>
      <c r="D194" s="56" t="s">
        <v>102</v>
      </c>
      <c r="E194" s="114">
        <v>221640</v>
      </c>
      <c r="F194" s="119"/>
      <c r="G194" s="119"/>
      <c r="H194" s="126">
        <f t="shared" si="329"/>
        <v>221640</v>
      </c>
      <c r="I194" s="119"/>
      <c r="J194" s="119">
        <v>12538</v>
      </c>
      <c r="K194" s="126">
        <f t="shared" si="330"/>
        <v>209102</v>
      </c>
      <c r="L194" s="119"/>
      <c r="M194" s="119"/>
      <c r="N194" s="126">
        <f t="shared" si="331"/>
        <v>209102</v>
      </c>
      <c r="O194" s="119"/>
      <c r="P194" s="119"/>
      <c r="Q194" s="126">
        <f t="shared" si="332"/>
        <v>209102</v>
      </c>
      <c r="R194" s="119"/>
      <c r="S194" s="119"/>
      <c r="T194" s="126">
        <f t="shared" si="333"/>
        <v>209102</v>
      </c>
      <c r="U194" s="119"/>
      <c r="V194" s="119"/>
      <c r="W194" s="126">
        <f t="shared" si="334"/>
        <v>209102</v>
      </c>
      <c r="X194" s="119"/>
      <c r="Y194" s="119"/>
      <c r="Z194" s="126">
        <f t="shared" si="335"/>
        <v>209102</v>
      </c>
      <c r="AA194" s="119"/>
      <c r="AB194" s="119"/>
      <c r="AC194" s="126">
        <f t="shared" si="336"/>
        <v>209102</v>
      </c>
      <c r="AD194" s="119"/>
      <c r="AE194" s="119"/>
      <c r="AF194" s="126">
        <f t="shared" si="337"/>
        <v>209102</v>
      </c>
      <c r="AG194" s="119"/>
      <c r="AH194" s="119"/>
      <c r="AI194" s="126">
        <f t="shared" si="338"/>
        <v>209102</v>
      </c>
      <c r="AJ194" s="119"/>
      <c r="AK194" s="119"/>
      <c r="AL194" s="126">
        <f t="shared" si="339"/>
        <v>209102</v>
      </c>
      <c r="AM194" s="119"/>
      <c r="AN194" s="119"/>
      <c r="AO194" s="126">
        <f t="shared" si="340"/>
        <v>209102</v>
      </c>
      <c r="AP194" s="119"/>
      <c r="AQ194" s="119"/>
      <c r="AR194" s="126">
        <f t="shared" si="341"/>
        <v>209102</v>
      </c>
      <c r="AS194" s="119"/>
      <c r="AT194" s="119"/>
      <c r="AU194" s="126">
        <f t="shared" si="342"/>
        <v>209102</v>
      </c>
      <c r="AV194" s="337">
        <f>SUM(AU194)</f>
        <v>209102</v>
      </c>
    </row>
    <row r="195" spans="1:48" s="37" customFormat="1" ht="21" customHeight="1">
      <c r="A195" s="98"/>
      <c r="B195" s="116"/>
      <c r="C195" s="120">
        <v>4110</v>
      </c>
      <c r="D195" s="56" t="s">
        <v>103</v>
      </c>
      <c r="E195" s="114">
        <v>532621</v>
      </c>
      <c r="F195" s="119"/>
      <c r="G195" s="119"/>
      <c r="H195" s="126">
        <f t="shared" si="329"/>
        <v>532621</v>
      </c>
      <c r="I195" s="119">
        <v>717</v>
      </c>
      <c r="J195" s="119"/>
      <c r="K195" s="126">
        <f t="shared" si="330"/>
        <v>533338</v>
      </c>
      <c r="L195" s="119"/>
      <c r="M195" s="119"/>
      <c r="N195" s="126">
        <f t="shared" si="331"/>
        <v>533338</v>
      </c>
      <c r="O195" s="119"/>
      <c r="P195" s="119"/>
      <c r="Q195" s="126">
        <f t="shared" si="332"/>
        <v>533338</v>
      </c>
      <c r="R195" s="119"/>
      <c r="S195" s="119"/>
      <c r="T195" s="126">
        <f t="shared" si="333"/>
        <v>533338</v>
      </c>
      <c r="U195" s="119"/>
      <c r="V195" s="119"/>
      <c r="W195" s="126">
        <f t="shared" si="334"/>
        <v>533338</v>
      </c>
      <c r="X195" s="119"/>
      <c r="Y195" s="119"/>
      <c r="Z195" s="126">
        <f t="shared" si="335"/>
        <v>533338</v>
      </c>
      <c r="AA195" s="119"/>
      <c r="AB195" s="119"/>
      <c r="AC195" s="126">
        <f t="shared" si="336"/>
        <v>533338</v>
      </c>
      <c r="AD195" s="119"/>
      <c r="AE195" s="119"/>
      <c r="AF195" s="126">
        <f t="shared" si="337"/>
        <v>533338</v>
      </c>
      <c r="AG195" s="119"/>
      <c r="AH195" s="119">
        <v>4031</v>
      </c>
      <c r="AI195" s="126">
        <f t="shared" si="338"/>
        <v>529307</v>
      </c>
      <c r="AJ195" s="119"/>
      <c r="AK195" s="119"/>
      <c r="AL195" s="126">
        <f t="shared" si="339"/>
        <v>529307</v>
      </c>
      <c r="AM195" s="119"/>
      <c r="AN195" s="119"/>
      <c r="AO195" s="126">
        <f t="shared" si="340"/>
        <v>529307</v>
      </c>
      <c r="AP195" s="119"/>
      <c r="AQ195" s="119"/>
      <c r="AR195" s="126">
        <f t="shared" si="341"/>
        <v>529307</v>
      </c>
      <c r="AS195" s="119"/>
      <c r="AT195" s="119"/>
      <c r="AU195" s="126">
        <f t="shared" si="342"/>
        <v>529307</v>
      </c>
      <c r="AV195" s="337">
        <f>SUM(AU195)</f>
        <v>529307</v>
      </c>
    </row>
    <row r="196" spans="1:48" s="37" customFormat="1" ht="21" customHeight="1">
      <c r="A196" s="98"/>
      <c r="B196" s="116"/>
      <c r="C196" s="120">
        <v>4120</v>
      </c>
      <c r="D196" s="56" t="s">
        <v>104</v>
      </c>
      <c r="E196" s="114">
        <v>74015</v>
      </c>
      <c r="F196" s="119"/>
      <c r="G196" s="119"/>
      <c r="H196" s="126">
        <f t="shared" si="329"/>
        <v>74015</v>
      </c>
      <c r="I196" s="119">
        <v>98</v>
      </c>
      <c r="J196" s="119"/>
      <c r="K196" s="126">
        <f t="shared" si="330"/>
        <v>74113</v>
      </c>
      <c r="L196" s="119"/>
      <c r="M196" s="119"/>
      <c r="N196" s="126">
        <f t="shared" si="331"/>
        <v>74113</v>
      </c>
      <c r="O196" s="119"/>
      <c r="P196" s="119"/>
      <c r="Q196" s="126">
        <f t="shared" si="332"/>
        <v>74113</v>
      </c>
      <c r="R196" s="119"/>
      <c r="S196" s="119"/>
      <c r="T196" s="126">
        <f t="shared" si="333"/>
        <v>74113</v>
      </c>
      <c r="U196" s="119"/>
      <c r="V196" s="119"/>
      <c r="W196" s="126">
        <f t="shared" si="334"/>
        <v>74113</v>
      </c>
      <c r="X196" s="119"/>
      <c r="Y196" s="119"/>
      <c r="Z196" s="126">
        <f t="shared" si="335"/>
        <v>74113</v>
      </c>
      <c r="AA196" s="119"/>
      <c r="AB196" s="119"/>
      <c r="AC196" s="126">
        <f t="shared" si="336"/>
        <v>74113</v>
      </c>
      <c r="AD196" s="119"/>
      <c r="AE196" s="119"/>
      <c r="AF196" s="126">
        <f t="shared" si="337"/>
        <v>74113</v>
      </c>
      <c r="AG196" s="119">
        <v>1370</v>
      </c>
      <c r="AH196" s="119"/>
      <c r="AI196" s="126">
        <f t="shared" si="338"/>
        <v>75483</v>
      </c>
      <c r="AJ196" s="119"/>
      <c r="AK196" s="119"/>
      <c r="AL196" s="126">
        <f t="shared" si="339"/>
        <v>75483</v>
      </c>
      <c r="AM196" s="119"/>
      <c r="AN196" s="119"/>
      <c r="AO196" s="126">
        <f t="shared" si="340"/>
        <v>75483</v>
      </c>
      <c r="AP196" s="119"/>
      <c r="AQ196" s="119"/>
      <c r="AR196" s="126">
        <f t="shared" si="341"/>
        <v>75483</v>
      </c>
      <c r="AS196" s="119"/>
      <c r="AT196" s="119"/>
      <c r="AU196" s="126">
        <f t="shared" si="342"/>
        <v>75483</v>
      </c>
      <c r="AV196" s="337">
        <f>SUM(AU196)</f>
        <v>75483</v>
      </c>
    </row>
    <row r="197" spans="1:48" s="37" customFormat="1" ht="21" customHeight="1">
      <c r="A197" s="98"/>
      <c r="B197" s="116"/>
      <c r="C197" s="120">
        <v>4170</v>
      </c>
      <c r="D197" s="56" t="s">
        <v>252</v>
      </c>
      <c r="E197" s="114">
        <v>11000</v>
      </c>
      <c r="F197" s="119"/>
      <c r="G197" s="119"/>
      <c r="H197" s="126">
        <f t="shared" si="329"/>
        <v>11000</v>
      </c>
      <c r="I197" s="119">
        <v>8100</v>
      </c>
      <c r="J197" s="119"/>
      <c r="K197" s="126">
        <f t="shared" si="330"/>
        <v>19100</v>
      </c>
      <c r="L197" s="119"/>
      <c r="M197" s="119"/>
      <c r="N197" s="126">
        <f t="shared" si="331"/>
        <v>19100</v>
      </c>
      <c r="O197" s="119"/>
      <c r="P197" s="119"/>
      <c r="Q197" s="126">
        <f t="shared" si="332"/>
        <v>19100</v>
      </c>
      <c r="R197" s="119"/>
      <c r="S197" s="119"/>
      <c r="T197" s="126">
        <f t="shared" si="333"/>
        <v>19100</v>
      </c>
      <c r="U197" s="119"/>
      <c r="V197" s="119"/>
      <c r="W197" s="126">
        <f t="shared" si="334"/>
        <v>19100</v>
      </c>
      <c r="X197" s="119"/>
      <c r="Y197" s="119"/>
      <c r="Z197" s="126">
        <f t="shared" si="335"/>
        <v>19100</v>
      </c>
      <c r="AA197" s="119"/>
      <c r="AB197" s="119"/>
      <c r="AC197" s="126">
        <f t="shared" si="336"/>
        <v>19100</v>
      </c>
      <c r="AD197" s="119"/>
      <c r="AE197" s="119"/>
      <c r="AF197" s="126">
        <f t="shared" si="337"/>
        <v>19100</v>
      </c>
      <c r="AG197" s="119"/>
      <c r="AH197" s="119">
        <v>11800</v>
      </c>
      <c r="AI197" s="126">
        <f t="shared" si="338"/>
        <v>7300</v>
      </c>
      <c r="AJ197" s="119"/>
      <c r="AK197" s="119"/>
      <c r="AL197" s="126">
        <f t="shared" si="339"/>
        <v>7300</v>
      </c>
      <c r="AM197" s="119"/>
      <c r="AN197" s="119"/>
      <c r="AO197" s="126">
        <f t="shared" si="340"/>
        <v>7300</v>
      </c>
      <c r="AP197" s="119"/>
      <c r="AQ197" s="119"/>
      <c r="AR197" s="126">
        <f t="shared" si="341"/>
        <v>7300</v>
      </c>
      <c r="AS197" s="119"/>
      <c r="AT197" s="119">
        <v>550</v>
      </c>
      <c r="AU197" s="126">
        <f t="shared" si="342"/>
        <v>6750</v>
      </c>
      <c r="AV197" s="337">
        <f>SUM(AU197)</f>
        <v>6750</v>
      </c>
    </row>
    <row r="198" spans="1:48" s="37" customFormat="1" ht="21" customHeight="1">
      <c r="A198" s="98"/>
      <c r="B198" s="116"/>
      <c r="C198" s="120">
        <v>4210</v>
      </c>
      <c r="D198" s="56" t="s">
        <v>109</v>
      </c>
      <c r="E198" s="114">
        <v>105048</v>
      </c>
      <c r="F198" s="119"/>
      <c r="G198" s="119"/>
      <c r="H198" s="126">
        <f t="shared" si="329"/>
        <v>105048</v>
      </c>
      <c r="I198" s="119">
        <f>300+300+9829</f>
        <v>10429</v>
      </c>
      <c r="J198" s="119"/>
      <c r="K198" s="126">
        <f t="shared" si="330"/>
        <v>115477</v>
      </c>
      <c r="L198" s="119"/>
      <c r="M198" s="119"/>
      <c r="N198" s="126">
        <f t="shared" si="331"/>
        <v>115477</v>
      </c>
      <c r="O198" s="119"/>
      <c r="P198" s="119"/>
      <c r="Q198" s="126">
        <f t="shared" si="332"/>
        <v>115477</v>
      </c>
      <c r="R198" s="119"/>
      <c r="S198" s="119">
        <v>3736</v>
      </c>
      <c r="T198" s="126">
        <f t="shared" si="333"/>
        <v>111741</v>
      </c>
      <c r="U198" s="119"/>
      <c r="V198" s="119"/>
      <c r="W198" s="126">
        <f t="shared" si="334"/>
        <v>111741</v>
      </c>
      <c r="X198" s="119">
        <v>10000</v>
      </c>
      <c r="Y198" s="119"/>
      <c r="Z198" s="126">
        <f t="shared" si="335"/>
        <v>121741</v>
      </c>
      <c r="AA198" s="119"/>
      <c r="AB198" s="119">
        <v>2126</v>
      </c>
      <c r="AC198" s="126">
        <f t="shared" si="336"/>
        <v>119615</v>
      </c>
      <c r="AD198" s="119"/>
      <c r="AE198" s="119"/>
      <c r="AF198" s="126">
        <f t="shared" si="337"/>
        <v>119615</v>
      </c>
      <c r="AG198" s="119">
        <v>2581</v>
      </c>
      <c r="AH198" s="119">
        <v>294</v>
      </c>
      <c r="AI198" s="126">
        <f t="shared" si="338"/>
        <v>121902</v>
      </c>
      <c r="AJ198" s="119"/>
      <c r="AK198" s="119">
        <v>3000</v>
      </c>
      <c r="AL198" s="126">
        <f t="shared" si="339"/>
        <v>118902</v>
      </c>
      <c r="AM198" s="119"/>
      <c r="AN198" s="119"/>
      <c r="AO198" s="126">
        <f t="shared" si="340"/>
        <v>118902</v>
      </c>
      <c r="AP198" s="119"/>
      <c r="AQ198" s="119"/>
      <c r="AR198" s="126">
        <f t="shared" si="341"/>
        <v>118902</v>
      </c>
      <c r="AS198" s="119">
        <v>4790</v>
      </c>
      <c r="AT198" s="119"/>
      <c r="AU198" s="126">
        <f t="shared" si="342"/>
        <v>123692</v>
      </c>
      <c r="AV198" s="337"/>
    </row>
    <row r="199" spans="1:48" s="37" customFormat="1" ht="21" customHeight="1">
      <c r="A199" s="98"/>
      <c r="B199" s="116"/>
      <c r="C199" s="120">
        <v>4215</v>
      </c>
      <c r="D199" s="56" t="s">
        <v>109</v>
      </c>
      <c r="E199" s="114"/>
      <c r="F199" s="119"/>
      <c r="G199" s="119"/>
      <c r="H199" s="126">
        <v>0</v>
      </c>
      <c r="I199" s="119">
        <v>1000</v>
      </c>
      <c r="J199" s="119"/>
      <c r="K199" s="126">
        <f t="shared" si="330"/>
        <v>1000</v>
      </c>
      <c r="L199" s="119"/>
      <c r="M199" s="119"/>
      <c r="N199" s="126">
        <f t="shared" si="331"/>
        <v>1000</v>
      </c>
      <c r="O199" s="119"/>
      <c r="P199" s="119"/>
      <c r="Q199" s="126">
        <f t="shared" si="332"/>
        <v>1000</v>
      </c>
      <c r="R199" s="119"/>
      <c r="S199" s="119"/>
      <c r="T199" s="126">
        <f t="shared" si="333"/>
        <v>1000</v>
      </c>
      <c r="U199" s="119"/>
      <c r="V199" s="119"/>
      <c r="W199" s="126">
        <f t="shared" si="334"/>
        <v>1000</v>
      </c>
      <c r="X199" s="119"/>
      <c r="Y199" s="119"/>
      <c r="Z199" s="126">
        <f t="shared" si="335"/>
        <v>1000</v>
      </c>
      <c r="AA199" s="119"/>
      <c r="AB199" s="119"/>
      <c r="AC199" s="126">
        <f t="shared" si="336"/>
        <v>1000</v>
      </c>
      <c r="AD199" s="119"/>
      <c r="AE199" s="119"/>
      <c r="AF199" s="126">
        <f t="shared" si="337"/>
        <v>1000</v>
      </c>
      <c r="AG199" s="119"/>
      <c r="AH199" s="119"/>
      <c r="AI199" s="126">
        <f t="shared" si="338"/>
        <v>1000</v>
      </c>
      <c r="AJ199" s="119"/>
      <c r="AK199" s="119"/>
      <c r="AL199" s="126">
        <f t="shared" si="339"/>
        <v>1000</v>
      </c>
      <c r="AM199" s="119"/>
      <c r="AN199" s="119"/>
      <c r="AO199" s="126">
        <f t="shared" si="340"/>
        <v>1000</v>
      </c>
      <c r="AP199" s="119"/>
      <c r="AQ199" s="119"/>
      <c r="AR199" s="126">
        <f t="shared" si="341"/>
        <v>1000</v>
      </c>
      <c r="AS199" s="119">
        <v>2087</v>
      </c>
      <c r="AT199" s="119"/>
      <c r="AU199" s="126">
        <f t="shared" si="342"/>
        <v>3087</v>
      </c>
      <c r="AV199" s="337"/>
    </row>
    <row r="200" spans="1:48" s="37" customFormat="1" ht="21" customHeight="1">
      <c r="A200" s="98"/>
      <c r="B200" s="116"/>
      <c r="C200" s="120">
        <v>4230</v>
      </c>
      <c r="D200" s="56" t="s">
        <v>131</v>
      </c>
      <c r="E200" s="114">
        <v>1200</v>
      </c>
      <c r="F200" s="119"/>
      <c r="G200" s="119"/>
      <c r="H200" s="126">
        <f t="shared" si="329"/>
        <v>1200</v>
      </c>
      <c r="I200" s="119"/>
      <c r="J200" s="119"/>
      <c r="K200" s="126">
        <f t="shared" si="330"/>
        <v>1200</v>
      </c>
      <c r="L200" s="119"/>
      <c r="M200" s="119"/>
      <c r="N200" s="126">
        <f t="shared" si="331"/>
        <v>1200</v>
      </c>
      <c r="O200" s="119"/>
      <c r="P200" s="119"/>
      <c r="Q200" s="126">
        <f t="shared" si="332"/>
        <v>1200</v>
      </c>
      <c r="R200" s="119"/>
      <c r="S200" s="119"/>
      <c r="T200" s="126">
        <f t="shared" si="333"/>
        <v>1200</v>
      </c>
      <c r="U200" s="119"/>
      <c r="V200" s="119"/>
      <c r="W200" s="126">
        <f t="shared" si="334"/>
        <v>1200</v>
      </c>
      <c r="X200" s="119"/>
      <c r="Y200" s="119"/>
      <c r="Z200" s="126">
        <f t="shared" si="335"/>
        <v>1200</v>
      </c>
      <c r="AA200" s="119"/>
      <c r="AB200" s="119"/>
      <c r="AC200" s="126">
        <f t="shared" si="336"/>
        <v>1200</v>
      </c>
      <c r="AD200" s="119"/>
      <c r="AE200" s="119"/>
      <c r="AF200" s="126">
        <f t="shared" si="337"/>
        <v>1200</v>
      </c>
      <c r="AG200" s="119"/>
      <c r="AH200" s="119"/>
      <c r="AI200" s="126">
        <f t="shared" si="338"/>
        <v>1200</v>
      </c>
      <c r="AJ200" s="119"/>
      <c r="AK200" s="119"/>
      <c r="AL200" s="126">
        <f t="shared" si="339"/>
        <v>1200</v>
      </c>
      <c r="AM200" s="119"/>
      <c r="AN200" s="119"/>
      <c r="AO200" s="126">
        <f t="shared" si="340"/>
        <v>1200</v>
      </c>
      <c r="AP200" s="119"/>
      <c r="AQ200" s="119"/>
      <c r="AR200" s="126">
        <f t="shared" si="341"/>
        <v>1200</v>
      </c>
      <c r="AS200" s="119"/>
      <c r="AT200" s="119"/>
      <c r="AU200" s="126">
        <f t="shared" si="342"/>
        <v>1200</v>
      </c>
      <c r="AV200" s="337"/>
    </row>
    <row r="201" spans="1:48" s="37" customFormat="1" ht="21" customHeight="1">
      <c r="A201" s="98"/>
      <c r="B201" s="116"/>
      <c r="C201" s="120">
        <v>4240</v>
      </c>
      <c r="D201" s="56" t="s">
        <v>142</v>
      </c>
      <c r="E201" s="114">
        <v>4500</v>
      </c>
      <c r="F201" s="119"/>
      <c r="G201" s="119"/>
      <c r="H201" s="126">
        <f t="shared" si="329"/>
        <v>4500</v>
      </c>
      <c r="I201" s="119"/>
      <c r="J201" s="119"/>
      <c r="K201" s="126">
        <f t="shared" si="330"/>
        <v>4500</v>
      </c>
      <c r="L201" s="119"/>
      <c r="M201" s="119"/>
      <c r="N201" s="126">
        <f t="shared" si="331"/>
        <v>4500</v>
      </c>
      <c r="O201" s="119">
        <v>10000</v>
      </c>
      <c r="P201" s="119"/>
      <c r="Q201" s="126">
        <f t="shared" si="332"/>
        <v>14500</v>
      </c>
      <c r="R201" s="119"/>
      <c r="S201" s="119"/>
      <c r="T201" s="126">
        <f t="shared" si="333"/>
        <v>14500</v>
      </c>
      <c r="U201" s="119"/>
      <c r="V201" s="119"/>
      <c r="W201" s="126">
        <f t="shared" si="334"/>
        <v>14500</v>
      </c>
      <c r="X201" s="119"/>
      <c r="Y201" s="119"/>
      <c r="Z201" s="126">
        <f t="shared" si="335"/>
        <v>14500</v>
      </c>
      <c r="AA201" s="119"/>
      <c r="AB201" s="119"/>
      <c r="AC201" s="126">
        <f t="shared" si="336"/>
        <v>14500</v>
      </c>
      <c r="AD201" s="119"/>
      <c r="AE201" s="119"/>
      <c r="AF201" s="126">
        <f t="shared" si="337"/>
        <v>14500</v>
      </c>
      <c r="AG201" s="119"/>
      <c r="AH201" s="119"/>
      <c r="AI201" s="126">
        <f t="shared" si="338"/>
        <v>14500</v>
      </c>
      <c r="AJ201" s="119">
        <f>3000+7000</f>
        <v>10000</v>
      </c>
      <c r="AK201" s="119"/>
      <c r="AL201" s="126">
        <f t="shared" si="339"/>
        <v>24500</v>
      </c>
      <c r="AM201" s="119"/>
      <c r="AN201" s="119"/>
      <c r="AO201" s="126">
        <f t="shared" si="340"/>
        <v>24500</v>
      </c>
      <c r="AP201" s="119"/>
      <c r="AQ201" s="119"/>
      <c r="AR201" s="126">
        <f t="shared" si="341"/>
        <v>24500</v>
      </c>
      <c r="AS201" s="119"/>
      <c r="AT201" s="119"/>
      <c r="AU201" s="126">
        <f t="shared" si="342"/>
        <v>24500</v>
      </c>
      <c r="AV201" s="337"/>
    </row>
    <row r="202" spans="1:48" s="37" customFormat="1" ht="21" customHeight="1">
      <c r="A202" s="98"/>
      <c r="B202" s="116"/>
      <c r="C202" s="120">
        <v>4260</v>
      </c>
      <c r="D202" s="56" t="s">
        <v>112</v>
      </c>
      <c r="E202" s="114">
        <v>225250</v>
      </c>
      <c r="F202" s="119"/>
      <c r="G202" s="119"/>
      <c r="H202" s="126">
        <f t="shared" si="329"/>
        <v>225250</v>
      </c>
      <c r="I202" s="119"/>
      <c r="J202" s="119"/>
      <c r="K202" s="126">
        <f t="shared" si="330"/>
        <v>225250</v>
      </c>
      <c r="L202" s="119"/>
      <c r="M202" s="119"/>
      <c r="N202" s="126">
        <f t="shared" si="331"/>
        <v>225250</v>
      </c>
      <c r="O202" s="119"/>
      <c r="P202" s="119"/>
      <c r="Q202" s="126">
        <f t="shared" si="332"/>
        <v>225250</v>
      </c>
      <c r="R202" s="119"/>
      <c r="S202" s="119"/>
      <c r="T202" s="126">
        <f t="shared" si="333"/>
        <v>225250</v>
      </c>
      <c r="U202" s="119"/>
      <c r="V202" s="119"/>
      <c r="W202" s="126">
        <f t="shared" si="334"/>
        <v>225250</v>
      </c>
      <c r="X202" s="119">
        <v>50000</v>
      </c>
      <c r="Y202" s="119"/>
      <c r="Z202" s="126">
        <f t="shared" si="335"/>
        <v>275250</v>
      </c>
      <c r="AA202" s="119"/>
      <c r="AB202" s="119"/>
      <c r="AC202" s="126">
        <f t="shared" si="336"/>
        <v>275250</v>
      </c>
      <c r="AD202" s="119"/>
      <c r="AE202" s="119"/>
      <c r="AF202" s="126">
        <f t="shared" si="337"/>
        <v>275250</v>
      </c>
      <c r="AG202" s="119"/>
      <c r="AH202" s="119">
        <v>10000</v>
      </c>
      <c r="AI202" s="126">
        <f t="shared" si="338"/>
        <v>265250</v>
      </c>
      <c r="AJ202" s="119"/>
      <c r="AK202" s="119"/>
      <c r="AL202" s="126">
        <f t="shared" si="339"/>
        <v>265250</v>
      </c>
      <c r="AM202" s="119"/>
      <c r="AN202" s="119"/>
      <c r="AO202" s="126">
        <f t="shared" si="340"/>
        <v>265250</v>
      </c>
      <c r="AP202" s="119"/>
      <c r="AQ202" s="119"/>
      <c r="AR202" s="126">
        <f t="shared" si="341"/>
        <v>265250</v>
      </c>
      <c r="AS202" s="119"/>
      <c r="AT202" s="119">
        <v>2000</v>
      </c>
      <c r="AU202" s="126">
        <f t="shared" si="342"/>
        <v>263250</v>
      </c>
      <c r="AV202" s="337"/>
    </row>
    <row r="203" spans="1:48" s="37" customFormat="1" ht="21" customHeight="1">
      <c r="A203" s="98"/>
      <c r="B203" s="116"/>
      <c r="C203" s="120">
        <v>4270</v>
      </c>
      <c r="D203" s="56" t="s">
        <v>95</v>
      </c>
      <c r="E203" s="114">
        <v>0</v>
      </c>
      <c r="F203" s="119">
        <v>30000</v>
      </c>
      <c r="G203" s="119"/>
      <c r="H203" s="126">
        <f t="shared" si="329"/>
        <v>30000</v>
      </c>
      <c r="I203" s="119">
        <v>13000</v>
      </c>
      <c r="J203" s="119"/>
      <c r="K203" s="126">
        <f t="shared" si="330"/>
        <v>43000</v>
      </c>
      <c r="L203" s="119"/>
      <c r="M203" s="119"/>
      <c r="N203" s="126">
        <f t="shared" si="331"/>
        <v>43000</v>
      </c>
      <c r="O203" s="119"/>
      <c r="P203" s="119"/>
      <c r="Q203" s="126">
        <f t="shared" si="332"/>
        <v>43000</v>
      </c>
      <c r="R203" s="119">
        <v>900</v>
      </c>
      <c r="S203" s="119">
        <v>16800</v>
      </c>
      <c r="T203" s="126">
        <f t="shared" si="333"/>
        <v>27100</v>
      </c>
      <c r="U203" s="119"/>
      <c r="V203" s="119"/>
      <c r="W203" s="126">
        <f t="shared" si="334"/>
        <v>27100</v>
      </c>
      <c r="X203" s="119"/>
      <c r="Y203" s="119"/>
      <c r="Z203" s="126">
        <f t="shared" si="335"/>
        <v>27100</v>
      </c>
      <c r="AA203" s="119"/>
      <c r="AB203" s="119"/>
      <c r="AC203" s="126">
        <f t="shared" si="336"/>
        <v>27100</v>
      </c>
      <c r="AD203" s="119"/>
      <c r="AE203" s="119"/>
      <c r="AF203" s="126">
        <f t="shared" si="337"/>
        <v>27100</v>
      </c>
      <c r="AG203" s="119"/>
      <c r="AH203" s="119"/>
      <c r="AI203" s="126">
        <f t="shared" si="338"/>
        <v>27100</v>
      </c>
      <c r="AJ203" s="119"/>
      <c r="AK203" s="119"/>
      <c r="AL203" s="126">
        <f t="shared" si="339"/>
        <v>27100</v>
      </c>
      <c r="AM203" s="119"/>
      <c r="AN203" s="119"/>
      <c r="AO203" s="126">
        <f t="shared" si="340"/>
        <v>27100</v>
      </c>
      <c r="AP203" s="119"/>
      <c r="AQ203" s="119"/>
      <c r="AR203" s="126">
        <f t="shared" si="341"/>
        <v>27100</v>
      </c>
      <c r="AS203" s="119"/>
      <c r="AT203" s="119">
        <v>1400</v>
      </c>
      <c r="AU203" s="126">
        <f t="shared" si="342"/>
        <v>25700</v>
      </c>
      <c r="AV203" s="337"/>
    </row>
    <row r="204" spans="1:48" s="37" customFormat="1" ht="21" customHeight="1">
      <c r="A204" s="98"/>
      <c r="B204" s="116"/>
      <c r="C204" s="120">
        <v>4280</v>
      </c>
      <c r="D204" s="56" t="s">
        <v>267</v>
      </c>
      <c r="E204" s="114"/>
      <c r="F204" s="119"/>
      <c r="G204" s="119"/>
      <c r="H204" s="126">
        <v>0</v>
      </c>
      <c r="I204" s="119">
        <v>6500</v>
      </c>
      <c r="J204" s="119"/>
      <c r="K204" s="126">
        <f t="shared" si="330"/>
        <v>6500</v>
      </c>
      <c r="L204" s="119"/>
      <c r="M204" s="119"/>
      <c r="N204" s="126">
        <f t="shared" si="331"/>
        <v>6500</v>
      </c>
      <c r="O204" s="119"/>
      <c r="P204" s="119"/>
      <c r="Q204" s="126">
        <f t="shared" si="332"/>
        <v>6500</v>
      </c>
      <c r="R204" s="119"/>
      <c r="S204" s="119"/>
      <c r="T204" s="126">
        <f t="shared" si="333"/>
        <v>6500</v>
      </c>
      <c r="U204" s="119"/>
      <c r="V204" s="119"/>
      <c r="W204" s="126">
        <f t="shared" si="334"/>
        <v>6500</v>
      </c>
      <c r="X204" s="119"/>
      <c r="Y204" s="119"/>
      <c r="Z204" s="126">
        <f t="shared" si="335"/>
        <v>6500</v>
      </c>
      <c r="AA204" s="119"/>
      <c r="AB204" s="119"/>
      <c r="AC204" s="126">
        <f t="shared" si="336"/>
        <v>6500</v>
      </c>
      <c r="AD204" s="119"/>
      <c r="AE204" s="119"/>
      <c r="AF204" s="126">
        <f t="shared" si="337"/>
        <v>6500</v>
      </c>
      <c r="AG204" s="119"/>
      <c r="AH204" s="119">
        <v>1000</v>
      </c>
      <c r="AI204" s="126">
        <f t="shared" si="338"/>
        <v>5500</v>
      </c>
      <c r="AJ204" s="119"/>
      <c r="AK204" s="119"/>
      <c r="AL204" s="126">
        <f t="shared" si="339"/>
        <v>5500</v>
      </c>
      <c r="AM204" s="119"/>
      <c r="AN204" s="119"/>
      <c r="AO204" s="126">
        <f t="shared" si="340"/>
        <v>5500</v>
      </c>
      <c r="AP204" s="119"/>
      <c r="AQ204" s="119"/>
      <c r="AR204" s="126">
        <f t="shared" si="341"/>
        <v>5500</v>
      </c>
      <c r="AS204" s="119">
        <v>1100</v>
      </c>
      <c r="AT204" s="119"/>
      <c r="AU204" s="126">
        <f t="shared" si="342"/>
        <v>6600</v>
      </c>
      <c r="AV204" s="337"/>
    </row>
    <row r="205" spans="1:48" s="37" customFormat="1" ht="21" customHeight="1">
      <c r="A205" s="98"/>
      <c r="B205" s="116"/>
      <c r="C205" s="120">
        <v>4300</v>
      </c>
      <c r="D205" s="56" t="s">
        <v>96</v>
      </c>
      <c r="E205" s="114">
        <f>60300+500</f>
        <v>60800</v>
      </c>
      <c r="F205" s="119"/>
      <c r="G205" s="119"/>
      <c r="H205" s="126">
        <f t="shared" si="329"/>
        <v>60800</v>
      </c>
      <c r="I205" s="119"/>
      <c r="J205" s="119">
        <v>19500</v>
      </c>
      <c r="K205" s="126">
        <f t="shared" si="330"/>
        <v>41300</v>
      </c>
      <c r="L205" s="119"/>
      <c r="M205" s="119"/>
      <c r="N205" s="126">
        <f t="shared" si="331"/>
        <v>41300</v>
      </c>
      <c r="O205" s="119"/>
      <c r="P205" s="119"/>
      <c r="Q205" s="126">
        <f t="shared" si="332"/>
        <v>41300</v>
      </c>
      <c r="R205" s="119">
        <v>1236</v>
      </c>
      <c r="S205" s="119"/>
      <c r="T205" s="126">
        <f t="shared" si="333"/>
        <v>42536</v>
      </c>
      <c r="U205" s="119"/>
      <c r="V205" s="119"/>
      <c r="W205" s="126">
        <f t="shared" si="334"/>
        <v>42536</v>
      </c>
      <c r="X205" s="119"/>
      <c r="Y205" s="119"/>
      <c r="Z205" s="126">
        <f t="shared" si="335"/>
        <v>42536</v>
      </c>
      <c r="AA205" s="119">
        <v>2126</v>
      </c>
      <c r="AB205" s="119"/>
      <c r="AC205" s="126">
        <f t="shared" si="336"/>
        <v>44662</v>
      </c>
      <c r="AD205" s="119"/>
      <c r="AE205" s="119"/>
      <c r="AF205" s="126">
        <f t="shared" si="337"/>
        <v>44662</v>
      </c>
      <c r="AG205" s="119">
        <f>7200+294</f>
        <v>7494</v>
      </c>
      <c r="AH205" s="119"/>
      <c r="AI205" s="126">
        <f t="shared" si="338"/>
        <v>52156</v>
      </c>
      <c r="AJ205" s="119"/>
      <c r="AK205" s="119"/>
      <c r="AL205" s="126">
        <f t="shared" si="339"/>
        <v>52156</v>
      </c>
      <c r="AM205" s="119"/>
      <c r="AN205" s="119"/>
      <c r="AO205" s="126">
        <f t="shared" si="340"/>
        <v>52156</v>
      </c>
      <c r="AP205" s="119"/>
      <c r="AQ205" s="119"/>
      <c r="AR205" s="126">
        <f t="shared" si="341"/>
        <v>52156</v>
      </c>
      <c r="AS205" s="119">
        <v>780</v>
      </c>
      <c r="AT205" s="119"/>
      <c r="AU205" s="126">
        <f t="shared" si="342"/>
        <v>52936</v>
      </c>
      <c r="AV205" s="337"/>
    </row>
    <row r="206" spans="1:48" s="37" customFormat="1" ht="21" customHeight="1">
      <c r="A206" s="98"/>
      <c r="B206" s="116"/>
      <c r="C206" s="120">
        <v>4305</v>
      </c>
      <c r="D206" s="56" t="s">
        <v>96</v>
      </c>
      <c r="E206" s="114"/>
      <c r="F206" s="119"/>
      <c r="G206" s="119"/>
      <c r="H206" s="126"/>
      <c r="I206" s="119"/>
      <c r="J206" s="119"/>
      <c r="K206" s="126"/>
      <c r="L206" s="119"/>
      <c r="M206" s="119"/>
      <c r="N206" s="126"/>
      <c r="O206" s="119"/>
      <c r="P206" s="119"/>
      <c r="Q206" s="126"/>
      <c r="R206" s="119"/>
      <c r="S206" s="119"/>
      <c r="T206" s="126"/>
      <c r="U206" s="119"/>
      <c r="V206" s="119"/>
      <c r="W206" s="126"/>
      <c r="X206" s="119"/>
      <c r="Y206" s="119"/>
      <c r="Z206" s="126"/>
      <c r="AA206" s="119"/>
      <c r="AB206" s="119"/>
      <c r="AC206" s="126"/>
      <c r="AD206" s="119"/>
      <c r="AE206" s="119"/>
      <c r="AF206" s="126"/>
      <c r="AG206" s="119"/>
      <c r="AH206" s="119"/>
      <c r="AI206" s="126"/>
      <c r="AJ206" s="119"/>
      <c r="AK206" s="119"/>
      <c r="AL206" s="126"/>
      <c r="AM206" s="119"/>
      <c r="AN206" s="119"/>
      <c r="AO206" s="126"/>
      <c r="AP206" s="119"/>
      <c r="AQ206" s="119"/>
      <c r="AR206" s="126">
        <v>0</v>
      </c>
      <c r="AS206" s="119">
        <v>1491</v>
      </c>
      <c r="AT206" s="119"/>
      <c r="AU206" s="126">
        <f t="shared" si="342"/>
        <v>1491</v>
      </c>
      <c r="AV206" s="337"/>
    </row>
    <row r="207" spans="1:48" s="37" customFormat="1" ht="21" customHeight="1">
      <c r="A207" s="98"/>
      <c r="B207" s="116"/>
      <c r="C207" s="120">
        <v>4350</v>
      </c>
      <c r="D207" s="56" t="s">
        <v>286</v>
      </c>
      <c r="E207" s="114">
        <v>5400</v>
      </c>
      <c r="F207" s="119"/>
      <c r="G207" s="119"/>
      <c r="H207" s="126">
        <f t="shared" si="329"/>
        <v>5400</v>
      </c>
      <c r="I207" s="119"/>
      <c r="J207" s="119"/>
      <c r="K207" s="126">
        <f t="shared" si="330"/>
        <v>5400</v>
      </c>
      <c r="L207" s="119"/>
      <c r="M207" s="119"/>
      <c r="N207" s="126">
        <f t="shared" si="331"/>
        <v>5400</v>
      </c>
      <c r="O207" s="119"/>
      <c r="P207" s="119"/>
      <c r="Q207" s="126">
        <f t="shared" si="332"/>
        <v>5400</v>
      </c>
      <c r="R207" s="119"/>
      <c r="S207" s="119"/>
      <c r="T207" s="126">
        <f t="shared" si="333"/>
        <v>5400</v>
      </c>
      <c r="U207" s="119"/>
      <c r="V207" s="119"/>
      <c r="W207" s="126">
        <f t="shared" si="334"/>
        <v>5400</v>
      </c>
      <c r="X207" s="119"/>
      <c r="Y207" s="119"/>
      <c r="Z207" s="126">
        <f t="shared" si="335"/>
        <v>5400</v>
      </c>
      <c r="AA207" s="119"/>
      <c r="AB207" s="119"/>
      <c r="AC207" s="126">
        <f t="shared" si="336"/>
        <v>5400</v>
      </c>
      <c r="AD207" s="119"/>
      <c r="AE207" s="119"/>
      <c r="AF207" s="126">
        <f t="shared" si="337"/>
        <v>5400</v>
      </c>
      <c r="AG207" s="119"/>
      <c r="AH207" s="119">
        <v>2080</v>
      </c>
      <c r="AI207" s="126">
        <f t="shared" si="338"/>
        <v>3320</v>
      </c>
      <c r="AJ207" s="119"/>
      <c r="AK207" s="119"/>
      <c r="AL207" s="126">
        <f t="shared" si="339"/>
        <v>3320</v>
      </c>
      <c r="AM207" s="119"/>
      <c r="AN207" s="119"/>
      <c r="AO207" s="126">
        <f t="shared" si="340"/>
        <v>3320</v>
      </c>
      <c r="AP207" s="119"/>
      <c r="AQ207" s="119"/>
      <c r="AR207" s="126">
        <f t="shared" si="341"/>
        <v>3320</v>
      </c>
      <c r="AS207" s="119"/>
      <c r="AT207" s="119"/>
      <c r="AU207" s="126">
        <f t="shared" si="342"/>
        <v>3320</v>
      </c>
      <c r="AV207" s="337"/>
    </row>
    <row r="208" spans="1:48" s="37" customFormat="1" ht="20.25" customHeight="1">
      <c r="A208" s="98"/>
      <c r="B208" s="116"/>
      <c r="C208" s="120">
        <v>4410</v>
      </c>
      <c r="D208" s="56" t="s">
        <v>107</v>
      </c>
      <c r="E208" s="114">
        <v>6300</v>
      </c>
      <c r="F208" s="119"/>
      <c r="G208" s="119"/>
      <c r="H208" s="126">
        <f t="shared" si="329"/>
        <v>6300</v>
      </c>
      <c r="I208" s="119"/>
      <c r="J208" s="119"/>
      <c r="K208" s="126">
        <f t="shared" si="330"/>
        <v>6300</v>
      </c>
      <c r="L208" s="119"/>
      <c r="M208" s="119"/>
      <c r="N208" s="126">
        <f t="shared" si="331"/>
        <v>6300</v>
      </c>
      <c r="O208" s="119"/>
      <c r="P208" s="119"/>
      <c r="Q208" s="126">
        <f t="shared" si="332"/>
        <v>6300</v>
      </c>
      <c r="R208" s="119">
        <v>1200</v>
      </c>
      <c r="S208" s="119"/>
      <c r="T208" s="126">
        <f t="shared" si="333"/>
        <v>7500</v>
      </c>
      <c r="U208" s="119"/>
      <c r="V208" s="119"/>
      <c r="W208" s="126">
        <f t="shared" si="334"/>
        <v>7500</v>
      </c>
      <c r="X208" s="119"/>
      <c r="Y208" s="119"/>
      <c r="Z208" s="126">
        <f t="shared" si="335"/>
        <v>7500</v>
      </c>
      <c r="AA208" s="119"/>
      <c r="AB208" s="119"/>
      <c r="AC208" s="126">
        <f t="shared" si="336"/>
        <v>7500</v>
      </c>
      <c r="AD208" s="119"/>
      <c r="AE208" s="119"/>
      <c r="AF208" s="126">
        <f t="shared" si="337"/>
        <v>7500</v>
      </c>
      <c r="AG208" s="119"/>
      <c r="AH208" s="119">
        <v>800</v>
      </c>
      <c r="AI208" s="126">
        <f t="shared" si="338"/>
        <v>6700</v>
      </c>
      <c r="AJ208" s="119"/>
      <c r="AK208" s="119"/>
      <c r="AL208" s="126">
        <f t="shared" si="339"/>
        <v>6700</v>
      </c>
      <c r="AM208" s="119"/>
      <c r="AN208" s="119"/>
      <c r="AO208" s="126">
        <f t="shared" si="340"/>
        <v>6700</v>
      </c>
      <c r="AP208" s="119"/>
      <c r="AQ208" s="119"/>
      <c r="AR208" s="126">
        <f t="shared" si="341"/>
        <v>6700</v>
      </c>
      <c r="AS208" s="119"/>
      <c r="AT208" s="119">
        <v>300</v>
      </c>
      <c r="AU208" s="126">
        <f t="shared" si="342"/>
        <v>6400</v>
      </c>
      <c r="AV208" s="337"/>
    </row>
    <row r="209" spans="1:48" s="37" customFormat="1" ht="21" customHeight="1">
      <c r="A209" s="98"/>
      <c r="B209" s="116"/>
      <c r="C209" s="120">
        <v>4420</v>
      </c>
      <c r="D209" s="56" t="s">
        <v>407</v>
      </c>
      <c r="E209" s="114"/>
      <c r="F209" s="119"/>
      <c r="G209" s="119"/>
      <c r="H209" s="126"/>
      <c r="I209" s="119"/>
      <c r="J209" s="119"/>
      <c r="K209" s="126"/>
      <c r="L209" s="119"/>
      <c r="M209" s="119"/>
      <c r="N209" s="126"/>
      <c r="O209" s="119"/>
      <c r="P209" s="119"/>
      <c r="Q209" s="126">
        <v>0</v>
      </c>
      <c r="R209" s="119">
        <v>400</v>
      </c>
      <c r="S209" s="119"/>
      <c r="T209" s="126">
        <f t="shared" si="333"/>
        <v>400</v>
      </c>
      <c r="U209" s="119"/>
      <c r="V209" s="119"/>
      <c r="W209" s="126">
        <f t="shared" si="334"/>
        <v>400</v>
      </c>
      <c r="X209" s="119"/>
      <c r="Y209" s="119"/>
      <c r="Z209" s="126">
        <f t="shared" si="335"/>
        <v>400</v>
      </c>
      <c r="AA209" s="119"/>
      <c r="AB209" s="119"/>
      <c r="AC209" s="126">
        <f t="shared" si="336"/>
        <v>400</v>
      </c>
      <c r="AD209" s="119"/>
      <c r="AE209" s="119"/>
      <c r="AF209" s="126">
        <f t="shared" si="337"/>
        <v>400</v>
      </c>
      <c r="AG209" s="119"/>
      <c r="AH209" s="119">
        <v>91</v>
      </c>
      <c r="AI209" s="126">
        <f t="shared" si="338"/>
        <v>309</v>
      </c>
      <c r="AJ209" s="119"/>
      <c r="AK209" s="119"/>
      <c r="AL209" s="126">
        <f t="shared" si="339"/>
        <v>309</v>
      </c>
      <c r="AM209" s="119"/>
      <c r="AN209" s="119"/>
      <c r="AO209" s="126">
        <f t="shared" si="340"/>
        <v>309</v>
      </c>
      <c r="AP209" s="119"/>
      <c r="AQ209" s="119"/>
      <c r="AR209" s="126">
        <f t="shared" si="341"/>
        <v>309</v>
      </c>
      <c r="AS209" s="119"/>
      <c r="AT209" s="119"/>
      <c r="AU209" s="126">
        <f t="shared" si="342"/>
        <v>309</v>
      </c>
      <c r="AV209" s="337"/>
    </row>
    <row r="210" spans="1:48" s="37" customFormat="1" ht="21" customHeight="1">
      <c r="A210" s="98"/>
      <c r="B210" s="116"/>
      <c r="C210" s="120">
        <v>4425</v>
      </c>
      <c r="D210" s="56" t="s">
        <v>407</v>
      </c>
      <c r="E210" s="114"/>
      <c r="F210" s="119"/>
      <c r="G210" s="119"/>
      <c r="H210" s="126">
        <v>0</v>
      </c>
      <c r="I210" s="119">
        <v>1520</v>
      </c>
      <c r="J210" s="119"/>
      <c r="K210" s="126">
        <f t="shared" si="330"/>
        <v>1520</v>
      </c>
      <c r="L210" s="119"/>
      <c r="M210" s="119"/>
      <c r="N210" s="126">
        <f t="shared" si="331"/>
        <v>1520</v>
      </c>
      <c r="O210" s="119"/>
      <c r="P210" s="119"/>
      <c r="Q210" s="126">
        <f t="shared" si="332"/>
        <v>1520</v>
      </c>
      <c r="R210" s="119"/>
      <c r="S210" s="119"/>
      <c r="T210" s="126">
        <f t="shared" si="333"/>
        <v>1520</v>
      </c>
      <c r="U210" s="119"/>
      <c r="V210" s="119"/>
      <c r="W210" s="126">
        <f t="shared" si="334"/>
        <v>1520</v>
      </c>
      <c r="X210" s="119"/>
      <c r="Y210" s="119"/>
      <c r="Z210" s="126">
        <f t="shared" si="335"/>
        <v>1520</v>
      </c>
      <c r="AA210" s="119"/>
      <c r="AB210" s="119"/>
      <c r="AC210" s="126">
        <f t="shared" si="336"/>
        <v>1520</v>
      </c>
      <c r="AD210" s="119"/>
      <c r="AE210" s="119"/>
      <c r="AF210" s="126">
        <f t="shared" si="337"/>
        <v>1520</v>
      </c>
      <c r="AG210" s="119"/>
      <c r="AH210" s="119"/>
      <c r="AI210" s="126">
        <f t="shared" si="338"/>
        <v>1520</v>
      </c>
      <c r="AJ210" s="119"/>
      <c r="AK210" s="119"/>
      <c r="AL210" s="126">
        <f t="shared" si="339"/>
        <v>1520</v>
      </c>
      <c r="AM210" s="119"/>
      <c r="AN210" s="119"/>
      <c r="AO210" s="126">
        <f t="shared" si="340"/>
        <v>1520</v>
      </c>
      <c r="AP210" s="119"/>
      <c r="AQ210" s="119"/>
      <c r="AR210" s="126">
        <f t="shared" si="341"/>
        <v>1520</v>
      </c>
      <c r="AS210" s="119">
        <v>9302</v>
      </c>
      <c r="AT210" s="119"/>
      <c r="AU210" s="126">
        <f t="shared" si="342"/>
        <v>10822</v>
      </c>
      <c r="AV210" s="337"/>
    </row>
    <row r="211" spans="1:48" s="37" customFormat="1" ht="21" customHeight="1">
      <c r="A211" s="98"/>
      <c r="B211" s="116"/>
      <c r="C211" s="120">
        <v>4430</v>
      </c>
      <c r="D211" s="56" t="s">
        <v>111</v>
      </c>
      <c r="E211" s="114">
        <v>4800</v>
      </c>
      <c r="F211" s="119"/>
      <c r="G211" s="119"/>
      <c r="H211" s="126">
        <f t="shared" si="329"/>
        <v>4800</v>
      </c>
      <c r="I211" s="119"/>
      <c r="J211" s="119"/>
      <c r="K211" s="126">
        <f t="shared" si="330"/>
        <v>4800</v>
      </c>
      <c r="L211" s="119"/>
      <c r="M211" s="119"/>
      <c r="N211" s="126">
        <f t="shared" si="331"/>
        <v>4800</v>
      </c>
      <c r="O211" s="119"/>
      <c r="P211" s="119"/>
      <c r="Q211" s="126">
        <f t="shared" si="332"/>
        <v>4800</v>
      </c>
      <c r="R211" s="119"/>
      <c r="S211" s="119"/>
      <c r="T211" s="126">
        <f t="shared" si="333"/>
        <v>4800</v>
      </c>
      <c r="U211" s="119"/>
      <c r="V211" s="119"/>
      <c r="W211" s="126">
        <f t="shared" si="334"/>
        <v>4800</v>
      </c>
      <c r="X211" s="119"/>
      <c r="Y211" s="119"/>
      <c r="Z211" s="126">
        <f t="shared" si="335"/>
        <v>4800</v>
      </c>
      <c r="AA211" s="119"/>
      <c r="AB211" s="119"/>
      <c r="AC211" s="126">
        <f t="shared" si="336"/>
        <v>4800</v>
      </c>
      <c r="AD211" s="119"/>
      <c r="AE211" s="119"/>
      <c r="AF211" s="126">
        <f t="shared" si="337"/>
        <v>4800</v>
      </c>
      <c r="AG211" s="119"/>
      <c r="AH211" s="119">
        <v>3476</v>
      </c>
      <c r="AI211" s="126">
        <f t="shared" si="338"/>
        <v>1324</v>
      </c>
      <c r="AJ211" s="119"/>
      <c r="AK211" s="119"/>
      <c r="AL211" s="126">
        <f t="shared" si="339"/>
        <v>1324</v>
      </c>
      <c r="AM211" s="119"/>
      <c r="AN211" s="119"/>
      <c r="AO211" s="126">
        <f t="shared" si="340"/>
        <v>1324</v>
      </c>
      <c r="AP211" s="119"/>
      <c r="AQ211" s="119"/>
      <c r="AR211" s="126">
        <f t="shared" si="341"/>
        <v>1324</v>
      </c>
      <c r="AS211" s="119"/>
      <c r="AT211" s="119"/>
      <c r="AU211" s="126">
        <f t="shared" si="342"/>
        <v>1324</v>
      </c>
      <c r="AV211" s="337"/>
    </row>
    <row r="212" spans="1:48" s="37" customFormat="1" ht="21" customHeight="1">
      <c r="A212" s="98"/>
      <c r="B212" s="116"/>
      <c r="C212" s="120">
        <v>4440</v>
      </c>
      <c r="D212" s="56" t="s">
        <v>105</v>
      </c>
      <c r="E212" s="114">
        <v>168503</v>
      </c>
      <c r="F212" s="119"/>
      <c r="G212" s="119"/>
      <c r="H212" s="126">
        <f t="shared" si="329"/>
        <v>168503</v>
      </c>
      <c r="I212" s="119"/>
      <c r="J212" s="119"/>
      <c r="K212" s="126">
        <f t="shared" si="330"/>
        <v>168503</v>
      </c>
      <c r="L212" s="119"/>
      <c r="M212" s="119"/>
      <c r="N212" s="126">
        <f t="shared" si="331"/>
        <v>168503</v>
      </c>
      <c r="O212" s="119"/>
      <c r="P212" s="119"/>
      <c r="Q212" s="126">
        <f t="shared" si="332"/>
        <v>168503</v>
      </c>
      <c r="R212" s="119"/>
      <c r="S212" s="119"/>
      <c r="T212" s="126">
        <f t="shared" si="333"/>
        <v>168503</v>
      </c>
      <c r="U212" s="119"/>
      <c r="V212" s="119"/>
      <c r="W212" s="126">
        <f t="shared" si="334"/>
        <v>168503</v>
      </c>
      <c r="X212" s="119"/>
      <c r="Y212" s="119"/>
      <c r="Z212" s="126">
        <f t="shared" si="335"/>
        <v>168503</v>
      </c>
      <c r="AA212" s="119"/>
      <c r="AB212" s="119"/>
      <c r="AC212" s="126">
        <f t="shared" si="336"/>
        <v>168503</v>
      </c>
      <c r="AD212" s="119"/>
      <c r="AE212" s="119"/>
      <c r="AF212" s="126">
        <f t="shared" si="337"/>
        <v>168503</v>
      </c>
      <c r="AG212" s="119"/>
      <c r="AH212" s="119">
        <v>2185</v>
      </c>
      <c r="AI212" s="126">
        <f t="shared" si="338"/>
        <v>166318</v>
      </c>
      <c r="AJ212" s="119"/>
      <c r="AK212" s="119"/>
      <c r="AL212" s="126">
        <f t="shared" si="339"/>
        <v>166318</v>
      </c>
      <c r="AM212" s="119"/>
      <c r="AN212" s="119"/>
      <c r="AO212" s="126">
        <f t="shared" si="340"/>
        <v>166318</v>
      </c>
      <c r="AP212" s="119"/>
      <c r="AQ212" s="119"/>
      <c r="AR212" s="126">
        <f t="shared" si="341"/>
        <v>166318</v>
      </c>
      <c r="AS212" s="119"/>
      <c r="AT212" s="119"/>
      <c r="AU212" s="126">
        <f t="shared" si="342"/>
        <v>166318</v>
      </c>
      <c r="AV212" s="337"/>
    </row>
    <row r="213" spans="1:48" s="37" customFormat="1" ht="21" customHeight="1">
      <c r="A213" s="98"/>
      <c r="B213" s="116"/>
      <c r="C213" s="120">
        <v>6060</v>
      </c>
      <c r="D213" s="56" t="s">
        <v>113</v>
      </c>
      <c r="E213" s="114">
        <v>3500</v>
      </c>
      <c r="F213" s="119"/>
      <c r="G213" s="119"/>
      <c r="H213" s="126">
        <f t="shared" si="329"/>
        <v>3500</v>
      </c>
      <c r="I213" s="119"/>
      <c r="J213" s="119"/>
      <c r="K213" s="126">
        <f t="shared" si="330"/>
        <v>3500</v>
      </c>
      <c r="L213" s="119"/>
      <c r="M213" s="119"/>
      <c r="N213" s="126">
        <f t="shared" si="331"/>
        <v>3500</v>
      </c>
      <c r="O213" s="119"/>
      <c r="P213" s="119"/>
      <c r="Q213" s="126">
        <f t="shared" si="332"/>
        <v>3500</v>
      </c>
      <c r="R213" s="119"/>
      <c r="S213" s="119"/>
      <c r="T213" s="126">
        <f t="shared" si="333"/>
        <v>3500</v>
      </c>
      <c r="U213" s="119"/>
      <c r="V213" s="119"/>
      <c r="W213" s="126">
        <f t="shared" si="334"/>
        <v>3500</v>
      </c>
      <c r="X213" s="119"/>
      <c r="Y213" s="119"/>
      <c r="Z213" s="126">
        <f t="shared" si="335"/>
        <v>3500</v>
      </c>
      <c r="AA213" s="119"/>
      <c r="AB213" s="119"/>
      <c r="AC213" s="126">
        <f t="shared" si="336"/>
        <v>3500</v>
      </c>
      <c r="AD213" s="119"/>
      <c r="AE213" s="119"/>
      <c r="AF213" s="126">
        <f t="shared" si="337"/>
        <v>3500</v>
      </c>
      <c r="AG213" s="119"/>
      <c r="AH213" s="119">
        <v>434</v>
      </c>
      <c r="AI213" s="126">
        <f t="shared" si="338"/>
        <v>3066</v>
      </c>
      <c r="AJ213" s="119"/>
      <c r="AK213" s="119"/>
      <c r="AL213" s="126">
        <f t="shared" si="339"/>
        <v>3066</v>
      </c>
      <c r="AM213" s="119"/>
      <c r="AN213" s="119"/>
      <c r="AO213" s="126">
        <f t="shared" si="340"/>
        <v>3066</v>
      </c>
      <c r="AP213" s="119"/>
      <c r="AQ213" s="119"/>
      <c r="AR213" s="126">
        <f t="shared" si="341"/>
        <v>3066</v>
      </c>
      <c r="AS213" s="119"/>
      <c r="AT213" s="119"/>
      <c r="AU213" s="126">
        <f t="shared" si="342"/>
        <v>3066</v>
      </c>
      <c r="AV213" s="337"/>
    </row>
    <row r="214" spans="1:48" s="37" customFormat="1" ht="21.75" customHeight="1">
      <c r="A214" s="98"/>
      <c r="B214" s="116" t="s">
        <v>135</v>
      </c>
      <c r="C214" s="120"/>
      <c r="D214" s="56" t="s">
        <v>136</v>
      </c>
      <c r="E214" s="114">
        <f aca="true" t="shared" si="343" ref="E214:K214">SUM(E218:E219)</f>
        <v>362500</v>
      </c>
      <c r="F214" s="114">
        <f t="shared" si="343"/>
        <v>10000</v>
      </c>
      <c r="G214" s="114">
        <f t="shared" si="343"/>
        <v>10000</v>
      </c>
      <c r="H214" s="114">
        <f t="shared" si="343"/>
        <v>362500</v>
      </c>
      <c r="I214" s="114">
        <f t="shared" si="343"/>
        <v>0</v>
      </c>
      <c r="J214" s="114">
        <f t="shared" si="343"/>
        <v>0</v>
      </c>
      <c r="K214" s="114">
        <f t="shared" si="343"/>
        <v>362500</v>
      </c>
      <c r="L214" s="114">
        <f aca="true" t="shared" si="344" ref="L214:Q214">SUM(L218:L219)</f>
        <v>0</v>
      </c>
      <c r="M214" s="114">
        <f t="shared" si="344"/>
        <v>0</v>
      </c>
      <c r="N214" s="114">
        <f t="shared" si="344"/>
        <v>362500</v>
      </c>
      <c r="O214" s="114">
        <f t="shared" si="344"/>
        <v>0</v>
      </c>
      <c r="P214" s="114">
        <f t="shared" si="344"/>
        <v>0</v>
      </c>
      <c r="Q214" s="114">
        <f t="shared" si="344"/>
        <v>362500</v>
      </c>
      <c r="R214" s="114">
        <f aca="true" t="shared" si="345" ref="R214:W214">SUM(R218:R219)</f>
        <v>0</v>
      </c>
      <c r="S214" s="114">
        <f t="shared" si="345"/>
        <v>0</v>
      </c>
      <c r="T214" s="114">
        <f t="shared" si="345"/>
        <v>362500</v>
      </c>
      <c r="U214" s="114">
        <f t="shared" si="345"/>
        <v>5000</v>
      </c>
      <c r="V214" s="114">
        <f t="shared" si="345"/>
        <v>5000</v>
      </c>
      <c r="W214" s="114">
        <f t="shared" si="345"/>
        <v>362500</v>
      </c>
      <c r="X214" s="114">
        <f aca="true" t="shared" si="346" ref="X214:AC214">SUM(X218:X219)</f>
        <v>0</v>
      </c>
      <c r="Y214" s="114">
        <f t="shared" si="346"/>
        <v>42232</v>
      </c>
      <c r="Z214" s="114">
        <f t="shared" si="346"/>
        <v>320268</v>
      </c>
      <c r="AA214" s="114">
        <f t="shared" si="346"/>
        <v>0</v>
      </c>
      <c r="AB214" s="114">
        <f t="shared" si="346"/>
        <v>0</v>
      </c>
      <c r="AC214" s="114">
        <f t="shared" si="346"/>
        <v>320268</v>
      </c>
      <c r="AD214" s="114">
        <f>SUM(AD218:AD219)</f>
        <v>0</v>
      </c>
      <c r="AE214" s="114">
        <f>SUM(AE218:AE219)</f>
        <v>0</v>
      </c>
      <c r="AF214" s="114">
        <f aca="true" t="shared" si="347" ref="AF214:AL214">SUM(AF215:AF220)</f>
        <v>320268</v>
      </c>
      <c r="AG214" s="114">
        <f t="shared" si="347"/>
        <v>24481</v>
      </c>
      <c r="AH214" s="114">
        <f t="shared" si="347"/>
        <v>24970</v>
      </c>
      <c r="AI214" s="114">
        <f t="shared" si="347"/>
        <v>319779</v>
      </c>
      <c r="AJ214" s="114">
        <f t="shared" si="347"/>
        <v>0</v>
      </c>
      <c r="AK214" s="114">
        <f t="shared" si="347"/>
        <v>0</v>
      </c>
      <c r="AL214" s="114">
        <f t="shared" si="347"/>
        <v>319779</v>
      </c>
      <c r="AM214" s="114">
        <f aca="true" t="shared" si="348" ref="AM214:AR214">SUM(AM215:AM220)</f>
        <v>0</v>
      </c>
      <c r="AN214" s="114">
        <f t="shared" si="348"/>
        <v>0</v>
      </c>
      <c r="AO214" s="114">
        <f t="shared" si="348"/>
        <v>319779</v>
      </c>
      <c r="AP214" s="114">
        <f t="shared" si="348"/>
        <v>0</v>
      </c>
      <c r="AQ214" s="114">
        <f t="shared" si="348"/>
        <v>0</v>
      </c>
      <c r="AR214" s="114">
        <f t="shared" si="348"/>
        <v>319779</v>
      </c>
      <c r="AS214" s="114">
        <f>SUM(AS215:AS220)</f>
        <v>0</v>
      </c>
      <c r="AT214" s="114">
        <f>SUM(AT215:AT220)</f>
        <v>0</v>
      </c>
      <c r="AU214" s="114">
        <f>SUM(AU215:AU220)</f>
        <v>319779</v>
      </c>
      <c r="AV214" s="339"/>
    </row>
    <row r="215" spans="1:48" s="37" customFormat="1" ht="21.75" customHeight="1">
      <c r="A215" s="98"/>
      <c r="B215" s="116"/>
      <c r="C215" s="120">
        <v>4110</v>
      </c>
      <c r="D215" s="56" t="s">
        <v>103</v>
      </c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>
        <v>0</v>
      </c>
      <c r="AG215" s="114">
        <v>244</v>
      </c>
      <c r="AH215" s="114"/>
      <c r="AI215" s="126">
        <f aca="true" t="shared" si="349" ref="AI215:AI220">SUM(AF215+AG215-AH215)</f>
        <v>244</v>
      </c>
      <c r="AJ215" s="114"/>
      <c r="AK215" s="114"/>
      <c r="AL215" s="126">
        <f aca="true" t="shared" si="350" ref="AL215:AL220">SUM(AI215+AJ215-AK215)</f>
        <v>244</v>
      </c>
      <c r="AM215" s="114"/>
      <c r="AN215" s="114"/>
      <c r="AO215" s="126">
        <f aca="true" t="shared" si="351" ref="AO215:AO220">SUM(AL215+AM215-AN215)</f>
        <v>244</v>
      </c>
      <c r="AP215" s="114"/>
      <c r="AQ215" s="114"/>
      <c r="AR215" s="126">
        <f aca="true" t="shared" si="352" ref="AR215:AR220">SUM(AO215+AP215-AQ215)</f>
        <v>244</v>
      </c>
      <c r="AS215" s="114"/>
      <c r="AT215" s="114"/>
      <c r="AU215" s="126">
        <f aca="true" t="shared" si="353" ref="AU215:AU220">SUM(AR215+AS215-AT215)</f>
        <v>244</v>
      </c>
      <c r="AV215" s="337">
        <f>SUM(AU215)</f>
        <v>244</v>
      </c>
    </row>
    <row r="216" spans="1:48" s="37" customFormat="1" ht="21.75" customHeight="1">
      <c r="A216" s="98"/>
      <c r="B216" s="116"/>
      <c r="C216" s="120">
        <v>4120</v>
      </c>
      <c r="D216" s="56" t="s">
        <v>104</v>
      </c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>
        <v>0</v>
      </c>
      <c r="AG216" s="114">
        <v>35</v>
      </c>
      <c r="AH216" s="114"/>
      <c r="AI216" s="126">
        <f t="shared" si="349"/>
        <v>35</v>
      </c>
      <c r="AJ216" s="114"/>
      <c r="AK216" s="114"/>
      <c r="AL216" s="126">
        <f t="shared" si="350"/>
        <v>35</v>
      </c>
      <c r="AM216" s="114"/>
      <c r="AN216" s="114"/>
      <c r="AO216" s="126">
        <f t="shared" si="351"/>
        <v>35</v>
      </c>
      <c r="AP216" s="114"/>
      <c r="AQ216" s="114"/>
      <c r="AR216" s="126">
        <f t="shared" si="352"/>
        <v>35</v>
      </c>
      <c r="AS216" s="114"/>
      <c r="AT216" s="114"/>
      <c r="AU216" s="126">
        <f t="shared" si="353"/>
        <v>35</v>
      </c>
      <c r="AV216" s="337">
        <f>SUM(AU216)</f>
        <v>35</v>
      </c>
    </row>
    <row r="217" spans="1:48" s="37" customFormat="1" ht="21.75" customHeight="1">
      <c r="A217" s="98"/>
      <c r="B217" s="116"/>
      <c r="C217" s="120">
        <v>4170</v>
      </c>
      <c r="D217" s="56" t="s">
        <v>252</v>
      </c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>
        <v>0</v>
      </c>
      <c r="AG217" s="114">
        <v>3722</v>
      </c>
      <c r="AH217" s="114"/>
      <c r="AI217" s="126">
        <f t="shared" si="349"/>
        <v>3722</v>
      </c>
      <c r="AJ217" s="114"/>
      <c r="AK217" s="114"/>
      <c r="AL217" s="126">
        <f t="shared" si="350"/>
        <v>3722</v>
      </c>
      <c r="AM217" s="114"/>
      <c r="AN217" s="114"/>
      <c r="AO217" s="126">
        <f t="shared" si="351"/>
        <v>3722</v>
      </c>
      <c r="AP217" s="114"/>
      <c r="AQ217" s="114"/>
      <c r="AR217" s="126">
        <f t="shared" si="352"/>
        <v>3722</v>
      </c>
      <c r="AS217" s="114"/>
      <c r="AT217" s="114"/>
      <c r="AU217" s="126">
        <f t="shared" si="353"/>
        <v>3722</v>
      </c>
      <c r="AV217" s="337">
        <f>SUM(AU217)</f>
        <v>3722</v>
      </c>
    </row>
    <row r="218" spans="1:48" s="37" customFormat="1" ht="21.75" customHeight="1">
      <c r="A218" s="98"/>
      <c r="B218" s="116"/>
      <c r="C218" s="120">
        <v>4210</v>
      </c>
      <c r="D218" s="56" t="s">
        <v>109</v>
      </c>
      <c r="E218" s="114">
        <v>0</v>
      </c>
      <c r="F218" s="114">
        <v>10000</v>
      </c>
      <c r="G218" s="114"/>
      <c r="H218" s="126">
        <f>SUM(E218+F218-G218)</f>
        <v>10000</v>
      </c>
      <c r="I218" s="114"/>
      <c r="J218" s="114"/>
      <c r="K218" s="126">
        <f>SUM(H218+I218-J218)</f>
        <v>10000</v>
      </c>
      <c r="L218" s="114"/>
      <c r="M218" s="114"/>
      <c r="N218" s="126">
        <f>SUM(K218+L218-M218)</f>
        <v>10000</v>
      </c>
      <c r="O218" s="114"/>
      <c r="P218" s="114"/>
      <c r="Q218" s="126">
        <f>SUM(N218+O218-P218)</f>
        <v>10000</v>
      </c>
      <c r="R218" s="114"/>
      <c r="S218" s="114"/>
      <c r="T218" s="126">
        <f>SUM(Q218+R218-S218)</f>
        <v>10000</v>
      </c>
      <c r="U218" s="114">
        <v>5000</v>
      </c>
      <c r="V218" s="114"/>
      <c r="W218" s="126">
        <f>SUM(T218+U218-V218)</f>
        <v>15000</v>
      </c>
      <c r="X218" s="114"/>
      <c r="Y218" s="114"/>
      <c r="Z218" s="126">
        <f>SUM(W218+X218-Y218)</f>
        <v>15000</v>
      </c>
      <c r="AA218" s="114"/>
      <c r="AB218" s="114"/>
      <c r="AC218" s="126">
        <f>SUM(Z218+AA218-AB218)</f>
        <v>15000</v>
      </c>
      <c r="AD218" s="114"/>
      <c r="AE218" s="114"/>
      <c r="AF218" s="126">
        <f>SUM(AC218+AD218-AE218)</f>
        <v>15000</v>
      </c>
      <c r="AG218" s="114">
        <f>14000+1000+480</f>
        <v>15480</v>
      </c>
      <c r="AH218" s="114"/>
      <c r="AI218" s="126">
        <f t="shared" si="349"/>
        <v>30480</v>
      </c>
      <c r="AJ218" s="114"/>
      <c r="AK218" s="114"/>
      <c r="AL218" s="126">
        <f t="shared" si="350"/>
        <v>30480</v>
      </c>
      <c r="AM218" s="114"/>
      <c r="AN218" s="114"/>
      <c r="AO218" s="126">
        <f t="shared" si="351"/>
        <v>30480</v>
      </c>
      <c r="AP218" s="114"/>
      <c r="AQ218" s="114"/>
      <c r="AR218" s="126">
        <f t="shared" si="352"/>
        <v>30480</v>
      </c>
      <c r="AS218" s="114"/>
      <c r="AT218" s="114"/>
      <c r="AU218" s="126">
        <f t="shared" si="353"/>
        <v>30480</v>
      </c>
      <c r="AV218" s="337"/>
    </row>
    <row r="219" spans="1:48" s="37" customFormat="1" ht="21" customHeight="1">
      <c r="A219" s="98"/>
      <c r="B219" s="116"/>
      <c r="C219" s="120">
        <v>4300</v>
      </c>
      <c r="D219" s="56" t="s">
        <v>96</v>
      </c>
      <c r="E219" s="114">
        <v>362500</v>
      </c>
      <c r="F219" s="119"/>
      <c r="G219" s="119">
        <v>10000</v>
      </c>
      <c r="H219" s="126">
        <f>SUM(E219+F219-G219)</f>
        <v>352500</v>
      </c>
      <c r="I219" s="119"/>
      <c r="J219" s="119"/>
      <c r="K219" s="126">
        <f>SUM(H219+I219-J219)</f>
        <v>352500</v>
      </c>
      <c r="L219" s="119"/>
      <c r="M219" s="119"/>
      <c r="N219" s="126">
        <f>SUM(K219+L219-M219)</f>
        <v>352500</v>
      </c>
      <c r="O219" s="119"/>
      <c r="P219" s="119"/>
      <c r="Q219" s="126">
        <f>SUM(N219+O219-P219)</f>
        <v>352500</v>
      </c>
      <c r="R219" s="119"/>
      <c r="S219" s="119"/>
      <c r="T219" s="126">
        <f>SUM(Q219+R219-S219)</f>
        <v>352500</v>
      </c>
      <c r="U219" s="119"/>
      <c r="V219" s="119">
        <v>5000</v>
      </c>
      <c r="W219" s="126">
        <f>SUM(T219+U219-V219)</f>
        <v>347500</v>
      </c>
      <c r="X219" s="119"/>
      <c r="Y219" s="119">
        <f>2232+40000</f>
        <v>42232</v>
      </c>
      <c r="Z219" s="126">
        <f>SUM(W219+X219-Y219)</f>
        <v>305268</v>
      </c>
      <c r="AA219" s="119"/>
      <c r="AB219" s="119"/>
      <c r="AC219" s="126">
        <f>SUM(Z219+AA219-AB219)</f>
        <v>305268</v>
      </c>
      <c r="AD219" s="119"/>
      <c r="AE219" s="119"/>
      <c r="AF219" s="126">
        <f>SUM(AC219+AD219-AE219)</f>
        <v>305268</v>
      </c>
      <c r="AG219" s="119"/>
      <c r="AH219" s="119">
        <f>14000+1000+5000+480+3722+244+35+489</f>
        <v>24970</v>
      </c>
      <c r="AI219" s="126">
        <f t="shared" si="349"/>
        <v>280298</v>
      </c>
      <c r="AJ219" s="119"/>
      <c r="AK219" s="119"/>
      <c r="AL219" s="126">
        <f t="shared" si="350"/>
        <v>280298</v>
      </c>
      <c r="AM219" s="119"/>
      <c r="AN219" s="119"/>
      <c r="AO219" s="126">
        <f t="shared" si="351"/>
        <v>280298</v>
      </c>
      <c r="AP219" s="119"/>
      <c r="AQ219" s="119"/>
      <c r="AR219" s="126">
        <f t="shared" si="352"/>
        <v>280298</v>
      </c>
      <c r="AS219" s="119"/>
      <c r="AT219" s="119"/>
      <c r="AU219" s="126">
        <f t="shared" si="353"/>
        <v>280298</v>
      </c>
      <c r="AV219" s="337"/>
    </row>
    <row r="220" spans="1:48" s="37" customFormat="1" ht="21" customHeight="1">
      <c r="A220" s="98"/>
      <c r="B220" s="116"/>
      <c r="C220" s="120">
        <v>4430</v>
      </c>
      <c r="D220" s="56" t="s">
        <v>111</v>
      </c>
      <c r="E220" s="114"/>
      <c r="F220" s="119"/>
      <c r="G220" s="119"/>
      <c r="H220" s="126"/>
      <c r="I220" s="119"/>
      <c r="J220" s="119"/>
      <c r="K220" s="126"/>
      <c r="L220" s="119"/>
      <c r="M220" s="119"/>
      <c r="N220" s="126"/>
      <c r="O220" s="119"/>
      <c r="P220" s="119"/>
      <c r="Q220" s="126"/>
      <c r="R220" s="119"/>
      <c r="S220" s="119"/>
      <c r="T220" s="126"/>
      <c r="U220" s="119"/>
      <c r="V220" s="119"/>
      <c r="W220" s="126"/>
      <c r="X220" s="119"/>
      <c r="Y220" s="119"/>
      <c r="Z220" s="126"/>
      <c r="AA220" s="119"/>
      <c r="AB220" s="119"/>
      <c r="AC220" s="126"/>
      <c r="AD220" s="119"/>
      <c r="AE220" s="119"/>
      <c r="AF220" s="126">
        <v>0</v>
      </c>
      <c r="AG220" s="119">
        <f>5000</f>
        <v>5000</v>
      </c>
      <c r="AH220" s="119"/>
      <c r="AI220" s="126">
        <f t="shared" si="349"/>
        <v>5000</v>
      </c>
      <c r="AJ220" s="119"/>
      <c r="AK220" s="119"/>
      <c r="AL220" s="126">
        <f t="shared" si="350"/>
        <v>5000</v>
      </c>
      <c r="AM220" s="119"/>
      <c r="AN220" s="119"/>
      <c r="AO220" s="126">
        <f t="shared" si="351"/>
        <v>5000</v>
      </c>
      <c r="AP220" s="119"/>
      <c r="AQ220" s="119"/>
      <c r="AR220" s="126">
        <f t="shared" si="352"/>
        <v>5000</v>
      </c>
      <c r="AS220" s="119"/>
      <c r="AT220" s="119"/>
      <c r="AU220" s="126">
        <f t="shared" si="353"/>
        <v>5000</v>
      </c>
      <c r="AV220" s="337"/>
    </row>
    <row r="221" spans="1:48" s="37" customFormat="1" ht="24" customHeight="1">
      <c r="A221" s="98"/>
      <c r="B221" s="121">
        <v>80146</v>
      </c>
      <c r="C221" s="101"/>
      <c r="D221" s="56" t="s">
        <v>186</v>
      </c>
      <c r="E221" s="114">
        <f aca="true" t="shared" si="354" ref="E221:K221">SUM(E222:E225)</f>
        <v>87059</v>
      </c>
      <c r="F221" s="114">
        <f t="shared" si="354"/>
        <v>20540</v>
      </c>
      <c r="G221" s="114">
        <f t="shared" si="354"/>
        <v>20540</v>
      </c>
      <c r="H221" s="114">
        <f t="shared" si="354"/>
        <v>87059</v>
      </c>
      <c r="I221" s="114">
        <f t="shared" si="354"/>
        <v>602</v>
      </c>
      <c r="J221" s="114">
        <f t="shared" si="354"/>
        <v>602</v>
      </c>
      <c r="K221" s="114">
        <f t="shared" si="354"/>
        <v>87059</v>
      </c>
      <c r="L221" s="114">
        <f aca="true" t="shared" si="355" ref="L221:Q221">SUM(L222:L225)</f>
        <v>0</v>
      </c>
      <c r="M221" s="114">
        <f t="shared" si="355"/>
        <v>0</v>
      </c>
      <c r="N221" s="114">
        <f t="shared" si="355"/>
        <v>87059</v>
      </c>
      <c r="O221" s="114">
        <f t="shared" si="355"/>
        <v>0</v>
      </c>
      <c r="P221" s="114">
        <f t="shared" si="355"/>
        <v>0</v>
      </c>
      <c r="Q221" s="114">
        <f t="shared" si="355"/>
        <v>87059</v>
      </c>
      <c r="R221" s="114">
        <f aca="true" t="shared" si="356" ref="R221:W221">SUM(R222:R225)</f>
        <v>0</v>
      </c>
      <c r="S221" s="114">
        <f t="shared" si="356"/>
        <v>0</v>
      </c>
      <c r="T221" s="114">
        <f t="shared" si="356"/>
        <v>87059</v>
      </c>
      <c r="U221" s="114">
        <f t="shared" si="356"/>
        <v>0</v>
      </c>
      <c r="V221" s="114">
        <f t="shared" si="356"/>
        <v>0</v>
      </c>
      <c r="W221" s="114">
        <f t="shared" si="356"/>
        <v>87059</v>
      </c>
      <c r="X221" s="114">
        <f aca="true" t="shared" si="357" ref="X221:AC221">SUM(X222:X225)</f>
        <v>0</v>
      </c>
      <c r="Y221" s="114">
        <f t="shared" si="357"/>
        <v>0</v>
      </c>
      <c r="Z221" s="114">
        <f t="shared" si="357"/>
        <v>87059</v>
      </c>
      <c r="AA221" s="114">
        <f t="shared" si="357"/>
        <v>0</v>
      </c>
      <c r="AB221" s="114">
        <f t="shared" si="357"/>
        <v>0</v>
      </c>
      <c r="AC221" s="114">
        <f t="shared" si="357"/>
        <v>87059</v>
      </c>
      <c r="AD221" s="114">
        <f aca="true" t="shared" si="358" ref="AD221:AI221">SUM(AD222:AD225)</f>
        <v>0</v>
      </c>
      <c r="AE221" s="114">
        <f t="shared" si="358"/>
        <v>0</v>
      </c>
      <c r="AF221" s="114">
        <f t="shared" si="358"/>
        <v>87059</v>
      </c>
      <c r="AG221" s="114">
        <f t="shared" si="358"/>
        <v>0</v>
      </c>
      <c r="AH221" s="114">
        <f t="shared" si="358"/>
        <v>0</v>
      </c>
      <c r="AI221" s="114">
        <f t="shared" si="358"/>
        <v>87059</v>
      </c>
      <c r="AJ221" s="114">
        <f aca="true" t="shared" si="359" ref="AJ221:AO221">SUM(AJ222:AJ225)</f>
        <v>1846</v>
      </c>
      <c r="AK221" s="114">
        <f t="shared" si="359"/>
        <v>1846</v>
      </c>
      <c r="AL221" s="114">
        <f t="shared" si="359"/>
        <v>87059</v>
      </c>
      <c r="AM221" s="114">
        <f t="shared" si="359"/>
        <v>635</v>
      </c>
      <c r="AN221" s="114">
        <f t="shared" si="359"/>
        <v>635</v>
      </c>
      <c r="AO221" s="114">
        <f t="shared" si="359"/>
        <v>87059</v>
      </c>
      <c r="AP221" s="114">
        <f aca="true" t="shared" si="360" ref="AP221:AU221">SUM(AP222:AP225)</f>
        <v>0</v>
      </c>
      <c r="AQ221" s="114">
        <f t="shared" si="360"/>
        <v>0</v>
      </c>
      <c r="AR221" s="114">
        <f t="shared" si="360"/>
        <v>87059</v>
      </c>
      <c r="AS221" s="114">
        <f t="shared" si="360"/>
        <v>1052</v>
      </c>
      <c r="AT221" s="114">
        <f t="shared" si="360"/>
        <v>450</v>
      </c>
      <c r="AU221" s="114">
        <f t="shared" si="360"/>
        <v>87661</v>
      </c>
      <c r="AV221" s="339"/>
    </row>
    <row r="222" spans="1:48" s="37" customFormat="1" ht="21" customHeight="1">
      <c r="A222" s="98"/>
      <c r="B222" s="121"/>
      <c r="C222" s="101">
        <v>2510</v>
      </c>
      <c r="D222" s="56" t="s">
        <v>144</v>
      </c>
      <c r="E222" s="114">
        <v>10679</v>
      </c>
      <c r="F222" s="119"/>
      <c r="G222" s="119"/>
      <c r="H222" s="126">
        <f>SUM(E222+F222-G222)</f>
        <v>10679</v>
      </c>
      <c r="I222" s="119"/>
      <c r="J222" s="119"/>
      <c r="K222" s="126">
        <f>SUM(H222+I222-J222)</f>
        <v>10679</v>
      </c>
      <c r="L222" s="119"/>
      <c r="M222" s="119"/>
      <c r="N222" s="126">
        <f>SUM(K222+L222-M222)</f>
        <v>10679</v>
      </c>
      <c r="O222" s="119"/>
      <c r="P222" s="119"/>
      <c r="Q222" s="126">
        <f>SUM(N222+O222-P222)</f>
        <v>10679</v>
      </c>
      <c r="R222" s="119"/>
      <c r="S222" s="119"/>
      <c r="T222" s="126">
        <f>SUM(Q222+R222-S222)</f>
        <v>10679</v>
      </c>
      <c r="U222" s="119"/>
      <c r="V222" s="119"/>
      <c r="W222" s="126">
        <f>SUM(T222+U222-V222)</f>
        <v>10679</v>
      </c>
      <c r="X222" s="119"/>
      <c r="Y222" s="119"/>
      <c r="Z222" s="126">
        <f>SUM(W222+X222-Y222)</f>
        <v>10679</v>
      </c>
      <c r="AA222" s="119"/>
      <c r="AB222" s="119"/>
      <c r="AC222" s="126">
        <f>SUM(Z222+AA222-AB222)</f>
        <v>10679</v>
      </c>
      <c r="AD222" s="119"/>
      <c r="AE222" s="119"/>
      <c r="AF222" s="126">
        <f>SUM(AC222+AD222-AE222)</f>
        <v>10679</v>
      </c>
      <c r="AG222" s="119"/>
      <c r="AH222" s="119"/>
      <c r="AI222" s="126">
        <f>SUM(AF222+AG222-AH222)</f>
        <v>10679</v>
      </c>
      <c r="AJ222" s="119"/>
      <c r="AK222" s="119"/>
      <c r="AL222" s="126">
        <f>SUM(AI222+AJ222-AK222)</f>
        <v>10679</v>
      </c>
      <c r="AM222" s="119"/>
      <c r="AN222" s="119"/>
      <c r="AO222" s="126">
        <f>SUM(AL222+AM222-AN222)</f>
        <v>10679</v>
      </c>
      <c r="AP222" s="119"/>
      <c r="AQ222" s="119"/>
      <c r="AR222" s="126">
        <f>SUM(AO222+AP222-AQ222)</f>
        <v>10679</v>
      </c>
      <c r="AS222" s="119"/>
      <c r="AT222" s="119"/>
      <c r="AU222" s="126">
        <f>SUM(AR222+AS222-AT222)</f>
        <v>10679</v>
      </c>
      <c r="AV222" s="337"/>
    </row>
    <row r="223" spans="1:48" s="37" customFormat="1" ht="21" customHeight="1">
      <c r="A223" s="98"/>
      <c r="B223" s="121"/>
      <c r="C223" s="101">
        <v>4170</v>
      </c>
      <c r="D223" s="56" t="s">
        <v>252</v>
      </c>
      <c r="E223" s="114"/>
      <c r="F223" s="119"/>
      <c r="G223" s="119"/>
      <c r="H223" s="126">
        <v>0</v>
      </c>
      <c r="I223" s="119">
        <v>602</v>
      </c>
      <c r="J223" s="119"/>
      <c r="K223" s="126">
        <f>SUM(H223+I223-J223)</f>
        <v>602</v>
      </c>
      <c r="L223" s="119"/>
      <c r="M223" s="119"/>
      <c r="N223" s="126">
        <f>SUM(K223+L223-M223)</f>
        <v>602</v>
      </c>
      <c r="O223" s="119"/>
      <c r="P223" s="119"/>
      <c r="Q223" s="126">
        <f>SUM(N223+O223-P223)</f>
        <v>602</v>
      </c>
      <c r="R223" s="119"/>
      <c r="S223" s="119"/>
      <c r="T223" s="126">
        <f>SUM(Q223+R223-S223)</f>
        <v>602</v>
      </c>
      <c r="U223" s="119"/>
      <c r="V223" s="119"/>
      <c r="W223" s="126">
        <f>SUM(T223+U223-V223)</f>
        <v>602</v>
      </c>
      <c r="X223" s="119"/>
      <c r="Y223" s="119"/>
      <c r="Z223" s="126">
        <f>SUM(W223+X223-Y223)</f>
        <v>602</v>
      </c>
      <c r="AA223" s="119"/>
      <c r="AB223" s="119"/>
      <c r="AC223" s="126">
        <f>SUM(Z223+AA223-AB223)</f>
        <v>602</v>
      </c>
      <c r="AD223" s="119"/>
      <c r="AE223" s="119"/>
      <c r="AF223" s="126">
        <f>SUM(AC223+AD223-AE223)</f>
        <v>602</v>
      </c>
      <c r="AG223" s="119"/>
      <c r="AH223" s="119"/>
      <c r="AI223" s="126">
        <f>SUM(AF223+AG223-AH223)</f>
        <v>602</v>
      </c>
      <c r="AJ223" s="119"/>
      <c r="AK223" s="119"/>
      <c r="AL223" s="126">
        <f>SUM(AI223+AJ223-AK223)</f>
        <v>602</v>
      </c>
      <c r="AM223" s="119"/>
      <c r="AN223" s="119"/>
      <c r="AO223" s="126">
        <f>SUM(AL223+AM223-AN223)</f>
        <v>602</v>
      </c>
      <c r="AP223" s="119"/>
      <c r="AQ223" s="119"/>
      <c r="AR223" s="126">
        <f>SUM(AO223+AP223-AQ223)</f>
        <v>602</v>
      </c>
      <c r="AS223" s="119"/>
      <c r="AT223" s="119"/>
      <c r="AU223" s="126">
        <f>SUM(AR223+AS223-AT223)</f>
        <v>602</v>
      </c>
      <c r="AV223" s="337">
        <f>SUM(AU223)</f>
        <v>602</v>
      </c>
    </row>
    <row r="224" spans="1:48" s="37" customFormat="1" ht="21" customHeight="1">
      <c r="A224" s="98"/>
      <c r="B224" s="121"/>
      <c r="C224" s="101">
        <v>4300</v>
      </c>
      <c r="D224" s="56" t="s">
        <v>96</v>
      </c>
      <c r="E224" s="114">
        <v>76380</v>
      </c>
      <c r="F224" s="119"/>
      <c r="G224" s="119">
        <v>20540</v>
      </c>
      <c r="H224" s="126">
        <f>SUM(E224+F224-G224)</f>
        <v>55840</v>
      </c>
      <c r="I224" s="119"/>
      <c r="J224" s="119">
        <v>602</v>
      </c>
      <c r="K224" s="126">
        <f>SUM(H224+I224-J224)</f>
        <v>55238</v>
      </c>
      <c r="L224" s="119"/>
      <c r="M224" s="119"/>
      <c r="N224" s="126">
        <f>SUM(K224+L224-M224)</f>
        <v>55238</v>
      </c>
      <c r="O224" s="119"/>
      <c r="P224" s="119"/>
      <c r="Q224" s="126">
        <f>SUM(N224+O224-P224)</f>
        <v>55238</v>
      </c>
      <c r="R224" s="119"/>
      <c r="S224" s="119"/>
      <c r="T224" s="126">
        <f>SUM(Q224+R224-S224)</f>
        <v>55238</v>
      </c>
      <c r="U224" s="119"/>
      <c r="V224" s="119"/>
      <c r="W224" s="126">
        <f>SUM(T224+U224-V224)</f>
        <v>55238</v>
      </c>
      <c r="X224" s="119"/>
      <c r="Y224" s="119"/>
      <c r="Z224" s="126">
        <f>SUM(W224+X224-Y224)</f>
        <v>55238</v>
      </c>
      <c r="AA224" s="119"/>
      <c r="AB224" s="119"/>
      <c r="AC224" s="126">
        <f>SUM(Z224+AA224-AB224)</f>
        <v>55238</v>
      </c>
      <c r="AD224" s="119"/>
      <c r="AE224" s="119"/>
      <c r="AF224" s="126">
        <f>SUM(AC224+AD224-AE224)</f>
        <v>55238</v>
      </c>
      <c r="AG224" s="119"/>
      <c r="AH224" s="119"/>
      <c r="AI224" s="126">
        <f>SUM(AF224+AG224-AH224)</f>
        <v>55238</v>
      </c>
      <c r="AJ224" s="119">
        <v>1846</v>
      </c>
      <c r="AK224" s="119"/>
      <c r="AL224" s="126">
        <f>SUM(AI224+AJ224-AK224)</f>
        <v>57084</v>
      </c>
      <c r="AM224" s="119">
        <v>635</v>
      </c>
      <c r="AN224" s="119"/>
      <c r="AO224" s="126">
        <f>SUM(AL224+AM224-AN224)</f>
        <v>57719</v>
      </c>
      <c r="AP224" s="119"/>
      <c r="AQ224" s="119"/>
      <c r="AR224" s="126">
        <f>SUM(AO224+AP224-AQ224)</f>
        <v>57719</v>
      </c>
      <c r="AS224" s="119">
        <v>1052</v>
      </c>
      <c r="AT224" s="119"/>
      <c r="AU224" s="126">
        <f>SUM(AR224+AS224-AT224)</f>
        <v>58771</v>
      </c>
      <c r="AV224" s="337"/>
    </row>
    <row r="225" spans="1:48" s="37" customFormat="1" ht="21" customHeight="1">
      <c r="A225" s="98"/>
      <c r="B225" s="121"/>
      <c r="C225" s="101">
        <v>4410</v>
      </c>
      <c r="D225" s="56" t="s">
        <v>107</v>
      </c>
      <c r="E225" s="114">
        <v>0</v>
      </c>
      <c r="F225" s="119">
        <v>20540</v>
      </c>
      <c r="G225" s="119"/>
      <c r="H225" s="126">
        <f>SUM(E225+F225-G225)</f>
        <v>20540</v>
      </c>
      <c r="I225" s="119"/>
      <c r="J225" s="119"/>
      <c r="K225" s="126">
        <f>SUM(H225+I225-J225)</f>
        <v>20540</v>
      </c>
      <c r="L225" s="119"/>
      <c r="M225" s="119"/>
      <c r="N225" s="126">
        <f>SUM(K225+L225-M225)</f>
        <v>20540</v>
      </c>
      <c r="O225" s="119"/>
      <c r="P225" s="119"/>
      <c r="Q225" s="126">
        <f>SUM(N225+O225-P225)</f>
        <v>20540</v>
      </c>
      <c r="R225" s="119"/>
      <c r="S225" s="119"/>
      <c r="T225" s="126">
        <f>SUM(Q225+R225-S225)</f>
        <v>20540</v>
      </c>
      <c r="U225" s="119"/>
      <c r="V225" s="119"/>
      <c r="W225" s="126">
        <f>SUM(T225+U225-V225)</f>
        <v>20540</v>
      </c>
      <c r="X225" s="119"/>
      <c r="Y225" s="119"/>
      <c r="Z225" s="126">
        <f>SUM(W225+X225-Y225)</f>
        <v>20540</v>
      </c>
      <c r="AA225" s="119"/>
      <c r="AB225" s="119"/>
      <c r="AC225" s="126">
        <f>SUM(Z225+AA225-AB225)</f>
        <v>20540</v>
      </c>
      <c r="AD225" s="119"/>
      <c r="AE225" s="119"/>
      <c r="AF225" s="126">
        <f>SUM(AC225+AD225-AE225)</f>
        <v>20540</v>
      </c>
      <c r="AG225" s="119"/>
      <c r="AH225" s="119"/>
      <c r="AI225" s="126">
        <f>SUM(AF225+AG225-AH225)</f>
        <v>20540</v>
      </c>
      <c r="AJ225" s="119"/>
      <c r="AK225" s="119">
        <v>1846</v>
      </c>
      <c r="AL225" s="126">
        <f>SUM(AI225+AJ225-AK225)</f>
        <v>18694</v>
      </c>
      <c r="AM225" s="119"/>
      <c r="AN225" s="119">
        <v>635</v>
      </c>
      <c r="AO225" s="126">
        <f>SUM(AL225+AM225-AN225)</f>
        <v>18059</v>
      </c>
      <c r="AP225" s="119"/>
      <c r="AQ225" s="119"/>
      <c r="AR225" s="126">
        <f>SUM(AO225+AP225-AQ225)</f>
        <v>18059</v>
      </c>
      <c r="AS225" s="119"/>
      <c r="AT225" s="119">
        <v>450</v>
      </c>
      <c r="AU225" s="126">
        <f>SUM(AR225+AS225-AT225)</f>
        <v>17609</v>
      </c>
      <c r="AV225" s="337"/>
    </row>
    <row r="226" spans="1:48" s="37" customFormat="1" ht="21.75" customHeight="1">
      <c r="A226" s="98"/>
      <c r="B226" s="116">
        <v>80195</v>
      </c>
      <c r="C226" s="98"/>
      <c r="D226" s="56" t="s">
        <v>10</v>
      </c>
      <c r="E226" s="114">
        <f aca="true" t="shared" si="361" ref="E226:V226">SUM(E229:E229)</f>
        <v>123699</v>
      </c>
      <c r="F226" s="114">
        <f t="shared" si="361"/>
        <v>0</v>
      </c>
      <c r="G226" s="114">
        <f t="shared" si="361"/>
        <v>0</v>
      </c>
      <c r="H226" s="114">
        <f t="shared" si="361"/>
        <v>123699</v>
      </c>
      <c r="I226" s="114">
        <f t="shared" si="361"/>
        <v>0</v>
      </c>
      <c r="J226" s="114">
        <f t="shared" si="361"/>
        <v>0</v>
      </c>
      <c r="K226" s="114">
        <f t="shared" si="361"/>
        <v>123699</v>
      </c>
      <c r="L226" s="114">
        <f t="shared" si="361"/>
        <v>0</v>
      </c>
      <c r="M226" s="114">
        <f t="shared" si="361"/>
        <v>0</v>
      </c>
      <c r="N226" s="114">
        <f t="shared" si="361"/>
        <v>123699</v>
      </c>
      <c r="O226" s="114">
        <f t="shared" si="361"/>
        <v>0</v>
      </c>
      <c r="P226" s="114">
        <f t="shared" si="361"/>
        <v>0</v>
      </c>
      <c r="Q226" s="114">
        <f t="shared" si="361"/>
        <v>123699</v>
      </c>
      <c r="R226" s="114">
        <f t="shared" si="361"/>
        <v>0</v>
      </c>
      <c r="S226" s="114">
        <f t="shared" si="361"/>
        <v>0</v>
      </c>
      <c r="T226" s="114">
        <f t="shared" si="361"/>
        <v>123699</v>
      </c>
      <c r="U226" s="114">
        <f t="shared" si="361"/>
        <v>0</v>
      </c>
      <c r="V226" s="114">
        <f t="shared" si="361"/>
        <v>0</v>
      </c>
      <c r="W226" s="114">
        <f aca="true" t="shared" si="362" ref="W226:AC226">SUM(W227:W229)</f>
        <v>123699</v>
      </c>
      <c r="X226" s="114">
        <f t="shared" si="362"/>
        <v>2232</v>
      </c>
      <c r="Y226" s="114">
        <f t="shared" si="362"/>
        <v>0</v>
      </c>
      <c r="Z226" s="114">
        <f t="shared" si="362"/>
        <v>125931</v>
      </c>
      <c r="AA226" s="114">
        <f t="shared" si="362"/>
        <v>27951</v>
      </c>
      <c r="AB226" s="114">
        <f t="shared" si="362"/>
        <v>0</v>
      </c>
      <c r="AC226" s="114">
        <f t="shared" si="362"/>
        <v>153882</v>
      </c>
      <c r="AD226" s="114">
        <f aca="true" t="shared" si="363" ref="AD226:AI226">SUM(AD227:AD229)</f>
        <v>0</v>
      </c>
      <c r="AE226" s="114">
        <f t="shared" si="363"/>
        <v>0</v>
      </c>
      <c r="AF226" s="114">
        <f t="shared" si="363"/>
        <v>153882</v>
      </c>
      <c r="AG226" s="114">
        <f t="shared" si="363"/>
        <v>1901</v>
      </c>
      <c r="AH226" s="114">
        <f t="shared" si="363"/>
        <v>0</v>
      </c>
      <c r="AI226" s="114">
        <f t="shared" si="363"/>
        <v>155783</v>
      </c>
      <c r="AJ226" s="114">
        <f aca="true" t="shared" si="364" ref="AJ226:AO226">SUM(AJ227:AJ229)</f>
        <v>0</v>
      </c>
      <c r="AK226" s="114">
        <f t="shared" si="364"/>
        <v>0</v>
      </c>
      <c r="AL226" s="114">
        <f t="shared" si="364"/>
        <v>155783</v>
      </c>
      <c r="AM226" s="114">
        <f t="shared" si="364"/>
        <v>0</v>
      </c>
      <c r="AN226" s="114">
        <f t="shared" si="364"/>
        <v>0</v>
      </c>
      <c r="AO226" s="114">
        <f t="shared" si="364"/>
        <v>155783</v>
      </c>
      <c r="AP226" s="114">
        <f aca="true" t="shared" si="365" ref="AP226:AU226">SUM(AP227:AP229)</f>
        <v>51493</v>
      </c>
      <c r="AQ226" s="114">
        <f t="shared" si="365"/>
        <v>0</v>
      </c>
      <c r="AR226" s="114">
        <f t="shared" si="365"/>
        <v>207276</v>
      </c>
      <c r="AS226" s="114">
        <f t="shared" si="365"/>
        <v>0</v>
      </c>
      <c r="AT226" s="114">
        <f t="shared" si="365"/>
        <v>0</v>
      </c>
      <c r="AU226" s="114">
        <f t="shared" si="365"/>
        <v>207276</v>
      </c>
      <c r="AV226" s="339"/>
    </row>
    <row r="227" spans="1:48" s="37" customFormat="1" ht="21.75" customHeight="1">
      <c r="A227" s="98"/>
      <c r="B227" s="116"/>
      <c r="C227" s="101">
        <v>4170</v>
      </c>
      <c r="D227" s="56" t="s">
        <v>252</v>
      </c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>
        <v>0</v>
      </c>
      <c r="X227" s="114">
        <v>1500</v>
      </c>
      <c r="Y227" s="114"/>
      <c r="Z227" s="126">
        <f>SUM(W227+X227-Y227)</f>
        <v>1500</v>
      </c>
      <c r="AA227" s="114"/>
      <c r="AB227" s="114"/>
      <c r="AC227" s="126">
        <f>SUM(Z227+AA227-AB227)</f>
        <v>1500</v>
      </c>
      <c r="AD227" s="114"/>
      <c r="AE227" s="114"/>
      <c r="AF227" s="126">
        <f>SUM(AC227+AD227-AE227)</f>
        <v>1500</v>
      </c>
      <c r="AG227" s="114"/>
      <c r="AH227" s="114"/>
      <c r="AI227" s="126">
        <f>SUM(AF227+AG227-AH227)</f>
        <v>1500</v>
      </c>
      <c r="AJ227" s="114"/>
      <c r="AK227" s="114"/>
      <c r="AL227" s="126">
        <f>SUM(AI227+AJ227-AK227)</f>
        <v>1500</v>
      </c>
      <c r="AM227" s="114"/>
      <c r="AN227" s="114"/>
      <c r="AO227" s="126">
        <f>SUM(AL227+AM227-AN227)</f>
        <v>1500</v>
      </c>
      <c r="AP227" s="114"/>
      <c r="AQ227" s="114"/>
      <c r="AR227" s="126">
        <f>SUM(AO227+AP227-AQ227)</f>
        <v>1500</v>
      </c>
      <c r="AS227" s="114"/>
      <c r="AT227" s="114"/>
      <c r="AU227" s="126">
        <f>SUM(AR227+AS227-AT227)</f>
        <v>1500</v>
      </c>
      <c r="AV227" s="337">
        <f>SUM(AU227)</f>
        <v>1500</v>
      </c>
    </row>
    <row r="228" spans="1:48" s="37" customFormat="1" ht="21.75" customHeight="1">
      <c r="A228" s="98"/>
      <c r="B228" s="116"/>
      <c r="C228" s="101">
        <v>4300</v>
      </c>
      <c r="D228" s="56" t="s">
        <v>96</v>
      </c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>
        <v>0</v>
      </c>
      <c r="X228" s="114">
        <v>732</v>
      </c>
      <c r="Y228" s="114"/>
      <c r="Z228" s="126">
        <f>SUM(W228+X228-Y228)</f>
        <v>732</v>
      </c>
      <c r="AA228" s="114">
        <v>27951</v>
      </c>
      <c r="AB228" s="114"/>
      <c r="AC228" s="126">
        <f>SUM(Z228+AA228-AB228)</f>
        <v>28683</v>
      </c>
      <c r="AD228" s="114"/>
      <c r="AE228" s="114"/>
      <c r="AF228" s="126">
        <f>SUM(AC228+AD228-AE228)</f>
        <v>28683</v>
      </c>
      <c r="AG228" s="114"/>
      <c r="AH228" s="114"/>
      <c r="AI228" s="126">
        <f>SUM(AF228+AG228-AH228)</f>
        <v>28683</v>
      </c>
      <c r="AJ228" s="114"/>
      <c r="AK228" s="114"/>
      <c r="AL228" s="126">
        <f>SUM(AI228+AJ228-AK228)</f>
        <v>28683</v>
      </c>
      <c r="AM228" s="114"/>
      <c r="AN228" s="114"/>
      <c r="AO228" s="126">
        <f>SUM(AL228+AM228-AN228)</f>
        <v>28683</v>
      </c>
      <c r="AP228" s="114">
        <v>51493</v>
      </c>
      <c r="AQ228" s="114"/>
      <c r="AR228" s="126">
        <f>SUM(AO228+AP228-AQ228)</f>
        <v>80176</v>
      </c>
      <c r="AS228" s="114"/>
      <c r="AT228" s="114"/>
      <c r="AU228" s="126">
        <f>SUM(AR228+AS228-AT228)</f>
        <v>80176</v>
      </c>
      <c r="AV228" s="337"/>
    </row>
    <row r="229" spans="1:48" s="37" customFormat="1" ht="21" customHeight="1">
      <c r="A229" s="98"/>
      <c r="B229" s="116"/>
      <c r="C229" s="98">
        <v>4440</v>
      </c>
      <c r="D229" s="56" t="s">
        <v>105</v>
      </c>
      <c r="E229" s="114">
        <v>123699</v>
      </c>
      <c r="F229" s="119"/>
      <c r="G229" s="119"/>
      <c r="H229" s="126">
        <f>SUM(E229+F229-G229)</f>
        <v>123699</v>
      </c>
      <c r="I229" s="119"/>
      <c r="J229" s="119"/>
      <c r="K229" s="126">
        <f>SUM(H229+I229-J229)</f>
        <v>123699</v>
      </c>
      <c r="L229" s="119"/>
      <c r="M229" s="119"/>
      <c r="N229" s="126">
        <f>SUM(K229+L229-M229)</f>
        <v>123699</v>
      </c>
      <c r="O229" s="119"/>
      <c r="P229" s="119"/>
      <c r="Q229" s="126">
        <f>SUM(N229+O229-P229)</f>
        <v>123699</v>
      </c>
      <c r="R229" s="119"/>
      <c r="S229" s="119"/>
      <c r="T229" s="126">
        <f>SUM(Q229+R229-S229)</f>
        <v>123699</v>
      </c>
      <c r="U229" s="119"/>
      <c r="V229" s="119"/>
      <c r="W229" s="126">
        <f>SUM(T229+U229-V229)</f>
        <v>123699</v>
      </c>
      <c r="X229" s="119"/>
      <c r="Y229" s="119"/>
      <c r="Z229" s="126">
        <f>SUM(W229+X229-Y229)</f>
        <v>123699</v>
      </c>
      <c r="AA229" s="119"/>
      <c r="AB229" s="119"/>
      <c r="AC229" s="126">
        <f>SUM(Z229+AA229-AB229)</f>
        <v>123699</v>
      </c>
      <c r="AD229" s="119"/>
      <c r="AE229" s="119"/>
      <c r="AF229" s="126">
        <f>SUM(AC229+AD229-AE229)</f>
        <v>123699</v>
      </c>
      <c r="AG229" s="119">
        <v>1901</v>
      </c>
      <c r="AH229" s="119"/>
      <c r="AI229" s="126">
        <f>SUM(AF229+AG229-AH229)</f>
        <v>125600</v>
      </c>
      <c r="AJ229" s="119"/>
      <c r="AK229" s="119"/>
      <c r="AL229" s="126">
        <f>SUM(AI229+AJ229-AK229)</f>
        <v>125600</v>
      </c>
      <c r="AM229" s="119"/>
      <c r="AN229" s="119"/>
      <c r="AO229" s="126">
        <f>SUM(AL229+AM229-AN229)</f>
        <v>125600</v>
      </c>
      <c r="AP229" s="119"/>
      <c r="AQ229" s="119"/>
      <c r="AR229" s="126">
        <f>SUM(AO229+AP229-AQ229)</f>
        <v>125600</v>
      </c>
      <c r="AS229" s="119"/>
      <c r="AT229" s="119"/>
      <c r="AU229" s="126">
        <f>SUM(AR229+AS229-AT229)</f>
        <v>125600</v>
      </c>
      <c r="AV229" s="337"/>
    </row>
    <row r="230" spans="1:48" s="8" customFormat="1" ht="24.75" customHeight="1">
      <c r="A230" s="51" t="s">
        <v>137</v>
      </c>
      <c r="B230" s="52"/>
      <c r="C230" s="53"/>
      <c r="D230" s="54" t="s">
        <v>68</v>
      </c>
      <c r="E230" s="55">
        <f aca="true" t="shared" si="366" ref="E230:K230">SUM(E236,E244,E233)</f>
        <v>81829</v>
      </c>
      <c r="F230" s="55">
        <f t="shared" si="366"/>
        <v>121679</v>
      </c>
      <c r="G230" s="55">
        <f t="shared" si="366"/>
        <v>81679</v>
      </c>
      <c r="H230" s="55">
        <f t="shared" si="366"/>
        <v>121829</v>
      </c>
      <c r="I230" s="55">
        <f t="shared" si="366"/>
        <v>0</v>
      </c>
      <c r="J230" s="55">
        <f t="shared" si="366"/>
        <v>0</v>
      </c>
      <c r="K230" s="55">
        <f t="shared" si="366"/>
        <v>121829</v>
      </c>
      <c r="L230" s="55">
        <f aca="true" t="shared" si="367" ref="L230:Q230">SUM(L236,L244,L233)</f>
        <v>0</v>
      </c>
      <c r="M230" s="55">
        <f t="shared" si="367"/>
        <v>0</v>
      </c>
      <c r="N230" s="55">
        <f t="shared" si="367"/>
        <v>121829</v>
      </c>
      <c r="O230" s="55">
        <f t="shared" si="367"/>
        <v>0</v>
      </c>
      <c r="P230" s="55">
        <f t="shared" si="367"/>
        <v>0</v>
      </c>
      <c r="Q230" s="55">
        <f t="shared" si="367"/>
        <v>121829</v>
      </c>
      <c r="R230" s="55">
        <f aca="true" t="shared" si="368" ref="R230:W230">SUM(R236,R244,R233)</f>
        <v>0</v>
      </c>
      <c r="S230" s="55">
        <f t="shared" si="368"/>
        <v>0</v>
      </c>
      <c r="T230" s="55">
        <f t="shared" si="368"/>
        <v>121829</v>
      </c>
      <c r="U230" s="55">
        <f t="shared" si="368"/>
        <v>10940</v>
      </c>
      <c r="V230" s="55">
        <f t="shared" si="368"/>
        <v>10940</v>
      </c>
      <c r="W230" s="55">
        <f t="shared" si="368"/>
        <v>121829</v>
      </c>
      <c r="X230" s="55">
        <f aca="true" t="shared" si="369" ref="X230:AC230">SUM(X236,X244,X233)</f>
        <v>0</v>
      </c>
      <c r="Y230" s="55">
        <f t="shared" si="369"/>
        <v>0</v>
      </c>
      <c r="Z230" s="55">
        <f t="shared" si="369"/>
        <v>121829</v>
      </c>
      <c r="AA230" s="55">
        <f t="shared" si="369"/>
        <v>11881</v>
      </c>
      <c r="AB230" s="55">
        <f t="shared" si="369"/>
        <v>10940</v>
      </c>
      <c r="AC230" s="55">
        <f t="shared" si="369"/>
        <v>122770</v>
      </c>
      <c r="AD230" s="55">
        <f>SUM(AD236,AD244,AD233)</f>
        <v>0</v>
      </c>
      <c r="AE230" s="55">
        <f>SUM(AE236,AE244,AE233)</f>
        <v>0</v>
      </c>
      <c r="AF230" s="55">
        <f aca="true" t="shared" si="370" ref="AF230:AL230">SUM(AF236,AF244,AF233,AF231)</f>
        <v>122770</v>
      </c>
      <c r="AG230" s="55">
        <f t="shared" si="370"/>
        <v>31500</v>
      </c>
      <c r="AH230" s="55">
        <f t="shared" si="370"/>
        <v>0</v>
      </c>
      <c r="AI230" s="55">
        <f t="shared" si="370"/>
        <v>154270</v>
      </c>
      <c r="AJ230" s="55">
        <f t="shared" si="370"/>
        <v>0</v>
      </c>
      <c r="AK230" s="55">
        <f t="shared" si="370"/>
        <v>0</v>
      </c>
      <c r="AL230" s="55">
        <f t="shared" si="370"/>
        <v>154270</v>
      </c>
      <c r="AM230" s="55">
        <f aca="true" t="shared" si="371" ref="AM230:AR230">SUM(AM236,AM244,AM233,AM231)</f>
        <v>0</v>
      </c>
      <c r="AN230" s="55">
        <f t="shared" si="371"/>
        <v>0</v>
      </c>
      <c r="AO230" s="55">
        <f t="shared" si="371"/>
        <v>154270</v>
      </c>
      <c r="AP230" s="55">
        <f t="shared" si="371"/>
        <v>0</v>
      </c>
      <c r="AQ230" s="55">
        <f t="shared" si="371"/>
        <v>0</v>
      </c>
      <c r="AR230" s="55">
        <f t="shared" si="371"/>
        <v>154270</v>
      </c>
      <c r="AS230" s="55">
        <f>SUM(AS236,AS244,AS233,AS231)</f>
        <v>0</v>
      </c>
      <c r="AT230" s="55">
        <f>SUM(AT236,AT244,AT233,AT231)</f>
        <v>20150</v>
      </c>
      <c r="AU230" s="55">
        <f>SUM(AU236,AU244,AU233,AU231)</f>
        <v>134120</v>
      </c>
      <c r="AV230" s="338"/>
    </row>
    <row r="231" spans="1:48" s="8" customFormat="1" ht="19.5" customHeight="1">
      <c r="A231" s="51"/>
      <c r="B231" s="81">
        <v>85111</v>
      </c>
      <c r="C231" s="211"/>
      <c r="D231" s="78" t="s">
        <v>620</v>
      </c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114">
        <f aca="true" t="shared" si="372" ref="AF231:AU231">SUM(AF232)</f>
        <v>0</v>
      </c>
      <c r="AG231" s="114">
        <f t="shared" si="372"/>
        <v>31500</v>
      </c>
      <c r="AH231" s="114">
        <f t="shared" si="372"/>
        <v>0</v>
      </c>
      <c r="AI231" s="114">
        <f t="shared" si="372"/>
        <v>31500</v>
      </c>
      <c r="AJ231" s="114">
        <f t="shared" si="372"/>
        <v>0</v>
      </c>
      <c r="AK231" s="114">
        <f t="shared" si="372"/>
        <v>0</v>
      </c>
      <c r="AL231" s="114">
        <f t="shared" si="372"/>
        <v>31500</v>
      </c>
      <c r="AM231" s="114">
        <f t="shared" si="372"/>
        <v>0</v>
      </c>
      <c r="AN231" s="114">
        <f t="shared" si="372"/>
        <v>0</v>
      </c>
      <c r="AO231" s="114">
        <f t="shared" si="372"/>
        <v>31500</v>
      </c>
      <c r="AP231" s="114">
        <f t="shared" si="372"/>
        <v>0</v>
      </c>
      <c r="AQ231" s="114">
        <f t="shared" si="372"/>
        <v>0</v>
      </c>
      <c r="AR231" s="114">
        <f t="shared" si="372"/>
        <v>31500</v>
      </c>
      <c r="AS231" s="114">
        <f t="shared" si="372"/>
        <v>0</v>
      </c>
      <c r="AT231" s="114">
        <f t="shared" si="372"/>
        <v>0</v>
      </c>
      <c r="AU231" s="114">
        <f t="shared" si="372"/>
        <v>31500</v>
      </c>
      <c r="AV231" s="339"/>
    </row>
    <row r="232" spans="1:48" s="8" customFormat="1" ht="71.25" customHeight="1">
      <c r="A232" s="306"/>
      <c r="B232" s="81"/>
      <c r="C232" s="81">
        <v>6300</v>
      </c>
      <c r="D232" s="19" t="s">
        <v>568</v>
      </c>
      <c r="E232" s="305"/>
      <c r="F232" s="305"/>
      <c r="G232" s="305"/>
      <c r="H232" s="305"/>
      <c r="I232" s="305"/>
      <c r="J232" s="305"/>
      <c r="K232" s="305"/>
      <c r="L232" s="305"/>
      <c r="M232" s="305"/>
      <c r="N232" s="305"/>
      <c r="O232" s="305"/>
      <c r="P232" s="305"/>
      <c r="Q232" s="305"/>
      <c r="R232" s="305"/>
      <c r="S232" s="305"/>
      <c r="T232" s="305"/>
      <c r="U232" s="305"/>
      <c r="V232" s="305"/>
      <c r="W232" s="305"/>
      <c r="X232" s="305"/>
      <c r="Y232" s="305"/>
      <c r="Z232" s="305"/>
      <c r="AA232" s="305"/>
      <c r="AB232" s="305"/>
      <c r="AC232" s="305"/>
      <c r="AD232" s="305"/>
      <c r="AE232" s="305"/>
      <c r="AF232" s="114">
        <v>0</v>
      </c>
      <c r="AG232" s="114">
        <f>5000+26500</f>
        <v>31500</v>
      </c>
      <c r="AH232" s="114"/>
      <c r="AI232" s="114">
        <f>AF232+AG232-AH232</f>
        <v>31500</v>
      </c>
      <c r="AJ232" s="114"/>
      <c r="AK232" s="114"/>
      <c r="AL232" s="114">
        <f>AI232+AJ232-AK232</f>
        <v>31500</v>
      </c>
      <c r="AM232" s="114"/>
      <c r="AN232" s="114"/>
      <c r="AO232" s="114">
        <f>AL232+AM232-AN232</f>
        <v>31500</v>
      </c>
      <c r="AP232" s="114"/>
      <c r="AQ232" s="114"/>
      <c r="AR232" s="114">
        <f>AO232+AP232-AQ232</f>
        <v>31500</v>
      </c>
      <c r="AS232" s="114"/>
      <c r="AT232" s="114"/>
      <c r="AU232" s="114">
        <f>AR232+AS232-AT232</f>
        <v>31500</v>
      </c>
      <c r="AV232" s="339"/>
    </row>
    <row r="233" spans="1:48" s="8" customFormat="1" ht="24.75" customHeight="1">
      <c r="A233" s="51"/>
      <c r="B233" s="121">
        <v>85153</v>
      </c>
      <c r="C233" s="120"/>
      <c r="D233" s="56" t="s">
        <v>389</v>
      </c>
      <c r="E233" s="114">
        <f aca="true" t="shared" si="373" ref="E233:K233">SUM(E234:E235)</f>
        <v>0</v>
      </c>
      <c r="F233" s="114">
        <f t="shared" si="373"/>
        <v>24109</v>
      </c>
      <c r="G233" s="114">
        <f t="shared" si="373"/>
        <v>0</v>
      </c>
      <c r="H233" s="114">
        <f t="shared" si="373"/>
        <v>24109</v>
      </c>
      <c r="I233" s="114">
        <f t="shared" si="373"/>
        <v>0</v>
      </c>
      <c r="J233" s="114">
        <f t="shared" si="373"/>
        <v>0</v>
      </c>
      <c r="K233" s="114">
        <f t="shared" si="373"/>
        <v>24109</v>
      </c>
      <c r="L233" s="114">
        <f aca="true" t="shared" si="374" ref="L233:Q233">SUM(L234:L235)</f>
        <v>0</v>
      </c>
      <c r="M233" s="114">
        <f t="shared" si="374"/>
        <v>0</v>
      </c>
      <c r="N233" s="114">
        <f t="shared" si="374"/>
        <v>24109</v>
      </c>
      <c r="O233" s="114">
        <f t="shared" si="374"/>
        <v>0</v>
      </c>
      <c r="P233" s="114">
        <f t="shared" si="374"/>
        <v>0</v>
      </c>
      <c r="Q233" s="114">
        <f t="shared" si="374"/>
        <v>24109</v>
      </c>
      <c r="R233" s="114">
        <f aca="true" t="shared" si="375" ref="R233:W233">SUM(R234:R235)</f>
        <v>0</v>
      </c>
      <c r="S233" s="114">
        <f t="shared" si="375"/>
        <v>0</v>
      </c>
      <c r="T233" s="114">
        <f t="shared" si="375"/>
        <v>24109</v>
      </c>
      <c r="U233" s="114">
        <f t="shared" si="375"/>
        <v>0</v>
      </c>
      <c r="V233" s="114">
        <f t="shared" si="375"/>
        <v>0</v>
      </c>
      <c r="W233" s="114">
        <f t="shared" si="375"/>
        <v>24109</v>
      </c>
      <c r="X233" s="114">
        <f aca="true" t="shared" si="376" ref="X233:AC233">SUM(X234:X235)</f>
        <v>0</v>
      </c>
      <c r="Y233" s="114">
        <f t="shared" si="376"/>
        <v>0</v>
      </c>
      <c r="Z233" s="114">
        <f t="shared" si="376"/>
        <v>24109</v>
      </c>
      <c r="AA233" s="114">
        <f t="shared" si="376"/>
        <v>0</v>
      </c>
      <c r="AB233" s="114">
        <f t="shared" si="376"/>
        <v>0</v>
      </c>
      <c r="AC233" s="114">
        <f t="shared" si="376"/>
        <v>24109</v>
      </c>
      <c r="AD233" s="114">
        <f aca="true" t="shared" si="377" ref="AD233:AI233">SUM(AD234:AD235)</f>
        <v>0</v>
      </c>
      <c r="AE233" s="114">
        <f t="shared" si="377"/>
        <v>0</v>
      </c>
      <c r="AF233" s="114">
        <f t="shared" si="377"/>
        <v>24109</v>
      </c>
      <c r="AG233" s="114">
        <f t="shared" si="377"/>
        <v>0</v>
      </c>
      <c r="AH233" s="114">
        <f t="shared" si="377"/>
        <v>0</v>
      </c>
      <c r="AI233" s="114">
        <f t="shared" si="377"/>
        <v>24109</v>
      </c>
      <c r="AJ233" s="114">
        <f aca="true" t="shared" si="378" ref="AJ233:AO233">SUM(AJ234:AJ235)</f>
        <v>0</v>
      </c>
      <c r="AK233" s="114">
        <f t="shared" si="378"/>
        <v>0</v>
      </c>
      <c r="AL233" s="114">
        <f t="shared" si="378"/>
        <v>24109</v>
      </c>
      <c r="AM233" s="114">
        <f t="shared" si="378"/>
        <v>0</v>
      </c>
      <c r="AN233" s="114">
        <f t="shared" si="378"/>
        <v>0</v>
      </c>
      <c r="AO233" s="114">
        <f t="shared" si="378"/>
        <v>24109</v>
      </c>
      <c r="AP233" s="114">
        <f aca="true" t="shared" si="379" ref="AP233:AU233">SUM(AP234:AP235)</f>
        <v>0</v>
      </c>
      <c r="AQ233" s="114">
        <f t="shared" si="379"/>
        <v>0</v>
      </c>
      <c r="AR233" s="114">
        <f t="shared" si="379"/>
        <v>24109</v>
      </c>
      <c r="AS233" s="114">
        <f t="shared" si="379"/>
        <v>0</v>
      </c>
      <c r="AT233" s="114">
        <f t="shared" si="379"/>
        <v>0</v>
      </c>
      <c r="AU233" s="114">
        <f t="shared" si="379"/>
        <v>24109</v>
      </c>
      <c r="AV233" s="339"/>
    </row>
    <row r="234" spans="1:48" s="8" customFormat="1" ht="22.5" customHeight="1">
      <c r="A234" s="51"/>
      <c r="B234" s="121"/>
      <c r="C234" s="120">
        <v>4300</v>
      </c>
      <c r="D234" s="56" t="s">
        <v>96</v>
      </c>
      <c r="E234" s="114">
        <v>0</v>
      </c>
      <c r="F234" s="114">
        <v>1000</v>
      </c>
      <c r="G234" s="114"/>
      <c r="H234" s="114">
        <f>SUM(E234+F234-G234)</f>
        <v>1000</v>
      </c>
      <c r="I234" s="114"/>
      <c r="J234" s="114"/>
      <c r="K234" s="114">
        <f>SUM(H234+I234-J234)</f>
        <v>1000</v>
      </c>
      <c r="L234" s="114"/>
      <c r="M234" s="114"/>
      <c r="N234" s="114">
        <f>SUM(K234+L234-M234)</f>
        <v>1000</v>
      </c>
      <c r="O234" s="114"/>
      <c r="P234" s="114"/>
      <c r="Q234" s="114">
        <f>SUM(N234+O234-P234)</f>
        <v>1000</v>
      </c>
      <c r="R234" s="114"/>
      <c r="S234" s="114"/>
      <c r="T234" s="114">
        <f>SUM(Q234+R234-S234)</f>
        <v>1000</v>
      </c>
      <c r="U234" s="114"/>
      <c r="V234" s="114"/>
      <c r="W234" s="114">
        <f>SUM(T234+U234-V234)</f>
        <v>1000</v>
      </c>
      <c r="X234" s="114"/>
      <c r="Y234" s="114"/>
      <c r="Z234" s="114">
        <f>SUM(W234+X234-Y234)</f>
        <v>1000</v>
      </c>
      <c r="AA234" s="114"/>
      <c r="AB234" s="114"/>
      <c r="AC234" s="114">
        <f>SUM(Z234+AA234-AB234)</f>
        <v>1000</v>
      </c>
      <c r="AD234" s="114"/>
      <c r="AE234" s="114"/>
      <c r="AF234" s="114">
        <f>SUM(AC234+AD234-AE234)</f>
        <v>1000</v>
      </c>
      <c r="AG234" s="114"/>
      <c r="AH234" s="114"/>
      <c r="AI234" s="114">
        <f>SUM(AF234+AG234-AH234)</f>
        <v>1000</v>
      </c>
      <c r="AJ234" s="114"/>
      <c r="AK234" s="114"/>
      <c r="AL234" s="114">
        <f>SUM(AI234+AJ234-AK234)</f>
        <v>1000</v>
      </c>
      <c r="AM234" s="114"/>
      <c r="AN234" s="114"/>
      <c r="AO234" s="114">
        <f>SUM(AL234+AM234-AN234)</f>
        <v>1000</v>
      </c>
      <c r="AP234" s="114"/>
      <c r="AQ234" s="114"/>
      <c r="AR234" s="114">
        <f>SUM(AO234+AP234-AQ234)</f>
        <v>1000</v>
      </c>
      <c r="AS234" s="114"/>
      <c r="AT234" s="114"/>
      <c r="AU234" s="114">
        <f>SUM(AR234+AS234-AT234)</f>
        <v>1000</v>
      </c>
      <c r="AV234" s="339"/>
    </row>
    <row r="235" spans="1:48" s="8" customFormat="1" ht="25.5" customHeight="1">
      <c r="A235" s="51"/>
      <c r="B235" s="121"/>
      <c r="C235" s="120">
        <v>6060</v>
      </c>
      <c r="D235" s="56" t="s">
        <v>113</v>
      </c>
      <c r="E235" s="114">
        <v>0</v>
      </c>
      <c r="F235" s="114">
        <v>23109</v>
      </c>
      <c r="G235" s="114"/>
      <c r="H235" s="114">
        <f>SUM(E235+F235-G235)</f>
        <v>23109</v>
      </c>
      <c r="I235" s="114"/>
      <c r="J235" s="114"/>
      <c r="K235" s="114">
        <f>SUM(H235+I235-J235)</f>
        <v>23109</v>
      </c>
      <c r="L235" s="114"/>
      <c r="M235" s="114"/>
      <c r="N235" s="114">
        <f>SUM(K235+L235-M235)</f>
        <v>23109</v>
      </c>
      <c r="O235" s="114"/>
      <c r="P235" s="114"/>
      <c r="Q235" s="114">
        <f>SUM(N235+O235-P235)</f>
        <v>23109</v>
      </c>
      <c r="R235" s="114"/>
      <c r="S235" s="114"/>
      <c r="T235" s="114">
        <f>SUM(Q235+R235-S235)</f>
        <v>23109</v>
      </c>
      <c r="U235" s="114"/>
      <c r="V235" s="114"/>
      <c r="W235" s="114">
        <f>SUM(T235+U235-V235)</f>
        <v>23109</v>
      </c>
      <c r="X235" s="114"/>
      <c r="Y235" s="114"/>
      <c r="Z235" s="114">
        <f>SUM(W235+X235-Y235)</f>
        <v>23109</v>
      </c>
      <c r="AA235" s="114"/>
      <c r="AB235" s="114"/>
      <c r="AC235" s="114">
        <f>SUM(Z235+AA235-AB235)</f>
        <v>23109</v>
      </c>
      <c r="AD235" s="114"/>
      <c r="AE235" s="114"/>
      <c r="AF235" s="114">
        <f>SUM(AC235+AD235-AE235)</f>
        <v>23109</v>
      </c>
      <c r="AG235" s="114"/>
      <c r="AH235" s="114"/>
      <c r="AI235" s="114">
        <f>SUM(AF235+AG235-AH235)</f>
        <v>23109</v>
      </c>
      <c r="AJ235" s="114"/>
      <c r="AK235" s="114"/>
      <c r="AL235" s="114">
        <f>SUM(AI235+AJ235-AK235)</f>
        <v>23109</v>
      </c>
      <c r="AM235" s="114"/>
      <c r="AN235" s="114"/>
      <c r="AO235" s="114">
        <f>SUM(AL235+AM235-AN235)</f>
        <v>23109</v>
      </c>
      <c r="AP235" s="114"/>
      <c r="AQ235" s="114"/>
      <c r="AR235" s="114">
        <f>SUM(AO235+AP235-AQ235)</f>
        <v>23109</v>
      </c>
      <c r="AS235" s="114"/>
      <c r="AT235" s="114"/>
      <c r="AU235" s="114">
        <f>SUM(AR235+AS235-AT235)</f>
        <v>23109</v>
      </c>
      <c r="AV235" s="339"/>
    </row>
    <row r="236" spans="1:48" s="37" customFormat="1" ht="21" customHeight="1">
      <c r="A236" s="98"/>
      <c r="B236" s="116" t="s">
        <v>138</v>
      </c>
      <c r="C236" s="120"/>
      <c r="D236" s="56" t="s">
        <v>69</v>
      </c>
      <c r="E236" s="114">
        <f aca="true" t="shared" si="380" ref="E236:K236">SUM(E237:E243)</f>
        <v>76829</v>
      </c>
      <c r="F236" s="114">
        <f t="shared" si="380"/>
        <v>97570</v>
      </c>
      <c r="G236" s="114">
        <f t="shared" si="380"/>
        <v>81679</v>
      </c>
      <c r="H236" s="114">
        <f t="shared" si="380"/>
        <v>92720</v>
      </c>
      <c r="I236" s="114">
        <f t="shared" si="380"/>
        <v>0</v>
      </c>
      <c r="J236" s="114">
        <f t="shared" si="380"/>
        <v>0</v>
      </c>
      <c r="K236" s="114">
        <f t="shared" si="380"/>
        <v>92720</v>
      </c>
      <c r="L236" s="114">
        <f aca="true" t="shared" si="381" ref="L236:Q236">SUM(L237:L243)</f>
        <v>0</v>
      </c>
      <c r="M236" s="114">
        <f t="shared" si="381"/>
        <v>0</v>
      </c>
      <c r="N236" s="114">
        <f t="shared" si="381"/>
        <v>92720</v>
      </c>
      <c r="O236" s="114">
        <f t="shared" si="381"/>
        <v>0</v>
      </c>
      <c r="P236" s="114">
        <f t="shared" si="381"/>
        <v>0</v>
      </c>
      <c r="Q236" s="114">
        <f t="shared" si="381"/>
        <v>92720</v>
      </c>
      <c r="R236" s="114">
        <f aca="true" t="shared" si="382" ref="R236:W236">SUM(R237:R243)</f>
        <v>0</v>
      </c>
      <c r="S236" s="114">
        <f t="shared" si="382"/>
        <v>0</v>
      </c>
      <c r="T236" s="114">
        <f t="shared" si="382"/>
        <v>92720</v>
      </c>
      <c r="U236" s="114">
        <f t="shared" si="382"/>
        <v>10940</v>
      </c>
      <c r="V236" s="114">
        <f t="shared" si="382"/>
        <v>10940</v>
      </c>
      <c r="W236" s="114">
        <f t="shared" si="382"/>
        <v>92720</v>
      </c>
      <c r="X236" s="114">
        <f aca="true" t="shared" si="383" ref="X236:AC236">SUM(X237:X243)</f>
        <v>0</v>
      </c>
      <c r="Y236" s="114">
        <f t="shared" si="383"/>
        <v>0</v>
      </c>
      <c r="Z236" s="114">
        <f t="shared" si="383"/>
        <v>92720</v>
      </c>
      <c r="AA236" s="114">
        <f t="shared" si="383"/>
        <v>11881</v>
      </c>
      <c r="AB236" s="114">
        <f t="shared" si="383"/>
        <v>10940</v>
      </c>
      <c r="AC236" s="114">
        <f t="shared" si="383"/>
        <v>93661</v>
      </c>
      <c r="AD236" s="114">
        <f aca="true" t="shared" si="384" ref="AD236:AI236">SUM(AD237:AD243)</f>
        <v>0</v>
      </c>
      <c r="AE236" s="114">
        <f t="shared" si="384"/>
        <v>0</v>
      </c>
      <c r="AF236" s="114">
        <f t="shared" si="384"/>
        <v>93661</v>
      </c>
      <c r="AG236" s="114">
        <f t="shared" si="384"/>
        <v>0</v>
      </c>
      <c r="AH236" s="114">
        <f t="shared" si="384"/>
        <v>0</v>
      </c>
      <c r="AI236" s="114">
        <f t="shared" si="384"/>
        <v>93661</v>
      </c>
      <c r="AJ236" s="114">
        <f aca="true" t="shared" si="385" ref="AJ236:AO236">SUM(AJ237:AJ243)</f>
        <v>0</v>
      </c>
      <c r="AK236" s="114">
        <f t="shared" si="385"/>
        <v>0</v>
      </c>
      <c r="AL236" s="114">
        <f t="shared" si="385"/>
        <v>93661</v>
      </c>
      <c r="AM236" s="114">
        <f t="shared" si="385"/>
        <v>0</v>
      </c>
      <c r="AN236" s="114">
        <f t="shared" si="385"/>
        <v>0</v>
      </c>
      <c r="AO236" s="114">
        <f t="shared" si="385"/>
        <v>93661</v>
      </c>
      <c r="AP236" s="114">
        <f aca="true" t="shared" si="386" ref="AP236:AU236">SUM(AP237:AP243)</f>
        <v>0</v>
      </c>
      <c r="AQ236" s="114">
        <f t="shared" si="386"/>
        <v>0</v>
      </c>
      <c r="AR236" s="114">
        <f t="shared" si="386"/>
        <v>93661</v>
      </c>
      <c r="AS236" s="114">
        <f t="shared" si="386"/>
        <v>0</v>
      </c>
      <c r="AT236" s="114">
        <f t="shared" si="386"/>
        <v>20150</v>
      </c>
      <c r="AU236" s="114">
        <f t="shared" si="386"/>
        <v>73511</v>
      </c>
      <c r="AV236" s="339"/>
    </row>
    <row r="237" spans="1:48" s="37" customFormat="1" ht="31.5" customHeight="1">
      <c r="A237" s="98"/>
      <c r="B237" s="116"/>
      <c r="C237" s="120">
        <v>2630</v>
      </c>
      <c r="D237" s="19" t="s">
        <v>364</v>
      </c>
      <c r="E237" s="114">
        <v>0</v>
      </c>
      <c r="F237" s="114">
        <v>43850</v>
      </c>
      <c r="G237" s="114"/>
      <c r="H237" s="126">
        <f>SUM(E237+F237-G237)</f>
        <v>43850</v>
      </c>
      <c r="I237" s="114"/>
      <c r="J237" s="114"/>
      <c r="K237" s="126">
        <f>SUM(H237+I237-J237)</f>
        <v>43850</v>
      </c>
      <c r="L237" s="114"/>
      <c r="M237" s="114"/>
      <c r="N237" s="126">
        <f>SUM(K237+L237-M237)</f>
        <v>43850</v>
      </c>
      <c r="O237" s="114"/>
      <c r="P237" s="114"/>
      <c r="Q237" s="126">
        <f>SUM(N237+O237-P237)</f>
        <v>43850</v>
      </c>
      <c r="R237" s="114"/>
      <c r="S237" s="114"/>
      <c r="T237" s="126">
        <f>SUM(Q237+R237-S237)</f>
        <v>43850</v>
      </c>
      <c r="U237" s="114"/>
      <c r="V237" s="114"/>
      <c r="W237" s="126">
        <f aca="true" t="shared" si="387" ref="W237:W243">SUM(T237+U237-V237)</f>
        <v>43850</v>
      </c>
      <c r="X237" s="114"/>
      <c r="Y237" s="114"/>
      <c r="Z237" s="126">
        <f aca="true" t="shared" si="388" ref="Z237:Z243">SUM(W237+X237-Y237)</f>
        <v>43850</v>
      </c>
      <c r="AA237" s="114"/>
      <c r="AB237" s="114"/>
      <c r="AC237" s="126">
        <f aca="true" t="shared" si="389" ref="AC237:AC243">SUM(Z237+AA237-AB237)</f>
        <v>43850</v>
      </c>
      <c r="AD237" s="114"/>
      <c r="AE237" s="114"/>
      <c r="AF237" s="126">
        <f aca="true" t="shared" si="390" ref="AF237:AF243">SUM(AC237+AD237-AE237)</f>
        <v>43850</v>
      </c>
      <c r="AG237" s="114"/>
      <c r="AH237" s="114"/>
      <c r="AI237" s="126">
        <f aca="true" t="shared" si="391" ref="AI237:AI243">SUM(AF237+AG237-AH237)</f>
        <v>43850</v>
      </c>
      <c r="AJ237" s="114"/>
      <c r="AK237" s="114"/>
      <c r="AL237" s="126">
        <f aca="true" t="shared" si="392" ref="AL237:AL243">SUM(AI237+AJ237-AK237)</f>
        <v>43850</v>
      </c>
      <c r="AM237" s="114"/>
      <c r="AN237" s="114"/>
      <c r="AO237" s="126">
        <f aca="true" t="shared" si="393" ref="AO237:AO243">SUM(AL237+AM237-AN237)</f>
        <v>43850</v>
      </c>
      <c r="AP237" s="114"/>
      <c r="AQ237" s="114"/>
      <c r="AR237" s="126">
        <f aca="true" t="shared" si="394" ref="AR237:AR243">SUM(AO237+AP237-AQ237)</f>
        <v>43850</v>
      </c>
      <c r="AS237" s="114"/>
      <c r="AT237" s="114"/>
      <c r="AU237" s="126">
        <f aca="true" t="shared" si="395" ref="AU237:AU243">SUM(AR237+AS237-AT237)</f>
        <v>43850</v>
      </c>
      <c r="AV237" s="337"/>
    </row>
    <row r="238" spans="1:48" s="37" customFormat="1" ht="0.75" customHeight="1" hidden="1">
      <c r="A238" s="98"/>
      <c r="B238" s="116"/>
      <c r="C238" s="120">
        <v>2710</v>
      </c>
      <c r="D238" s="19" t="s">
        <v>525</v>
      </c>
      <c r="E238" s="114"/>
      <c r="F238" s="114"/>
      <c r="G238" s="114"/>
      <c r="H238" s="126"/>
      <c r="I238" s="114"/>
      <c r="J238" s="114"/>
      <c r="K238" s="126"/>
      <c r="L238" s="114"/>
      <c r="M238" s="114"/>
      <c r="N238" s="126"/>
      <c r="O238" s="114"/>
      <c r="P238" s="114"/>
      <c r="Q238" s="126"/>
      <c r="R238" s="114"/>
      <c r="S238" s="114"/>
      <c r="T238" s="126">
        <v>0</v>
      </c>
      <c r="U238" s="114">
        <v>10940</v>
      </c>
      <c r="V238" s="114"/>
      <c r="W238" s="126">
        <f t="shared" si="387"/>
        <v>10940</v>
      </c>
      <c r="X238" s="114"/>
      <c r="Y238" s="114"/>
      <c r="Z238" s="126">
        <f t="shared" si="388"/>
        <v>10940</v>
      </c>
      <c r="AA238" s="114"/>
      <c r="AB238" s="114">
        <v>10940</v>
      </c>
      <c r="AC238" s="126">
        <f t="shared" si="389"/>
        <v>0</v>
      </c>
      <c r="AD238" s="114"/>
      <c r="AE238" s="114"/>
      <c r="AF238" s="126">
        <f t="shared" si="390"/>
        <v>0</v>
      </c>
      <c r="AG238" s="114"/>
      <c r="AH238" s="114"/>
      <c r="AI238" s="126">
        <f t="shared" si="391"/>
        <v>0</v>
      </c>
      <c r="AJ238" s="114"/>
      <c r="AK238" s="114"/>
      <c r="AL238" s="126">
        <f t="shared" si="392"/>
        <v>0</v>
      </c>
      <c r="AM238" s="114"/>
      <c r="AN238" s="114"/>
      <c r="AO238" s="126">
        <f t="shared" si="393"/>
        <v>0</v>
      </c>
      <c r="AP238" s="114"/>
      <c r="AQ238" s="114"/>
      <c r="AR238" s="126">
        <f t="shared" si="394"/>
        <v>0</v>
      </c>
      <c r="AS238" s="114"/>
      <c r="AT238" s="114"/>
      <c r="AU238" s="126">
        <f t="shared" si="395"/>
        <v>0</v>
      </c>
      <c r="AV238" s="337"/>
    </row>
    <row r="239" spans="1:48" s="37" customFormat="1" ht="60.75" customHeight="1">
      <c r="A239" s="98"/>
      <c r="B239" s="116"/>
      <c r="C239" s="120">
        <v>2710</v>
      </c>
      <c r="D239" s="19" t="s">
        <v>569</v>
      </c>
      <c r="E239" s="114"/>
      <c r="F239" s="114"/>
      <c r="G239" s="114"/>
      <c r="H239" s="126"/>
      <c r="I239" s="114"/>
      <c r="J239" s="114"/>
      <c r="K239" s="126"/>
      <c r="L239" s="114"/>
      <c r="M239" s="114"/>
      <c r="N239" s="126"/>
      <c r="O239" s="114"/>
      <c r="P239" s="114"/>
      <c r="Q239" s="126"/>
      <c r="R239" s="114"/>
      <c r="S239" s="114"/>
      <c r="T239" s="126"/>
      <c r="U239" s="114"/>
      <c r="V239" s="114"/>
      <c r="W239" s="126"/>
      <c r="X239" s="114"/>
      <c r="Y239" s="114"/>
      <c r="Z239" s="126">
        <v>0</v>
      </c>
      <c r="AA239" s="114">
        <v>10940</v>
      </c>
      <c r="AB239" s="114"/>
      <c r="AC239" s="126">
        <f t="shared" si="389"/>
        <v>10940</v>
      </c>
      <c r="AD239" s="114"/>
      <c r="AE239" s="114"/>
      <c r="AF239" s="126">
        <f t="shared" si="390"/>
        <v>10940</v>
      </c>
      <c r="AG239" s="114"/>
      <c r="AH239" s="114"/>
      <c r="AI239" s="126">
        <f t="shared" si="391"/>
        <v>10940</v>
      </c>
      <c r="AJ239" s="114"/>
      <c r="AK239" s="114"/>
      <c r="AL239" s="126">
        <f t="shared" si="392"/>
        <v>10940</v>
      </c>
      <c r="AM239" s="114"/>
      <c r="AN239" s="114"/>
      <c r="AO239" s="126">
        <f t="shared" si="393"/>
        <v>10940</v>
      </c>
      <c r="AP239" s="114"/>
      <c r="AQ239" s="114"/>
      <c r="AR239" s="126">
        <f t="shared" si="394"/>
        <v>10940</v>
      </c>
      <c r="AS239" s="114"/>
      <c r="AT239" s="114"/>
      <c r="AU239" s="126">
        <f t="shared" si="395"/>
        <v>10940</v>
      </c>
      <c r="AV239" s="337"/>
    </row>
    <row r="240" spans="1:48" s="37" customFormat="1" ht="22.5" hidden="1">
      <c r="A240" s="98"/>
      <c r="B240" s="121"/>
      <c r="C240" s="120">
        <v>3030</v>
      </c>
      <c r="D240" s="56" t="s">
        <v>106</v>
      </c>
      <c r="E240" s="114">
        <v>15000</v>
      </c>
      <c r="F240" s="119"/>
      <c r="G240" s="119">
        <v>15000</v>
      </c>
      <c r="H240" s="126">
        <f>SUM(E240+F240-G240)</f>
        <v>0</v>
      </c>
      <c r="I240" s="119"/>
      <c r="J240" s="119"/>
      <c r="K240" s="126">
        <f>SUM(H240+I240-J240)</f>
        <v>0</v>
      </c>
      <c r="L240" s="119"/>
      <c r="M240" s="119"/>
      <c r="N240" s="126">
        <f>SUM(K240+L240-M240)</f>
        <v>0</v>
      </c>
      <c r="O240" s="119"/>
      <c r="P240" s="119"/>
      <c r="Q240" s="126">
        <f>SUM(N240+O240-P240)</f>
        <v>0</v>
      </c>
      <c r="R240" s="119"/>
      <c r="S240" s="119"/>
      <c r="T240" s="126">
        <f>SUM(Q240+R240-S240)</f>
        <v>0</v>
      </c>
      <c r="U240" s="119"/>
      <c r="V240" s="119"/>
      <c r="W240" s="126">
        <f t="shared" si="387"/>
        <v>0</v>
      </c>
      <c r="X240" s="119"/>
      <c r="Y240" s="119"/>
      <c r="Z240" s="126">
        <f t="shared" si="388"/>
        <v>0</v>
      </c>
      <c r="AA240" s="119"/>
      <c r="AB240" s="119"/>
      <c r="AC240" s="126">
        <f t="shared" si="389"/>
        <v>0</v>
      </c>
      <c r="AD240" s="119"/>
      <c r="AE240" s="119"/>
      <c r="AF240" s="126">
        <f t="shared" si="390"/>
        <v>0</v>
      </c>
      <c r="AG240" s="119"/>
      <c r="AH240" s="119"/>
      <c r="AI240" s="126">
        <f t="shared" si="391"/>
        <v>0</v>
      </c>
      <c r="AJ240" s="119"/>
      <c r="AK240" s="119"/>
      <c r="AL240" s="126">
        <f t="shared" si="392"/>
        <v>0</v>
      </c>
      <c r="AM240" s="119"/>
      <c r="AN240" s="119"/>
      <c r="AO240" s="126">
        <f t="shared" si="393"/>
        <v>0</v>
      </c>
      <c r="AP240" s="119"/>
      <c r="AQ240" s="119"/>
      <c r="AR240" s="126">
        <f t="shared" si="394"/>
        <v>0</v>
      </c>
      <c r="AS240" s="119"/>
      <c r="AT240" s="119"/>
      <c r="AU240" s="126">
        <f t="shared" si="395"/>
        <v>0</v>
      </c>
      <c r="AV240" s="337"/>
    </row>
    <row r="241" spans="1:48" s="37" customFormat="1" ht="21" customHeight="1">
      <c r="A241" s="98"/>
      <c r="B241" s="121"/>
      <c r="C241" s="120">
        <v>4170</v>
      </c>
      <c r="D241" s="56" t="s">
        <v>252</v>
      </c>
      <c r="E241" s="114">
        <v>38720</v>
      </c>
      <c r="F241" s="119">
        <v>15000</v>
      </c>
      <c r="G241" s="119">
        <v>38720</v>
      </c>
      <c r="H241" s="126">
        <f>SUM(E241+F241-G241)</f>
        <v>15000</v>
      </c>
      <c r="I241" s="119"/>
      <c r="J241" s="119"/>
      <c r="K241" s="126">
        <f>SUM(H241+I241-J241)</f>
        <v>15000</v>
      </c>
      <c r="L241" s="119"/>
      <c r="M241" s="119"/>
      <c r="N241" s="126">
        <f>SUM(K241+L241-M241)</f>
        <v>15000</v>
      </c>
      <c r="O241" s="119"/>
      <c r="P241" s="119"/>
      <c r="Q241" s="126">
        <f>SUM(N241+O241-P241)</f>
        <v>15000</v>
      </c>
      <c r="R241" s="119"/>
      <c r="S241" s="119"/>
      <c r="T241" s="126">
        <f>SUM(Q241+R241-S241)</f>
        <v>15000</v>
      </c>
      <c r="U241" s="119"/>
      <c r="V241" s="119"/>
      <c r="W241" s="126">
        <f t="shared" si="387"/>
        <v>15000</v>
      </c>
      <c r="X241" s="119"/>
      <c r="Y241" s="119"/>
      <c r="Z241" s="126">
        <f t="shared" si="388"/>
        <v>15000</v>
      </c>
      <c r="AA241" s="119"/>
      <c r="AB241" s="119"/>
      <c r="AC241" s="126">
        <f t="shared" si="389"/>
        <v>15000</v>
      </c>
      <c r="AD241" s="119"/>
      <c r="AE241" s="119"/>
      <c r="AF241" s="126">
        <f t="shared" si="390"/>
        <v>15000</v>
      </c>
      <c r="AG241" s="119"/>
      <c r="AH241" s="119"/>
      <c r="AI241" s="126">
        <f t="shared" si="391"/>
        <v>15000</v>
      </c>
      <c r="AJ241" s="119"/>
      <c r="AK241" s="119"/>
      <c r="AL241" s="126">
        <f t="shared" si="392"/>
        <v>15000</v>
      </c>
      <c r="AM241" s="119"/>
      <c r="AN241" s="119"/>
      <c r="AO241" s="126">
        <f t="shared" si="393"/>
        <v>15000</v>
      </c>
      <c r="AP241" s="119"/>
      <c r="AQ241" s="119"/>
      <c r="AR241" s="126">
        <f t="shared" si="394"/>
        <v>15000</v>
      </c>
      <c r="AS241" s="119"/>
      <c r="AT241" s="119"/>
      <c r="AU241" s="126">
        <f t="shared" si="395"/>
        <v>15000</v>
      </c>
      <c r="AV241" s="337">
        <f>SUM(AU241)</f>
        <v>15000</v>
      </c>
    </row>
    <row r="242" spans="1:48" s="37" customFormat="1" ht="20.25" customHeight="1">
      <c r="A242" s="98"/>
      <c r="B242" s="121"/>
      <c r="C242" s="120">
        <v>4300</v>
      </c>
      <c r="D242" s="56" t="s">
        <v>96</v>
      </c>
      <c r="E242" s="114">
        <v>0</v>
      </c>
      <c r="F242" s="119">
        <v>38720</v>
      </c>
      <c r="G242" s="119">
        <f>3850+1000</f>
        <v>4850</v>
      </c>
      <c r="H242" s="126">
        <f>SUM(E242+F242-G242)</f>
        <v>33870</v>
      </c>
      <c r="I242" s="119"/>
      <c r="J242" s="119"/>
      <c r="K242" s="126">
        <f>SUM(H242+I242-J242)</f>
        <v>33870</v>
      </c>
      <c r="L242" s="119"/>
      <c r="M242" s="119"/>
      <c r="N242" s="126">
        <f>SUM(K242+L242-M242)</f>
        <v>33870</v>
      </c>
      <c r="O242" s="119"/>
      <c r="P242" s="119"/>
      <c r="Q242" s="126">
        <f>SUM(N242+O242-P242)</f>
        <v>33870</v>
      </c>
      <c r="R242" s="119"/>
      <c r="S242" s="119"/>
      <c r="T242" s="126">
        <f>SUM(Q242+R242-S242)</f>
        <v>33870</v>
      </c>
      <c r="U242" s="119"/>
      <c r="V242" s="119">
        <v>10940</v>
      </c>
      <c r="W242" s="126">
        <f t="shared" si="387"/>
        <v>22930</v>
      </c>
      <c r="X242" s="119"/>
      <c r="Y242" s="119"/>
      <c r="Z242" s="126">
        <f t="shared" si="388"/>
        <v>22930</v>
      </c>
      <c r="AA242" s="119">
        <v>941</v>
      </c>
      <c r="AB242" s="119"/>
      <c r="AC242" s="126">
        <f t="shared" si="389"/>
        <v>23871</v>
      </c>
      <c r="AD242" s="119"/>
      <c r="AE242" s="119"/>
      <c r="AF242" s="126">
        <f t="shared" si="390"/>
        <v>23871</v>
      </c>
      <c r="AG242" s="119"/>
      <c r="AH242" s="119"/>
      <c r="AI242" s="126">
        <f t="shared" si="391"/>
        <v>23871</v>
      </c>
      <c r="AJ242" s="119"/>
      <c r="AK242" s="119"/>
      <c r="AL242" s="126">
        <f t="shared" si="392"/>
        <v>23871</v>
      </c>
      <c r="AM242" s="119"/>
      <c r="AN242" s="119"/>
      <c r="AO242" s="126">
        <f t="shared" si="393"/>
        <v>23871</v>
      </c>
      <c r="AP242" s="119"/>
      <c r="AQ242" s="119"/>
      <c r="AR242" s="126">
        <f t="shared" si="394"/>
        <v>23871</v>
      </c>
      <c r="AS242" s="119"/>
      <c r="AT242" s="119">
        <v>20150</v>
      </c>
      <c r="AU242" s="126">
        <f t="shared" si="395"/>
        <v>3721</v>
      </c>
      <c r="AV242" s="337"/>
    </row>
    <row r="243" spans="1:48" s="37" customFormat="1" ht="0.75" customHeight="1" hidden="1">
      <c r="A243" s="98"/>
      <c r="B243" s="121"/>
      <c r="C243" s="120">
        <v>6060</v>
      </c>
      <c r="D243" s="56" t="s">
        <v>113</v>
      </c>
      <c r="E243" s="114">
        <v>23109</v>
      </c>
      <c r="F243" s="119"/>
      <c r="G243" s="119">
        <v>23109</v>
      </c>
      <c r="H243" s="126">
        <f>SUM(E243+F243-G243)</f>
        <v>0</v>
      </c>
      <c r="I243" s="119"/>
      <c r="J243" s="119"/>
      <c r="K243" s="126">
        <f>SUM(H243+I243-J243)</f>
        <v>0</v>
      </c>
      <c r="L243" s="119"/>
      <c r="M243" s="119"/>
      <c r="N243" s="126">
        <f>SUM(K243+L243-M243)</f>
        <v>0</v>
      </c>
      <c r="O243" s="119"/>
      <c r="P243" s="119"/>
      <c r="Q243" s="126">
        <f>SUM(N243+O243-P243)</f>
        <v>0</v>
      </c>
      <c r="R243" s="119"/>
      <c r="S243" s="119"/>
      <c r="T243" s="126">
        <f>SUM(Q243+R243-S243)</f>
        <v>0</v>
      </c>
      <c r="U243" s="119"/>
      <c r="V243" s="119"/>
      <c r="W243" s="126">
        <f t="shared" si="387"/>
        <v>0</v>
      </c>
      <c r="X243" s="119"/>
      <c r="Y243" s="119"/>
      <c r="Z243" s="126">
        <f t="shared" si="388"/>
        <v>0</v>
      </c>
      <c r="AA243" s="119"/>
      <c r="AB243" s="119"/>
      <c r="AC243" s="126">
        <f t="shared" si="389"/>
        <v>0</v>
      </c>
      <c r="AD243" s="119"/>
      <c r="AE243" s="119"/>
      <c r="AF243" s="126">
        <f t="shared" si="390"/>
        <v>0</v>
      </c>
      <c r="AG243" s="119"/>
      <c r="AH243" s="119"/>
      <c r="AI243" s="126">
        <f t="shared" si="391"/>
        <v>0</v>
      </c>
      <c r="AJ243" s="119"/>
      <c r="AK243" s="119"/>
      <c r="AL243" s="126">
        <f t="shared" si="392"/>
        <v>0</v>
      </c>
      <c r="AM243" s="119"/>
      <c r="AN243" s="119"/>
      <c r="AO243" s="126">
        <f t="shared" si="393"/>
        <v>0</v>
      </c>
      <c r="AP243" s="119"/>
      <c r="AQ243" s="119"/>
      <c r="AR243" s="126">
        <f t="shared" si="394"/>
        <v>0</v>
      </c>
      <c r="AS243" s="119"/>
      <c r="AT243" s="119"/>
      <c r="AU243" s="126">
        <f t="shared" si="395"/>
        <v>0</v>
      </c>
      <c r="AV243" s="337"/>
    </row>
    <row r="244" spans="1:48" s="37" customFormat="1" ht="21" customHeight="1">
      <c r="A244" s="98"/>
      <c r="B244" s="121">
        <v>85195</v>
      </c>
      <c r="C244" s="120"/>
      <c r="D244" s="56" t="s">
        <v>10</v>
      </c>
      <c r="E244" s="114">
        <f aca="true" t="shared" si="396" ref="E244:AU244">SUM(E245)</f>
        <v>5000</v>
      </c>
      <c r="F244" s="114">
        <f t="shared" si="396"/>
        <v>0</v>
      </c>
      <c r="G244" s="114">
        <f t="shared" si="396"/>
        <v>0</v>
      </c>
      <c r="H244" s="114">
        <f t="shared" si="396"/>
        <v>5000</v>
      </c>
      <c r="I244" s="114">
        <f t="shared" si="396"/>
        <v>0</v>
      </c>
      <c r="J244" s="114">
        <f t="shared" si="396"/>
        <v>0</v>
      </c>
      <c r="K244" s="114">
        <f t="shared" si="396"/>
        <v>5000</v>
      </c>
      <c r="L244" s="114">
        <f t="shared" si="396"/>
        <v>0</v>
      </c>
      <c r="M244" s="114">
        <f t="shared" si="396"/>
        <v>0</v>
      </c>
      <c r="N244" s="114">
        <f t="shared" si="396"/>
        <v>5000</v>
      </c>
      <c r="O244" s="114">
        <f t="shared" si="396"/>
        <v>0</v>
      </c>
      <c r="P244" s="114">
        <f t="shared" si="396"/>
        <v>0</v>
      </c>
      <c r="Q244" s="114">
        <f t="shared" si="396"/>
        <v>5000</v>
      </c>
      <c r="R244" s="114">
        <f t="shared" si="396"/>
        <v>0</v>
      </c>
      <c r="S244" s="114">
        <f t="shared" si="396"/>
        <v>0</v>
      </c>
      <c r="T244" s="114">
        <f t="shared" si="396"/>
        <v>5000</v>
      </c>
      <c r="U244" s="114">
        <f t="shared" si="396"/>
        <v>0</v>
      </c>
      <c r="V244" s="114">
        <f t="shared" si="396"/>
        <v>0</v>
      </c>
      <c r="W244" s="114">
        <f t="shared" si="396"/>
        <v>5000</v>
      </c>
      <c r="X244" s="114">
        <f t="shared" si="396"/>
        <v>0</v>
      </c>
      <c r="Y244" s="114">
        <f t="shared" si="396"/>
        <v>0</v>
      </c>
      <c r="Z244" s="114">
        <f t="shared" si="396"/>
        <v>5000</v>
      </c>
      <c r="AA244" s="114">
        <f t="shared" si="396"/>
        <v>0</v>
      </c>
      <c r="AB244" s="114">
        <f t="shared" si="396"/>
        <v>0</v>
      </c>
      <c r="AC244" s="114">
        <f t="shared" si="396"/>
        <v>5000</v>
      </c>
      <c r="AD244" s="114">
        <f t="shared" si="396"/>
        <v>0</v>
      </c>
      <c r="AE244" s="114">
        <f t="shared" si="396"/>
        <v>0</v>
      </c>
      <c r="AF244" s="114">
        <f t="shared" si="396"/>
        <v>5000</v>
      </c>
      <c r="AG244" s="114">
        <f t="shared" si="396"/>
        <v>0</v>
      </c>
      <c r="AH244" s="114">
        <f t="shared" si="396"/>
        <v>0</v>
      </c>
      <c r="AI244" s="114">
        <f t="shared" si="396"/>
        <v>5000</v>
      </c>
      <c r="AJ244" s="114">
        <f t="shared" si="396"/>
        <v>0</v>
      </c>
      <c r="AK244" s="114">
        <f t="shared" si="396"/>
        <v>0</v>
      </c>
      <c r="AL244" s="114">
        <f t="shared" si="396"/>
        <v>5000</v>
      </c>
      <c r="AM244" s="114">
        <f t="shared" si="396"/>
        <v>0</v>
      </c>
      <c r="AN244" s="114">
        <f t="shared" si="396"/>
        <v>0</v>
      </c>
      <c r="AO244" s="114">
        <f t="shared" si="396"/>
        <v>5000</v>
      </c>
      <c r="AP244" s="114">
        <f t="shared" si="396"/>
        <v>0</v>
      </c>
      <c r="AQ244" s="114">
        <f t="shared" si="396"/>
        <v>0</v>
      </c>
      <c r="AR244" s="114">
        <f t="shared" si="396"/>
        <v>5000</v>
      </c>
      <c r="AS244" s="114">
        <f t="shared" si="396"/>
        <v>0</v>
      </c>
      <c r="AT244" s="114">
        <f t="shared" si="396"/>
        <v>0</v>
      </c>
      <c r="AU244" s="114">
        <f t="shared" si="396"/>
        <v>5000</v>
      </c>
      <c r="AV244" s="339"/>
    </row>
    <row r="245" spans="1:48" s="37" customFormat="1" ht="21" customHeight="1">
      <c r="A245" s="98"/>
      <c r="B245" s="121"/>
      <c r="C245" s="120">
        <v>4430</v>
      </c>
      <c r="D245" s="56" t="s">
        <v>111</v>
      </c>
      <c r="E245" s="114">
        <v>5000</v>
      </c>
      <c r="F245" s="119"/>
      <c r="G245" s="119"/>
      <c r="H245" s="126">
        <f>SUM(E245+F245-G245)</f>
        <v>5000</v>
      </c>
      <c r="I245" s="119"/>
      <c r="J245" s="119"/>
      <c r="K245" s="126">
        <f>SUM(H245+I245-J245)</f>
        <v>5000</v>
      </c>
      <c r="L245" s="119"/>
      <c r="M245" s="119"/>
      <c r="N245" s="126">
        <f>SUM(K245+L245-M245)</f>
        <v>5000</v>
      </c>
      <c r="O245" s="119"/>
      <c r="P245" s="119"/>
      <c r="Q245" s="126">
        <f>SUM(N245+O245-P245)</f>
        <v>5000</v>
      </c>
      <c r="R245" s="119"/>
      <c r="S245" s="119"/>
      <c r="T245" s="126">
        <f>SUM(Q245+R245-S245)</f>
        <v>5000</v>
      </c>
      <c r="U245" s="119"/>
      <c r="V245" s="119"/>
      <c r="W245" s="126">
        <f>SUM(T245+U245-V245)</f>
        <v>5000</v>
      </c>
      <c r="X245" s="119"/>
      <c r="Y245" s="119"/>
      <c r="Z245" s="126">
        <f>SUM(W245+X245-Y245)</f>
        <v>5000</v>
      </c>
      <c r="AA245" s="119"/>
      <c r="AB245" s="119"/>
      <c r="AC245" s="126">
        <f>SUM(Z245+AA245-AB245)</f>
        <v>5000</v>
      </c>
      <c r="AD245" s="119"/>
      <c r="AE245" s="119"/>
      <c r="AF245" s="126">
        <f>SUM(AC245+AD245-AE245)</f>
        <v>5000</v>
      </c>
      <c r="AG245" s="119"/>
      <c r="AH245" s="119"/>
      <c r="AI245" s="126">
        <f>SUM(AF245+AG245-AH245)</f>
        <v>5000</v>
      </c>
      <c r="AJ245" s="119"/>
      <c r="AK245" s="119"/>
      <c r="AL245" s="126">
        <f>SUM(AI245+AJ245-AK245)</f>
        <v>5000</v>
      </c>
      <c r="AM245" s="119"/>
      <c r="AN245" s="119"/>
      <c r="AO245" s="126">
        <f>SUM(AL245+AM245-AN245)</f>
        <v>5000</v>
      </c>
      <c r="AP245" s="119"/>
      <c r="AQ245" s="119"/>
      <c r="AR245" s="126">
        <f>SUM(AO245+AP245-AQ245)</f>
        <v>5000</v>
      </c>
      <c r="AS245" s="119"/>
      <c r="AT245" s="119"/>
      <c r="AU245" s="126">
        <f>SUM(AR245+AS245-AT245)</f>
        <v>5000</v>
      </c>
      <c r="AV245" s="337"/>
    </row>
    <row r="246" spans="1:48" s="8" customFormat="1" ht="25.5" customHeight="1">
      <c r="A246" s="92">
        <v>852</v>
      </c>
      <c r="B246" s="52"/>
      <c r="C246" s="53"/>
      <c r="D246" s="54" t="s">
        <v>238</v>
      </c>
      <c r="E246" s="55">
        <f aca="true" t="shared" si="397" ref="E246:K246">E247+E262+E277+E279+E282+E284+E301+E305</f>
        <v>9861022</v>
      </c>
      <c r="F246" s="55">
        <f t="shared" si="397"/>
        <v>5569902</v>
      </c>
      <c r="G246" s="55">
        <f t="shared" si="397"/>
        <v>5569902</v>
      </c>
      <c r="H246" s="55">
        <f t="shared" si="397"/>
        <v>9861022</v>
      </c>
      <c r="I246" s="55">
        <f t="shared" si="397"/>
        <v>2000</v>
      </c>
      <c r="J246" s="55">
        <f t="shared" si="397"/>
        <v>2000</v>
      </c>
      <c r="K246" s="55">
        <f t="shared" si="397"/>
        <v>9861022</v>
      </c>
      <c r="L246" s="55">
        <f aca="true" t="shared" si="398" ref="L246:Q246">L247+L262+L277+L279+L282+L284+L301+L305</f>
        <v>48100</v>
      </c>
      <c r="M246" s="55">
        <f t="shared" si="398"/>
        <v>71300</v>
      </c>
      <c r="N246" s="55">
        <f t="shared" si="398"/>
        <v>9837822</v>
      </c>
      <c r="O246" s="55">
        <f t="shared" si="398"/>
        <v>10000</v>
      </c>
      <c r="P246" s="55">
        <f t="shared" si="398"/>
        <v>0</v>
      </c>
      <c r="Q246" s="55">
        <f t="shared" si="398"/>
        <v>9847822</v>
      </c>
      <c r="R246" s="55">
        <f aca="true" t="shared" si="399" ref="R246:W246">R247+R262+R277+R279+R282+R284+R301+R305</f>
        <v>341277</v>
      </c>
      <c r="S246" s="55">
        <f t="shared" si="399"/>
        <v>0</v>
      </c>
      <c r="T246" s="55">
        <f t="shared" si="399"/>
        <v>10189099</v>
      </c>
      <c r="U246" s="55">
        <f t="shared" si="399"/>
        <v>51010</v>
      </c>
      <c r="V246" s="55">
        <f t="shared" si="399"/>
        <v>0</v>
      </c>
      <c r="W246" s="55">
        <f t="shared" si="399"/>
        <v>10240109</v>
      </c>
      <c r="X246" s="55">
        <f aca="true" t="shared" si="400" ref="X246:AC246">X247+X262+X277+X279+X282+X284+X301+X305</f>
        <v>340202</v>
      </c>
      <c r="Y246" s="55">
        <f t="shared" si="400"/>
        <v>71500</v>
      </c>
      <c r="Z246" s="55">
        <f t="shared" si="400"/>
        <v>10508811</v>
      </c>
      <c r="AA246" s="55">
        <f t="shared" si="400"/>
        <v>1495</v>
      </c>
      <c r="AB246" s="55">
        <f t="shared" si="400"/>
        <v>2436</v>
      </c>
      <c r="AC246" s="55">
        <f t="shared" si="400"/>
        <v>10507870</v>
      </c>
      <c r="AD246" s="55">
        <f>AD247+AD262+AD277+AD279+AD282+AD284+AD301+AD305</f>
        <v>158594</v>
      </c>
      <c r="AE246" s="55">
        <f>AE247+AE262+AE277+AE279+AE282+AE284+AE301+AE305</f>
        <v>20000</v>
      </c>
      <c r="AF246" s="55">
        <f>AF247+AF262+AF277+AF279+AF282+AF284+AF301+AF305</f>
        <v>10646464</v>
      </c>
      <c r="AG246" s="55">
        <f>AG247+AG262+AG277+AG279+AG282+AG284+AG301+AG305</f>
        <v>40269</v>
      </c>
      <c r="AH246" s="55">
        <f>AH247+AH262+AH277+AH279+AH282+AH284+AH301+AH305</f>
        <v>12953</v>
      </c>
      <c r="AI246" s="55">
        <f aca="true" t="shared" si="401" ref="AI246:AO246">AI247+AI262+AI277+AI279+AI282+AI284+AI301+AI305+AI303</f>
        <v>10673780</v>
      </c>
      <c r="AJ246" s="55">
        <f t="shared" si="401"/>
        <v>747197</v>
      </c>
      <c r="AK246" s="55">
        <f t="shared" si="401"/>
        <v>0</v>
      </c>
      <c r="AL246" s="55">
        <f t="shared" si="401"/>
        <v>11420977</v>
      </c>
      <c r="AM246" s="55">
        <f t="shared" si="401"/>
        <v>326670</v>
      </c>
      <c r="AN246" s="55">
        <f t="shared" si="401"/>
        <v>0</v>
      </c>
      <c r="AO246" s="55">
        <f t="shared" si="401"/>
        <v>11747647</v>
      </c>
      <c r="AP246" s="55">
        <f aca="true" t="shared" si="402" ref="AP246:AU246">AP247+AP262+AP277+AP279+AP282+AP284+AP301+AP305+AP303</f>
        <v>0</v>
      </c>
      <c r="AQ246" s="55">
        <f t="shared" si="402"/>
        <v>0</v>
      </c>
      <c r="AR246" s="55">
        <f t="shared" si="402"/>
        <v>11747647</v>
      </c>
      <c r="AS246" s="55">
        <f t="shared" si="402"/>
        <v>43975</v>
      </c>
      <c r="AT246" s="55">
        <f t="shared" si="402"/>
        <v>52494</v>
      </c>
      <c r="AU246" s="55">
        <f t="shared" si="402"/>
        <v>11739128</v>
      </c>
      <c r="AV246" s="338"/>
    </row>
    <row r="247" spans="1:48" s="37" customFormat="1" ht="45" hidden="1">
      <c r="A247" s="134"/>
      <c r="B247" s="74">
        <v>85212</v>
      </c>
      <c r="C247" s="112"/>
      <c r="D247" s="110" t="s">
        <v>275</v>
      </c>
      <c r="E247" s="102">
        <f aca="true" t="shared" si="403" ref="E247:K247">SUM(E248:E261)</f>
        <v>5569902</v>
      </c>
      <c r="F247" s="102">
        <f t="shared" si="403"/>
        <v>0</v>
      </c>
      <c r="G247" s="102">
        <f t="shared" si="403"/>
        <v>5569902</v>
      </c>
      <c r="H247" s="102">
        <f t="shared" si="403"/>
        <v>0</v>
      </c>
      <c r="I247" s="102">
        <f t="shared" si="403"/>
        <v>0</v>
      </c>
      <c r="J247" s="102">
        <f t="shared" si="403"/>
        <v>0</v>
      </c>
      <c r="K247" s="102">
        <f t="shared" si="403"/>
        <v>0</v>
      </c>
      <c r="L247" s="102">
        <f aca="true" t="shared" si="404" ref="L247:Q247">SUM(L248:L261)</f>
        <v>0</v>
      </c>
      <c r="M247" s="102">
        <f t="shared" si="404"/>
        <v>0</v>
      </c>
      <c r="N247" s="102">
        <f t="shared" si="404"/>
        <v>0</v>
      </c>
      <c r="O247" s="102">
        <f t="shared" si="404"/>
        <v>0</v>
      </c>
      <c r="P247" s="102">
        <f t="shared" si="404"/>
        <v>0</v>
      </c>
      <c r="Q247" s="102">
        <f t="shared" si="404"/>
        <v>0</v>
      </c>
      <c r="R247" s="102">
        <f aca="true" t="shared" si="405" ref="R247:W247">SUM(R248:R261)</f>
        <v>0</v>
      </c>
      <c r="S247" s="102">
        <f t="shared" si="405"/>
        <v>0</v>
      </c>
      <c r="T247" s="102">
        <f t="shared" si="405"/>
        <v>0</v>
      </c>
      <c r="U247" s="102">
        <f t="shared" si="405"/>
        <v>0</v>
      </c>
      <c r="V247" s="102">
        <f t="shared" si="405"/>
        <v>0</v>
      </c>
      <c r="W247" s="102">
        <f t="shared" si="405"/>
        <v>0</v>
      </c>
      <c r="X247" s="102">
        <f aca="true" t="shared" si="406" ref="X247:AC247">SUM(X248:X261)</f>
        <v>0</v>
      </c>
      <c r="Y247" s="102">
        <f t="shared" si="406"/>
        <v>0</v>
      </c>
      <c r="Z247" s="102">
        <f t="shared" si="406"/>
        <v>0</v>
      </c>
      <c r="AA247" s="102">
        <f t="shared" si="406"/>
        <v>0</v>
      </c>
      <c r="AB247" s="102">
        <f t="shared" si="406"/>
        <v>0</v>
      </c>
      <c r="AC247" s="102">
        <f t="shared" si="406"/>
        <v>0</v>
      </c>
      <c r="AD247" s="102">
        <f aca="true" t="shared" si="407" ref="AD247:AI247">SUM(AD248:AD261)</f>
        <v>0</v>
      </c>
      <c r="AE247" s="102">
        <f t="shared" si="407"/>
        <v>0</v>
      </c>
      <c r="AF247" s="102">
        <f t="shared" si="407"/>
        <v>0</v>
      </c>
      <c r="AG247" s="102">
        <f t="shared" si="407"/>
        <v>0</v>
      </c>
      <c r="AH247" s="102">
        <f t="shared" si="407"/>
        <v>0</v>
      </c>
      <c r="AI247" s="102">
        <f t="shared" si="407"/>
        <v>0</v>
      </c>
      <c r="AJ247" s="102">
        <f aca="true" t="shared" si="408" ref="AJ247:AO247">SUM(AJ248:AJ261)</f>
        <v>0</v>
      </c>
      <c r="AK247" s="102">
        <f t="shared" si="408"/>
        <v>0</v>
      </c>
      <c r="AL247" s="102">
        <f t="shared" si="408"/>
        <v>0</v>
      </c>
      <c r="AM247" s="102">
        <f t="shared" si="408"/>
        <v>0</v>
      </c>
      <c r="AN247" s="102">
        <f t="shared" si="408"/>
        <v>0</v>
      </c>
      <c r="AO247" s="102">
        <f t="shared" si="408"/>
        <v>0</v>
      </c>
      <c r="AP247" s="102">
        <f aca="true" t="shared" si="409" ref="AP247:AU247">SUM(AP248:AP261)</f>
        <v>0</v>
      </c>
      <c r="AQ247" s="102">
        <f t="shared" si="409"/>
        <v>0</v>
      </c>
      <c r="AR247" s="102">
        <f t="shared" si="409"/>
        <v>0</v>
      </c>
      <c r="AS247" s="102">
        <f t="shared" si="409"/>
        <v>0</v>
      </c>
      <c r="AT247" s="102">
        <f t="shared" si="409"/>
        <v>0</v>
      </c>
      <c r="AU247" s="102">
        <f t="shared" si="409"/>
        <v>0</v>
      </c>
      <c r="AV247" s="150"/>
    </row>
    <row r="248" spans="1:48" s="37" customFormat="1" ht="21" customHeight="1" hidden="1">
      <c r="A248" s="134"/>
      <c r="B248" s="74"/>
      <c r="C248" s="112">
        <v>3020</v>
      </c>
      <c r="D248" s="56" t="s">
        <v>246</v>
      </c>
      <c r="E248" s="102">
        <v>2000</v>
      </c>
      <c r="F248" s="119"/>
      <c r="G248" s="102">
        <v>2000</v>
      </c>
      <c r="H248" s="126">
        <f aca="true" t="shared" si="410" ref="H248:H276">SUM(E248+F248-G248)</f>
        <v>0</v>
      </c>
      <c r="I248" s="119"/>
      <c r="J248" s="102"/>
      <c r="K248" s="126">
        <f aca="true" t="shared" si="411" ref="K248:K276">SUM(H248+I248-J248)</f>
        <v>0</v>
      </c>
      <c r="L248" s="119"/>
      <c r="M248" s="102"/>
      <c r="N248" s="126">
        <f aca="true" t="shared" si="412" ref="N248:N276">SUM(K248+L248-M248)</f>
        <v>0</v>
      </c>
      <c r="O248" s="119"/>
      <c r="P248" s="102"/>
      <c r="Q248" s="126">
        <f aca="true" t="shared" si="413" ref="Q248:Q276">SUM(N248+O248-P248)</f>
        <v>0</v>
      </c>
      <c r="R248" s="119"/>
      <c r="S248" s="102"/>
      <c r="T248" s="126">
        <f aca="true" t="shared" si="414" ref="T248:T276">SUM(Q248+R248-S248)</f>
        <v>0</v>
      </c>
      <c r="U248" s="119"/>
      <c r="V248" s="102"/>
      <c r="W248" s="126">
        <f aca="true" t="shared" si="415" ref="W248:W276">SUM(T248+U248-V248)</f>
        <v>0</v>
      </c>
      <c r="X248" s="119"/>
      <c r="Y248" s="102"/>
      <c r="Z248" s="126">
        <f aca="true" t="shared" si="416" ref="Z248:Z276">SUM(W248+X248-Y248)</f>
        <v>0</v>
      </c>
      <c r="AA248" s="119"/>
      <c r="AB248" s="102"/>
      <c r="AC248" s="126">
        <f aca="true" t="shared" si="417" ref="AC248:AC276">SUM(Z248+AA248-AB248)</f>
        <v>0</v>
      </c>
      <c r="AD248" s="119"/>
      <c r="AE248" s="102"/>
      <c r="AF248" s="126">
        <f aca="true" t="shared" si="418" ref="AF248:AF276">SUM(AC248+AD248-AE248)</f>
        <v>0</v>
      </c>
      <c r="AG248" s="119"/>
      <c r="AH248" s="102"/>
      <c r="AI248" s="126">
        <f aca="true" t="shared" si="419" ref="AI248:AI276">SUM(AF248+AG248-AH248)</f>
        <v>0</v>
      </c>
      <c r="AJ248" s="119"/>
      <c r="AK248" s="102"/>
      <c r="AL248" s="126">
        <f aca="true" t="shared" si="420" ref="AL248:AL276">SUM(AI248+AJ248-AK248)</f>
        <v>0</v>
      </c>
      <c r="AM248" s="119"/>
      <c r="AN248" s="102"/>
      <c r="AO248" s="126">
        <f aca="true" t="shared" si="421" ref="AO248:AO276">SUM(AL248+AM248-AN248)</f>
        <v>0</v>
      </c>
      <c r="AP248" s="119"/>
      <c r="AQ248" s="102"/>
      <c r="AR248" s="126">
        <f aca="true" t="shared" si="422" ref="AR248:AR276">SUM(AO248+AP248-AQ248)</f>
        <v>0</v>
      </c>
      <c r="AS248" s="119"/>
      <c r="AT248" s="102"/>
      <c r="AU248" s="126">
        <f aca="true" t="shared" si="423" ref="AU248:AU276">SUM(AR248+AS248-AT248)</f>
        <v>0</v>
      </c>
      <c r="AV248" s="337"/>
    </row>
    <row r="249" spans="1:48" s="37" customFormat="1" ht="11.25" hidden="1">
      <c r="A249" s="134"/>
      <c r="B249" s="74"/>
      <c r="C249" s="112">
        <v>3110</v>
      </c>
      <c r="D249" s="110" t="s">
        <v>130</v>
      </c>
      <c r="E249" s="102">
        <f>5346602-4812-23800</f>
        <v>5317990</v>
      </c>
      <c r="F249" s="119"/>
      <c r="G249" s="102">
        <f>5346602-4812-23800</f>
        <v>5317990</v>
      </c>
      <c r="H249" s="126">
        <f t="shared" si="410"/>
        <v>0</v>
      </c>
      <c r="I249" s="119"/>
      <c r="J249" s="102"/>
      <c r="K249" s="126">
        <f t="shared" si="411"/>
        <v>0</v>
      </c>
      <c r="L249" s="119"/>
      <c r="M249" s="102"/>
      <c r="N249" s="126">
        <f t="shared" si="412"/>
        <v>0</v>
      </c>
      <c r="O249" s="119"/>
      <c r="P249" s="102"/>
      <c r="Q249" s="126">
        <f t="shared" si="413"/>
        <v>0</v>
      </c>
      <c r="R249" s="119"/>
      <c r="S249" s="102"/>
      <c r="T249" s="126">
        <f t="shared" si="414"/>
        <v>0</v>
      </c>
      <c r="U249" s="119"/>
      <c r="V249" s="102"/>
      <c r="W249" s="126">
        <f t="shared" si="415"/>
        <v>0</v>
      </c>
      <c r="X249" s="119"/>
      <c r="Y249" s="102"/>
      <c r="Z249" s="126">
        <f t="shared" si="416"/>
        <v>0</v>
      </c>
      <c r="AA249" s="119"/>
      <c r="AB249" s="102"/>
      <c r="AC249" s="126">
        <f t="shared" si="417"/>
        <v>0</v>
      </c>
      <c r="AD249" s="119"/>
      <c r="AE249" s="102"/>
      <c r="AF249" s="126">
        <f t="shared" si="418"/>
        <v>0</v>
      </c>
      <c r="AG249" s="119"/>
      <c r="AH249" s="102"/>
      <c r="AI249" s="126">
        <f t="shared" si="419"/>
        <v>0</v>
      </c>
      <c r="AJ249" s="119"/>
      <c r="AK249" s="102"/>
      <c r="AL249" s="126">
        <f t="shared" si="420"/>
        <v>0</v>
      </c>
      <c r="AM249" s="119"/>
      <c r="AN249" s="102"/>
      <c r="AO249" s="126">
        <f t="shared" si="421"/>
        <v>0</v>
      </c>
      <c r="AP249" s="119"/>
      <c r="AQ249" s="102"/>
      <c r="AR249" s="126">
        <f t="shared" si="422"/>
        <v>0</v>
      </c>
      <c r="AS249" s="119"/>
      <c r="AT249" s="102"/>
      <c r="AU249" s="126">
        <f t="shared" si="423"/>
        <v>0</v>
      </c>
      <c r="AV249" s="337"/>
    </row>
    <row r="250" spans="1:48" s="37" customFormat="1" ht="22.5" hidden="1">
      <c r="A250" s="134"/>
      <c r="B250" s="74"/>
      <c r="C250" s="74">
        <v>4010</v>
      </c>
      <c r="D250" s="19" t="s">
        <v>101</v>
      </c>
      <c r="E250" s="102">
        <v>110400</v>
      </c>
      <c r="F250" s="119"/>
      <c r="G250" s="102">
        <v>110400</v>
      </c>
      <c r="H250" s="126">
        <f t="shared" si="410"/>
        <v>0</v>
      </c>
      <c r="I250" s="119"/>
      <c r="J250" s="102"/>
      <c r="K250" s="126">
        <f t="shared" si="411"/>
        <v>0</v>
      </c>
      <c r="L250" s="119"/>
      <c r="M250" s="102"/>
      <c r="N250" s="126">
        <f t="shared" si="412"/>
        <v>0</v>
      </c>
      <c r="O250" s="119"/>
      <c r="P250" s="102"/>
      <c r="Q250" s="126">
        <f t="shared" si="413"/>
        <v>0</v>
      </c>
      <c r="R250" s="119"/>
      <c r="S250" s="102"/>
      <c r="T250" s="126">
        <f t="shared" si="414"/>
        <v>0</v>
      </c>
      <c r="U250" s="119"/>
      <c r="V250" s="102"/>
      <c r="W250" s="126">
        <f t="shared" si="415"/>
        <v>0</v>
      </c>
      <c r="X250" s="119"/>
      <c r="Y250" s="102"/>
      <c r="Z250" s="126">
        <f t="shared" si="416"/>
        <v>0</v>
      </c>
      <c r="AA250" s="119"/>
      <c r="AB250" s="102"/>
      <c r="AC250" s="126">
        <f t="shared" si="417"/>
        <v>0</v>
      </c>
      <c r="AD250" s="119"/>
      <c r="AE250" s="102"/>
      <c r="AF250" s="126">
        <f t="shared" si="418"/>
        <v>0</v>
      </c>
      <c r="AG250" s="119"/>
      <c r="AH250" s="102"/>
      <c r="AI250" s="126">
        <f t="shared" si="419"/>
        <v>0</v>
      </c>
      <c r="AJ250" s="119"/>
      <c r="AK250" s="102"/>
      <c r="AL250" s="126">
        <f t="shared" si="420"/>
        <v>0</v>
      </c>
      <c r="AM250" s="119"/>
      <c r="AN250" s="102"/>
      <c r="AO250" s="126">
        <f t="shared" si="421"/>
        <v>0</v>
      </c>
      <c r="AP250" s="119"/>
      <c r="AQ250" s="102"/>
      <c r="AR250" s="126">
        <f t="shared" si="422"/>
        <v>0</v>
      </c>
      <c r="AS250" s="119"/>
      <c r="AT250" s="102"/>
      <c r="AU250" s="126">
        <f t="shared" si="423"/>
        <v>0</v>
      </c>
      <c r="AV250" s="337"/>
    </row>
    <row r="251" spans="1:48" s="37" customFormat="1" ht="22.5" hidden="1">
      <c r="A251" s="134"/>
      <c r="B251" s="74"/>
      <c r="C251" s="74">
        <v>4040</v>
      </c>
      <c r="D251" s="19" t="s">
        <v>102</v>
      </c>
      <c r="E251" s="102">
        <v>7500</v>
      </c>
      <c r="F251" s="119"/>
      <c r="G251" s="102">
        <v>7500</v>
      </c>
      <c r="H251" s="126">
        <f t="shared" si="410"/>
        <v>0</v>
      </c>
      <c r="I251" s="119"/>
      <c r="J251" s="102"/>
      <c r="K251" s="126">
        <f t="shared" si="411"/>
        <v>0</v>
      </c>
      <c r="L251" s="119"/>
      <c r="M251" s="102"/>
      <c r="N251" s="126">
        <f t="shared" si="412"/>
        <v>0</v>
      </c>
      <c r="O251" s="119"/>
      <c r="P251" s="102"/>
      <c r="Q251" s="126">
        <f t="shared" si="413"/>
        <v>0</v>
      </c>
      <c r="R251" s="119"/>
      <c r="S251" s="102"/>
      <c r="T251" s="126">
        <f t="shared" si="414"/>
        <v>0</v>
      </c>
      <c r="U251" s="119"/>
      <c r="V251" s="102"/>
      <c r="W251" s="126">
        <f t="shared" si="415"/>
        <v>0</v>
      </c>
      <c r="X251" s="119"/>
      <c r="Y251" s="102"/>
      <c r="Z251" s="126">
        <f t="shared" si="416"/>
        <v>0</v>
      </c>
      <c r="AA251" s="119"/>
      <c r="AB251" s="102"/>
      <c r="AC251" s="126">
        <f t="shared" si="417"/>
        <v>0</v>
      </c>
      <c r="AD251" s="119"/>
      <c r="AE251" s="102"/>
      <c r="AF251" s="126">
        <f t="shared" si="418"/>
        <v>0</v>
      </c>
      <c r="AG251" s="119"/>
      <c r="AH251" s="102"/>
      <c r="AI251" s="126">
        <f t="shared" si="419"/>
        <v>0</v>
      </c>
      <c r="AJ251" s="119"/>
      <c r="AK251" s="102"/>
      <c r="AL251" s="126">
        <f t="shared" si="420"/>
        <v>0</v>
      </c>
      <c r="AM251" s="119"/>
      <c r="AN251" s="102"/>
      <c r="AO251" s="126">
        <f t="shared" si="421"/>
        <v>0</v>
      </c>
      <c r="AP251" s="119"/>
      <c r="AQ251" s="102"/>
      <c r="AR251" s="126">
        <f t="shared" si="422"/>
        <v>0</v>
      </c>
      <c r="AS251" s="119"/>
      <c r="AT251" s="102"/>
      <c r="AU251" s="126">
        <f t="shared" si="423"/>
        <v>0</v>
      </c>
      <c r="AV251" s="337"/>
    </row>
    <row r="252" spans="1:48" s="37" customFormat="1" ht="22.5" hidden="1">
      <c r="A252" s="134"/>
      <c r="B252" s="74"/>
      <c r="C252" s="74">
        <v>4110</v>
      </c>
      <c r="D252" s="19" t="s">
        <v>103</v>
      </c>
      <c r="E252" s="102">
        <f>20300+23800</f>
        <v>44100</v>
      </c>
      <c r="F252" s="119"/>
      <c r="G252" s="102">
        <f>20300+23800</f>
        <v>44100</v>
      </c>
      <c r="H252" s="126">
        <f t="shared" si="410"/>
        <v>0</v>
      </c>
      <c r="I252" s="119"/>
      <c r="J252" s="102"/>
      <c r="K252" s="126">
        <f t="shared" si="411"/>
        <v>0</v>
      </c>
      <c r="L252" s="119"/>
      <c r="M252" s="102"/>
      <c r="N252" s="126">
        <f t="shared" si="412"/>
        <v>0</v>
      </c>
      <c r="O252" s="119"/>
      <c r="P252" s="102"/>
      <c r="Q252" s="126">
        <f t="shared" si="413"/>
        <v>0</v>
      </c>
      <c r="R252" s="119"/>
      <c r="S252" s="102"/>
      <c r="T252" s="126">
        <f t="shared" si="414"/>
        <v>0</v>
      </c>
      <c r="U252" s="119"/>
      <c r="V252" s="102"/>
      <c r="W252" s="126">
        <f t="shared" si="415"/>
        <v>0</v>
      </c>
      <c r="X252" s="119"/>
      <c r="Y252" s="102"/>
      <c r="Z252" s="126">
        <f t="shared" si="416"/>
        <v>0</v>
      </c>
      <c r="AA252" s="119"/>
      <c r="AB252" s="102"/>
      <c r="AC252" s="126">
        <f t="shared" si="417"/>
        <v>0</v>
      </c>
      <c r="AD252" s="119"/>
      <c r="AE252" s="102"/>
      <c r="AF252" s="126">
        <f t="shared" si="418"/>
        <v>0</v>
      </c>
      <c r="AG252" s="119"/>
      <c r="AH252" s="102"/>
      <c r="AI252" s="126">
        <f t="shared" si="419"/>
        <v>0</v>
      </c>
      <c r="AJ252" s="119"/>
      <c r="AK252" s="102"/>
      <c r="AL252" s="126">
        <f t="shared" si="420"/>
        <v>0</v>
      </c>
      <c r="AM252" s="119"/>
      <c r="AN252" s="102"/>
      <c r="AO252" s="126">
        <f t="shared" si="421"/>
        <v>0</v>
      </c>
      <c r="AP252" s="119"/>
      <c r="AQ252" s="102"/>
      <c r="AR252" s="126">
        <f t="shared" si="422"/>
        <v>0</v>
      </c>
      <c r="AS252" s="119"/>
      <c r="AT252" s="102"/>
      <c r="AU252" s="126">
        <f t="shared" si="423"/>
        <v>0</v>
      </c>
      <c r="AV252" s="337"/>
    </row>
    <row r="253" spans="1:48" s="37" customFormat="1" ht="11.25" hidden="1">
      <c r="A253" s="134"/>
      <c r="B253" s="74"/>
      <c r="C253" s="74">
        <v>4120</v>
      </c>
      <c r="D253" s="19" t="s">
        <v>104</v>
      </c>
      <c r="E253" s="102">
        <v>2800</v>
      </c>
      <c r="F253" s="119"/>
      <c r="G253" s="102">
        <v>2800</v>
      </c>
      <c r="H253" s="126">
        <f t="shared" si="410"/>
        <v>0</v>
      </c>
      <c r="I253" s="119"/>
      <c r="J253" s="102"/>
      <c r="K253" s="126">
        <f t="shared" si="411"/>
        <v>0</v>
      </c>
      <c r="L253" s="119"/>
      <c r="M253" s="102"/>
      <c r="N253" s="126">
        <f t="shared" si="412"/>
        <v>0</v>
      </c>
      <c r="O253" s="119"/>
      <c r="P253" s="102"/>
      <c r="Q253" s="126">
        <f t="shared" si="413"/>
        <v>0</v>
      </c>
      <c r="R253" s="119"/>
      <c r="S253" s="102"/>
      <c r="T253" s="126">
        <f t="shared" si="414"/>
        <v>0</v>
      </c>
      <c r="U253" s="119"/>
      <c r="V253" s="102"/>
      <c r="W253" s="126">
        <f t="shared" si="415"/>
        <v>0</v>
      </c>
      <c r="X253" s="119"/>
      <c r="Y253" s="102"/>
      <c r="Z253" s="126">
        <f t="shared" si="416"/>
        <v>0</v>
      </c>
      <c r="AA253" s="119"/>
      <c r="AB253" s="102"/>
      <c r="AC253" s="126">
        <f t="shared" si="417"/>
        <v>0</v>
      </c>
      <c r="AD253" s="119"/>
      <c r="AE253" s="102"/>
      <c r="AF253" s="126">
        <f t="shared" si="418"/>
        <v>0</v>
      </c>
      <c r="AG253" s="119"/>
      <c r="AH253" s="102"/>
      <c r="AI253" s="126">
        <f t="shared" si="419"/>
        <v>0</v>
      </c>
      <c r="AJ253" s="119"/>
      <c r="AK253" s="102"/>
      <c r="AL253" s="126">
        <f t="shared" si="420"/>
        <v>0</v>
      </c>
      <c r="AM253" s="119"/>
      <c r="AN253" s="102"/>
      <c r="AO253" s="126">
        <f t="shared" si="421"/>
        <v>0</v>
      </c>
      <c r="AP253" s="119"/>
      <c r="AQ253" s="102"/>
      <c r="AR253" s="126">
        <f t="shared" si="422"/>
        <v>0</v>
      </c>
      <c r="AS253" s="119"/>
      <c r="AT253" s="102"/>
      <c r="AU253" s="126">
        <f t="shared" si="423"/>
        <v>0</v>
      </c>
      <c r="AV253" s="337"/>
    </row>
    <row r="254" spans="1:48" s="37" customFormat="1" ht="11.25" hidden="1">
      <c r="A254" s="134"/>
      <c r="B254" s="111"/>
      <c r="C254" s="74">
        <v>4170</v>
      </c>
      <c r="D254" s="56" t="s">
        <v>252</v>
      </c>
      <c r="E254" s="102">
        <v>10000</v>
      </c>
      <c r="F254" s="119"/>
      <c r="G254" s="102">
        <v>10000</v>
      </c>
      <c r="H254" s="126">
        <f t="shared" si="410"/>
        <v>0</v>
      </c>
      <c r="I254" s="119"/>
      <c r="J254" s="102"/>
      <c r="K254" s="126">
        <f t="shared" si="411"/>
        <v>0</v>
      </c>
      <c r="L254" s="119"/>
      <c r="M254" s="102"/>
      <c r="N254" s="126">
        <f t="shared" si="412"/>
        <v>0</v>
      </c>
      <c r="O254" s="119"/>
      <c r="P254" s="102"/>
      <c r="Q254" s="126">
        <f t="shared" si="413"/>
        <v>0</v>
      </c>
      <c r="R254" s="119"/>
      <c r="S254" s="102"/>
      <c r="T254" s="126">
        <f t="shared" si="414"/>
        <v>0</v>
      </c>
      <c r="U254" s="119"/>
      <c r="V254" s="102"/>
      <c r="W254" s="126">
        <f t="shared" si="415"/>
        <v>0</v>
      </c>
      <c r="X254" s="119"/>
      <c r="Y254" s="102"/>
      <c r="Z254" s="126">
        <f t="shared" si="416"/>
        <v>0</v>
      </c>
      <c r="AA254" s="119"/>
      <c r="AB254" s="102"/>
      <c r="AC254" s="126">
        <f t="shared" si="417"/>
        <v>0</v>
      </c>
      <c r="AD254" s="119"/>
      <c r="AE254" s="102"/>
      <c r="AF254" s="126">
        <f t="shared" si="418"/>
        <v>0</v>
      </c>
      <c r="AG254" s="119"/>
      <c r="AH254" s="102"/>
      <c r="AI254" s="126">
        <f t="shared" si="419"/>
        <v>0</v>
      </c>
      <c r="AJ254" s="119"/>
      <c r="AK254" s="102"/>
      <c r="AL254" s="126">
        <f t="shared" si="420"/>
        <v>0</v>
      </c>
      <c r="AM254" s="119"/>
      <c r="AN254" s="102"/>
      <c r="AO254" s="126">
        <f t="shared" si="421"/>
        <v>0</v>
      </c>
      <c r="AP254" s="119"/>
      <c r="AQ254" s="102"/>
      <c r="AR254" s="126">
        <f t="shared" si="422"/>
        <v>0</v>
      </c>
      <c r="AS254" s="119"/>
      <c r="AT254" s="102"/>
      <c r="AU254" s="126">
        <f t="shared" si="423"/>
        <v>0</v>
      </c>
      <c r="AV254" s="337"/>
    </row>
    <row r="255" spans="1:48" s="37" customFormat="1" ht="11.25" hidden="1">
      <c r="A255" s="134"/>
      <c r="B255" s="111"/>
      <c r="C255" s="74">
        <v>4210</v>
      </c>
      <c r="D255" s="19" t="s">
        <v>109</v>
      </c>
      <c r="E255" s="102">
        <f>4812+20000</f>
        <v>24812</v>
      </c>
      <c r="F255" s="119"/>
      <c r="G255" s="102">
        <f>4812+20000</f>
        <v>24812</v>
      </c>
      <c r="H255" s="126">
        <f t="shared" si="410"/>
        <v>0</v>
      </c>
      <c r="I255" s="119"/>
      <c r="J255" s="102"/>
      <c r="K255" s="126">
        <f t="shared" si="411"/>
        <v>0</v>
      </c>
      <c r="L255" s="119"/>
      <c r="M255" s="102"/>
      <c r="N255" s="126">
        <f t="shared" si="412"/>
        <v>0</v>
      </c>
      <c r="O255" s="119"/>
      <c r="P255" s="102"/>
      <c r="Q255" s="126">
        <f t="shared" si="413"/>
        <v>0</v>
      </c>
      <c r="R255" s="119"/>
      <c r="S255" s="102"/>
      <c r="T255" s="126">
        <f t="shared" si="414"/>
        <v>0</v>
      </c>
      <c r="U255" s="119"/>
      <c r="V255" s="102"/>
      <c r="W255" s="126">
        <f t="shared" si="415"/>
        <v>0</v>
      </c>
      <c r="X255" s="119"/>
      <c r="Y255" s="102"/>
      <c r="Z255" s="126">
        <f t="shared" si="416"/>
        <v>0</v>
      </c>
      <c r="AA255" s="119"/>
      <c r="AB255" s="102"/>
      <c r="AC255" s="126">
        <f t="shared" si="417"/>
        <v>0</v>
      </c>
      <c r="AD255" s="119"/>
      <c r="AE255" s="102"/>
      <c r="AF255" s="126">
        <f t="shared" si="418"/>
        <v>0</v>
      </c>
      <c r="AG255" s="119"/>
      <c r="AH255" s="102"/>
      <c r="AI255" s="126">
        <f t="shared" si="419"/>
        <v>0</v>
      </c>
      <c r="AJ255" s="119"/>
      <c r="AK255" s="102"/>
      <c r="AL255" s="126">
        <f t="shared" si="420"/>
        <v>0</v>
      </c>
      <c r="AM255" s="119"/>
      <c r="AN255" s="102"/>
      <c r="AO255" s="126">
        <f t="shared" si="421"/>
        <v>0</v>
      </c>
      <c r="AP255" s="119"/>
      <c r="AQ255" s="102"/>
      <c r="AR255" s="126">
        <f t="shared" si="422"/>
        <v>0</v>
      </c>
      <c r="AS255" s="119"/>
      <c r="AT255" s="102"/>
      <c r="AU255" s="126">
        <f t="shared" si="423"/>
        <v>0</v>
      </c>
      <c r="AV255" s="337"/>
    </row>
    <row r="256" spans="1:48" s="37" customFormat="1" ht="11.25" hidden="1">
      <c r="A256" s="134"/>
      <c r="B256" s="111"/>
      <c r="C256" s="74">
        <v>4280</v>
      </c>
      <c r="D256" s="19" t="s">
        <v>301</v>
      </c>
      <c r="E256" s="102">
        <v>500</v>
      </c>
      <c r="F256" s="119"/>
      <c r="G256" s="102">
        <v>500</v>
      </c>
      <c r="H256" s="126">
        <f t="shared" si="410"/>
        <v>0</v>
      </c>
      <c r="I256" s="119"/>
      <c r="J256" s="102"/>
      <c r="K256" s="126">
        <f t="shared" si="411"/>
        <v>0</v>
      </c>
      <c r="L256" s="119"/>
      <c r="M256" s="102"/>
      <c r="N256" s="126">
        <f t="shared" si="412"/>
        <v>0</v>
      </c>
      <c r="O256" s="119"/>
      <c r="P256" s="102"/>
      <c r="Q256" s="126">
        <f t="shared" si="413"/>
        <v>0</v>
      </c>
      <c r="R256" s="119"/>
      <c r="S256" s="102"/>
      <c r="T256" s="126">
        <f t="shared" si="414"/>
        <v>0</v>
      </c>
      <c r="U256" s="119"/>
      <c r="V256" s="102"/>
      <c r="W256" s="126">
        <f t="shared" si="415"/>
        <v>0</v>
      </c>
      <c r="X256" s="119"/>
      <c r="Y256" s="102"/>
      <c r="Z256" s="126">
        <f t="shared" si="416"/>
        <v>0</v>
      </c>
      <c r="AA256" s="119"/>
      <c r="AB256" s="102"/>
      <c r="AC256" s="126">
        <f t="shared" si="417"/>
        <v>0</v>
      </c>
      <c r="AD256" s="119"/>
      <c r="AE256" s="102"/>
      <c r="AF256" s="126">
        <f t="shared" si="418"/>
        <v>0</v>
      </c>
      <c r="AG256" s="119"/>
      <c r="AH256" s="102"/>
      <c r="AI256" s="126">
        <f t="shared" si="419"/>
        <v>0</v>
      </c>
      <c r="AJ256" s="119"/>
      <c r="AK256" s="102"/>
      <c r="AL256" s="126">
        <f t="shared" si="420"/>
        <v>0</v>
      </c>
      <c r="AM256" s="119"/>
      <c r="AN256" s="102"/>
      <c r="AO256" s="126">
        <f t="shared" si="421"/>
        <v>0</v>
      </c>
      <c r="AP256" s="119"/>
      <c r="AQ256" s="102"/>
      <c r="AR256" s="126">
        <f t="shared" si="422"/>
        <v>0</v>
      </c>
      <c r="AS256" s="119"/>
      <c r="AT256" s="102"/>
      <c r="AU256" s="126">
        <f t="shared" si="423"/>
        <v>0</v>
      </c>
      <c r="AV256" s="337"/>
    </row>
    <row r="257" spans="1:48" s="37" customFormat="1" ht="11.25" hidden="1">
      <c r="A257" s="134"/>
      <c r="B257" s="111"/>
      <c r="C257" s="74">
        <v>4300</v>
      </c>
      <c r="D257" s="19" t="s">
        <v>96</v>
      </c>
      <c r="E257" s="102">
        <v>39000</v>
      </c>
      <c r="F257" s="119"/>
      <c r="G257" s="102">
        <v>39000</v>
      </c>
      <c r="H257" s="126">
        <f t="shared" si="410"/>
        <v>0</v>
      </c>
      <c r="I257" s="119"/>
      <c r="J257" s="102"/>
      <c r="K257" s="126">
        <f t="shared" si="411"/>
        <v>0</v>
      </c>
      <c r="L257" s="119"/>
      <c r="M257" s="102"/>
      <c r="N257" s="126">
        <f t="shared" si="412"/>
        <v>0</v>
      </c>
      <c r="O257" s="119"/>
      <c r="P257" s="102"/>
      <c r="Q257" s="126">
        <f t="shared" si="413"/>
        <v>0</v>
      </c>
      <c r="R257" s="119"/>
      <c r="S257" s="102"/>
      <c r="T257" s="126">
        <f t="shared" si="414"/>
        <v>0</v>
      </c>
      <c r="U257" s="119"/>
      <c r="V257" s="102"/>
      <c r="W257" s="126">
        <f t="shared" si="415"/>
        <v>0</v>
      </c>
      <c r="X257" s="119"/>
      <c r="Y257" s="102"/>
      <c r="Z257" s="126">
        <f t="shared" si="416"/>
        <v>0</v>
      </c>
      <c r="AA257" s="119"/>
      <c r="AB257" s="102"/>
      <c r="AC257" s="126">
        <f t="shared" si="417"/>
        <v>0</v>
      </c>
      <c r="AD257" s="119"/>
      <c r="AE257" s="102"/>
      <c r="AF257" s="126">
        <f t="shared" si="418"/>
        <v>0</v>
      </c>
      <c r="AG257" s="119"/>
      <c r="AH257" s="102"/>
      <c r="AI257" s="126">
        <f t="shared" si="419"/>
        <v>0</v>
      </c>
      <c r="AJ257" s="119"/>
      <c r="AK257" s="102"/>
      <c r="AL257" s="126">
        <f t="shared" si="420"/>
        <v>0</v>
      </c>
      <c r="AM257" s="119"/>
      <c r="AN257" s="102"/>
      <c r="AO257" s="126">
        <f t="shared" si="421"/>
        <v>0</v>
      </c>
      <c r="AP257" s="119"/>
      <c r="AQ257" s="102"/>
      <c r="AR257" s="126">
        <f t="shared" si="422"/>
        <v>0</v>
      </c>
      <c r="AS257" s="119"/>
      <c r="AT257" s="102"/>
      <c r="AU257" s="126">
        <f t="shared" si="423"/>
        <v>0</v>
      </c>
      <c r="AV257" s="337"/>
    </row>
    <row r="258" spans="1:48" s="37" customFormat="1" ht="22.5" hidden="1">
      <c r="A258" s="134"/>
      <c r="B258" s="111"/>
      <c r="C258" s="74">
        <v>4350</v>
      </c>
      <c r="D258" s="19" t="s">
        <v>303</v>
      </c>
      <c r="E258" s="102">
        <v>2000</v>
      </c>
      <c r="F258" s="119"/>
      <c r="G258" s="102">
        <v>2000</v>
      </c>
      <c r="H258" s="126">
        <f t="shared" si="410"/>
        <v>0</v>
      </c>
      <c r="I258" s="119"/>
      <c r="J258" s="102"/>
      <c r="K258" s="126">
        <f t="shared" si="411"/>
        <v>0</v>
      </c>
      <c r="L258" s="119"/>
      <c r="M258" s="102"/>
      <c r="N258" s="126">
        <f t="shared" si="412"/>
        <v>0</v>
      </c>
      <c r="O258" s="119"/>
      <c r="P258" s="102"/>
      <c r="Q258" s="126">
        <f t="shared" si="413"/>
        <v>0</v>
      </c>
      <c r="R258" s="119"/>
      <c r="S258" s="102"/>
      <c r="T258" s="126">
        <f t="shared" si="414"/>
        <v>0</v>
      </c>
      <c r="U258" s="119"/>
      <c r="V258" s="102"/>
      <c r="W258" s="126">
        <f t="shared" si="415"/>
        <v>0</v>
      </c>
      <c r="X258" s="119"/>
      <c r="Y258" s="102"/>
      <c r="Z258" s="126">
        <f t="shared" si="416"/>
        <v>0</v>
      </c>
      <c r="AA258" s="119"/>
      <c r="AB258" s="102"/>
      <c r="AC258" s="126">
        <f t="shared" si="417"/>
        <v>0</v>
      </c>
      <c r="AD258" s="119"/>
      <c r="AE258" s="102"/>
      <c r="AF258" s="126">
        <f t="shared" si="418"/>
        <v>0</v>
      </c>
      <c r="AG258" s="119"/>
      <c r="AH258" s="102"/>
      <c r="AI258" s="126">
        <f t="shared" si="419"/>
        <v>0</v>
      </c>
      <c r="AJ258" s="119"/>
      <c r="AK258" s="102"/>
      <c r="AL258" s="126">
        <f t="shared" si="420"/>
        <v>0</v>
      </c>
      <c r="AM258" s="119"/>
      <c r="AN258" s="102"/>
      <c r="AO258" s="126">
        <f t="shared" si="421"/>
        <v>0</v>
      </c>
      <c r="AP258" s="119"/>
      <c r="AQ258" s="102"/>
      <c r="AR258" s="126">
        <f t="shared" si="422"/>
        <v>0</v>
      </c>
      <c r="AS258" s="119"/>
      <c r="AT258" s="102"/>
      <c r="AU258" s="126">
        <f t="shared" si="423"/>
        <v>0</v>
      </c>
      <c r="AV258" s="337"/>
    </row>
    <row r="259" spans="1:48" s="37" customFormat="1" ht="11.25" hidden="1">
      <c r="A259" s="134"/>
      <c r="B259" s="111"/>
      <c r="C259" s="74">
        <v>4410</v>
      </c>
      <c r="D259" s="19" t="s">
        <v>107</v>
      </c>
      <c r="E259" s="102">
        <v>3000</v>
      </c>
      <c r="F259" s="119"/>
      <c r="G259" s="102">
        <v>3000</v>
      </c>
      <c r="H259" s="126">
        <f t="shared" si="410"/>
        <v>0</v>
      </c>
      <c r="I259" s="119"/>
      <c r="J259" s="102"/>
      <c r="K259" s="126">
        <f t="shared" si="411"/>
        <v>0</v>
      </c>
      <c r="L259" s="119"/>
      <c r="M259" s="102"/>
      <c r="N259" s="126">
        <f t="shared" si="412"/>
        <v>0</v>
      </c>
      <c r="O259" s="119"/>
      <c r="P259" s="102"/>
      <c r="Q259" s="126">
        <f t="shared" si="413"/>
        <v>0</v>
      </c>
      <c r="R259" s="119"/>
      <c r="S259" s="102"/>
      <c r="T259" s="126">
        <f t="shared" si="414"/>
        <v>0</v>
      </c>
      <c r="U259" s="119"/>
      <c r="V259" s="102"/>
      <c r="W259" s="126">
        <f t="shared" si="415"/>
        <v>0</v>
      </c>
      <c r="X259" s="119"/>
      <c r="Y259" s="102"/>
      <c r="Z259" s="126">
        <f t="shared" si="416"/>
        <v>0</v>
      </c>
      <c r="AA259" s="119"/>
      <c r="AB259" s="102"/>
      <c r="AC259" s="126">
        <f t="shared" si="417"/>
        <v>0</v>
      </c>
      <c r="AD259" s="119"/>
      <c r="AE259" s="102"/>
      <c r="AF259" s="126">
        <f t="shared" si="418"/>
        <v>0</v>
      </c>
      <c r="AG259" s="119"/>
      <c r="AH259" s="102"/>
      <c r="AI259" s="126">
        <f t="shared" si="419"/>
        <v>0</v>
      </c>
      <c r="AJ259" s="119"/>
      <c r="AK259" s="102"/>
      <c r="AL259" s="126">
        <f t="shared" si="420"/>
        <v>0</v>
      </c>
      <c r="AM259" s="119"/>
      <c r="AN259" s="102"/>
      <c r="AO259" s="126">
        <f t="shared" si="421"/>
        <v>0</v>
      </c>
      <c r="AP259" s="119"/>
      <c r="AQ259" s="102"/>
      <c r="AR259" s="126">
        <f t="shared" si="422"/>
        <v>0</v>
      </c>
      <c r="AS259" s="119"/>
      <c r="AT259" s="102"/>
      <c r="AU259" s="126">
        <f t="shared" si="423"/>
        <v>0</v>
      </c>
      <c r="AV259" s="337"/>
    </row>
    <row r="260" spans="1:48" s="37" customFormat="1" ht="11.25" hidden="1">
      <c r="A260" s="134"/>
      <c r="B260" s="111"/>
      <c r="C260" s="74">
        <v>4430</v>
      </c>
      <c r="D260" s="56" t="s">
        <v>111</v>
      </c>
      <c r="E260" s="102">
        <v>2000</v>
      </c>
      <c r="F260" s="119"/>
      <c r="G260" s="102">
        <v>2000</v>
      </c>
      <c r="H260" s="126">
        <f t="shared" si="410"/>
        <v>0</v>
      </c>
      <c r="I260" s="119"/>
      <c r="J260" s="102"/>
      <c r="K260" s="126">
        <f t="shared" si="411"/>
        <v>0</v>
      </c>
      <c r="L260" s="119"/>
      <c r="M260" s="102"/>
      <c r="N260" s="126">
        <f t="shared" si="412"/>
        <v>0</v>
      </c>
      <c r="O260" s="119"/>
      <c r="P260" s="102"/>
      <c r="Q260" s="126">
        <f t="shared" si="413"/>
        <v>0</v>
      </c>
      <c r="R260" s="119"/>
      <c r="S260" s="102"/>
      <c r="T260" s="126">
        <f t="shared" si="414"/>
        <v>0</v>
      </c>
      <c r="U260" s="119"/>
      <c r="V260" s="102"/>
      <c r="W260" s="126">
        <f t="shared" si="415"/>
        <v>0</v>
      </c>
      <c r="X260" s="119"/>
      <c r="Y260" s="102"/>
      <c r="Z260" s="126">
        <f t="shared" si="416"/>
        <v>0</v>
      </c>
      <c r="AA260" s="119"/>
      <c r="AB260" s="102"/>
      <c r="AC260" s="126">
        <f t="shared" si="417"/>
        <v>0</v>
      </c>
      <c r="AD260" s="119"/>
      <c r="AE260" s="102"/>
      <c r="AF260" s="126">
        <f t="shared" si="418"/>
        <v>0</v>
      </c>
      <c r="AG260" s="119"/>
      <c r="AH260" s="102"/>
      <c r="AI260" s="126">
        <f t="shared" si="419"/>
        <v>0</v>
      </c>
      <c r="AJ260" s="119"/>
      <c r="AK260" s="102"/>
      <c r="AL260" s="126">
        <f t="shared" si="420"/>
        <v>0</v>
      </c>
      <c r="AM260" s="119"/>
      <c r="AN260" s="102"/>
      <c r="AO260" s="126">
        <f t="shared" si="421"/>
        <v>0</v>
      </c>
      <c r="AP260" s="119"/>
      <c r="AQ260" s="102"/>
      <c r="AR260" s="126">
        <f t="shared" si="422"/>
        <v>0</v>
      </c>
      <c r="AS260" s="119"/>
      <c r="AT260" s="102"/>
      <c r="AU260" s="126">
        <f t="shared" si="423"/>
        <v>0</v>
      </c>
      <c r="AV260" s="337"/>
    </row>
    <row r="261" spans="1:48" s="37" customFormat="1" ht="22.5" hidden="1">
      <c r="A261" s="134"/>
      <c r="B261" s="111"/>
      <c r="C261" s="74">
        <v>4440</v>
      </c>
      <c r="D261" s="19" t="s">
        <v>105</v>
      </c>
      <c r="E261" s="102">
        <v>3800</v>
      </c>
      <c r="F261" s="119"/>
      <c r="G261" s="102">
        <v>3800</v>
      </c>
      <c r="H261" s="126">
        <f t="shared" si="410"/>
        <v>0</v>
      </c>
      <c r="I261" s="119"/>
      <c r="J261" s="102"/>
      <c r="K261" s="126">
        <f t="shared" si="411"/>
        <v>0</v>
      </c>
      <c r="L261" s="119"/>
      <c r="M261" s="102"/>
      <c r="N261" s="126">
        <f t="shared" si="412"/>
        <v>0</v>
      </c>
      <c r="O261" s="119"/>
      <c r="P261" s="102"/>
      <c r="Q261" s="126">
        <f t="shared" si="413"/>
        <v>0</v>
      </c>
      <c r="R261" s="119"/>
      <c r="S261" s="102"/>
      <c r="T261" s="126">
        <f t="shared" si="414"/>
        <v>0</v>
      </c>
      <c r="U261" s="119"/>
      <c r="V261" s="102"/>
      <c r="W261" s="126">
        <f t="shared" si="415"/>
        <v>0</v>
      </c>
      <c r="X261" s="119"/>
      <c r="Y261" s="102"/>
      <c r="Z261" s="126">
        <f t="shared" si="416"/>
        <v>0</v>
      </c>
      <c r="AA261" s="119"/>
      <c r="AB261" s="102"/>
      <c r="AC261" s="126">
        <f t="shared" si="417"/>
        <v>0</v>
      </c>
      <c r="AD261" s="119"/>
      <c r="AE261" s="102"/>
      <c r="AF261" s="126">
        <f t="shared" si="418"/>
        <v>0</v>
      </c>
      <c r="AG261" s="119"/>
      <c r="AH261" s="102"/>
      <c r="AI261" s="126">
        <f t="shared" si="419"/>
        <v>0</v>
      </c>
      <c r="AJ261" s="119"/>
      <c r="AK261" s="102"/>
      <c r="AL261" s="126">
        <f t="shared" si="420"/>
        <v>0</v>
      </c>
      <c r="AM261" s="119"/>
      <c r="AN261" s="102"/>
      <c r="AO261" s="126">
        <f t="shared" si="421"/>
        <v>0</v>
      </c>
      <c r="AP261" s="119"/>
      <c r="AQ261" s="102"/>
      <c r="AR261" s="126">
        <f t="shared" si="422"/>
        <v>0</v>
      </c>
      <c r="AS261" s="119"/>
      <c r="AT261" s="102"/>
      <c r="AU261" s="126">
        <f t="shared" si="423"/>
        <v>0</v>
      </c>
      <c r="AV261" s="337"/>
    </row>
    <row r="262" spans="1:48" s="37" customFormat="1" ht="49.5" customHeight="1">
      <c r="A262" s="134"/>
      <c r="B262" s="74">
        <v>85212</v>
      </c>
      <c r="C262" s="112"/>
      <c r="D262" s="110" t="s">
        <v>362</v>
      </c>
      <c r="E262" s="102">
        <f>SUM(E263:E276)</f>
        <v>0</v>
      </c>
      <c r="F262" s="102">
        <f>SUM(F263:F276)</f>
        <v>5569902</v>
      </c>
      <c r="G262" s="102">
        <f>SUM(G263:G276)</f>
        <v>0</v>
      </c>
      <c r="H262" s="126">
        <f t="shared" si="410"/>
        <v>5569902</v>
      </c>
      <c r="I262" s="102">
        <f>SUM(I263:I276)</f>
        <v>0</v>
      </c>
      <c r="J262" s="102">
        <f>SUM(J263:J276)</f>
        <v>0</v>
      </c>
      <c r="K262" s="126">
        <f t="shared" si="411"/>
        <v>5569902</v>
      </c>
      <c r="L262" s="102">
        <f>SUM(L263:L276)</f>
        <v>48100</v>
      </c>
      <c r="M262" s="102">
        <f>SUM(M263:M276)</f>
        <v>0</v>
      </c>
      <c r="N262" s="126">
        <f t="shared" si="412"/>
        <v>5618002</v>
      </c>
      <c r="O262" s="102">
        <f>SUM(O263:O276)</f>
        <v>0</v>
      </c>
      <c r="P262" s="102">
        <f>SUM(P263:P276)</f>
        <v>0</v>
      </c>
      <c r="Q262" s="126">
        <f t="shared" si="413"/>
        <v>5618002</v>
      </c>
      <c r="R262" s="102">
        <f>SUM(R263:R276)</f>
        <v>0</v>
      </c>
      <c r="S262" s="102">
        <f>SUM(S263:S276)</f>
        <v>0</v>
      </c>
      <c r="T262" s="126">
        <f t="shared" si="414"/>
        <v>5618002</v>
      </c>
      <c r="U262" s="102">
        <f>SUM(U263:U276)</f>
        <v>0</v>
      </c>
      <c r="V262" s="102">
        <f>SUM(V263:V276)</f>
        <v>0</v>
      </c>
      <c r="W262" s="126">
        <f t="shared" si="415"/>
        <v>5618002</v>
      </c>
      <c r="X262" s="102">
        <f>SUM(X263:X276)</f>
        <v>1500</v>
      </c>
      <c r="Y262" s="102">
        <f>SUM(Y263:Y276)</f>
        <v>1500</v>
      </c>
      <c r="Z262" s="126">
        <f t="shared" si="416"/>
        <v>5618002</v>
      </c>
      <c r="AA262" s="102">
        <f>SUM(AA263:AA276)</f>
        <v>0</v>
      </c>
      <c r="AB262" s="102">
        <f>SUM(AB263:AB276)</f>
        <v>0</v>
      </c>
      <c r="AC262" s="126">
        <f t="shared" si="417"/>
        <v>5618002</v>
      </c>
      <c r="AD262" s="102">
        <f>SUM(AD263:AD276)</f>
        <v>20000</v>
      </c>
      <c r="AE262" s="102">
        <f>SUM(AE263:AE276)</f>
        <v>20000</v>
      </c>
      <c r="AF262" s="126">
        <f t="shared" si="418"/>
        <v>5618002</v>
      </c>
      <c r="AG262" s="102">
        <f>SUM(AG263:AG276)</f>
        <v>0</v>
      </c>
      <c r="AH262" s="102">
        <f>SUM(AH263:AH276)</f>
        <v>0</v>
      </c>
      <c r="AI262" s="126">
        <f t="shared" si="419"/>
        <v>5618002</v>
      </c>
      <c r="AJ262" s="102">
        <f>SUM(AJ263:AJ276)</f>
        <v>505100</v>
      </c>
      <c r="AK262" s="102">
        <f>SUM(AK263:AK276)</f>
        <v>0</v>
      </c>
      <c r="AL262" s="126">
        <f t="shared" si="420"/>
        <v>6123102</v>
      </c>
      <c r="AM262" s="102">
        <f>SUM(AM263:AM276)</f>
        <v>267800</v>
      </c>
      <c r="AN262" s="102">
        <f>SUM(AN263:AN276)</f>
        <v>0</v>
      </c>
      <c r="AO262" s="126">
        <f t="shared" si="421"/>
        <v>6390902</v>
      </c>
      <c r="AP262" s="102">
        <f>SUM(AP263:AP276)</f>
        <v>0</v>
      </c>
      <c r="AQ262" s="102">
        <f>SUM(AQ263:AQ276)</f>
        <v>0</v>
      </c>
      <c r="AR262" s="126">
        <f t="shared" si="422"/>
        <v>6390902</v>
      </c>
      <c r="AS262" s="102">
        <f>SUM(AS263:AS276)</f>
        <v>19059</v>
      </c>
      <c r="AT262" s="102">
        <f>SUM(AT263:AT276)</f>
        <v>25228</v>
      </c>
      <c r="AU262" s="126">
        <f t="shared" si="423"/>
        <v>6384733</v>
      </c>
      <c r="AV262" s="337"/>
    </row>
    <row r="263" spans="1:50" s="37" customFormat="1" ht="21" customHeight="1">
      <c r="A263" s="134"/>
      <c r="B263" s="74"/>
      <c r="C263" s="112">
        <v>3020</v>
      </c>
      <c r="D263" s="56" t="s">
        <v>246</v>
      </c>
      <c r="E263" s="102">
        <v>0</v>
      </c>
      <c r="F263" s="102">
        <v>2000</v>
      </c>
      <c r="G263" s="119"/>
      <c r="H263" s="126">
        <f t="shared" si="410"/>
        <v>2000</v>
      </c>
      <c r="I263" s="102"/>
      <c r="J263" s="119"/>
      <c r="K263" s="126">
        <f t="shared" si="411"/>
        <v>2000</v>
      </c>
      <c r="L263" s="102"/>
      <c r="M263" s="119"/>
      <c r="N263" s="126">
        <f t="shared" si="412"/>
        <v>2000</v>
      </c>
      <c r="O263" s="102"/>
      <c r="P263" s="119"/>
      <c r="Q263" s="126">
        <f t="shared" si="413"/>
        <v>2000</v>
      </c>
      <c r="R263" s="102"/>
      <c r="S263" s="119"/>
      <c r="T263" s="126">
        <f t="shared" si="414"/>
        <v>2000</v>
      </c>
      <c r="U263" s="102"/>
      <c r="V263" s="119"/>
      <c r="W263" s="126">
        <f t="shared" si="415"/>
        <v>2000</v>
      </c>
      <c r="X263" s="102"/>
      <c r="Y263" s="119"/>
      <c r="Z263" s="126">
        <f t="shared" si="416"/>
        <v>2000</v>
      </c>
      <c r="AA263" s="102"/>
      <c r="AB263" s="119"/>
      <c r="AC263" s="126">
        <f t="shared" si="417"/>
        <v>2000</v>
      </c>
      <c r="AD263" s="102"/>
      <c r="AE263" s="119"/>
      <c r="AF263" s="126">
        <f t="shared" si="418"/>
        <v>2000</v>
      </c>
      <c r="AG263" s="102"/>
      <c r="AH263" s="119"/>
      <c r="AI263" s="126">
        <f t="shared" si="419"/>
        <v>2000</v>
      </c>
      <c r="AJ263" s="102"/>
      <c r="AK263" s="119"/>
      <c r="AL263" s="126">
        <f t="shared" si="420"/>
        <v>2000</v>
      </c>
      <c r="AM263" s="102"/>
      <c r="AN263" s="119"/>
      <c r="AO263" s="126">
        <f t="shared" si="421"/>
        <v>2000</v>
      </c>
      <c r="AP263" s="102"/>
      <c r="AQ263" s="119"/>
      <c r="AR263" s="126">
        <f t="shared" si="422"/>
        <v>2000</v>
      </c>
      <c r="AS263" s="102"/>
      <c r="AT263" s="119">
        <v>1465</v>
      </c>
      <c r="AU263" s="126">
        <f t="shared" si="423"/>
        <v>535</v>
      </c>
      <c r="AV263" s="337"/>
      <c r="AW263" s="37">
        <v>2000</v>
      </c>
      <c r="AX263" s="206">
        <f>SUM(AR263-AW263)</f>
        <v>0</v>
      </c>
    </row>
    <row r="264" spans="1:50" s="37" customFormat="1" ht="21" customHeight="1">
      <c r="A264" s="134"/>
      <c r="B264" s="74"/>
      <c r="C264" s="112">
        <v>3110</v>
      </c>
      <c r="D264" s="110" t="s">
        <v>130</v>
      </c>
      <c r="E264" s="102">
        <v>0</v>
      </c>
      <c r="F264" s="102">
        <f>5346602-4812-23800</f>
        <v>5317990</v>
      </c>
      <c r="G264" s="119"/>
      <c r="H264" s="126">
        <f t="shared" si="410"/>
        <v>5317990</v>
      </c>
      <c r="I264" s="102"/>
      <c r="J264" s="119"/>
      <c r="K264" s="126">
        <f t="shared" si="411"/>
        <v>5317990</v>
      </c>
      <c r="L264" s="102">
        <v>46657</v>
      </c>
      <c r="M264" s="119"/>
      <c r="N264" s="126">
        <f t="shared" si="412"/>
        <v>5364647</v>
      </c>
      <c r="O264" s="102"/>
      <c r="P264" s="119"/>
      <c r="Q264" s="126">
        <f t="shared" si="413"/>
        <v>5364647</v>
      </c>
      <c r="R264" s="102"/>
      <c r="S264" s="119"/>
      <c r="T264" s="126">
        <f t="shared" si="414"/>
        <v>5364647</v>
      </c>
      <c r="U264" s="102"/>
      <c r="V264" s="119"/>
      <c r="W264" s="126">
        <f t="shared" si="415"/>
        <v>5364647</v>
      </c>
      <c r="X264" s="102"/>
      <c r="Y264" s="119"/>
      <c r="Z264" s="126">
        <f t="shared" si="416"/>
        <v>5364647</v>
      </c>
      <c r="AA264" s="102"/>
      <c r="AB264" s="119"/>
      <c r="AC264" s="126">
        <f t="shared" si="417"/>
        <v>5364647</v>
      </c>
      <c r="AD264" s="102"/>
      <c r="AE264" s="119">
        <v>20000</v>
      </c>
      <c r="AF264" s="126">
        <f t="shared" si="418"/>
        <v>5344647</v>
      </c>
      <c r="AG264" s="102"/>
      <c r="AH264" s="119"/>
      <c r="AI264" s="126">
        <f t="shared" si="419"/>
        <v>5344647</v>
      </c>
      <c r="AJ264" s="102">
        <v>478847</v>
      </c>
      <c r="AK264" s="119"/>
      <c r="AL264" s="126">
        <f t="shared" si="420"/>
        <v>5823494</v>
      </c>
      <c r="AM264" s="102">
        <f>250800+17000-3150</f>
        <v>264650</v>
      </c>
      <c r="AN264" s="119"/>
      <c r="AO264" s="126">
        <f t="shared" si="421"/>
        <v>6088144</v>
      </c>
      <c r="AP264" s="102"/>
      <c r="AQ264" s="119"/>
      <c r="AR264" s="126">
        <f t="shared" si="422"/>
        <v>6088144</v>
      </c>
      <c r="AS264" s="102"/>
      <c r="AT264" s="119">
        <v>9154</v>
      </c>
      <c r="AU264" s="126">
        <f t="shared" si="423"/>
        <v>6078990</v>
      </c>
      <c r="AV264" s="337"/>
      <c r="AW264" s="37">
        <v>6088144</v>
      </c>
      <c r="AX264" s="206">
        <f aca="true" t="shared" si="424" ref="AX264:AX276">SUM(AR264-AW264)</f>
        <v>0</v>
      </c>
    </row>
    <row r="265" spans="1:50" s="37" customFormat="1" ht="21" customHeight="1">
      <c r="A265" s="134"/>
      <c r="B265" s="74"/>
      <c r="C265" s="74">
        <v>4010</v>
      </c>
      <c r="D265" s="19" t="s">
        <v>101</v>
      </c>
      <c r="E265" s="102">
        <v>0</v>
      </c>
      <c r="F265" s="102">
        <v>110400</v>
      </c>
      <c r="G265" s="119"/>
      <c r="H265" s="126">
        <f t="shared" si="410"/>
        <v>110400</v>
      </c>
      <c r="I265" s="102"/>
      <c r="J265" s="119"/>
      <c r="K265" s="126">
        <f t="shared" si="411"/>
        <v>110400</v>
      </c>
      <c r="L265" s="102"/>
      <c r="M265" s="119"/>
      <c r="N265" s="126">
        <f t="shared" si="412"/>
        <v>110400</v>
      </c>
      <c r="O265" s="102"/>
      <c r="P265" s="119"/>
      <c r="Q265" s="126">
        <f t="shared" si="413"/>
        <v>110400</v>
      </c>
      <c r="R265" s="102"/>
      <c r="S265" s="119"/>
      <c r="T265" s="126">
        <f t="shared" si="414"/>
        <v>110400</v>
      </c>
      <c r="U265" s="102"/>
      <c r="V265" s="119"/>
      <c r="W265" s="126">
        <f t="shared" si="415"/>
        <v>110400</v>
      </c>
      <c r="X265" s="102"/>
      <c r="Y265" s="119"/>
      <c r="Z265" s="126">
        <f t="shared" si="416"/>
        <v>110400</v>
      </c>
      <c r="AA265" s="102"/>
      <c r="AB265" s="119"/>
      <c r="AC265" s="126">
        <f t="shared" si="417"/>
        <v>110400</v>
      </c>
      <c r="AD265" s="102"/>
      <c r="AE265" s="119"/>
      <c r="AF265" s="126">
        <f t="shared" si="418"/>
        <v>110400</v>
      </c>
      <c r="AG265" s="102"/>
      <c r="AH265" s="119"/>
      <c r="AI265" s="126">
        <f t="shared" si="419"/>
        <v>110400</v>
      </c>
      <c r="AJ265" s="102"/>
      <c r="AK265" s="119"/>
      <c r="AL265" s="126">
        <f t="shared" si="420"/>
        <v>110400</v>
      </c>
      <c r="AM265" s="102"/>
      <c r="AN265" s="119"/>
      <c r="AO265" s="126">
        <f t="shared" si="421"/>
        <v>110400</v>
      </c>
      <c r="AP265" s="102"/>
      <c r="AQ265" s="119"/>
      <c r="AR265" s="126">
        <f t="shared" si="422"/>
        <v>110400</v>
      </c>
      <c r="AS265" s="102">
        <v>16000</v>
      </c>
      <c r="AT265" s="119"/>
      <c r="AU265" s="126">
        <f t="shared" si="423"/>
        <v>126400</v>
      </c>
      <c r="AV265" s="337">
        <f>SUM(AU265)</f>
        <v>126400</v>
      </c>
      <c r="AW265" s="37">
        <v>86691</v>
      </c>
      <c r="AX265" s="206">
        <f t="shared" si="424"/>
        <v>23709</v>
      </c>
    </row>
    <row r="266" spans="1:50" s="37" customFormat="1" ht="21" customHeight="1">
      <c r="A266" s="134"/>
      <c r="B266" s="74"/>
      <c r="C266" s="74">
        <v>4040</v>
      </c>
      <c r="D266" s="19" t="s">
        <v>102</v>
      </c>
      <c r="E266" s="102">
        <v>0</v>
      </c>
      <c r="F266" s="102">
        <v>7500</v>
      </c>
      <c r="G266" s="119"/>
      <c r="H266" s="126">
        <f t="shared" si="410"/>
        <v>7500</v>
      </c>
      <c r="I266" s="102"/>
      <c r="J266" s="119"/>
      <c r="K266" s="126">
        <f t="shared" si="411"/>
        <v>7500</v>
      </c>
      <c r="L266" s="102"/>
      <c r="M266" s="119"/>
      <c r="N266" s="126">
        <f t="shared" si="412"/>
        <v>7500</v>
      </c>
      <c r="O266" s="102"/>
      <c r="P266" s="119"/>
      <c r="Q266" s="126">
        <f t="shared" si="413"/>
        <v>7500</v>
      </c>
      <c r="R266" s="102"/>
      <c r="S266" s="119"/>
      <c r="T266" s="126">
        <f t="shared" si="414"/>
        <v>7500</v>
      </c>
      <c r="U266" s="102"/>
      <c r="V266" s="119"/>
      <c r="W266" s="126">
        <f t="shared" si="415"/>
        <v>7500</v>
      </c>
      <c r="X266" s="102"/>
      <c r="Y266" s="119"/>
      <c r="Z266" s="126">
        <f t="shared" si="416"/>
        <v>7500</v>
      </c>
      <c r="AA266" s="102"/>
      <c r="AB266" s="119"/>
      <c r="AC266" s="126">
        <f t="shared" si="417"/>
        <v>7500</v>
      </c>
      <c r="AD266" s="102"/>
      <c r="AE266" s="119"/>
      <c r="AF266" s="126">
        <f t="shared" si="418"/>
        <v>7500</v>
      </c>
      <c r="AG266" s="102"/>
      <c r="AH266" s="119"/>
      <c r="AI266" s="126">
        <f t="shared" si="419"/>
        <v>7500</v>
      </c>
      <c r="AJ266" s="102"/>
      <c r="AK266" s="119"/>
      <c r="AL266" s="126">
        <f t="shared" si="420"/>
        <v>7500</v>
      </c>
      <c r="AM266" s="102"/>
      <c r="AN266" s="119"/>
      <c r="AO266" s="126">
        <f t="shared" si="421"/>
        <v>7500</v>
      </c>
      <c r="AP266" s="102"/>
      <c r="AQ266" s="119"/>
      <c r="AR266" s="126">
        <f t="shared" si="422"/>
        <v>7500</v>
      </c>
      <c r="AS266" s="102"/>
      <c r="AT266" s="119">
        <v>351</v>
      </c>
      <c r="AU266" s="126">
        <f t="shared" si="423"/>
        <v>7149</v>
      </c>
      <c r="AV266" s="337">
        <f>SUM(AU266)</f>
        <v>7149</v>
      </c>
      <c r="AW266" s="37">
        <v>7500</v>
      </c>
      <c r="AX266" s="206">
        <f t="shared" si="424"/>
        <v>0</v>
      </c>
    </row>
    <row r="267" spans="1:50" s="37" customFormat="1" ht="21" customHeight="1">
      <c r="A267" s="134"/>
      <c r="B267" s="74"/>
      <c r="C267" s="74">
        <v>4110</v>
      </c>
      <c r="D267" s="19" t="s">
        <v>103</v>
      </c>
      <c r="E267" s="102">
        <v>0</v>
      </c>
      <c r="F267" s="102">
        <f>20300+23800</f>
        <v>44100</v>
      </c>
      <c r="G267" s="119"/>
      <c r="H267" s="126">
        <f t="shared" si="410"/>
        <v>44100</v>
      </c>
      <c r="I267" s="102"/>
      <c r="J267" s="119"/>
      <c r="K267" s="126">
        <f t="shared" si="411"/>
        <v>44100</v>
      </c>
      <c r="L267" s="102"/>
      <c r="M267" s="119"/>
      <c r="N267" s="126">
        <f t="shared" si="412"/>
        <v>44100</v>
      </c>
      <c r="O267" s="102"/>
      <c r="P267" s="119"/>
      <c r="Q267" s="126">
        <f t="shared" si="413"/>
        <v>44100</v>
      </c>
      <c r="R267" s="102"/>
      <c r="S267" s="119"/>
      <c r="T267" s="126">
        <f t="shared" si="414"/>
        <v>44100</v>
      </c>
      <c r="U267" s="102"/>
      <c r="V267" s="119"/>
      <c r="W267" s="126">
        <f t="shared" si="415"/>
        <v>44100</v>
      </c>
      <c r="X267" s="102"/>
      <c r="Y267" s="119"/>
      <c r="Z267" s="126">
        <f t="shared" si="416"/>
        <v>44100</v>
      </c>
      <c r="AA267" s="102"/>
      <c r="AB267" s="119"/>
      <c r="AC267" s="126">
        <f t="shared" si="417"/>
        <v>44100</v>
      </c>
      <c r="AD267" s="102">
        <v>20000</v>
      </c>
      <c r="AE267" s="119"/>
      <c r="AF267" s="126">
        <f t="shared" si="418"/>
        <v>64100</v>
      </c>
      <c r="AG267" s="102"/>
      <c r="AH267" s="119"/>
      <c r="AI267" s="126">
        <f t="shared" si="419"/>
        <v>64100</v>
      </c>
      <c r="AJ267" s="102">
        <f>3150+14600</f>
        <v>17750</v>
      </c>
      <c r="AK267" s="119"/>
      <c r="AL267" s="126">
        <f t="shared" si="420"/>
        <v>81850</v>
      </c>
      <c r="AM267" s="102">
        <v>3150</v>
      </c>
      <c r="AN267" s="119"/>
      <c r="AO267" s="126">
        <f t="shared" si="421"/>
        <v>85000</v>
      </c>
      <c r="AP267" s="102"/>
      <c r="AQ267" s="119"/>
      <c r="AR267" s="126">
        <f t="shared" si="422"/>
        <v>85000</v>
      </c>
      <c r="AS267" s="102">
        <v>2600</v>
      </c>
      <c r="AT267" s="119"/>
      <c r="AU267" s="126">
        <f t="shared" si="423"/>
        <v>87600</v>
      </c>
      <c r="AV267" s="337">
        <f>SUM(AU267)</f>
        <v>87600</v>
      </c>
      <c r="AW267" s="37">
        <v>81500</v>
      </c>
      <c r="AX267" s="206">
        <f t="shared" si="424"/>
        <v>3500</v>
      </c>
    </row>
    <row r="268" spans="1:50" s="37" customFormat="1" ht="21" customHeight="1">
      <c r="A268" s="134"/>
      <c r="B268" s="74"/>
      <c r="C268" s="74">
        <v>4120</v>
      </c>
      <c r="D268" s="19" t="s">
        <v>104</v>
      </c>
      <c r="E268" s="102">
        <v>0</v>
      </c>
      <c r="F268" s="102">
        <v>2800</v>
      </c>
      <c r="G268" s="119"/>
      <c r="H268" s="126">
        <f t="shared" si="410"/>
        <v>2800</v>
      </c>
      <c r="I268" s="102"/>
      <c r="J268" s="119"/>
      <c r="K268" s="126">
        <f t="shared" si="411"/>
        <v>2800</v>
      </c>
      <c r="L268" s="102"/>
      <c r="M268" s="119"/>
      <c r="N268" s="126">
        <f t="shared" si="412"/>
        <v>2800</v>
      </c>
      <c r="O268" s="102"/>
      <c r="P268" s="119"/>
      <c r="Q268" s="126">
        <f t="shared" si="413"/>
        <v>2800</v>
      </c>
      <c r="R268" s="102"/>
      <c r="S268" s="119"/>
      <c r="T268" s="126">
        <f t="shared" si="414"/>
        <v>2800</v>
      </c>
      <c r="U268" s="102"/>
      <c r="V268" s="119"/>
      <c r="W268" s="126">
        <f t="shared" si="415"/>
        <v>2800</v>
      </c>
      <c r="X268" s="102"/>
      <c r="Y268" s="119"/>
      <c r="Z268" s="126">
        <f t="shared" si="416"/>
        <v>2800</v>
      </c>
      <c r="AA268" s="102"/>
      <c r="AB268" s="119"/>
      <c r="AC268" s="126">
        <f t="shared" si="417"/>
        <v>2800</v>
      </c>
      <c r="AD268" s="102"/>
      <c r="AE268" s="119"/>
      <c r="AF268" s="126">
        <f t="shared" si="418"/>
        <v>2800</v>
      </c>
      <c r="AG268" s="102"/>
      <c r="AH268" s="119"/>
      <c r="AI268" s="126">
        <f t="shared" si="419"/>
        <v>2800</v>
      </c>
      <c r="AJ268" s="102"/>
      <c r="AK268" s="119"/>
      <c r="AL268" s="126">
        <f t="shared" si="420"/>
        <v>2800</v>
      </c>
      <c r="AM268" s="102"/>
      <c r="AN268" s="119"/>
      <c r="AO268" s="126">
        <f t="shared" si="421"/>
        <v>2800</v>
      </c>
      <c r="AP268" s="102"/>
      <c r="AQ268" s="119"/>
      <c r="AR268" s="126">
        <f t="shared" si="422"/>
        <v>2800</v>
      </c>
      <c r="AS268" s="102">
        <v>437</v>
      </c>
      <c r="AT268" s="119"/>
      <c r="AU268" s="126">
        <f t="shared" si="423"/>
        <v>3237</v>
      </c>
      <c r="AV268" s="337">
        <f>SUM(AU268)</f>
        <v>3237</v>
      </c>
      <c r="AW268" s="37">
        <v>2300</v>
      </c>
      <c r="AX268" s="206">
        <f t="shared" si="424"/>
        <v>500</v>
      </c>
    </row>
    <row r="269" spans="1:50" s="37" customFormat="1" ht="21" customHeight="1">
      <c r="A269" s="134"/>
      <c r="B269" s="111"/>
      <c r="C269" s="74">
        <v>4170</v>
      </c>
      <c r="D269" s="56" t="s">
        <v>252</v>
      </c>
      <c r="E269" s="102">
        <v>0</v>
      </c>
      <c r="F269" s="102">
        <v>10000</v>
      </c>
      <c r="G269" s="119"/>
      <c r="H269" s="126">
        <f t="shared" si="410"/>
        <v>10000</v>
      </c>
      <c r="I269" s="102"/>
      <c r="J269" s="119"/>
      <c r="K269" s="126">
        <f t="shared" si="411"/>
        <v>10000</v>
      </c>
      <c r="L269" s="102"/>
      <c r="M269" s="119"/>
      <c r="N269" s="126">
        <f t="shared" si="412"/>
        <v>10000</v>
      </c>
      <c r="O269" s="102"/>
      <c r="P269" s="119"/>
      <c r="Q269" s="126">
        <f t="shared" si="413"/>
        <v>10000</v>
      </c>
      <c r="R269" s="102"/>
      <c r="S269" s="119"/>
      <c r="T269" s="126">
        <f t="shared" si="414"/>
        <v>10000</v>
      </c>
      <c r="U269" s="102"/>
      <c r="V269" s="119"/>
      <c r="W269" s="126">
        <f t="shared" si="415"/>
        <v>10000</v>
      </c>
      <c r="X269" s="102"/>
      <c r="Y269" s="119"/>
      <c r="Z269" s="126">
        <f t="shared" si="416"/>
        <v>10000</v>
      </c>
      <c r="AA269" s="102"/>
      <c r="AB269" s="119"/>
      <c r="AC269" s="126">
        <f t="shared" si="417"/>
        <v>10000</v>
      </c>
      <c r="AD269" s="102"/>
      <c r="AE269" s="119"/>
      <c r="AF269" s="126">
        <f t="shared" si="418"/>
        <v>10000</v>
      </c>
      <c r="AG269" s="102"/>
      <c r="AH269" s="119"/>
      <c r="AI269" s="126">
        <f t="shared" si="419"/>
        <v>10000</v>
      </c>
      <c r="AJ269" s="102"/>
      <c r="AK269" s="119"/>
      <c r="AL269" s="126">
        <f t="shared" si="420"/>
        <v>10000</v>
      </c>
      <c r="AM269" s="102"/>
      <c r="AN269" s="119"/>
      <c r="AO269" s="126">
        <f t="shared" si="421"/>
        <v>10000</v>
      </c>
      <c r="AP269" s="102"/>
      <c r="AQ269" s="119"/>
      <c r="AR269" s="126">
        <f t="shared" si="422"/>
        <v>10000</v>
      </c>
      <c r="AS269" s="102"/>
      <c r="AT269" s="119">
        <v>5669</v>
      </c>
      <c r="AU269" s="126">
        <f t="shared" si="423"/>
        <v>4331</v>
      </c>
      <c r="AV269" s="337">
        <f>SUM(AU269)</f>
        <v>4331</v>
      </c>
      <c r="AW269" s="37">
        <v>3000</v>
      </c>
      <c r="AX269" s="206">
        <f t="shared" si="424"/>
        <v>7000</v>
      </c>
    </row>
    <row r="270" spans="1:50" s="37" customFormat="1" ht="21" customHeight="1">
      <c r="A270" s="134"/>
      <c r="B270" s="111"/>
      <c r="C270" s="74">
        <v>4210</v>
      </c>
      <c r="D270" s="19" t="s">
        <v>109</v>
      </c>
      <c r="E270" s="102">
        <v>0</v>
      </c>
      <c r="F270" s="102">
        <f>4812+20000</f>
        <v>24812</v>
      </c>
      <c r="G270" s="119"/>
      <c r="H270" s="126">
        <f t="shared" si="410"/>
        <v>24812</v>
      </c>
      <c r="I270" s="102"/>
      <c r="J270" s="119"/>
      <c r="K270" s="126">
        <f t="shared" si="411"/>
        <v>24812</v>
      </c>
      <c r="L270" s="102">
        <v>1443</v>
      </c>
      <c r="M270" s="119"/>
      <c r="N270" s="126">
        <f t="shared" si="412"/>
        <v>26255</v>
      </c>
      <c r="O270" s="102"/>
      <c r="P270" s="119"/>
      <c r="Q270" s="126">
        <f t="shared" si="413"/>
        <v>26255</v>
      </c>
      <c r="R270" s="102"/>
      <c r="S270" s="119"/>
      <c r="T270" s="126">
        <f t="shared" si="414"/>
        <v>26255</v>
      </c>
      <c r="U270" s="102"/>
      <c r="V270" s="119"/>
      <c r="W270" s="126">
        <f t="shared" si="415"/>
        <v>26255</v>
      </c>
      <c r="X270" s="102"/>
      <c r="Y270" s="119"/>
      <c r="Z270" s="126">
        <f t="shared" si="416"/>
        <v>26255</v>
      </c>
      <c r="AA270" s="102"/>
      <c r="AB270" s="119"/>
      <c r="AC270" s="126">
        <f t="shared" si="417"/>
        <v>26255</v>
      </c>
      <c r="AD270" s="102"/>
      <c r="AE270" s="119"/>
      <c r="AF270" s="126">
        <f t="shared" si="418"/>
        <v>26255</v>
      </c>
      <c r="AG270" s="102"/>
      <c r="AH270" s="119"/>
      <c r="AI270" s="126">
        <f t="shared" si="419"/>
        <v>26255</v>
      </c>
      <c r="AJ270" s="102"/>
      <c r="AK270" s="119"/>
      <c r="AL270" s="126">
        <f t="shared" si="420"/>
        <v>26255</v>
      </c>
      <c r="AM270" s="102"/>
      <c r="AN270" s="119"/>
      <c r="AO270" s="126">
        <f t="shared" si="421"/>
        <v>26255</v>
      </c>
      <c r="AP270" s="102"/>
      <c r="AQ270" s="119"/>
      <c r="AR270" s="126">
        <f t="shared" si="422"/>
        <v>26255</v>
      </c>
      <c r="AS270" s="102"/>
      <c r="AT270" s="119">
        <v>4344</v>
      </c>
      <c r="AU270" s="126">
        <f t="shared" si="423"/>
        <v>21911</v>
      </c>
      <c r="AV270" s="337"/>
      <c r="AW270" s="37">
        <v>15255</v>
      </c>
      <c r="AX270" s="206">
        <f t="shared" si="424"/>
        <v>11000</v>
      </c>
    </row>
    <row r="271" spans="1:50" s="37" customFormat="1" ht="21" customHeight="1">
      <c r="A271" s="134"/>
      <c r="B271" s="111"/>
      <c r="C271" s="74">
        <v>4280</v>
      </c>
      <c r="D271" s="19" t="s">
        <v>301</v>
      </c>
      <c r="E271" s="102">
        <v>0</v>
      </c>
      <c r="F271" s="102">
        <v>500</v>
      </c>
      <c r="G271" s="119"/>
      <c r="H271" s="126">
        <f t="shared" si="410"/>
        <v>500</v>
      </c>
      <c r="I271" s="102"/>
      <c r="J271" s="119"/>
      <c r="K271" s="126">
        <f t="shared" si="411"/>
        <v>500</v>
      </c>
      <c r="L271" s="102"/>
      <c r="M271" s="119"/>
      <c r="N271" s="126">
        <f t="shared" si="412"/>
        <v>500</v>
      </c>
      <c r="O271" s="102"/>
      <c r="P271" s="119"/>
      <c r="Q271" s="126">
        <f t="shared" si="413"/>
        <v>500</v>
      </c>
      <c r="R271" s="102"/>
      <c r="S271" s="119"/>
      <c r="T271" s="126">
        <f t="shared" si="414"/>
        <v>500</v>
      </c>
      <c r="U271" s="102"/>
      <c r="V271" s="119"/>
      <c r="W271" s="126">
        <f t="shared" si="415"/>
        <v>500</v>
      </c>
      <c r="X271" s="102"/>
      <c r="Y271" s="119"/>
      <c r="Z271" s="126">
        <f t="shared" si="416"/>
        <v>500</v>
      </c>
      <c r="AA271" s="102"/>
      <c r="AB271" s="119"/>
      <c r="AC271" s="126">
        <f t="shared" si="417"/>
        <v>500</v>
      </c>
      <c r="AD271" s="102"/>
      <c r="AE271" s="119"/>
      <c r="AF271" s="126">
        <f t="shared" si="418"/>
        <v>500</v>
      </c>
      <c r="AG271" s="102"/>
      <c r="AH271" s="119"/>
      <c r="AI271" s="126">
        <f t="shared" si="419"/>
        <v>500</v>
      </c>
      <c r="AJ271" s="102"/>
      <c r="AK271" s="119"/>
      <c r="AL271" s="126">
        <f t="shared" si="420"/>
        <v>500</v>
      </c>
      <c r="AM271" s="102"/>
      <c r="AN271" s="119"/>
      <c r="AO271" s="126">
        <f t="shared" si="421"/>
        <v>500</v>
      </c>
      <c r="AP271" s="102"/>
      <c r="AQ271" s="119"/>
      <c r="AR271" s="126">
        <f t="shared" si="422"/>
        <v>500</v>
      </c>
      <c r="AS271" s="102"/>
      <c r="AT271" s="119">
        <v>500</v>
      </c>
      <c r="AU271" s="126">
        <f t="shared" si="423"/>
        <v>0</v>
      </c>
      <c r="AV271" s="337"/>
      <c r="AW271" s="37">
        <v>0</v>
      </c>
      <c r="AX271" s="206">
        <f t="shared" si="424"/>
        <v>500</v>
      </c>
    </row>
    <row r="272" spans="1:50" s="37" customFormat="1" ht="21" customHeight="1">
      <c r="A272" s="134"/>
      <c r="B272" s="111"/>
      <c r="C272" s="74">
        <v>4300</v>
      </c>
      <c r="D272" s="19" t="s">
        <v>96</v>
      </c>
      <c r="E272" s="102">
        <v>0</v>
      </c>
      <c r="F272" s="102">
        <v>39000</v>
      </c>
      <c r="G272" s="119"/>
      <c r="H272" s="126">
        <f t="shared" si="410"/>
        <v>39000</v>
      </c>
      <c r="I272" s="102"/>
      <c r="J272" s="119"/>
      <c r="K272" s="126">
        <f t="shared" si="411"/>
        <v>39000</v>
      </c>
      <c r="L272" s="102"/>
      <c r="M272" s="119"/>
      <c r="N272" s="126">
        <f t="shared" si="412"/>
        <v>39000</v>
      </c>
      <c r="O272" s="102"/>
      <c r="P272" s="119"/>
      <c r="Q272" s="126">
        <f t="shared" si="413"/>
        <v>39000</v>
      </c>
      <c r="R272" s="102"/>
      <c r="S272" s="119"/>
      <c r="T272" s="126">
        <f t="shared" si="414"/>
        <v>39000</v>
      </c>
      <c r="U272" s="102"/>
      <c r="V272" s="119"/>
      <c r="W272" s="126">
        <f t="shared" si="415"/>
        <v>39000</v>
      </c>
      <c r="X272" s="102"/>
      <c r="Y272" s="119">
        <v>1500</v>
      </c>
      <c r="Z272" s="126">
        <f t="shared" si="416"/>
        <v>37500</v>
      </c>
      <c r="AA272" s="102"/>
      <c r="AB272" s="119"/>
      <c r="AC272" s="126">
        <f t="shared" si="417"/>
        <v>37500</v>
      </c>
      <c r="AD272" s="102"/>
      <c r="AE272" s="119"/>
      <c r="AF272" s="126">
        <f t="shared" si="418"/>
        <v>37500</v>
      </c>
      <c r="AG272" s="102"/>
      <c r="AH272" s="119"/>
      <c r="AI272" s="126">
        <f t="shared" si="419"/>
        <v>37500</v>
      </c>
      <c r="AJ272" s="102">
        <v>8503</v>
      </c>
      <c r="AK272" s="119"/>
      <c r="AL272" s="126">
        <f t="shared" si="420"/>
        <v>46003</v>
      </c>
      <c r="AM272" s="102"/>
      <c r="AN272" s="119"/>
      <c r="AO272" s="126">
        <f t="shared" si="421"/>
        <v>46003</v>
      </c>
      <c r="AP272" s="102"/>
      <c r="AQ272" s="119"/>
      <c r="AR272" s="126">
        <f t="shared" si="422"/>
        <v>46003</v>
      </c>
      <c r="AS272" s="102"/>
      <c r="AT272" s="119">
        <v>2536</v>
      </c>
      <c r="AU272" s="126">
        <f t="shared" si="423"/>
        <v>43467</v>
      </c>
      <c r="AV272" s="337"/>
      <c r="AW272" s="37">
        <v>32810</v>
      </c>
      <c r="AX272" s="206">
        <f t="shared" si="424"/>
        <v>13193</v>
      </c>
    </row>
    <row r="273" spans="1:50" s="37" customFormat="1" ht="21" customHeight="1">
      <c r="A273" s="134"/>
      <c r="B273" s="111"/>
      <c r="C273" s="74">
        <v>4350</v>
      </c>
      <c r="D273" s="19" t="s">
        <v>303</v>
      </c>
      <c r="E273" s="102">
        <v>0</v>
      </c>
      <c r="F273" s="102">
        <v>2000</v>
      </c>
      <c r="G273" s="119"/>
      <c r="H273" s="126">
        <f t="shared" si="410"/>
        <v>2000</v>
      </c>
      <c r="I273" s="102"/>
      <c r="J273" s="119"/>
      <c r="K273" s="126">
        <f t="shared" si="411"/>
        <v>2000</v>
      </c>
      <c r="L273" s="102"/>
      <c r="M273" s="119"/>
      <c r="N273" s="126">
        <f t="shared" si="412"/>
        <v>2000</v>
      </c>
      <c r="O273" s="102"/>
      <c r="P273" s="119"/>
      <c r="Q273" s="126">
        <f t="shared" si="413"/>
        <v>2000</v>
      </c>
      <c r="R273" s="102"/>
      <c r="S273" s="119"/>
      <c r="T273" s="126">
        <f t="shared" si="414"/>
        <v>2000</v>
      </c>
      <c r="U273" s="102"/>
      <c r="V273" s="119"/>
      <c r="W273" s="126">
        <f t="shared" si="415"/>
        <v>2000</v>
      </c>
      <c r="X273" s="102">
        <v>1500</v>
      </c>
      <c r="Y273" s="119"/>
      <c r="Z273" s="126">
        <f t="shared" si="416"/>
        <v>3500</v>
      </c>
      <c r="AA273" s="102"/>
      <c r="AB273" s="119"/>
      <c r="AC273" s="126">
        <f t="shared" si="417"/>
        <v>3500</v>
      </c>
      <c r="AD273" s="102"/>
      <c r="AE273" s="119"/>
      <c r="AF273" s="126">
        <f t="shared" si="418"/>
        <v>3500</v>
      </c>
      <c r="AG273" s="102"/>
      <c r="AH273" s="119"/>
      <c r="AI273" s="126">
        <f t="shared" si="419"/>
        <v>3500</v>
      </c>
      <c r="AJ273" s="102"/>
      <c r="AK273" s="119"/>
      <c r="AL273" s="126">
        <f t="shared" si="420"/>
        <v>3500</v>
      </c>
      <c r="AM273" s="102"/>
      <c r="AN273" s="119"/>
      <c r="AO273" s="126">
        <f t="shared" si="421"/>
        <v>3500</v>
      </c>
      <c r="AP273" s="102"/>
      <c r="AQ273" s="119"/>
      <c r="AR273" s="126">
        <f t="shared" si="422"/>
        <v>3500</v>
      </c>
      <c r="AS273" s="102"/>
      <c r="AT273" s="119"/>
      <c r="AU273" s="126">
        <f t="shared" si="423"/>
        <v>3500</v>
      </c>
      <c r="AV273" s="337"/>
      <c r="AW273" s="37">
        <v>0</v>
      </c>
      <c r="AX273" s="206">
        <f t="shared" si="424"/>
        <v>3500</v>
      </c>
    </row>
    <row r="274" spans="1:50" s="37" customFormat="1" ht="21" customHeight="1">
      <c r="A274" s="134"/>
      <c r="B274" s="111"/>
      <c r="C274" s="74">
        <v>4410</v>
      </c>
      <c r="D274" s="19" t="s">
        <v>107</v>
      </c>
      <c r="E274" s="102">
        <v>0</v>
      </c>
      <c r="F274" s="102">
        <v>3000</v>
      </c>
      <c r="G274" s="119"/>
      <c r="H274" s="126">
        <f t="shared" si="410"/>
        <v>3000</v>
      </c>
      <c r="I274" s="102"/>
      <c r="J274" s="119"/>
      <c r="K274" s="126">
        <f t="shared" si="411"/>
        <v>3000</v>
      </c>
      <c r="L274" s="102"/>
      <c r="M274" s="119"/>
      <c r="N274" s="126">
        <f t="shared" si="412"/>
        <v>3000</v>
      </c>
      <c r="O274" s="102"/>
      <c r="P274" s="119"/>
      <c r="Q274" s="126">
        <f t="shared" si="413"/>
        <v>3000</v>
      </c>
      <c r="R274" s="102"/>
      <c r="S274" s="119"/>
      <c r="T274" s="126">
        <f t="shared" si="414"/>
        <v>3000</v>
      </c>
      <c r="U274" s="102"/>
      <c r="V274" s="119"/>
      <c r="W274" s="126">
        <f t="shared" si="415"/>
        <v>3000</v>
      </c>
      <c r="X274" s="102"/>
      <c r="Y274" s="119"/>
      <c r="Z274" s="126">
        <f t="shared" si="416"/>
        <v>3000</v>
      </c>
      <c r="AA274" s="102"/>
      <c r="AB274" s="119"/>
      <c r="AC274" s="126">
        <f t="shared" si="417"/>
        <v>3000</v>
      </c>
      <c r="AD274" s="102"/>
      <c r="AE274" s="119"/>
      <c r="AF274" s="126">
        <f t="shared" si="418"/>
        <v>3000</v>
      </c>
      <c r="AG274" s="102"/>
      <c r="AH274" s="119"/>
      <c r="AI274" s="126">
        <f t="shared" si="419"/>
        <v>3000</v>
      </c>
      <c r="AJ274" s="102"/>
      <c r="AK274" s="119"/>
      <c r="AL274" s="126">
        <f t="shared" si="420"/>
        <v>3000</v>
      </c>
      <c r="AM274" s="102"/>
      <c r="AN274" s="119"/>
      <c r="AO274" s="126">
        <f t="shared" si="421"/>
        <v>3000</v>
      </c>
      <c r="AP274" s="102"/>
      <c r="AQ274" s="119"/>
      <c r="AR274" s="126">
        <f t="shared" si="422"/>
        <v>3000</v>
      </c>
      <c r="AS274" s="102"/>
      <c r="AT274" s="119">
        <v>1200</v>
      </c>
      <c r="AU274" s="126">
        <f t="shared" si="423"/>
        <v>1800</v>
      </c>
      <c r="AV274" s="337"/>
      <c r="AW274" s="37">
        <v>3000</v>
      </c>
      <c r="AX274" s="206">
        <f t="shared" si="424"/>
        <v>0</v>
      </c>
    </row>
    <row r="275" spans="1:50" s="37" customFormat="1" ht="21" customHeight="1">
      <c r="A275" s="134"/>
      <c r="B275" s="111"/>
      <c r="C275" s="74">
        <v>4430</v>
      </c>
      <c r="D275" s="56" t="s">
        <v>111</v>
      </c>
      <c r="E275" s="102">
        <v>0</v>
      </c>
      <c r="F275" s="102">
        <v>2000</v>
      </c>
      <c r="G275" s="119"/>
      <c r="H275" s="126">
        <f t="shared" si="410"/>
        <v>2000</v>
      </c>
      <c r="I275" s="102"/>
      <c r="J275" s="119"/>
      <c r="K275" s="126">
        <f t="shared" si="411"/>
        <v>2000</v>
      </c>
      <c r="L275" s="102"/>
      <c r="M275" s="119"/>
      <c r="N275" s="126">
        <f t="shared" si="412"/>
        <v>2000</v>
      </c>
      <c r="O275" s="102"/>
      <c r="P275" s="119"/>
      <c r="Q275" s="126">
        <f t="shared" si="413"/>
        <v>2000</v>
      </c>
      <c r="R275" s="102"/>
      <c r="S275" s="119"/>
      <c r="T275" s="126">
        <f t="shared" si="414"/>
        <v>2000</v>
      </c>
      <c r="U275" s="102"/>
      <c r="V275" s="119"/>
      <c r="W275" s="126">
        <f t="shared" si="415"/>
        <v>2000</v>
      </c>
      <c r="X275" s="102"/>
      <c r="Y275" s="119"/>
      <c r="Z275" s="126">
        <f t="shared" si="416"/>
        <v>2000</v>
      </c>
      <c r="AA275" s="102"/>
      <c r="AB275" s="119"/>
      <c r="AC275" s="126">
        <f t="shared" si="417"/>
        <v>2000</v>
      </c>
      <c r="AD275" s="102"/>
      <c r="AE275" s="119"/>
      <c r="AF275" s="126">
        <f t="shared" si="418"/>
        <v>2000</v>
      </c>
      <c r="AG275" s="102"/>
      <c r="AH275" s="119"/>
      <c r="AI275" s="126">
        <f t="shared" si="419"/>
        <v>2000</v>
      </c>
      <c r="AJ275" s="102"/>
      <c r="AK275" s="119"/>
      <c r="AL275" s="126">
        <f t="shared" si="420"/>
        <v>2000</v>
      </c>
      <c r="AM275" s="102"/>
      <c r="AN275" s="119"/>
      <c r="AO275" s="126">
        <f t="shared" si="421"/>
        <v>2000</v>
      </c>
      <c r="AP275" s="102"/>
      <c r="AQ275" s="119"/>
      <c r="AR275" s="126">
        <f t="shared" si="422"/>
        <v>2000</v>
      </c>
      <c r="AS275" s="102"/>
      <c r="AT275" s="119">
        <v>9</v>
      </c>
      <c r="AU275" s="126">
        <f t="shared" si="423"/>
        <v>1991</v>
      </c>
      <c r="AV275" s="337"/>
      <c r="AW275" s="37">
        <v>2000</v>
      </c>
      <c r="AX275" s="206">
        <f t="shared" si="424"/>
        <v>0</v>
      </c>
    </row>
    <row r="276" spans="1:50" s="37" customFormat="1" ht="21" customHeight="1">
      <c r="A276" s="134"/>
      <c r="B276" s="111"/>
      <c r="C276" s="74">
        <v>4440</v>
      </c>
      <c r="D276" s="19" t="s">
        <v>105</v>
      </c>
      <c r="E276" s="102">
        <v>0</v>
      </c>
      <c r="F276" s="102">
        <v>3800</v>
      </c>
      <c r="G276" s="119"/>
      <c r="H276" s="126">
        <f t="shared" si="410"/>
        <v>3800</v>
      </c>
      <c r="I276" s="102"/>
      <c r="J276" s="119"/>
      <c r="K276" s="126">
        <f t="shared" si="411"/>
        <v>3800</v>
      </c>
      <c r="L276" s="102"/>
      <c r="M276" s="119"/>
      <c r="N276" s="126">
        <f t="shared" si="412"/>
        <v>3800</v>
      </c>
      <c r="O276" s="102"/>
      <c r="P276" s="119"/>
      <c r="Q276" s="126">
        <f t="shared" si="413"/>
        <v>3800</v>
      </c>
      <c r="R276" s="102"/>
      <c r="S276" s="119"/>
      <c r="T276" s="126">
        <f t="shared" si="414"/>
        <v>3800</v>
      </c>
      <c r="U276" s="102"/>
      <c r="V276" s="119"/>
      <c r="W276" s="126">
        <f t="shared" si="415"/>
        <v>3800</v>
      </c>
      <c r="X276" s="102"/>
      <c r="Y276" s="119"/>
      <c r="Z276" s="126">
        <f t="shared" si="416"/>
        <v>3800</v>
      </c>
      <c r="AA276" s="102"/>
      <c r="AB276" s="119"/>
      <c r="AC276" s="126">
        <f t="shared" si="417"/>
        <v>3800</v>
      </c>
      <c r="AD276" s="102"/>
      <c r="AE276" s="119"/>
      <c r="AF276" s="126">
        <f t="shared" si="418"/>
        <v>3800</v>
      </c>
      <c r="AG276" s="102"/>
      <c r="AH276" s="119"/>
      <c r="AI276" s="126">
        <f t="shared" si="419"/>
        <v>3800</v>
      </c>
      <c r="AJ276" s="102"/>
      <c r="AK276" s="119"/>
      <c r="AL276" s="126">
        <f t="shared" si="420"/>
        <v>3800</v>
      </c>
      <c r="AM276" s="102"/>
      <c r="AN276" s="119"/>
      <c r="AO276" s="126">
        <f t="shared" si="421"/>
        <v>3800</v>
      </c>
      <c r="AP276" s="102"/>
      <c r="AQ276" s="119"/>
      <c r="AR276" s="126">
        <f t="shared" si="422"/>
        <v>3800</v>
      </c>
      <c r="AS276" s="102">
        <v>22</v>
      </c>
      <c r="AT276" s="119"/>
      <c r="AU276" s="126">
        <f t="shared" si="423"/>
        <v>3822</v>
      </c>
      <c r="AV276" s="337"/>
      <c r="AW276" s="37">
        <v>3800</v>
      </c>
      <c r="AX276" s="206">
        <f t="shared" si="424"/>
        <v>0</v>
      </c>
    </row>
    <row r="277" spans="1:50" s="37" customFormat="1" ht="63" customHeight="1">
      <c r="A277" s="98"/>
      <c r="B277" s="121">
        <v>85213</v>
      </c>
      <c r="C277" s="120"/>
      <c r="D277" s="56" t="s">
        <v>236</v>
      </c>
      <c r="E277" s="114">
        <f aca="true" t="shared" si="425" ref="E277:AU277">SUM(E278)</f>
        <v>74700</v>
      </c>
      <c r="F277" s="114">
        <f t="shared" si="425"/>
        <v>0</v>
      </c>
      <c r="G277" s="114">
        <f t="shared" si="425"/>
        <v>0</v>
      </c>
      <c r="H277" s="114">
        <f t="shared" si="425"/>
        <v>74700</v>
      </c>
      <c r="I277" s="114">
        <f t="shared" si="425"/>
        <v>0</v>
      </c>
      <c r="J277" s="114">
        <f t="shared" si="425"/>
        <v>0</v>
      </c>
      <c r="K277" s="114">
        <f t="shared" si="425"/>
        <v>74700</v>
      </c>
      <c r="L277" s="114">
        <f t="shared" si="425"/>
        <v>0</v>
      </c>
      <c r="M277" s="114">
        <f t="shared" si="425"/>
        <v>0</v>
      </c>
      <c r="N277" s="114">
        <f t="shared" si="425"/>
        <v>74700</v>
      </c>
      <c r="O277" s="114">
        <f t="shared" si="425"/>
        <v>0</v>
      </c>
      <c r="P277" s="114">
        <f t="shared" si="425"/>
        <v>0</v>
      </c>
      <c r="Q277" s="114">
        <f t="shared" si="425"/>
        <v>74700</v>
      </c>
      <c r="R277" s="114">
        <f t="shared" si="425"/>
        <v>0</v>
      </c>
      <c r="S277" s="114">
        <f t="shared" si="425"/>
        <v>0</v>
      </c>
      <c r="T277" s="114">
        <f t="shared" si="425"/>
        <v>74700</v>
      </c>
      <c r="U277" s="114">
        <f t="shared" si="425"/>
        <v>0</v>
      </c>
      <c r="V277" s="114">
        <f t="shared" si="425"/>
        <v>0</v>
      </c>
      <c r="W277" s="114">
        <f t="shared" si="425"/>
        <v>74700</v>
      </c>
      <c r="X277" s="114">
        <f t="shared" si="425"/>
        <v>0</v>
      </c>
      <c r="Y277" s="114">
        <f t="shared" si="425"/>
        <v>0</v>
      </c>
      <c r="Z277" s="114">
        <f t="shared" si="425"/>
        <v>74700</v>
      </c>
      <c r="AA277" s="114">
        <f t="shared" si="425"/>
        <v>0</v>
      </c>
      <c r="AB277" s="114">
        <f t="shared" si="425"/>
        <v>0</v>
      </c>
      <c r="AC277" s="114">
        <f t="shared" si="425"/>
        <v>74700</v>
      </c>
      <c r="AD277" s="114">
        <f t="shared" si="425"/>
        <v>0</v>
      </c>
      <c r="AE277" s="114">
        <f t="shared" si="425"/>
        <v>0</v>
      </c>
      <c r="AF277" s="114">
        <f t="shared" si="425"/>
        <v>74700</v>
      </c>
      <c r="AG277" s="114">
        <f t="shared" si="425"/>
        <v>0</v>
      </c>
      <c r="AH277" s="114">
        <f t="shared" si="425"/>
        <v>0</v>
      </c>
      <c r="AI277" s="114">
        <f t="shared" si="425"/>
        <v>74700</v>
      </c>
      <c r="AJ277" s="114">
        <f t="shared" si="425"/>
        <v>0</v>
      </c>
      <c r="AK277" s="114">
        <f t="shared" si="425"/>
        <v>0</v>
      </c>
      <c r="AL277" s="114">
        <f t="shared" si="425"/>
        <v>74700</v>
      </c>
      <c r="AM277" s="114">
        <f t="shared" si="425"/>
        <v>0</v>
      </c>
      <c r="AN277" s="114">
        <f t="shared" si="425"/>
        <v>0</v>
      </c>
      <c r="AO277" s="114">
        <f t="shared" si="425"/>
        <v>74700</v>
      </c>
      <c r="AP277" s="114">
        <f t="shared" si="425"/>
        <v>0</v>
      </c>
      <c r="AQ277" s="114">
        <f t="shared" si="425"/>
        <v>0</v>
      </c>
      <c r="AR277" s="114">
        <f t="shared" si="425"/>
        <v>74700</v>
      </c>
      <c r="AS277" s="114">
        <f t="shared" si="425"/>
        <v>0</v>
      </c>
      <c r="AT277" s="114">
        <f t="shared" si="425"/>
        <v>0</v>
      </c>
      <c r="AU277" s="114">
        <f t="shared" si="425"/>
        <v>74700</v>
      </c>
      <c r="AV277" s="339"/>
      <c r="AX277" s="206">
        <f>SUM(AX263:AX276)</f>
        <v>62902</v>
      </c>
    </row>
    <row r="278" spans="1:48" s="37" customFormat="1" ht="21" customHeight="1">
      <c r="A278" s="98"/>
      <c r="B278" s="121"/>
      <c r="C278" s="120">
        <v>4130</v>
      </c>
      <c r="D278" s="56" t="s">
        <v>139</v>
      </c>
      <c r="E278" s="114">
        <f>38000+36700</f>
        <v>74700</v>
      </c>
      <c r="F278" s="119"/>
      <c r="G278" s="119"/>
      <c r="H278" s="126">
        <f>SUM(E278+F278-G278)</f>
        <v>74700</v>
      </c>
      <c r="I278" s="119"/>
      <c r="J278" s="119"/>
      <c r="K278" s="126">
        <f>SUM(H278+I278-J278)</f>
        <v>74700</v>
      </c>
      <c r="L278" s="119"/>
      <c r="M278" s="119"/>
      <c r="N278" s="126">
        <f>SUM(K278+L278-M278)</f>
        <v>74700</v>
      </c>
      <c r="O278" s="119"/>
      <c r="P278" s="119"/>
      <c r="Q278" s="126">
        <f>SUM(N278+O278-P278)</f>
        <v>74700</v>
      </c>
      <c r="R278" s="119"/>
      <c r="S278" s="119"/>
      <c r="T278" s="126">
        <f>SUM(Q278+R278-S278)</f>
        <v>74700</v>
      </c>
      <c r="U278" s="119"/>
      <c r="V278" s="119"/>
      <c r="W278" s="126">
        <f>SUM(T278+U278-V278)</f>
        <v>74700</v>
      </c>
      <c r="X278" s="119"/>
      <c r="Y278" s="119"/>
      <c r="Z278" s="126">
        <f>SUM(W278+X278-Y278)</f>
        <v>74700</v>
      </c>
      <c r="AA278" s="119"/>
      <c r="AB278" s="119"/>
      <c r="AC278" s="126">
        <f>SUM(Z278+AA278-AB278)</f>
        <v>74700</v>
      </c>
      <c r="AD278" s="119"/>
      <c r="AE278" s="119"/>
      <c r="AF278" s="126">
        <f>SUM(AC278+AD278-AE278)</f>
        <v>74700</v>
      </c>
      <c r="AG278" s="119"/>
      <c r="AH278" s="119"/>
      <c r="AI278" s="126">
        <f>SUM(AF278+AG278-AH278)</f>
        <v>74700</v>
      </c>
      <c r="AJ278" s="119"/>
      <c r="AK278" s="119"/>
      <c r="AL278" s="126">
        <f>SUM(AI278+AJ278-AK278)</f>
        <v>74700</v>
      </c>
      <c r="AM278" s="119"/>
      <c r="AN278" s="119"/>
      <c r="AO278" s="126">
        <f>SUM(AL278+AM278-AN278)</f>
        <v>74700</v>
      </c>
      <c r="AP278" s="119"/>
      <c r="AQ278" s="119"/>
      <c r="AR278" s="126">
        <f>SUM(AO278+AP278-AQ278)</f>
        <v>74700</v>
      </c>
      <c r="AS278" s="119"/>
      <c r="AT278" s="119"/>
      <c r="AU278" s="126">
        <f>SUM(AR278+AS278-AT278)</f>
        <v>74700</v>
      </c>
      <c r="AV278" s="337"/>
    </row>
    <row r="279" spans="1:48" s="37" customFormat="1" ht="33.75" customHeight="1">
      <c r="A279" s="98"/>
      <c r="B279" s="116">
        <v>85214</v>
      </c>
      <c r="C279" s="120"/>
      <c r="D279" s="56" t="s">
        <v>285</v>
      </c>
      <c r="E279" s="114">
        <f aca="true" t="shared" si="426" ref="E279:K279">SUM(E280:E281)</f>
        <v>1508400</v>
      </c>
      <c r="F279" s="114">
        <f t="shared" si="426"/>
        <v>0</v>
      </c>
      <c r="G279" s="114">
        <f t="shared" si="426"/>
        <v>0</v>
      </c>
      <c r="H279" s="114">
        <f t="shared" si="426"/>
        <v>1508400</v>
      </c>
      <c r="I279" s="114">
        <f t="shared" si="426"/>
        <v>0</v>
      </c>
      <c r="J279" s="114">
        <f t="shared" si="426"/>
        <v>0</v>
      </c>
      <c r="K279" s="114">
        <f t="shared" si="426"/>
        <v>1508400</v>
      </c>
      <c r="L279" s="114">
        <f aca="true" t="shared" si="427" ref="L279:Q279">SUM(L280:L281)</f>
        <v>0</v>
      </c>
      <c r="M279" s="114">
        <f t="shared" si="427"/>
        <v>71300</v>
      </c>
      <c r="N279" s="114">
        <f t="shared" si="427"/>
        <v>1437100</v>
      </c>
      <c r="O279" s="114">
        <f t="shared" si="427"/>
        <v>0</v>
      </c>
      <c r="P279" s="114">
        <f t="shared" si="427"/>
        <v>0</v>
      </c>
      <c r="Q279" s="114">
        <f t="shared" si="427"/>
        <v>1437100</v>
      </c>
      <c r="R279" s="114">
        <f aca="true" t="shared" si="428" ref="R279:W279">SUM(R280:R281)</f>
        <v>0</v>
      </c>
      <c r="S279" s="114">
        <f t="shared" si="428"/>
        <v>0</v>
      </c>
      <c r="T279" s="114">
        <f t="shared" si="428"/>
        <v>1437100</v>
      </c>
      <c r="U279" s="114">
        <f t="shared" si="428"/>
        <v>51010</v>
      </c>
      <c r="V279" s="114">
        <f t="shared" si="428"/>
        <v>0</v>
      </c>
      <c r="W279" s="114">
        <f t="shared" si="428"/>
        <v>1488110</v>
      </c>
      <c r="X279" s="114">
        <f aca="true" t="shared" si="429" ref="X279:AC279">SUM(X280:X281)</f>
        <v>2000</v>
      </c>
      <c r="Y279" s="114">
        <f t="shared" si="429"/>
        <v>70000</v>
      </c>
      <c r="Z279" s="114">
        <f t="shared" si="429"/>
        <v>1420110</v>
      </c>
      <c r="AA279" s="114">
        <f t="shared" si="429"/>
        <v>0</v>
      </c>
      <c r="AB279" s="114">
        <f t="shared" si="429"/>
        <v>0</v>
      </c>
      <c r="AC279" s="114">
        <f t="shared" si="429"/>
        <v>1420110</v>
      </c>
      <c r="AD279" s="114">
        <f aca="true" t="shared" si="430" ref="AD279:AI279">SUM(AD280:AD281)</f>
        <v>51130</v>
      </c>
      <c r="AE279" s="114">
        <f t="shared" si="430"/>
        <v>0</v>
      </c>
      <c r="AF279" s="114">
        <f t="shared" si="430"/>
        <v>1471240</v>
      </c>
      <c r="AG279" s="114">
        <f t="shared" si="430"/>
        <v>20160</v>
      </c>
      <c r="AH279" s="114">
        <f t="shared" si="430"/>
        <v>0</v>
      </c>
      <c r="AI279" s="114">
        <f t="shared" si="430"/>
        <v>1491400</v>
      </c>
      <c r="AJ279" s="114">
        <f aca="true" t="shared" si="431" ref="AJ279:AO279">SUM(AJ280:AJ281)</f>
        <v>0</v>
      </c>
      <c r="AK279" s="114">
        <f t="shared" si="431"/>
        <v>0</v>
      </c>
      <c r="AL279" s="114">
        <f t="shared" si="431"/>
        <v>1491400</v>
      </c>
      <c r="AM279" s="114">
        <f t="shared" si="431"/>
        <v>58870</v>
      </c>
      <c r="AN279" s="114">
        <f t="shared" si="431"/>
        <v>0</v>
      </c>
      <c r="AO279" s="114">
        <f t="shared" si="431"/>
        <v>1550270</v>
      </c>
      <c r="AP279" s="114">
        <f aca="true" t="shared" si="432" ref="AP279:AU279">SUM(AP280:AP281)</f>
        <v>0</v>
      </c>
      <c r="AQ279" s="114">
        <f t="shared" si="432"/>
        <v>0</v>
      </c>
      <c r="AR279" s="114">
        <f t="shared" si="432"/>
        <v>1550270</v>
      </c>
      <c r="AS279" s="114">
        <f t="shared" si="432"/>
        <v>0</v>
      </c>
      <c r="AT279" s="114">
        <f t="shared" si="432"/>
        <v>0</v>
      </c>
      <c r="AU279" s="114">
        <f t="shared" si="432"/>
        <v>1550270</v>
      </c>
      <c r="AV279" s="339"/>
    </row>
    <row r="280" spans="1:48" s="37" customFormat="1" ht="21" customHeight="1">
      <c r="A280" s="98"/>
      <c r="B280" s="116"/>
      <c r="C280" s="120">
        <v>3110</v>
      </c>
      <c r="D280" s="56" t="s">
        <v>130</v>
      </c>
      <c r="E280" s="114">
        <f>1002400+503000</f>
        <v>1505400</v>
      </c>
      <c r="F280" s="119"/>
      <c r="G280" s="119"/>
      <c r="H280" s="126">
        <f>SUM(E280+F280-G280)</f>
        <v>1505400</v>
      </c>
      <c r="I280" s="119"/>
      <c r="J280" s="119"/>
      <c r="K280" s="126">
        <f>SUM(H280+I280-J280)</f>
        <v>1505400</v>
      </c>
      <c r="L280" s="119"/>
      <c r="M280" s="119">
        <v>71300</v>
      </c>
      <c r="N280" s="126">
        <f>SUM(K280+L280-M280)</f>
        <v>1434100</v>
      </c>
      <c r="O280" s="119"/>
      <c r="P280" s="119"/>
      <c r="Q280" s="126">
        <f>SUM(N280+O280-P280)</f>
        <v>1434100</v>
      </c>
      <c r="R280" s="119"/>
      <c r="S280" s="119"/>
      <c r="T280" s="126">
        <f>SUM(Q280+R280-S280)</f>
        <v>1434100</v>
      </c>
      <c r="U280" s="119">
        <v>51010</v>
      </c>
      <c r="V280" s="119"/>
      <c r="W280" s="126">
        <f>SUM(T280+U280-V280)</f>
        <v>1485110</v>
      </c>
      <c r="X280" s="119">
        <v>2000</v>
      </c>
      <c r="Y280" s="119">
        <v>70000</v>
      </c>
      <c r="Z280" s="126">
        <f>SUM(W280+X280-Y280)</f>
        <v>1417110</v>
      </c>
      <c r="AA280" s="119"/>
      <c r="AB280" s="119"/>
      <c r="AC280" s="126">
        <f>SUM(Z280+AA280-AB280)</f>
        <v>1417110</v>
      </c>
      <c r="AD280" s="119">
        <v>51130</v>
      </c>
      <c r="AE280" s="119"/>
      <c r="AF280" s="126">
        <f>SUM(AC280+AD280-AE280)</f>
        <v>1468240</v>
      </c>
      <c r="AG280" s="119">
        <f>20000+160</f>
        <v>20160</v>
      </c>
      <c r="AH280" s="119"/>
      <c r="AI280" s="126">
        <f>SUM(AF280+AG280-AH280)</f>
        <v>1488400</v>
      </c>
      <c r="AJ280" s="119"/>
      <c r="AK280" s="119"/>
      <c r="AL280" s="126">
        <f>SUM(AI280+AJ280-AK280)</f>
        <v>1488400</v>
      </c>
      <c r="AM280" s="119">
        <f>22489+36381</f>
        <v>58870</v>
      </c>
      <c r="AN280" s="119"/>
      <c r="AO280" s="126">
        <f>SUM(AL280+AM280-AN280)</f>
        <v>1547270</v>
      </c>
      <c r="AP280" s="119"/>
      <c r="AQ280" s="119"/>
      <c r="AR280" s="126">
        <f>SUM(AO280+AP280-AQ280)</f>
        <v>1547270</v>
      </c>
      <c r="AS280" s="119"/>
      <c r="AT280" s="119"/>
      <c r="AU280" s="126">
        <f>SUM(AR280+AS280-AT280)</f>
        <v>1547270</v>
      </c>
      <c r="AV280" s="337"/>
    </row>
    <row r="281" spans="1:48" s="37" customFormat="1" ht="21" customHeight="1">
      <c r="A281" s="98"/>
      <c r="B281" s="116"/>
      <c r="C281" s="120">
        <v>4110</v>
      </c>
      <c r="D281" s="56" t="s">
        <v>103</v>
      </c>
      <c r="E281" s="114">
        <v>3000</v>
      </c>
      <c r="F281" s="119"/>
      <c r="G281" s="119"/>
      <c r="H281" s="126">
        <f>SUM(E281+F281-G281)</f>
        <v>3000</v>
      </c>
      <c r="I281" s="119"/>
      <c r="J281" s="119"/>
      <c r="K281" s="126">
        <f>SUM(H281+I281-J281)</f>
        <v>3000</v>
      </c>
      <c r="L281" s="119"/>
      <c r="M281" s="119"/>
      <c r="N281" s="126">
        <f>SUM(K281+L281-M281)</f>
        <v>3000</v>
      </c>
      <c r="O281" s="119"/>
      <c r="P281" s="119"/>
      <c r="Q281" s="126">
        <f>SUM(N281+O281-P281)</f>
        <v>3000</v>
      </c>
      <c r="R281" s="119"/>
      <c r="S281" s="119"/>
      <c r="T281" s="126">
        <f>SUM(Q281+R281-S281)</f>
        <v>3000</v>
      </c>
      <c r="U281" s="119"/>
      <c r="V281" s="119"/>
      <c r="W281" s="126">
        <f>SUM(T281+U281-V281)</f>
        <v>3000</v>
      </c>
      <c r="X281" s="119"/>
      <c r="Y281" s="119"/>
      <c r="Z281" s="126">
        <f>SUM(W281+X281-Y281)</f>
        <v>3000</v>
      </c>
      <c r="AA281" s="119"/>
      <c r="AB281" s="119"/>
      <c r="AC281" s="126">
        <f>SUM(Z281+AA281-AB281)</f>
        <v>3000</v>
      </c>
      <c r="AD281" s="119"/>
      <c r="AE281" s="119"/>
      <c r="AF281" s="126">
        <f>SUM(AC281+AD281-AE281)</f>
        <v>3000</v>
      </c>
      <c r="AG281" s="119"/>
      <c r="AH281" s="119"/>
      <c r="AI281" s="126">
        <f>SUM(AF281+AG281-AH281)</f>
        <v>3000</v>
      </c>
      <c r="AJ281" s="119"/>
      <c r="AK281" s="119"/>
      <c r="AL281" s="126">
        <f>SUM(AI281+AJ281-AK281)</f>
        <v>3000</v>
      </c>
      <c r="AM281" s="119"/>
      <c r="AN281" s="119"/>
      <c r="AO281" s="126">
        <f>SUM(AL281+AM281-AN281)</f>
        <v>3000</v>
      </c>
      <c r="AP281" s="119"/>
      <c r="AQ281" s="119"/>
      <c r="AR281" s="126">
        <f>SUM(AO281+AP281-AQ281)</f>
        <v>3000</v>
      </c>
      <c r="AS281" s="119"/>
      <c r="AT281" s="119"/>
      <c r="AU281" s="126">
        <f>SUM(AR281+AS281-AT281)</f>
        <v>3000</v>
      </c>
      <c r="AV281" s="337">
        <f>SUM(AU281)</f>
        <v>3000</v>
      </c>
    </row>
    <row r="282" spans="1:48" s="37" customFormat="1" ht="21.75" customHeight="1">
      <c r="A282" s="98"/>
      <c r="B282" s="116">
        <v>85215</v>
      </c>
      <c r="C282" s="120"/>
      <c r="D282" s="56" t="s">
        <v>73</v>
      </c>
      <c r="E282" s="114">
        <f aca="true" t="shared" si="433" ref="E282:AU282">SUM(E283)</f>
        <v>1550000</v>
      </c>
      <c r="F282" s="114">
        <f t="shared" si="433"/>
        <v>0</v>
      </c>
      <c r="G282" s="114">
        <f t="shared" si="433"/>
        <v>0</v>
      </c>
      <c r="H282" s="114">
        <f t="shared" si="433"/>
        <v>1550000</v>
      </c>
      <c r="I282" s="114">
        <f t="shared" si="433"/>
        <v>0</v>
      </c>
      <c r="J282" s="114">
        <f t="shared" si="433"/>
        <v>0</v>
      </c>
      <c r="K282" s="114">
        <f t="shared" si="433"/>
        <v>1550000</v>
      </c>
      <c r="L282" s="114">
        <f t="shared" si="433"/>
        <v>0</v>
      </c>
      <c r="M282" s="114">
        <f t="shared" si="433"/>
        <v>0</v>
      </c>
      <c r="N282" s="114">
        <f t="shared" si="433"/>
        <v>1550000</v>
      </c>
      <c r="O282" s="114">
        <f t="shared" si="433"/>
        <v>0</v>
      </c>
      <c r="P282" s="114">
        <f t="shared" si="433"/>
        <v>0</v>
      </c>
      <c r="Q282" s="114">
        <f t="shared" si="433"/>
        <v>1550000</v>
      </c>
      <c r="R282" s="114">
        <f t="shared" si="433"/>
        <v>0</v>
      </c>
      <c r="S282" s="114">
        <f t="shared" si="433"/>
        <v>0</v>
      </c>
      <c r="T282" s="114">
        <f t="shared" si="433"/>
        <v>1550000</v>
      </c>
      <c r="U282" s="114">
        <f t="shared" si="433"/>
        <v>0</v>
      </c>
      <c r="V282" s="114">
        <f t="shared" si="433"/>
        <v>0</v>
      </c>
      <c r="W282" s="114">
        <f t="shared" si="433"/>
        <v>1550000</v>
      </c>
      <c r="X282" s="114">
        <f t="shared" si="433"/>
        <v>0</v>
      </c>
      <c r="Y282" s="114">
        <f t="shared" si="433"/>
        <v>0</v>
      </c>
      <c r="Z282" s="114">
        <f t="shared" si="433"/>
        <v>1550000</v>
      </c>
      <c r="AA282" s="114">
        <f t="shared" si="433"/>
        <v>0</v>
      </c>
      <c r="AB282" s="114">
        <f t="shared" si="433"/>
        <v>0</v>
      </c>
      <c r="AC282" s="114">
        <f t="shared" si="433"/>
        <v>1550000</v>
      </c>
      <c r="AD282" s="114">
        <f t="shared" si="433"/>
        <v>0</v>
      </c>
      <c r="AE282" s="114">
        <f t="shared" si="433"/>
        <v>0</v>
      </c>
      <c r="AF282" s="114">
        <f t="shared" si="433"/>
        <v>1550000</v>
      </c>
      <c r="AG282" s="114">
        <f t="shared" si="433"/>
        <v>0</v>
      </c>
      <c r="AH282" s="114">
        <f t="shared" si="433"/>
        <v>0</v>
      </c>
      <c r="AI282" s="114">
        <f t="shared" si="433"/>
        <v>1550000</v>
      </c>
      <c r="AJ282" s="114">
        <f t="shared" si="433"/>
        <v>0</v>
      </c>
      <c r="AK282" s="114">
        <f t="shared" si="433"/>
        <v>0</v>
      </c>
      <c r="AL282" s="114">
        <f t="shared" si="433"/>
        <v>1550000</v>
      </c>
      <c r="AM282" s="114">
        <f t="shared" si="433"/>
        <v>0</v>
      </c>
      <c r="AN282" s="114">
        <f t="shared" si="433"/>
        <v>0</v>
      </c>
      <c r="AO282" s="114">
        <f t="shared" si="433"/>
        <v>1550000</v>
      </c>
      <c r="AP282" s="114">
        <f t="shared" si="433"/>
        <v>0</v>
      </c>
      <c r="AQ282" s="114">
        <f t="shared" si="433"/>
        <v>0</v>
      </c>
      <c r="AR282" s="114">
        <f t="shared" si="433"/>
        <v>1550000</v>
      </c>
      <c r="AS282" s="114">
        <f t="shared" si="433"/>
        <v>0</v>
      </c>
      <c r="AT282" s="114">
        <f t="shared" si="433"/>
        <v>22500</v>
      </c>
      <c r="AU282" s="114">
        <f t="shared" si="433"/>
        <v>1527500</v>
      </c>
      <c r="AV282" s="339"/>
    </row>
    <row r="283" spans="1:48" s="37" customFormat="1" ht="21" customHeight="1">
      <c r="A283" s="98"/>
      <c r="B283" s="116"/>
      <c r="C283" s="120">
        <v>3110</v>
      </c>
      <c r="D283" s="56" t="s">
        <v>130</v>
      </c>
      <c r="E283" s="114">
        <v>1550000</v>
      </c>
      <c r="F283" s="119"/>
      <c r="G283" s="119"/>
      <c r="H283" s="126">
        <f>SUM(E283+F283-G283)</f>
        <v>1550000</v>
      </c>
      <c r="I283" s="119"/>
      <c r="J283" s="119"/>
      <c r="K283" s="126">
        <f>SUM(H283+I283-J283)</f>
        <v>1550000</v>
      </c>
      <c r="L283" s="119"/>
      <c r="M283" s="119"/>
      <c r="N283" s="126">
        <f>SUM(K283+L283-M283)</f>
        <v>1550000</v>
      </c>
      <c r="O283" s="119"/>
      <c r="P283" s="119"/>
      <c r="Q283" s="126">
        <f>SUM(N283+O283-P283)</f>
        <v>1550000</v>
      </c>
      <c r="R283" s="119"/>
      <c r="S283" s="119"/>
      <c r="T283" s="126">
        <f>SUM(Q283+R283-S283)</f>
        <v>1550000</v>
      </c>
      <c r="U283" s="119"/>
      <c r="V283" s="119"/>
      <c r="W283" s="126">
        <f>SUM(T283+U283-V283)</f>
        <v>1550000</v>
      </c>
      <c r="X283" s="119"/>
      <c r="Y283" s="119"/>
      <c r="Z283" s="126">
        <f>SUM(W283+X283-Y283)</f>
        <v>1550000</v>
      </c>
      <c r="AA283" s="119"/>
      <c r="AB283" s="119"/>
      <c r="AC283" s="126">
        <f>SUM(Z283+AA283-AB283)</f>
        <v>1550000</v>
      </c>
      <c r="AD283" s="119"/>
      <c r="AE283" s="119"/>
      <c r="AF283" s="126">
        <f>SUM(AC283+AD283-AE283)</f>
        <v>1550000</v>
      </c>
      <c r="AG283" s="119"/>
      <c r="AH283" s="119"/>
      <c r="AI283" s="126">
        <f>SUM(AF283+AG283-AH283)</f>
        <v>1550000</v>
      </c>
      <c r="AJ283" s="119"/>
      <c r="AK283" s="119"/>
      <c r="AL283" s="126">
        <f>SUM(AI283+AJ283-AK283)</f>
        <v>1550000</v>
      </c>
      <c r="AM283" s="119"/>
      <c r="AN283" s="119"/>
      <c r="AO283" s="126">
        <f>SUM(AL283+AM283-AN283)</f>
        <v>1550000</v>
      </c>
      <c r="AP283" s="119"/>
      <c r="AQ283" s="119"/>
      <c r="AR283" s="126">
        <f>SUM(AO283+AP283-AQ283)</f>
        <v>1550000</v>
      </c>
      <c r="AS283" s="119"/>
      <c r="AT283" s="119">
        <v>22500</v>
      </c>
      <c r="AU283" s="126">
        <f>SUM(AR283+AS283-AT283)</f>
        <v>1527500</v>
      </c>
      <c r="AV283" s="337"/>
    </row>
    <row r="284" spans="1:48" s="37" customFormat="1" ht="21.75" customHeight="1">
      <c r="A284" s="98"/>
      <c r="B284" s="116">
        <v>85219</v>
      </c>
      <c r="C284" s="120"/>
      <c r="D284" s="56" t="s">
        <v>74</v>
      </c>
      <c r="E284" s="114">
        <f aca="true" t="shared" si="434" ref="E284:K284">SUM(E285:E300)</f>
        <v>870954</v>
      </c>
      <c r="F284" s="114">
        <f t="shared" si="434"/>
        <v>0</v>
      </c>
      <c r="G284" s="114">
        <f t="shared" si="434"/>
        <v>0</v>
      </c>
      <c r="H284" s="114">
        <f t="shared" si="434"/>
        <v>870954</v>
      </c>
      <c r="I284" s="114">
        <f t="shared" si="434"/>
        <v>2000</v>
      </c>
      <c r="J284" s="114">
        <f t="shared" si="434"/>
        <v>2000</v>
      </c>
      <c r="K284" s="114">
        <f t="shared" si="434"/>
        <v>870954</v>
      </c>
      <c r="L284" s="114">
        <f aca="true" t="shared" si="435" ref="L284:Q284">SUM(L285:L300)</f>
        <v>0</v>
      </c>
      <c r="M284" s="114">
        <f t="shared" si="435"/>
        <v>0</v>
      </c>
      <c r="N284" s="114">
        <f t="shared" si="435"/>
        <v>870954</v>
      </c>
      <c r="O284" s="114">
        <f t="shared" si="435"/>
        <v>0</v>
      </c>
      <c r="P284" s="114">
        <f t="shared" si="435"/>
        <v>0</v>
      </c>
      <c r="Q284" s="114">
        <f t="shared" si="435"/>
        <v>870954</v>
      </c>
      <c r="R284" s="114">
        <f aca="true" t="shared" si="436" ref="R284:W284">SUM(R285:R300)</f>
        <v>27000</v>
      </c>
      <c r="S284" s="114">
        <f t="shared" si="436"/>
        <v>0</v>
      </c>
      <c r="T284" s="114">
        <f t="shared" si="436"/>
        <v>897954</v>
      </c>
      <c r="U284" s="114">
        <f t="shared" si="436"/>
        <v>0</v>
      </c>
      <c r="V284" s="114">
        <f t="shared" si="436"/>
        <v>0</v>
      </c>
      <c r="W284" s="114">
        <f t="shared" si="436"/>
        <v>897954</v>
      </c>
      <c r="X284" s="114">
        <f aca="true" t="shared" si="437" ref="X284:AC284">SUM(X285:X300)</f>
        <v>0</v>
      </c>
      <c r="Y284" s="114">
        <f t="shared" si="437"/>
        <v>0</v>
      </c>
      <c r="Z284" s="114">
        <f t="shared" si="437"/>
        <v>897954</v>
      </c>
      <c r="AA284" s="114">
        <f t="shared" si="437"/>
        <v>1495</v>
      </c>
      <c r="AB284" s="114">
        <f t="shared" si="437"/>
        <v>2436</v>
      </c>
      <c r="AC284" s="114">
        <f t="shared" si="437"/>
        <v>897013</v>
      </c>
      <c r="AD284" s="114">
        <f aca="true" t="shared" si="438" ref="AD284:AI284">SUM(AD285:AD300)</f>
        <v>0</v>
      </c>
      <c r="AE284" s="114">
        <f t="shared" si="438"/>
        <v>0</v>
      </c>
      <c r="AF284" s="114">
        <f t="shared" si="438"/>
        <v>897013</v>
      </c>
      <c r="AG284" s="114">
        <f t="shared" si="438"/>
        <v>20109</v>
      </c>
      <c r="AH284" s="114">
        <f t="shared" si="438"/>
        <v>12953</v>
      </c>
      <c r="AI284" s="114">
        <f t="shared" si="438"/>
        <v>904169</v>
      </c>
      <c r="AJ284" s="114">
        <f aca="true" t="shared" si="439" ref="AJ284:AO284">SUM(AJ285:AJ300)</f>
        <v>0</v>
      </c>
      <c r="AK284" s="114">
        <f t="shared" si="439"/>
        <v>0</v>
      </c>
      <c r="AL284" s="114">
        <f t="shared" si="439"/>
        <v>904169</v>
      </c>
      <c r="AM284" s="114">
        <f t="shared" si="439"/>
        <v>0</v>
      </c>
      <c r="AN284" s="114">
        <f t="shared" si="439"/>
        <v>0</v>
      </c>
      <c r="AO284" s="114">
        <f t="shared" si="439"/>
        <v>904169</v>
      </c>
      <c r="AP284" s="114">
        <f aca="true" t="shared" si="440" ref="AP284:AU284">SUM(AP285:AP300)</f>
        <v>0</v>
      </c>
      <c r="AQ284" s="114">
        <f t="shared" si="440"/>
        <v>0</v>
      </c>
      <c r="AR284" s="114">
        <f t="shared" si="440"/>
        <v>904169</v>
      </c>
      <c r="AS284" s="114">
        <f t="shared" si="440"/>
        <v>24916</v>
      </c>
      <c r="AT284" s="114">
        <f t="shared" si="440"/>
        <v>4766</v>
      </c>
      <c r="AU284" s="114">
        <f t="shared" si="440"/>
        <v>924319</v>
      </c>
      <c r="AV284" s="339"/>
    </row>
    <row r="285" spans="1:48" s="37" customFormat="1" ht="21" customHeight="1">
      <c r="A285" s="98"/>
      <c r="B285" s="116"/>
      <c r="C285" s="120">
        <v>3020</v>
      </c>
      <c r="D285" s="56" t="s">
        <v>293</v>
      </c>
      <c r="E285" s="114">
        <v>1400</v>
      </c>
      <c r="F285" s="119"/>
      <c r="G285" s="119"/>
      <c r="H285" s="126">
        <f aca="true" t="shared" si="441" ref="H285:H300">SUM(E285+F285-G285)</f>
        <v>1400</v>
      </c>
      <c r="I285" s="119"/>
      <c r="J285" s="119"/>
      <c r="K285" s="126">
        <f aca="true" t="shared" si="442" ref="K285:K300">SUM(H285+I285-J285)</f>
        <v>1400</v>
      </c>
      <c r="L285" s="119"/>
      <c r="M285" s="119"/>
      <c r="N285" s="126">
        <f aca="true" t="shared" si="443" ref="N285:N300">SUM(K285+L285-M285)</f>
        <v>1400</v>
      </c>
      <c r="O285" s="119"/>
      <c r="P285" s="119"/>
      <c r="Q285" s="126">
        <f aca="true" t="shared" si="444" ref="Q285:Q300">SUM(N285+O285-P285)</f>
        <v>1400</v>
      </c>
      <c r="R285" s="119"/>
      <c r="S285" s="119"/>
      <c r="T285" s="126">
        <f aca="true" t="shared" si="445" ref="T285:T300">SUM(Q285+R285-S285)</f>
        <v>1400</v>
      </c>
      <c r="U285" s="119"/>
      <c r="V285" s="119"/>
      <c r="W285" s="126">
        <f aca="true" t="shared" si="446" ref="W285:W300">SUM(T285+U285-V285)</f>
        <v>1400</v>
      </c>
      <c r="X285" s="119"/>
      <c r="Y285" s="119"/>
      <c r="Z285" s="126">
        <f aca="true" t="shared" si="447" ref="Z285:Z300">SUM(W285+X285-Y285)</f>
        <v>1400</v>
      </c>
      <c r="AA285" s="119"/>
      <c r="AB285" s="119"/>
      <c r="AC285" s="126">
        <f aca="true" t="shared" si="448" ref="AC285:AC300">SUM(Z285+AA285-AB285)</f>
        <v>1400</v>
      </c>
      <c r="AD285" s="119"/>
      <c r="AE285" s="119"/>
      <c r="AF285" s="126">
        <f aca="true" t="shared" si="449" ref="AF285:AF300">SUM(AC285+AD285-AE285)</f>
        <v>1400</v>
      </c>
      <c r="AG285" s="119">
        <v>864</v>
      </c>
      <c r="AH285" s="119"/>
      <c r="AI285" s="126">
        <f aca="true" t="shared" si="450" ref="AI285:AI300">SUM(AF285+AG285-AH285)</f>
        <v>2264</v>
      </c>
      <c r="AJ285" s="119"/>
      <c r="AK285" s="119"/>
      <c r="AL285" s="126">
        <f aca="true" t="shared" si="451" ref="AL285:AL300">SUM(AI285+AJ285-AK285)</f>
        <v>2264</v>
      </c>
      <c r="AM285" s="119"/>
      <c r="AN285" s="119"/>
      <c r="AO285" s="126">
        <f aca="true" t="shared" si="452" ref="AO285:AO300">SUM(AL285+AM285-AN285)</f>
        <v>2264</v>
      </c>
      <c r="AP285" s="119"/>
      <c r="AQ285" s="119"/>
      <c r="AR285" s="126">
        <f aca="true" t="shared" si="453" ref="AR285:AR300">SUM(AO285+AP285-AQ285)</f>
        <v>2264</v>
      </c>
      <c r="AS285" s="119"/>
      <c r="AT285" s="119">
        <v>142</v>
      </c>
      <c r="AU285" s="126">
        <f aca="true" t="shared" si="454" ref="AU285:AU300">SUM(AR285+AS285-AT285)</f>
        <v>2122</v>
      </c>
      <c r="AV285" s="337"/>
    </row>
    <row r="286" spans="1:48" s="37" customFormat="1" ht="21" customHeight="1">
      <c r="A286" s="98"/>
      <c r="B286" s="116"/>
      <c r="C286" s="120">
        <v>4010</v>
      </c>
      <c r="D286" s="56" t="s">
        <v>101</v>
      </c>
      <c r="E286" s="114">
        <v>432615</v>
      </c>
      <c r="F286" s="119"/>
      <c r="G286" s="119"/>
      <c r="H286" s="126">
        <f t="shared" si="441"/>
        <v>432615</v>
      </c>
      <c r="I286" s="119"/>
      <c r="J286" s="119"/>
      <c r="K286" s="126">
        <f t="shared" si="442"/>
        <v>432615</v>
      </c>
      <c r="L286" s="119"/>
      <c r="M286" s="119"/>
      <c r="N286" s="126">
        <f t="shared" si="443"/>
        <v>432615</v>
      </c>
      <c r="O286" s="119"/>
      <c r="P286" s="119"/>
      <c r="Q286" s="126">
        <f t="shared" si="444"/>
        <v>432615</v>
      </c>
      <c r="R286" s="119">
        <v>22680</v>
      </c>
      <c r="S286" s="119"/>
      <c r="T286" s="126">
        <f t="shared" si="445"/>
        <v>455295</v>
      </c>
      <c r="U286" s="119"/>
      <c r="V286" s="119"/>
      <c r="W286" s="126">
        <f t="shared" si="446"/>
        <v>455295</v>
      </c>
      <c r="X286" s="119"/>
      <c r="Y286" s="119"/>
      <c r="Z286" s="126">
        <f t="shared" si="447"/>
        <v>455295</v>
      </c>
      <c r="AA286" s="119">
        <v>1411</v>
      </c>
      <c r="AB286" s="119"/>
      <c r="AC286" s="126">
        <f t="shared" si="448"/>
        <v>456706</v>
      </c>
      <c r="AD286" s="119"/>
      <c r="AE286" s="119"/>
      <c r="AF286" s="126">
        <f t="shared" si="449"/>
        <v>456706</v>
      </c>
      <c r="AG286" s="119">
        <f>1000</f>
        <v>1000</v>
      </c>
      <c r="AH286" s="119"/>
      <c r="AI286" s="126">
        <f t="shared" si="450"/>
        <v>457706</v>
      </c>
      <c r="AJ286" s="119"/>
      <c r="AK286" s="119"/>
      <c r="AL286" s="126">
        <f t="shared" si="451"/>
        <v>457706</v>
      </c>
      <c r="AM286" s="119"/>
      <c r="AN286" s="119"/>
      <c r="AO286" s="126">
        <f t="shared" si="452"/>
        <v>457706</v>
      </c>
      <c r="AP286" s="119"/>
      <c r="AQ286" s="119"/>
      <c r="AR286" s="126">
        <f t="shared" si="453"/>
        <v>457706</v>
      </c>
      <c r="AS286" s="119"/>
      <c r="AT286" s="119"/>
      <c r="AU286" s="126">
        <f t="shared" si="454"/>
        <v>457706</v>
      </c>
      <c r="AV286" s="337">
        <f>SUM(AU286)</f>
        <v>457706</v>
      </c>
    </row>
    <row r="287" spans="1:48" s="37" customFormat="1" ht="21" customHeight="1">
      <c r="A287" s="98"/>
      <c r="B287" s="116"/>
      <c r="C287" s="120">
        <v>4040</v>
      </c>
      <c r="D287" s="56" t="s">
        <v>102</v>
      </c>
      <c r="E287" s="114">
        <v>34520</v>
      </c>
      <c r="F287" s="119"/>
      <c r="G287" s="119"/>
      <c r="H287" s="126">
        <f t="shared" si="441"/>
        <v>34520</v>
      </c>
      <c r="I287" s="119"/>
      <c r="J287" s="119"/>
      <c r="K287" s="126">
        <f t="shared" si="442"/>
        <v>34520</v>
      </c>
      <c r="L287" s="119"/>
      <c r="M287" s="119"/>
      <c r="N287" s="126">
        <f t="shared" si="443"/>
        <v>34520</v>
      </c>
      <c r="O287" s="119"/>
      <c r="P287" s="119"/>
      <c r="Q287" s="126">
        <f t="shared" si="444"/>
        <v>34520</v>
      </c>
      <c r="R287" s="119"/>
      <c r="S287" s="119"/>
      <c r="T287" s="126">
        <f t="shared" si="445"/>
        <v>34520</v>
      </c>
      <c r="U287" s="119"/>
      <c r="V287" s="119"/>
      <c r="W287" s="126">
        <f t="shared" si="446"/>
        <v>34520</v>
      </c>
      <c r="X287" s="119"/>
      <c r="Y287" s="119"/>
      <c r="Z287" s="126">
        <f t="shared" si="447"/>
        <v>34520</v>
      </c>
      <c r="AA287" s="119"/>
      <c r="AB287" s="119">
        <v>13</v>
      </c>
      <c r="AC287" s="126">
        <f t="shared" si="448"/>
        <v>34507</v>
      </c>
      <c r="AD287" s="119"/>
      <c r="AE287" s="119"/>
      <c r="AF287" s="126">
        <f t="shared" si="449"/>
        <v>34507</v>
      </c>
      <c r="AG287" s="119"/>
      <c r="AH287" s="119">
        <f>1017+271</f>
        <v>1288</v>
      </c>
      <c r="AI287" s="126">
        <f t="shared" si="450"/>
        <v>33219</v>
      </c>
      <c r="AJ287" s="119"/>
      <c r="AK287" s="119"/>
      <c r="AL287" s="126">
        <f t="shared" si="451"/>
        <v>33219</v>
      </c>
      <c r="AM287" s="119"/>
      <c r="AN287" s="119"/>
      <c r="AO287" s="126">
        <f t="shared" si="452"/>
        <v>33219</v>
      </c>
      <c r="AP287" s="119"/>
      <c r="AQ287" s="119"/>
      <c r="AR287" s="126">
        <f t="shared" si="453"/>
        <v>33219</v>
      </c>
      <c r="AS287" s="119"/>
      <c r="AT287" s="119"/>
      <c r="AU287" s="126">
        <f t="shared" si="454"/>
        <v>33219</v>
      </c>
      <c r="AV287" s="337">
        <f>SUM(AU287)</f>
        <v>33219</v>
      </c>
    </row>
    <row r="288" spans="1:48" s="37" customFormat="1" ht="21" customHeight="1">
      <c r="A288" s="98"/>
      <c r="B288" s="116"/>
      <c r="C288" s="120">
        <v>4110</v>
      </c>
      <c r="D288" s="56" t="s">
        <v>103</v>
      </c>
      <c r="E288" s="114">
        <v>83178</v>
      </c>
      <c r="F288" s="119"/>
      <c r="G288" s="119"/>
      <c r="H288" s="126">
        <f t="shared" si="441"/>
        <v>83178</v>
      </c>
      <c r="I288" s="119"/>
      <c r="J288" s="119"/>
      <c r="K288" s="126">
        <f t="shared" si="442"/>
        <v>83178</v>
      </c>
      <c r="L288" s="119"/>
      <c r="M288" s="119"/>
      <c r="N288" s="126">
        <f t="shared" si="443"/>
        <v>83178</v>
      </c>
      <c r="O288" s="119"/>
      <c r="P288" s="119"/>
      <c r="Q288" s="126">
        <f t="shared" si="444"/>
        <v>83178</v>
      </c>
      <c r="R288" s="119">
        <v>4000</v>
      </c>
      <c r="S288" s="119"/>
      <c r="T288" s="126">
        <f t="shared" si="445"/>
        <v>87178</v>
      </c>
      <c r="U288" s="119"/>
      <c r="V288" s="119"/>
      <c r="W288" s="126">
        <f t="shared" si="446"/>
        <v>87178</v>
      </c>
      <c r="X288" s="119"/>
      <c r="Y288" s="119"/>
      <c r="Z288" s="126">
        <f t="shared" si="447"/>
        <v>87178</v>
      </c>
      <c r="AA288" s="119">
        <v>56</v>
      </c>
      <c r="AB288" s="119"/>
      <c r="AC288" s="126">
        <f t="shared" si="448"/>
        <v>87234</v>
      </c>
      <c r="AD288" s="119"/>
      <c r="AE288" s="119"/>
      <c r="AF288" s="126">
        <f t="shared" si="449"/>
        <v>87234</v>
      </c>
      <c r="AG288" s="119"/>
      <c r="AH288" s="119">
        <v>4053</v>
      </c>
      <c r="AI288" s="126">
        <f t="shared" si="450"/>
        <v>83181</v>
      </c>
      <c r="AJ288" s="119"/>
      <c r="AK288" s="119"/>
      <c r="AL288" s="126">
        <f t="shared" si="451"/>
        <v>83181</v>
      </c>
      <c r="AM288" s="119"/>
      <c r="AN288" s="119"/>
      <c r="AO288" s="126">
        <f t="shared" si="452"/>
        <v>83181</v>
      </c>
      <c r="AP288" s="119"/>
      <c r="AQ288" s="119"/>
      <c r="AR288" s="126">
        <f t="shared" si="453"/>
        <v>83181</v>
      </c>
      <c r="AS288" s="119"/>
      <c r="AT288" s="119"/>
      <c r="AU288" s="126">
        <f t="shared" si="454"/>
        <v>83181</v>
      </c>
      <c r="AV288" s="337">
        <f>SUM(AU288)</f>
        <v>83181</v>
      </c>
    </row>
    <row r="289" spans="1:48" s="37" customFormat="1" ht="21" customHeight="1">
      <c r="A289" s="98"/>
      <c r="B289" s="116"/>
      <c r="C289" s="120">
        <v>4120</v>
      </c>
      <c r="D289" s="56" t="s">
        <v>104</v>
      </c>
      <c r="E289" s="114">
        <v>11445</v>
      </c>
      <c r="F289" s="119"/>
      <c r="G289" s="119"/>
      <c r="H289" s="126">
        <f t="shared" si="441"/>
        <v>11445</v>
      </c>
      <c r="I289" s="119"/>
      <c r="J289" s="119"/>
      <c r="K289" s="126">
        <f t="shared" si="442"/>
        <v>11445</v>
      </c>
      <c r="L289" s="119"/>
      <c r="M289" s="119"/>
      <c r="N289" s="126">
        <f t="shared" si="443"/>
        <v>11445</v>
      </c>
      <c r="O289" s="119"/>
      <c r="P289" s="119"/>
      <c r="Q289" s="126">
        <f t="shared" si="444"/>
        <v>11445</v>
      </c>
      <c r="R289" s="119">
        <v>320</v>
      </c>
      <c r="S289" s="119"/>
      <c r="T289" s="126">
        <f t="shared" si="445"/>
        <v>11765</v>
      </c>
      <c r="U289" s="119"/>
      <c r="V289" s="119"/>
      <c r="W289" s="126">
        <f t="shared" si="446"/>
        <v>11765</v>
      </c>
      <c r="X289" s="119"/>
      <c r="Y289" s="119"/>
      <c r="Z289" s="126">
        <f t="shared" si="447"/>
        <v>11765</v>
      </c>
      <c r="AA289" s="119">
        <v>8</v>
      </c>
      <c r="AB289" s="119"/>
      <c r="AC289" s="126">
        <f t="shared" si="448"/>
        <v>11773</v>
      </c>
      <c r="AD289" s="119"/>
      <c r="AE289" s="119"/>
      <c r="AF289" s="126">
        <f t="shared" si="449"/>
        <v>11773</v>
      </c>
      <c r="AG289" s="119"/>
      <c r="AH289" s="119">
        <v>596</v>
      </c>
      <c r="AI289" s="126">
        <f t="shared" si="450"/>
        <v>11177</v>
      </c>
      <c r="AJ289" s="119"/>
      <c r="AK289" s="119"/>
      <c r="AL289" s="126">
        <f t="shared" si="451"/>
        <v>11177</v>
      </c>
      <c r="AM289" s="119"/>
      <c r="AN289" s="119"/>
      <c r="AO289" s="126">
        <f t="shared" si="452"/>
        <v>11177</v>
      </c>
      <c r="AP289" s="119"/>
      <c r="AQ289" s="119"/>
      <c r="AR289" s="126">
        <f t="shared" si="453"/>
        <v>11177</v>
      </c>
      <c r="AS289" s="119"/>
      <c r="AT289" s="119"/>
      <c r="AU289" s="126">
        <f t="shared" si="454"/>
        <v>11177</v>
      </c>
      <c r="AV289" s="337">
        <f>SUM(AU289)</f>
        <v>11177</v>
      </c>
    </row>
    <row r="290" spans="1:48" s="37" customFormat="1" ht="21" customHeight="1">
      <c r="A290" s="98"/>
      <c r="B290" s="116"/>
      <c r="C290" s="120">
        <v>4170</v>
      </c>
      <c r="D290" s="56" t="s">
        <v>252</v>
      </c>
      <c r="E290" s="114">
        <v>24700</v>
      </c>
      <c r="F290" s="119"/>
      <c r="G290" s="119"/>
      <c r="H290" s="126">
        <f t="shared" si="441"/>
        <v>24700</v>
      </c>
      <c r="I290" s="119"/>
      <c r="J290" s="119"/>
      <c r="K290" s="126">
        <f t="shared" si="442"/>
        <v>24700</v>
      </c>
      <c r="L290" s="119"/>
      <c r="M290" s="119"/>
      <c r="N290" s="126">
        <f t="shared" si="443"/>
        <v>24700</v>
      </c>
      <c r="O290" s="119"/>
      <c r="P290" s="119"/>
      <c r="Q290" s="126">
        <f t="shared" si="444"/>
        <v>24700</v>
      </c>
      <c r="R290" s="119"/>
      <c r="S290" s="119"/>
      <c r="T290" s="126">
        <f t="shared" si="445"/>
        <v>24700</v>
      </c>
      <c r="U290" s="119"/>
      <c r="V290" s="119"/>
      <c r="W290" s="126">
        <f t="shared" si="446"/>
        <v>24700</v>
      </c>
      <c r="X290" s="119"/>
      <c r="Y290" s="119"/>
      <c r="Z290" s="126">
        <f t="shared" si="447"/>
        <v>24700</v>
      </c>
      <c r="AA290" s="119"/>
      <c r="AB290" s="119"/>
      <c r="AC290" s="126">
        <f t="shared" si="448"/>
        <v>24700</v>
      </c>
      <c r="AD290" s="119"/>
      <c r="AE290" s="119"/>
      <c r="AF290" s="126">
        <f t="shared" si="449"/>
        <v>24700</v>
      </c>
      <c r="AG290" s="119"/>
      <c r="AH290" s="119">
        <v>2000</v>
      </c>
      <c r="AI290" s="126">
        <f t="shared" si="450"/>
        <v>22700</v>
      </c>
      <c r="AJ290" s="119"/>
      <c r="AK290" s="119"/>
      <c r="AL290" s="126">
        <f t="shared" si="451"/>
        <v>22700</v>
      </c>
      <c r="AM290" s="119"/>
      <c r="AN290" s="119"/>
      <c r="AO290" s="126">
        <f t="shared" si="452"/>
        <v>22700</v>
      </c>
      <c r="AP290" s="119"/>
      <c r="AQ290" s="119"/>
      <c r="AR290" s="126">
        <f t="shared" si="453"/>
        <v>22700</v>
      </c>
      <c r="AS290" s="119">
        <v>1258</v>
      </c>
      <c r="AT290" s="119"/>
      <c r="AU290" s="126">
        <f t="shared" si="454"/>
        <v>23958</v>
      </c>
      <c r="AV290" s="337">
        <f>SUM(AU290)</f>
        <v>23958</v>
      </c>
    </row>
    <row r="291" spans="1:48" s="37" customFormat="1" ht="21" customHeight="1">
      <c r="A291" s="98"/>
      <c r="B291" s="116"/>
      <c r="C291" s="120">
        <v>4210</v>
      </c>
      <c r="D291" s="56" t="s">
        <v>109</v>
      </c>
      <c r="E291" s="114">
        <v>31600</v>
      </c>
      <c r="F291" s="119"/>
      <c r="G291" s="119"/>
      <c r="H291" s="126">
        <f t="shared" si="441"/>
        <v>31600</v>
      </c>
      <c r="I291" s="119"/>
      <c r="J291" s="119">
        <v>2000</v>
      </c>
      <c r="K291" s="126">
        <f t="shared" si="442"/>
        <v>29600</v>
      </c>
      <c r="L291" s="119"/>
      <c r="M291" s="119"/>
      <c r="N291" s="126">
        <f t="shared" si="443"/>
        <v>29600</v>
      </c>
      <c r="O291" s="119"/>
      <c r="P291" s="119"/>
      <c r="Q291" s="126">
        <f t="shared" si="444"/>
        <v>29600</v>
      </c>
      <c r="R291" s="119"/>
      <c r="S291" s="119"/>
      <c r="T291" s="126">
        <f t="shared" si="445"/>
        <v>29600</v>
      </c>
      <c r="U291" s="119"/>
      <c r="V291" s="119"/>
      <c r="W291" s="126">
        <f t="shared" si="446"/>
        <v>29600</v>
      </c>
      <c r="X291" s="119"/>
      <c r="Y291" s="119"/>
      <c r="Z291" s="126">
        <f t="shared" si="447"/>
        <v>29600</v>
      </c>
      <c r="AA291" s="119"/>
      <c r="AB291" s="119"/>
      <c r="AC291" s="126">
        <f t="shared" si="448"/>
        <v>29600</v>
      </c>
      <c r="AD291" s="119"/>
      <c r="AE291" s="119"/>
      <c r="AF291" s="126">
        <f t="shared" si="449"/>
        <v>29600</v>
      </c>
      <c r="AG291" s="119">
        <f>3950+933</f>
        <v>4883</v>
      </c>
      <c r="AH291" s="119"/>
      <c r="AI291" s="126">
        <f t="shared" si="450"/>
        <v>34483</v>
      </c>
      <c r="AJ291" s="119"/>
      <c r="AK291" s="119"/>
      <c r="AL291" s="126">
        <f t="shared" si="451"/>
        <v>34483</v>
      </c>
      <c r="AM291" s="119"/>
      <c r="AN291" s="119"/>
      <c r="AO291" s="126">
        <f t="shared" si="452"/>
        <v>34483</v>
      </c>
      <c r="AP291" s="119"/>
      <c r="AQ291" s="119"/>
      <c r="AR291" s="126">
        <f t="shared" si="453"/>
        <v>34483</v>
      </c>
      <c r="AS291" s="119">
        <f>1500+1611</f>
        <v>3111</v>
      </c>
      <c r="AT291" s="119"/>
      <c r="AU291" s="126">
        <f t="shared" si="454"/>
        <v>37594</v>
      </c>
      <c r="AV291" s="337"/>
    </row>
    <row r="292" spans="1:48" s="37" customFormat="1" ht="21" customHeight="1">
      <c r="A292" s="98"/>
      <c r="B292" s="116"/>
      <c r="C292" s="120">
        <v>4220</v>
      </c>
      <c r="D292" s="56" t="s">
        <v>226</v>
      </c>
      <c r="E292" s="114">
        <v>65000</v>
      </c>
      <c r="F292" s="119"/>
      <c r="G292" s="119"/>
      <c r="H292" s="126">
        <f t="shared" si="441"/>
        <v>65000</v>
      </c>
      <c r="I292" s="119"/>
      <c r="J292" s="119"/>
      <c r="K292" s="126">
        <f t="shared" si="442"/>
        <v>65000</v>
      </c>
      <c r="L292" s="119"/>
      <c r="M292" s="119"/>
      <c r="N292" s="126">
        <f t="shared" si="443"/>
        <v>65000</v>
      </c>
      <c r="O292" s="119"/>
      <c r="P292" s="119"/>
      <c r="Q292" s="126">
        <f t="shared" si="444"/>
        <v>65000</v>
      </c>
      <c r="R292" s="119"/>
      <c r="S292" s="119"/>
      <c r="T292" s="126">
        <f t="shared" si="445"/>
        <v>65000</v>
      </c>
      <c r="U292" s="119"/>
      <c r="V292" s="119"/>
      <c r="W292" s="126">
        <f t="shared" si="446"/>
        <v>65000</v>
      </c>
      <c r="X292" s="119"/>
      <c r="Y292" s="119"/>
      <c r="Z292" s="126">
        <f t="shared" si="447"/>
        <v>65000</v>
      </c>
      <c r="AA292" s="119"/>
      <c r="AB292" s="119"/>
      <c r="AC292" s="126">
        <f t="shared" si="448"/>
        <v>65000</v>
      </c>
      <c r="AD292" s="119"/>
      <c r="AE292" s="119"/>
      <c r="AF292" s="126">
        <f t="shared" si="449"/>
        <v>65000</v>
      </c>
      <c r="AG292" s="119"/>
      <c r="AH292" s="119"/>
      <c r="AI292" s="126">
        <f t="shared" si="450"/>
        <v>65000</v>
      </c>
      <c r="AJ292" s="119"/>
      <c r="AK292" s="119"/>
      <c r="AL292" s="126">
        <f t="shared" si="451"/>
        <v>65000</v>
      </c>
      <c r="AM292" s="119"/>
      <c r="AN292" s="119"/>
      <c r="AO292" s="126">
        <f t="shared" si="452"/>
        <v>65000</v>
      </c>
      <c r="AP292" s="119"/>
      <c r="AQ292" s="119"/>
      <c r="AR292" s="126">
        <f t="shared" si="453"/>
        <v>65000</v>
      </c>
      <c r="AS292" s="119"/>
      <c r="AT292" s="119"/>
      <c r="AU292" s="126">
        <f t="shared" si="454"/>
        <v>65000</v>
      </c>
      <c r="AV292" s="337"/>
    </row>
    <row r="293" spans="1:48" s="37" customFormat="1" ht="21" customHeight="1">
      <c r="A293" s="98"/>
      <c r="B293" s="116"/>
      <c r="C293" s="120">
        <v>4260</v>
      </c>
      <c r="D293" s="56" t="s">
        <v>112</v>
      </c>
      <c r="E293" s="114">
        <v>10560</v>
      </c>
      <c r="F293" s="119"/>
      <c r="G293" s="119"/>
      <c r="H293" s="126">
        <f t="shared" si="441"/>
        <v>10560</v>
      </c>
      <c r="I293" s="119"/>
      <c r="J293" s="119"/>
      <c r="K293" s="126">
        <f t="shared" si="442"/>
        <v>10560</v>
      </c>
      <c r="L293" s="119"/>
      <c r="M293" s="119"/>
      <c r="N293" s="126">
        <f t="shared" si="443"/>
        <v>10560</v>
      </c>
      <c r="O293" s="119"/>
      <c r="P293" s="119"/>
      <c r="Q293" s="126">
        <f t="shared" si="444"/>
        <v>10560</v>
      </c>
      <c r="R293" s="119"/>
      <c r="S293" s="119"/>
      <c r="T293" s="126">
        <f t="shared" si="445"/>
        <v>10560</v>
      </c>
      <c r="U293" s="119"/>
      <c r="V293" s="119"/>
      <c r="W293" s="126">
        <f t="shared" si="446"/>
        <v>10560</v>
      </c>
      <c r="X293" s="119"/>
      <c r="Y293" s="119"/>
      <c r="Z293" s="126">
        <f t="shared" si="447"/>
        <v>10560</v>
      </c>
      <c r="AA293" s="119"/>
      <c r="AB293" s="119"/>
      <c r="AC293" s="126">
        <f t="shared" si="448"/>
        <v>10560</v>
      </c>
      <c r="AD293" s="119"/>
      <c r="AE293" s="119"/>
      <c r="AF293" s="126">
        <f t="shared" si="449"/>
        <v>10560</v>
      </c>
      <c r="AG293" s="119"/>
      <c r="AH293" s="119">
        <f>1660+760</f>
        <v>2420</v>
      </c>
      <c r="AI293" s="126">
        <f t="shared" si="450"/>
        <v>8140</v>
      </c>
      <c r="AJ293" s="119"/>
      <c r="AK293" s="119"/>
      <c r="AL293" s="126">
        <f t="shared" si="451"/>
        <v>8140</v>
      </c>
      <c r="AM293" s="119"/>
      <c r="AN293" s="119"/>
      <c r="AO293" s="126">
        <f t="shared" si="452"/>
        <v>8140</v>
      </c>
      <c r="AP293" s="119"/>
      <c r="AQ293" s="119"/>
      <c r="AR293" s="126">
        <f t="shared" si="453"/>
        <v>8140</v>
      </c>
      <c r="AS293" s="119">
        <v>200</v>
      </c>
      <c r="AT293" s="119"/>
      <c r="AU293" s="126">
        <f t="shared" si="454"/>
        <v>8340</v>
      </c>
      <c r="AV293" s="337"/>
    </row>
    <row r="294" spans="1:48" s="37" customFormat="1" ht="21" customHeight="1">
      <c r="A294" s="98"/>
      <c r="B294" s="116"/>
      <c r="C294" s="120">
        <v>4270</v>
      </c>
      <c r="D294" s="56" t="s">
        <v>95</v>
      </c>
      <c r="E294" s="114"/>
      <c r="F294" s="119"/>
      <c r="G294" s="119"/>
      <c r="H294" s="126">
        <v>0</v>
      </c>
      <c r="I294" s="119">
        <v>2000</v>
      </c>
      <c r="J294" s="119"/>
      <c r="K294" s="126">
        <f t="shared" si="442"/>
        <v>2000</v>
      </c>
      <c r="L294" s="119"/>
      <c r="M294" s="119"/>
      <c r="N294" s="126">
        <f t="shared" si="443"/>
        <v>2000</v>
      </c>
      <c r="O294" s="119"/>
      <c r="P294" s="119"/>
      <c r="Q294" s="126">
        <f t="shared" si="444"/>
        <v>2000</v>
      </c>
      <c r="R294" s="119"/>
      <c r="S294" s="119"/>
      <c r="T294" s="126">
        <f t="shared" si="445"/>
        <v>2000</v>
      </c>
      <c r="U294" s="119"/>
      <c r="V294" s="119"/>
      <c r="W294" s="126">
        <f t="shared" si="446"/>
        <v>2000</v>
      </c>
      <c r="X294" s="119"/>
      <c r="Y294" s="119"/>
      <c r="Z294" s="126">
        <f t="shared" si="447"/>
        <v>2000</v>
      </c>
      <c r="AA294" s="119"/>
      <c r="AB294" s="119"/>
      <c r="AC294" s="126">
        <f t="shared" si="448"/>
        <v>2000</v>
      </c>
      <c r="AD294" s="119"/>
      <c r="AE294" s="119"/>
      <c r="AF294" s="126">
        <f t="shared" si="449"/>
        <v>2000</v>
      </c>
      <c r="AG294" s="119"/>
      <c r="AH294" s="119">
        <v>1300</v>
      </c>
      <c r="AI294" s="126">
        <f t="shared" si="450"/>
        <v>700</v>
      </c>
      <c r="AJ294" s="119"/>
      <c r="AK294" s="119"/>
      <c r="AL294" s="126">
        <f t="shared" si="451"/>
        <v>700</v>
      </c>
      <c r="AM294" s="119"/>
      <c r="AN294" s="119"/>
      <c r="AO294" s="126">
        <f t="shared" si="452"/>
        <v>700</v>
      </c>
      <c r="AP294" s="119"/>
      <c r="AQ294" s="119"/>
      <c r="AR294" s="126">
        <f t="shared" si="453"/>
        <v>700</v>
      </c>
      <c r="AS294" s="119">
        <v>97</v>
      </c>
      <c r="AT294" s="119"/>
      <c r="AU294" s="126">
        <f t="shared" si="454"/>
        <v>797</v>
      </c>
      <c r="AV294" s="337"/>
    </row>
    <row r="295" spans="1:48" s="37" customFormat="1" ht="21" customHeight="1">
      <c r="A295" s="98"/>
      <c r="B295" s="116"/>
      <c r="C295" s="120">
        <v>4280</v>
      </c>
      <c r="D295" s="56" t="s">
        <v>267</v>
      </c>
      <c r="E295" s="114">
        <v>1850</v>
      </c>
      <c r="F295" s="119"/>
      <c r="G295" s="119"/>
      <c r="H295" s="126">
        <f t="shared" si="441"/>
        <v>1850</v>
      </c>
      <c r="I295" s="119"/>
      <c r="J295" s="119"/>
      <c r="K295" s="126">
        <f t="shared" si="442"/>
        <v>1850</v>
      </c>
      <c r="L295" s="119"/>
      <c r="M295" s="119"/>
      <c r="N295" s="126">
        <f t="shared" si="443"/>
        <v>1850</v>
      </c>
      <c r="O295" s="119"/>
      <c r="P295" s="119"/>
      <c r="Q295" s="126">
        <f t="shared" si="444"/>
        <v>1850</v>
      </c>
      <c r="R295" s="119"/>
      <c r="S295" s="119"/>
      <c r="T295" s="126">
        <f t="shared" si="445"/>
        <v>1850</v>
      </c>
      <c r="U295" s="119"/>
      <c r="V295" s="119"/>
      <c r="W295" s="126">
        <f t="shared" si="446"/>
        <v>1850</v>
      </c>
      <c r="X295" s="119"/>
      <c r="Y295" s="119"/>
      <c r="Z295" s="126">
        <f t="shared" si="447"/>
        <v>1850</v>
      </c>
      <c r="AA295" s="119"/>
      <c r="AB295" s="119"/>
      <c r="AC295" s="126">
        <f t="shared" si="448"/>
        <v>1850</v>
      </c>
      <c r="AD295" s="119"/>
      <c r="AE295" s="119"/>
      <c r="AF295" s="126">
        <f t="shared" si="449"/>
        <v>1850</v>
      </c>
      <c r="AG295" s="119"/>
      <c r="AH295" s="119">
        <v>66</v>
      </c>
      <c r="AI295" s="126">
        <f t="shared" si="450"/>
        <v>1784</v>
      </c>
      <c r="AJ295" s="119"/>
      <c r="AK295" s="119"/>
      <c r="AL295" s="126">
        <f t="shared" si="451"/>
        <v>1784</v>
      </c>
      <c r="AM295" s="119"/>
      <c r="AN295" s="119"/>
      <c r="AO295" s="126">
        <f t="shared" si="452"/>
        <v>1784</v>
      </c>
      <c r="AP295" s="119"/>
      <c r="AQ295" s="119"/>
      <c r="AR295" s="126">
        <f t="shared" si="453"/>
        <v>1784</v>
      </c>
      <c r="AS295" s="119">
        <v>6</v>
      </c>
      <c r="AT295" s="119"/>
      <c r="AU295" s="126">
        <f t="shared" si="454"/>
        <v>1790</v>
      </c>
      <c r="AV295" s="337"/>
    </row>
    <row r="296" spans="1:48" s="37" customFormat="1" ht="21" customHeight="1">
      <c r="A296" s="98"/>
      <c r="B296" s="116"/>
      <c r="C296" s="120">
        <v>4300</v>
      </c>
      <c r="D296" s="56" t="s">
        <v>96</v>
      </c>
      <c r="E296" s="114">
        <v>151628</v>
      </c>
      <c r="F296" s="119"/>
      <c r="G296" s="119"/>
      <c r="H296" s="126">
        <f t="shared" si="441"/>
        <v>151628</v>
      </c>
      <c r="I296" s="119"/>
      <c r="J296" s="119"/>
      <c r="K296" s="126">
        <f t="shared" si="442"/>
        <v>151628</v>
      </c>
      <c r="L296" s="119"/>
      <c r="M296" s="119"/>
      <c r="N296" s="126">
        <f t="shared" si="443"/>
        <v>151628</v>
      </c>
      <c r="O296" s="119"/>
      <c r="P296" s="119"/>
      <c r="Q296" s="126">
        <f t="shared" si="444"/>
        <v>151628</v>
      </c>
      <c r="R296" s="119"/>
      <c r="S296" s="119"/>
      <c r="T296" s="126">
        <f t="shared" si="445"/>
        <v>151628</v>
      </c>
      <c r="U296" s="119"/>
      <c r="V296" s="119"/>
      <c r="W296" s="126">
        <f t="shared" si="446"/>
        <v>151628</v>
      </c>
      <c r="X296" s="119"/>
      <c r="Y296" s="119"/>
      <c r="Z296" s="126">
        <f t="shared" si="447"/>
        <v>151628</v>
      </c>
      <c r="AA296" s="119"/>
      <c r="AB296" s="119">
        <f>941+1482</f>
        <v>2423</v>
      </c>
      <c r="AC296" s="126">
        <f t="shared" si="448"/>
        <v>149205</v>
      </c>
      <c r="AD296" s="119"/>
      <c r="AE296" s="119"/>
      <c r="AF296" s="126">
        <f t="shared" si="449"/>
        <v>149205</v>
      </c>
      <c r="AG296" s="119">
        <f>5418+5095+1121+940</f>
        <v>12574</v>
      </c>
      <c r="AH296" s="119"/>
      <c r="AI296" s="126">
        <f t="shared" si="450"/>
        <v>161779</v>
      </c>
      <c r="AJ296" s="119"/>
      <c r="AK296" s="119"/>
      <c r="AL296" s="126">
        <f t="shared" si="451"/>
        <v>161779</v>
      </c>
      <c r="AM296" s="119"/>
      <c r="AN296" s="119"/>
      <c r="AO296" s="126">
        <f t="shared" si="452"/>
        <v>161779</v>
      </c>
      <c r="AP296" s="119"/>
      <c r="AQ296" s="119"/>
      <c r="AR296" s="126">
        <f t="shared" si="453"/>
        <v>161779</v>
      </c>
      <c r="AS296" s="119">
        <v>20150</v>
      </c>
      <c r="AT296" s="119">
        <f>1594+2800+200</f>
        <v>4594</v>
      </c>
      <c r="AU296" s="126">
        <f t="shared" si="454"/>
        <v>177335</v>
      </c>
      <c r="AV296" s="337"/>
    </row>
    <row r="297" spans="1:48" s="37" customFormat="1" ht="21" customHeight="1">
      <c r="A297" s="98"/>
      <c r="B297" s="116"/>
      <c r="C297" s="120">
        <v>4350</v>
      </c>
      <c r="D297" s="56" t="s">
        <v>286</v>
      </c>
      <c r="E297" s="114">
        <v>920</v>
      </c>
      <c r="F297" s="119"/>
      <c r="G297" s="119"/>
      <c r="H297" s="126">
        <f t="shared" si="441"/>
        <v>920</v>
      </c>
      <c r="I297" s="119"/>
      <c r="J297" s="119"/>
      <c r="K297" s="126">
        <f t="shared" si="442"/>
        <v>920</v>
      </c>
      <c r="L297" s="119"/>
      <c r="M297" s="119"/>
      <c r="N297" s="126">
        <f t="shared" si="443"/>
        <v>920</v>
      </c>
      <c r="O297" s="119"/>
      <c r="P297" s="119"/>
      <c r="Q297" s="126">
        <f t="shared" si="444"/>
        <v>920</v>
      </c>
      <c r="R297" s="119"/>
      <c r="S297" s="119"/>
      <c r="T297" s="126">
        <f t="shared" si="445"/>
        <v>920</v>
      </c>
      <c r="U297" s="119"/>
      <c r="V297" s="119"/>
      <c r="W297" s="126">
        <f t="shared" si="446"/>
        <v>920</v>
      </c>
      <c r="X297" s="119"/>
      <c r="Y297" s="119"/>
      <c r="Z297" s="126">
        <f t="shared" si="447"/>
        <v>920</v>
      </c>
      <c r="AA297" s="119"/>
      <c r="AB297" s="119"/>
      <c r="AC297" s="126">
        <f t="shared" si="448"/>
        <v>920</v>
      </c>
      <c r="AD297" s="119"/>
      <c r="AE297" s="119"/>
      <c r="AF297" s="126">
        <f t="shared" si="449"/>
        <v>920</v>
      </c>
      <c r="AG297" s="119"/>
      <c r="AH297" s="119">
        <v>305</v>
      </c>
      <c r="AI297" s="126">
        <f t="shared" si="450"/>
        <v>615</v>
      </c>
      <c r="AJ297" s="119"/>
      <c r="AK297" s="119"/>
      <c r="AL297" s="126">
        <f t="shared" si="451"/>
        <v>615</v>
      </c>
      <c r="AM297" s="119"/>
      <c r="AN297" s="119"/>
      <c r="AO297" s="126">
        <f t="shared" si="452"/>
        <v>615</v>
      </c>
      <c r="AP297" s="119"/>
      <c r="AQ297" s="119"/>
      <c r="AR297" s="126">
        <f t="shared" si="453"/>
        <v>615</v>
      </c>
      <c r="AS297" s="119"/>
      <c r="AT297" s="119"/>
      <c r="AU297" s="126">
        <f t="shared" si="454"/>
        <v>615</v>
      </c>
      <c r="AV297" s="337"/>
    </row>
    <row r="298" spans="1:48" s="37" customFormat="1" ht="21" customHeight="1">
      <c r="A298" s="98"/>
      <c r="B298" s="116"/>
      <c r="C298" s="120">
        <v>4410</v>
      </c>
      <c r="D298" s="56" t="s">
        <v>107</v>
      </c>
      <c r="E298" s="114">
        <v>5700</v>
      </c>
      <c r="F298" s="119"/>
      <c r="G298" s="119"/>
      <c r="H298" s="126">
        <f t="shared" si="441"/>
        <v>5700</v>
      </c>
      <c r="I298" s="119"/>
      <c r="J298" s="119"/>
      <c r="K298" s="126">
        <f t="shared" si="442"/>
        <v>5700</v>
      </c>
      <c r="L298" s="119"/>
      <c r="M298" s="119"/>
      <c r="N298" s="126">
        <f t="shared" si="443"/>
        <v>5700</v>
      </c>
      <c r="O298" s="119"/>
      <c r="P298" s="119"/>
      <c r="Q298" s="126">
        <f t="shared" si="444"/>
        <v>5700</v>
      </c>
      <c r="R298" s="119"/>
      <c r="S298" s="119"/>
      <c r="T298" s="126">
        <f t="shared" si="445"/>
        <v>5700</v>
      </c>
      <c r="U298" s="119"/>
      <c r="V298" s="119"/>
      <c r="W298" s="126">
        <f t="shared" si="446"/>
        <v>5700</v>
      </c>
      <c r="X298" s="119"/>
      <c r="Y298" s="119"/>
      <c r="Z298" s="126">
        <f t="shared" si="447"/>
        <v>5700</v>
      </c>
      <c r="AA298" s="119"/>
      <c r="AB298" s="119"/>
      <c r="AC298" s="126">
        <f t="shared" si="448"/>
        <v>5700</v>
      </c>
      <c r="AD298" s="119"/>
      <c r="AE298" s="119"/>
      <c r="AF298" s="126">
        <f t="shared" si="449"/>
        <v>5700</v>
      </c>
      <c r="AG298" s="119"/>
      <c r="AH298" s="119"/>
      <c r="AI298" s="126">
        <f t="shared" si="450"/>
        <v>5700</v>
      </c>
      <c r="AJ298" s="119"/>
      <c r="AK298" s="119"/>
      <c r="AL298" s="126">
        <f t="shared" si="451"/>
        <v>5700</v>
      </c>
      <c r="AM298" s="119"/>
      <c r="AN298" s="119"/>
      <c r="AO298" s="126">
        <f t="shared" si="452"/>
        <v>5700</v>
      </c>
      <c r="AP298" s="119"/>
      <c r="AQ298" s="119"/>
      <c r="AR298" s="126">
        <f t="shared" si="453"/>
        <v>5700</v>
      </c>
      <c r="AS298" s="119">
        <v>94</v>
      </c>
      <c r="AT298" s="119"/>
      <c r="AU298" s="126">
        <f t="shared" si="454"/>
        <v>5794</v>
      </c>
      <c r="AV298" s="337"/>
    </row>
    <row r="299" spans="1:48" s="37" customFormat="1" ht="21" customHeight="1">
      <c r="A299" s="98"/>
      <c r="B299" s="116"/>
      <c r="C299" s="120">
        <v>4430</v>
      </c>
      <c r="D299" s="56" t="s">
        <v>111</v>
      </c>
      <c r="E299" s="114">
        <v>1200</v>
      </c>
      <c r="F299" s="119"/>
      <c r="G299" s="119"/>
      <c r="H299" s="126">
        <f t="shared" si="441"/>
        <v>1200</v>
      </c>
      <c r="I299" s="119"/>
      <c r="J299" s="119"/>
      <c r="K299" s="126">
        <f t="shared" si="442"/>
        <v>1200</v>
      </c>
      <c r="L299" s="119"/>
      <c r="M299" s="119"/>
      <c r="N299" s="126">
        <f t="shared" si="443"/>
        <v>1200</v>
      </c>
      <c r="O299" s="119"/>
      <c r="P299" s="119"/>
      <c r="Q299" s="126">
        <f t="shared" si="444"/>
        <v>1200</v>
      </c>
      <c r="R299" s="119"/>
      <c r="S299" s="119"/>
      <c r="T299" s="126">
        <f t="shared" si="445"/>
        <v>1200</v>
      </c>
      <c r="U299" s="119"/>
      <c r="V299" s="119"/>
      <c r="W299" s="126">
        <f t="shared" si="446"/>
        <v>1200</v>
      </c>
      <c r="X299" s="119"/>
      <c r="Y299" s="119"/>
      <c r="Z299" s="126">
        <f t="shared" si="447"/>
        <v>1200</v>
      </c>
      <c r="AA299" s="119"/>
      <c r="AB299" s="119"/>
      <c r="AC299" s="126">
        <f t="shared" si="448"/>
        <v>1200</v>
      </c>
      <c r="AD299" s="119"/>
      <c r="AE299" s="119"/>
      <c r="AF299" s="126">
        <f t="shared" si="449"/>
        <v>1200</v>
      </c>
      <c r="AG299" s="119"/>
      <c r="AH299" s="119">
        <v>925</v>
      </c>
      <c r="AI299" s="126">
        <f t="shared" si="450"/>
        <v>275</v>
      </c>
      <c r="AJ299" s="119"/>
      <c r="AK299" s="119"/>
      <c r="AL299" s="126">
        <f t="shared" si="451"/>
        <v>275</v>
      </c>
      <c r="AM299" s="119"/>
      <c r="AN299" s="119"/>
      <c r="AO299" s="126">
        <f t="shared" si="452"/>
        <v>275</v>
      </c>
      <c r="AP299" s="119"/>
      <c r="AQ299" s="119"/>
      <c r="AR299" s="126">
        <f t="shared" si="453"/>
        <v>275</v>
      </c>
      <c r="AS299" s="119"/>
      <c r="AT299" s="119"/>
      <c r="AU299" s="126">
        <f t="shared" si="454"/>
        <v>275</v>
      </c>
      <c r="AV299" s="337"/>
    </row>
    <row r="300" spans="1:48" s="37" customFormat="1" ht="21" customHeight="1">
      <c r="A300" s="98"/>
      <c r="B300" s="116"/>
      <c r="C300" s="120">
        <v>4440</v>
      </c>
      <c r="D300" s="56" t="s">
        <v>105</v>
      </c>
      <c r="E300" s="114">
        <v>14638</v>
      </c>
      <c r="F300" s="119"/>
      <c r="G300" s="119"/>
      <c r="H300" s="126">
        <f t="shared" si="441"/>
        <v>14638</v>
      </c>
      <c r="I300" s="119"/>
      <c r="J300" s="119"/>
      <c r="K300" s="126">
        <f t="shared" si="442"/>
        <v>14638</v>
      </c>
      <c r="L300" s="119"/>
      <c r="M300" s="119"/>
      <c r="N300" s="126">
        <f t="shared" si="443"/>
        <v>14638</v>
      </c>
      <c r="O300" s="119"/>
      <c r="P300" s="119"/>
      <c r="Q300" s="126">
        <f t="shared" si="444"/>
        <v>14638</v>
      </c>
      <c r="R300" s="119"/>
      <c r="S300" s="119"/>
      <c r="T300" s="126">
        <f t="shared" si="445"/>
        <v>14638</v>
      </c>
      <c r="U300" s="119"/>
      <c r="V300" s="119"/>
      <c r="W300" s="126">
        <f t="shared" si="446"/>
        <v>14638</v>
      </c>
      <c r="X300" s="119"/>
      <c r="Y300" s="119"/>
      <c r="Z300" s="126">
        <f t="shared" si="447"/>
        <v>14638</v>
      </c>
      <c r="AA300" s="119">
        <v>20</v>
      </c>
      <c r="AB300" s="119"/>
      <c r="AC300" s="126">
        <f t="shared" si="448"/>
        <v>14658</v>
      </c>
      <c r="AD300" s="119"/>
      <c r="AE300" s="119"/>
      <c r="AF300" s="126">
        <f t="shared" si="449"/>
        <v>14658</v>
      </c>
      <c r="AG300" s="119">
        <f>690+98</f>
        <v>788</v>
      </c>
      <c r="AH300" s="119"/>
      <c r="AI300" s="126">
        <f t="shared" si="450"/>
        <v>15446</v>
      </c>
      <c r="AJ300" s="119"/>
      <c r="AK300" s="119"/>
      <c r="AL300" s="126">
        <f t="shared" si="451"/>
        <v>15446</v>
      </c>
      <c r="AM300" s="119"/>
      <c r="AN300" s="119"/>
      <c r="AO300" s="126">
        <f t="shared" si="452"/>
        <v>15446</v>
      </c>
      <c r="AP300" s="119"/>
      <c r="AQ300" s="119"/>
      <c r="AR300" s="126">
        <f t="shared" si="453"/>
        <v>15446</v>
      </c>
      <c r="AS300" s="119"/>
      <c r="AT300" s="119">
        <v>30</v>
      </c>
      <c r="AU300" s="126">
        <f t="shared" si="454"/>
        <v>15416</v>
      </c>
      <c r="AV300" s="337"/>
    </row>
    <row r="301" spans="1:48" s="37" customFormat="1" ht="21.75" customHeight="1">
      <c r="A301" s="98"/>
      <c r="B301" s="116">
        <v>85228</v>
      </c>
      <c r="C301" s="120"/>
      <c r="D301" s="56" t="s">
        <v>140</v>
      </c>
      <c r="E301" s="114">
        <f aca="true" t="shared" si="455" ref="E301:AU301">SUM(E302)</f>
        <v>140000</v>
      </c>
      <c r="F301" s="114">
        <f t="shared" si="455"/>
        <v>0</v>
      </c>
      <c r="G301" s="114">
        <f t="shared" si="455"/>
        <v>0</v>
      </c>
      <c r="H301" s="114">
        <f t="shared" si="455"/>
        <v>140000</v>
      </c>
      <c r="I301" s="114">
        <f t="shared" si="455"/>
        <v>0</v>
      </c>
      <c r="J301" s="114">
        <f t="shared" si="455"/>
        <v>0</v>
      </c>
      <c r="K301" s="114">
        <f t="shared" si="455"/>
        <v>140000</v>
      </c>
      <c r="L301" s="114">
        <f t="shared" si="455"/>
        <v>0</v>
      </c>
      <c r="M301" s="114">
        <f t="shared" si="455"/>
        <v>0</v>
      </c>
      <c r="N301" s="114">
        <f t="shared" si="455"/>
        <v>140000</v>
      </c>
      <c r="O301" s="114">
        <f t="shared" si="455"/>
        <v>0</v>
      </c>
      <c r="P301" s="114">
        <f t="shared" si="455"/>
        <v>0</v>
      </c>
      <c r="Q301" s="114">
        <f t="shared" si="455"/>
        <v>140000</v>
      </c>
      <c r="R301" s="114">
        <f t="shared" si="455"/>
        <v>0</v>
      </c>
      <c r="S301" s="114">
        <f t="shared" si="455"/>
        <v>0</v>
      </c>
      <c r="T301" s="114">
        <f t="shared" si="455"/>
        <v>140000</v>
      </c>
      <c r="U301" s="114">
        <f t="shared" si="455"/>
        <v>0</v>
      </c>
      <c r="V301" s="114">
        <f t="shared" si="455"/>
        <v>0</v>
      </c>
      <c r="W301" s="114">
        <f t="shared" si="455"/>
        <v>140000</v>
      </c>
      <c r="X301" s="114">
        <f t="shared" si="455"/>
        <v>0</v>
      </c>
      <c r="Y301" s="114">
        <f t="shared" si="455"/>
        <v>0</v>
      </c>
      <c r="Z301" s="114">
        <f t="shared" si="455"/>
        <v>140000</v>
      </c>
      <c r="AA301" s="114">
        <f t="shared" si="455"/>
        <v>0</v>
      </c>
      <c r="AB301" s="114">
        <f t="shared" si="455"/>
        <v>0</v>
      </c>
      <c r="AC301" s="114">
        <f t="shared" si="455"/>
        <v>140000</v>
      </c>
      <c r="AD301" s="114">
        <f t="shared" si="455"/>
        <v>0</v>
      </c>
      <c r="AE301" s="114">
        <f t="shared" si="455"/>
        <v>0</v>
      </c>
      <c r="AF301" s="114">
        <f t="shared" si="455"/>
        <v>140000</v>
      </c>
      <c r="AG301" s="114">
        <f t="shared" si="455"/>
        <v>0</v>
      </c>
      <c r="AH301" s="114">
        <f t="shared" si="455"/>
        <v>0</v>
      </c>
      <c r="AI301" s="114">
        <f t="shared" si="455"/>
        <v>140000</v>
      </c>
      <c r="AJ301" s="114">
        <f t="shared" si="455"/>
        <v>0</v>
      </c>
      <c r="AK301" s="114">
        <f t="shared" si="455"/>
        <v>0</v>
      </c>
      <c r="AL301" s="114">
        <f t="shared" si="455"/>
        <v>140000</v>
      </c>
      <c r="AM301" s="114">
        <f t="shared" si="455"/>
        <v>0</v>
      </c>
      <c r="AN301" s="114">
        <f t="shared" si="455"/>
        <v>0</v>
      </c>
      <c r="AO301" s="114">
        <f t="shared" si="455"/>
        <v>140000</v>
      </c>
      <c r="AP301" s="114">
        <f t="shared" si="455"/>
        <v>0</v>
      </c>
      <c r="AQ301" s="114">
        <f t="shared" si="455"/>
        <v>0</v>
      </c>
      <c r="AR301" s="114">
        <f t="shared" si="455"/>
        <v>140000</v>
      </c>
      <c r="AS301" s="114">
        <f t="shared" si="455"/>
        <v>0</v>
      </c>
      <c r="AT301" s="114">
        <f t="shared" si="455"/>
        <v>0</v>
      </c>
      <c r="AU301" s="114">
        <f t="shared" si="455"/>
        <v>140000</v>
      </c>
      <c r="AV301" s="339"/>
    </row>
    <row r="302" spans="1:48" s="37" customFormat="1" ht="21" customHeight="1">
      <c r="A302" s="98"/>
      <c r="B302" s="116"/>
      <c r="C302" s="120">
        <v>4300</v>
      </c>
      <c r="D302" s="56" t="s">
        <v>96</v>
      </c>
      <c r="E302" s="114">
        <v>140000</v>
      </c>
      <c r="F302" s="119"/>
      <c r="G302" s="119"/>
      <c r="H302" s="126">
        <f>SUM(E302+F302-G302)</f>
        <v>140000</v>
      </c>
      <c r="I302" s="119"/>
      <c r="J302" s="119"/>
      <c r="K302" s="126">
        <f>SUM(H302+I302-J302)</f>
        <v>140000</v>
      </c>
      <c r="L302" s="119"/>
      <c r="M302" s="119"/>
      <c r="N302" s="126">
        <f>SUM(K302+L302-M302)</f>
        <v>140000</v>
      </c>
      <c r="O302" s="119"/>
      <c r="P302" s="119"/>
      <c r="Q302" s="126">
        <f>SUM(N302+O302-P302)</f>
        <v>140000</v>
      </c>
      <c r="R302" s="119"/>
      <c r="S302" s="119"/>
      <c r="T302" s="126">
        <f>SUM(Q302+R302-S302)</f>
        <v>140000</v>
      </c>
      <c r="U302" s="119"/>
      <c r="V302" s="119"/>
      <c r="W302" s="126">
        <f>SUM(T302+U302-V302)</f>
        <v>140000</v>
      </c>
      <c r="X302" s="119"/>
      <c r="Y302" s="119"/>
      <c r="Z302" s="126">
        <f>SUM(W302+X302-Y302)</f>
        <v>140000</v>
      </c>
      <c r="AA302" s="119"/>
      <c r="AB302" s="119"/>
      <c r="AC302" s="126">
        <f>SUM(Z302+AA302-AB302)</f>
        <v>140000</v>
      </c>
      <c r="AD302" s="119"/>
      <c r="AE302" s="119"/>
      <c r="AF302" s="126">
        <f>SUM(AC302+AD302-AE302)</f>
        <v>140000</v>
      </c>
      <c r="AG302" s="119"/>
      <c r="AH302" s="119"/>
      <c r="AI302" s="126">
        <f>SUM(AF302+AG302-AH302)</f>
        <v>140000</v>
      </c>
      <c r="AJ302" s="119"/>
      <c r="AK302" s="119"/>
      <c r="AL302" s="126">
        <f>SUM(AI302+AJ302-AK302)</f>
        <v>140000</v>
      </c>
      <c r="AM302" s="119"/>
      <c r="AN302" s="119"/>
      <c r="AO302" s="126">
        <f>SUM(AL302+AM302-AN302)</f>
        <v>140000</v>
      </c>
      <c r="AP302" s="119"/>
      <c r="AQ302" s="119"/>
      <c r="AR302" s="126">
        <f>SUM(AO302+AP302-AQ302)</f>
        <v>140000</v>
      </c>
      <c r="AS302" s="119"/>
      <c r="AT302" s="119"/>
      <c r="AU302" s="126">
        <f>SUM(AR302+AS302-AT302)</f>
        <v>140000</v>
      </c>
      <c r="AV302" s="337"/>
    </row>
    <row r="303" spans="1:48" s="37" customFormat="1" ht="21" customHeight="1">
      <c r="A303" s="98"/>
      <c r="B303" s="116">
        <v>85278</v>
      </c>
      <c r="C303" s="120"/>
      <c r="D303" s="110" t="s">
        <v>657</v>
      </c>
      <c r="E303" s="114"/>
      <c r="F303" s="119"/>
      <c r="G303" s="119"/>
      <c r="H303" s="126"/>
      <c r="I303" s="119"/>
      <c r="J303" s="119"/>
      <c r="K303" s="126"/>
      <c r="L303" s="119"/>
      <c r="M303" s="119"/>
      <c r="N303" s="126"/>
      <c r="O303" s="119"/>
      <c r="P303" s="119"/>
      <c r="Q303" s="126"/>
      <c r="R303" s="119"/>
      <c r="S303" s="119"/>
      <c r="T303" s="126"/>
      <c r="U303" s="119"/>
      <c r="V303" s="119"/>
      <c r="W303" s="126"/>
      <c r="X303" s="119"/>
      <c r="Y303" s="119"/>
      <c r="Z303" s="126"/>
      <c r="AA303" s="119"/>
      <c r="AB303" s="119"/>
      <c r="AC303" s="126"/>
      <c r="AD303" s="119"/>
      <c r="AE303" s="119"/>
      <c r="AF303" s="126"/>
      <c r="AG303" s="119"/>
      <c r="AH303" s="119"/>
      <c r="AI303" s="126">
        <f aca="true" t="shared" si="456" ref="AI303:AU303">SUM(AI304)</f>
        <v>0</v>
      </c>
      <c r="AJ303" s="126">
        <f t="shared" si="456"/>
        <v>242097</v>
      </c>
      <c r="AK303" s="126">
        <f t="shared" si="456"/>
        <v>0</v>
      </c>
      <c r="AL303" s="126">
        <f t="shared" si="456"/>
        <v>242097</v>
      </c>
      <c r="AM303" s="126">
        <f t="shared" si="456"/>
        <v>0</v>
      </c>
      <c r="AN303" s="126">
        <f t="shared" si="456"/>
        <v>0</v>
      </c>
      <c r="AO303" s="126">
        <f t="shared" si="456"/>
        <v>242097</v>
      </c>
      <c r="AP303" s="126">
        <f t="shared" si="456"/>
        <v>0</v>
      </c>
      <c r="AQ303" s="126">
        <f t="shared" si="456"/>
        <v>0</v>
      </c>
      <c r="AR303" s="126">
        <f t="shared" si="456"/>
        <v>242097</v>
      </c>
      <c r="AS303" s="126">
        <f t="shared" si="456"/>
        <v>0</v>
      </c>
      <c r="AT303" s="126">
        <f t="shared" si="456"/>
        <v>0</v>
      </c>
      <c r="AU303" s="126">
        <f t="shared" si="456"/>
        <v>242097</v>
      </c>
      <c r="AV303" s="337"/>
    </row>
    <row r="304" spans="1:48" s="37" customFormat="1" ht="21" customHeight="1">
      <c r="A304" s="98"/>
      <c r="B304" s="116"/>
      <c r="C304" s="120">
        <v>3110</v>
      </c>
      <c r="D304" s="56" t="s">
        <v>130</v>
      </c>
      <c r="E304" s="114"/>
      <c r="F304" s="119"/>
      <c r="G304" s="119"/>
      <c r="H304" s="126"/>
      <c r="I304" s="119"/>
      <c r="J304" s="119"/>
      <c r="K304" s="126"/>
      <c r="L304" s="119"/>
      <c r="M304" s="119"/>
      <c r="N304" s="126"/>
      <c r="O304" s="119"/>
      <c r="P304" s="119"/>
      <c r="Q304" s="126"/>
      <c r="R304" s="119"/>
      <c r="S304" s="119"/>
      <c r="T304" s="126"/>
      <c r="U304" s="119"/>
      <c r="V304" s="119"/>
      <c r="W304" s="126"/>
      <c r="X304" s="119"/>
      <c r="Y304" s="119"/>
      <c r="Z304" s="126"/>
      <c r="AA304" s="119"/>
      <c r="AB304" s="119"/>
      <c r="AC304" s="126"/>
      <c r="AD304" s="119"/>
      <c r="AE304" s="119"/>
      <c r="AF304" s="126"/>
      <c r="AG304" s="119"/>
      <c r="AH304" s="119"/>
      <c r="AI304" s="126">
        <v>0</v>
      </c>
      <c r="AJ304" s="119">
        <v>242097</v>
      </c>
      <c r="AK304" s="119"/>
      <c r="AL304" s="126">
        <f>AI304+AJ304-AK304</f>
        <v>242097</v>
      </c>
      <c r="AM304" s="119"/>
      <c r="AN304" s="119"/>
      <c r="AO304" s="126">
        <f>AL304+AM304-AN304</f>
        <v>242097</v>
      </c>
      <c r="AP304" s="119"/>
      <c r="AQ304" s="119"/>
      <c r="AR304" s="126">
        <f>AO304+AP304-AQ304</f>
        <v>242097</v>
      </c>
      <c r="AS304" s="119"/>
      <c r="AT304" s="119"/>
      <c r="AU304" s="126">
        <f>AR304+AS304-AT304</f>
        <v>242097</v>
      </c>
      <c r="AV304" s="337"/>
    </row>
    <row r="305" spans="1:48" s="37" customFormat="1" ht="21.75" customHeight="1">
      <c r="A305" s="98"/>
      <c r="B305" s="116" t="s">
        <v>198</v>
      </c>
      <c r="C305" s="120"/>
      <c r="D305" s="56" t="s">
        <v>10</v>
      </c>
      <c r="E305" s="114">
        <f aca="true" t="shared" si="457" ref="E305:K305">SUM(E306:E307)</f>
        <v>147066</v>
      </c>
      <c r="F305" s="114">
        <f t="shared" si="457"/>
        <v>0</v>
      </c>
      <c r="G305" s="114">
        <f t="shared" si="457"/>
        <v>0</v>
      </c>
      <c r="H305" s="114">
        <f t="shared" si="457"/>
        <v>147066</v>
      </c>
      <c r="I305" s="114">
        <f t="shared" si="457"/>
        <v>0</v>
      </c>
      <c r="J305" s="114">
        <f t="shared" si="457"/>
        <v>0</v>
      </c>
      <c r="K305" s="114">
        <f t="shared" si="457"/>
        <v>147066</v>
      </c>
      <c r="L305" s="114">
        <f aca="true" t="shared" si="458" ref="L305:Q305">SUM(L306:L307)</f>
        <v>0</v>
      </c>
      <c r="M305" s="114">
        <f t="shared" si="458"/>
        <v>0</v>
      </c>
      <c r="N305" s="114">
        <f t="shared" si="458"/>
        <v>147066</v>
      </c>
      <c r="O305" s="114">
        <f t="shared" si="458"/>
        <v>10000</v>
      </c>
      <c r="P305" s="114">
        <f t="shared" si="458"/>
        <v>0</v>
      </c>
      <c r="Q305" s="114">
        <f t="shared" si="458"/>
        <v>157066</v>
      </c>
      <c r="R305" s="114">
        <f aca="true" t="shared" si="459" ref="R305:W305">SUM(R306:R307)</f>
        <v>314277</v>
      </c>
      <c r="S305" s="114">
        <f t="shared" si="459"/>
        <v>0</v>
      </c>
      <c r="T305" s="114">
        <f t="shared" si="459"/>
        <v>471343</v>
      </c>
      <c r="U305" s="114">
        <f t="shared" si="459"/>
        <v>0</v>
      </c>
      <c r="V305" s="114">
        <f t="shared" si="459"/>
        <v>0</v>
      </c>
      <c r="W305" s="114">
        <f t="shared" si="459"/>
        <v>471343</v>
      </c>
      <c r="X305" s="114">
        <f aca="true" t="shared" si="460" ref="X305:AC305">SUM(X306:X307)</f>
        <v>336702</v>
      </c>
      <c r="Y305" s="114">
        <f t="shared" si="460"/>
        <v>0</v>
      </c>
      <c r="Z305" s="114">
        <f t="shared" si="460"/>
        <v>808045</v>
      </c>
      <c r="AA305" s="114">
        <f t="shared" si="460"/>
        <v>0</v>
      </c>
      <c r="AB305" s="114">
        <f t="shared" si="460"/>
        <v>0</v>
      </c>
      <c r="AC305" s="114">
        <f t="shared" si="460"/>
        <v>808045</v>
      </c>
      <c r="AD305" s="114">
        <f aca="true" t="shared" si="461" ref="AD305:AI305">SUM(AD306:AD307)</f>
        <v>87464</v>
      </c>
      <c r="AE305" s="114">
        <f t="shared" si="461"/>
        <v>0</v>
      </c>
      <c r="AF305" s="114">
        <f t="shared" si="461"/>
        <v>895509</v>
      </c>
      <c r="AG305" s="114">
        <f t="shared" si="461"/>
        <v>0</v>
      </c>
      <c r="AH305" s="114">
        <f t="shared" si="461"/>
        <v>0</v>
      </c>
      <c r="AI305" s="114">
        <f t="shared" si="461"/>
        <v>895509</v>
      </c>
      <c r="AJ305" s="114">
        <f aca="true" t="shared" si="462" ref="AJ305:AO305">SUM(AJ306:AJ307)</f>
        <v>0</v>
      </c>
      <c r="AK305" s="114">
        <f t="shared" si="462"/>
        <v>0</v>
      </c>
      <c r="AL305" s="114">
        <f t="shared" si="462"/>
        <v>895509</v>
      </c>
      <c r="AM305" s="114">
        <f t="shared" si="462"/>
        <v>0</v>
      </c>
      <c r="AN305" s="114">
        <f t="shared" si="462"/>
        <v>0</v>
      </c>
      <c r="AO305" s="114">
        <f t="shared" si="462"/>
        <v>895509</v>
      </c>
      <c r="AP305" s="114">
        <f aca="true" t="shared" si="463" ref="AP305:AU305">SUM(AP306:AP307)</f>
        <v>0</v>
      </c>
      <c r="AQ305" s="114">
        <f t="shared" si="463"/>
        <v>0</v>
      </c>
      <c r="AR305" s="114">
        <f t="shared" si="463"/>
        <v>895509</v>
      </c>
      <c r="AS305" s="114">
        <f t="shared" si="463"/>
        <v>0</v>
      </c>
      <c r="AT305" s="114">
        <f t="shared" si="463"/>
        <v>0</v>
      </c>
      <c r="AU305" s="114">
        <f t="shared" si="463"/>
        <v>895509</v>
      </c>
      <c r="AV305" s="339"/>
    </row>
    <row r="306" spans="1:48" s="37" customFormat="1" ht="21" customHeight="1">
      <c r="A306" s="98"/>
      <c r="B306" s="116"/>
      <c r="C306" s="120">
        <v>3110</v>
      </c>
      <c r="D306" s="56" t="s">
        <v>130</v>
      </c>
      <c r="E306" s="114">
        <v>141546</v>
      </c>
      <c r="F306" s="114"/>
      <c r="G306" s="114"/>
      <c r="H306" s="126">
        <f>SUM(E306+F306-G306)</f>
        <v>141546</v>
      </c>
      <c r="I306" s="114"/>
      <c r="J306" s="114"/>
      <c r="K306" s="126">
        <f>SUM(H306+I306-J306)</f>
        <v>141546</v>
      </c>
      <c r="L306" s="114"/>
      <c r="M306" s="114"/>
      <c r="N306" s="126">
        <f>SUM(K306+L306-M306)</f>
        <v>141546</v>
      </c>
      <c r="O306" s="114">
        <v>10000</v>
      </c>
      <c r="P306" s="114"/>
      <c r="Q306" s="126">
        <f>SUM(N306+O306-P306)</f>
        <v>151546</v>
      </c>
      <c r="R306" s="114">
        <v>314277</v>
      </c>
      <c r="S306" s="114"/>
      <c r="T306" s="126">
        <f>SUM(Q306+R306-S306)</f>
        <v>465823</v>
      </c>
      <c r="U306" s="114"/>
      <c r="V306" s="114"/>
      <c r="W306" s="126">
        <f>SUM(T306+U306-V306)</f>
        <v>465823</v>
      </c>
      <c r="X306" s="114">
        <v>336702</v>
      </c>
      <c r="Y306" s="114"/>
      <c r="Z306" s="126">
        <f>SUM(W306+X306-Y306)</f>
        <v>802525</v>
      </c>
      <c r="AA306" s="114"/>
      <c r="AB306" s="114"/>
      <c r="AC306" s="126">
        <f>SUM(Z306+AA306-AB306)</f>
        <v>802525</v>
      </c>
      <c r="AD306" s="114">
        <v>87464</v>
      </c>
      <c r="AE306" s="114"/>
      <c r="AF306" s="126">
        <f>SUM(AC306+AD306-AE306)</f>
        <v>889989</v>
      </c>
      <c r="AG306" s="114"/>
      <c r="AH306" s="114"/>
      <c r="AI306" s="126">
        <f>SUM(AF306+AG306-AH306)</f>
        <v>889989</v>
      </c>
      <c r="AJ306" s="114"/>
      <c r="AK306" s="114"/>
      <c r="AL306" s="126">
        <f>SUM(AI306+AJ306-AK306)</f>
        <v>889989</v>
      </c>
      <c r="AM306" s="114"/>
      <c r="AN306" s="114"/>
      <c r="AO306" s="126">
        <f>SUM(AL306+AM306-AN306)</f>
        <v>889989</v>
      </c>
      <c r="AP306" s="114"/>
      <c r="AQ306" s="114"/>
      <c r="AR306" s="126">
        <f>SUM(AO306+AP306-AQ306)</f>
        <v>889989</v>
      </c>
      <c r="AS306" s="114"/>
      <c r="AT306" s="114"/>
      <c r="AU306" s="126">
        <f>SUM(AR306+AS306-AT306)</f>
        <v>889989</v>
      </c>
      <c r="AV306" s="337"/>
    </row>
    <row r="307" spans="1:48" s="37" customFormat="1" ht="21" customHeight="1">
      <c r="A307" s="98"/>
      <c r="B307" s="116"/>
      <c r="C307" s="120">
        <v>4430</v>
      </c>
      <c r="D307" s="56" t="s">
        <v>111</v>
      </c>
      <c r="E307" s="114">
        <v>5520</v>
      </c>
      <c r="F307" s="114"/>
      <c r="G307" s="114"/>
      <c r="H307" s="126">
        <f>SUM(E307+F307-G307)</f>
        <v>5520</v>
      </c>
      <c r="I307" s="114"/>
      <c r="J307" s="114"/>
      <c r="K307" s="126">
        <f>SUM(H307+I307-J307)</f>
        <v>5520</v>
      </c>
      <c r="L307" s="114"/>
      <c r="M307" s="114"/>
      <c r="N307" s="126">
        <f>SUM(K307+L307-M307)</f>
        <v>5520</v>
      </c>
      <c r="O307" s="114"/>
      <c r="P307" s="114"/>
      <c r="Q307" s="126">
        <f>SUM(N307+O307-P307)</f>
        <v>5520</v>
      </c>
      <c r="R307" s="114"/>
      <c r="S307" s="114"/>
      <c r="T307" s="126">
        <f>SUM(Q307+R307-S307)</f>
        <v>5520</v>
      </c>
      <c r="U307" s="114"/>
      <c r="V307" s="114"/>
      <c r="W307" s="126">
        <f>SUM(T307+U307-V307)</f>
        <v>5520</v>
      </c>
      <c r="X307" s="114"/>
      <c r="Y307" s="114"/>
      <c r="Z307" s="126">
        <f>SUM(W307+X307-Y307)</f>
        <v>5520</v>
      </c>
      <c r="AA307" s="114"/>
      <c r="AB307" s="114"/>
      <c r="AC307" s="126">
        <f>SUM(Z307+AA307-AB307)</f>
        <v>5520</v>
      </c>
      <c r="AD307" s="114"/>
      <c r="AE307" s="114"/>
      <c r="AF307" s="126">
        <f>SUM(AC307+AD307-AE307)</f>
        <v>5520</v>
      </c>
      <c r="AG307" s="114"/>
      <c r="AH307" s="114"/>
      <c r="AI307" s="126">
        <f>SUM(AF307+AG307-AH307)</f>
        <v>5520</v>
      </c>
      <c r="AJ307" s="114"/>
      <c r="AK307" s="114"/>
      <c r="AL307" s="126">
        <f>SUM(AI307+AJ307-AK307)</f>
        <v>5520</v>
      </c>
      <c r="AM307" s="114"/>
      <c r="AN307" s="114"/>
      <c r="AO307" s="126">
        <f>SUM(AL307+AM307-AN307)</f>
        <v>5520</v>
      </c>
      <c r="AP307" s="114"/>
      <c r="AQ307" s="114"/>
      <c r="AR307" s="126">
        <f>SUM(AO307+AP307-AQ307)</f>
        <v>5520</v>
      </c>
      <c r="AS307" s="114"/>
      <c r="AT307" s="114"/>
      <c r="AU307" s="126">
        <f>SUM(AR307+AS307-AT307)</f>
        <v>5520</v>
      </c>
      <c r="AV307" s="337"/>
    </row>
    <row r="308" spans="1:48" s="9" customFormat="1" ht="24.75" customHeight="1">
      <c r="A308" s="51" t="s">
        <v>141</v>
      </c>
      <c r="B308" s="52"/>
      <c r="C308" s="53"/>
      <c r="D308" s="54" t="s">
        <v>75</v>
      </c>
      <c r="E308" s="55">
        <f>SUM(E309,E322,E335,E332)</f>
        <v>1022422</v>
      </c>
      <c r="F308" s="55">
        <f>SUM(F309,F322,F335,F332)</f>
        <v>887</v>
      </c>
      <c r="G308" s="55">
        <f>SUM(G309,G322,G335,G332)</f>
        <v>40887</v>
      </c>
      <c r="H308" s="55">
        <f aca="true" t="shared" si="464" ref="H308:N308">SUM(H309,H322,H327,H332,H335)</f>
        <v>982422</v>
      </c>
      <c r="I308" s="55">
        <f t="shared" si="464"/>
        <v>127769</v>
      </c>
      <c r="J308" s="55">
        <f t="shared" si="464"/>
        <v>78274</v>
      </c>
      <c r="K308" s="55">
        <f t="shared" si="464"/>
        <v>1031917</v>
      </c>
      <c r="L308" s="55">
        <f t="shared" si="464"/>
        <v>0</v>
      </c>
      <c r="M308" s="55">
        <f t="shared" si="464"/>
        <v>0</v>
      </c>
      <c r="N308" s="55">
        <f t="shared" si="464"/>
        <v>1031917</v>
      </c>
      <c r="O308" s="55">
        <f aca="true" t="shared" si="465" ref="O308:T308">SUM(O309,O322,O327,O332,O335)</f>
        <v>81000</v>
      </c>
      <c r="P308" s="55">
        <f t="shared" si="465"/>
        <v>0</v>
      </c>
      <c r="Q308" s="55">
        <f t="shared" si="465"/>
        <v>1112917</v>
      </c>
      <c r="R308" s="55">
        <f t="shared" si="465"/>
        <v>99074</v>
      </c>
      <c r="S308" s="55">
        <f t="shared" si="465"/>
        <v>10500</v>
      </c>
      <c r="T308" s="55">
        <f t="shared" si="465"/>
        <v>1201491</v>
      </c>
      <c r="U308" s="55">
        <f aca="true" t="shared" si="466" ref="U308:Z308">SUM(U309,U322,U327,U332,U335)</f>
        <v>123481</v>
      </c>
      <c r="V308" s="55">
        <f t="shared" si="466"/>
        <v>34600</v>
      </c>
      <c r="W308" s="55">
        <f t="shared" si="466"/>
        <v>1290372</v>
      </c>
      <c r="X308" s="55">
        <f t="shared" si="466"/>
        <v>0</v>
      </c>
      <c r="Y308" s="55">
        <f t="shared" si="466"/>
        <v>700</v>
      </c>
      <c r="Z308" s="55">
        <f t="shared" si="466"/>
        <v>1289672</v>
      </c>
      <c r="AA308" s="55">
        <f aca="true" t="shared" si="467" ref="AA308:AF308">SUM(AA309,AA322,AA327,AA332,AA335)</f>
        <v>5800</v>
      </c>
      <c r="AB308" s="55">
        <f t="shared" si="467"/>
        <v>879</v>
      </c>
      <c r="AC308" s="55">
        <f t="shared" si="467"/>
        <v>1294593</v>
      </c>
      <c r="AD308" s="55">
        <f t="shared" si="467"/>
        <v>0</v>
      </c>
      <c r="AE308" s="55">
        <f t="shared" si="467"/>
        <v>0</v>
      </c>
      <c r="AF308" s="55">
        <f t="shared" si="467"/>
        <v>1294593</v>
      </c>
      <c r="AG308" s="55">
        <f aca="true" t="shared" si="468" ref="AG308:AL308">SUM(AG309,AG322,AG327,AG332,AG335)</f>
        <v>18254</v>
      </c>
      <c r="AH308" s="55">
        <f t="shared" si="468"/>
        <v>21987</v>
      </c>
      <c r="AI308" s="55">
        <f t="shared" si="468"/>
        <v>1290860</v>
      </c>
      <c r="AJ308" s="55">
        <f t="shared" si="468"/>
        <v>241474</v>
      </c>
      <c r="AK308" s="55">
        <f t="shared" si="468"/>
        <v>90</v>
      </c>
      <c r="AL308" s="55">
        <f t="shared" si="468"/>
        <v>1532244</v>
      </c>
      <c r="AM308" s="55">
        <f aca="true" t="shared" si="469" ref="AM308:AR308">SUM(AM309,AM322,AM327,AM332,AM335)</f>
        <v>84047</v>
      </c>
      <c r="AN308" s="55">
        <f t="shared" si="469"/>
        <v>0</v>
      </c>
      <c r="AO308" s="55">
        <f t="shared" si="469"/>
        <v>1616291</v>
      </c>
      <c r="AP308" s="55">
        <f t="shared" si="469"/>
        <v>0</v>
      </c>
      <c r="AQ308" s="55">
        <f t="shared" si="469"/>
        <v>0</v>
      </c>
      <c r="AR308" s="55">
        <f t="shared" si="469"/>
        <v>1616291</v>
      </c>
      <c r="AS308" s="55">
        <f>SUM(AS309,AS322,AS327,AS332,AS335)</f>
        <v>5147</v>
      </c>
      <c r="AT308" s="55">
        <f>SUM(AT309,AT322,AT327,AT332,AT335)</f>
        <v>1541</v>
      </c>
      <c r="AU308" s="55">
        <f>SUM(AU309,AU322,AU327,AU332,AU335)</f>
        <v>1619897</v>
      </c>
      <c r="AV308" s="338"/>
    </row>
    <row r="309" spans="1:48" s="37" customFormat="1" ht="21.75" customHeight="1">
      <c r="A309" s="98"/>
      <c r="B309" s="116">
        <v>85401</v>
      </c>
      <c r="C309" s="120"/>
      <c r="D309" s="56" t="s">
        <v>76</v>
      </c>
      <c r="E309" s="114">
        <f aca="true" t="shared" si="470" ref="E309:K309">SUM(E310:E321)</f>
        <v>611899</v>
      </c>
      <c r="F309" s="114">
        <f t="shared" si="470"/>
        <v>0</v>
      </c>
      <c r="G309" s="114">
        <f t="shared" si="470"/>
        <v>0</v>
      </c>
      <c r="H309" s="114">
        <f t="shared" si="470"/>
        <v>611899</v>
      </c>
      <c r="I309" s="114">
        <f t="shared" si="470"/>
        <v>829</v>
      </c>
      <c r="J309" s="114">
        <f t="shared" si="470"/>
        <v>3274</v>
      </c>
      <c r="K309" s="114">
        <f t="shared" si="470"/>
        <v>609454</v>
      </c>
      <c r="L309" s="114">
        <f aca="true" t="shared" si="471" ref="L309:Q309">SUM(L310:L321)</f>
        <v>0</v>
      </c>
      <c r="M309" s="114">
        <f t="shared" si="471"/>
        <v>0</v>
      </c>
      <c r="N309" s="114">
        <f t="shared" si="471"/>
        <v>609454</v>
      </c>
      <c r="O309" s="114">
        <f t="shared" si="471"/>
        <v>0</v>
      </c>
      <c r="P309" s="114">
        <f t="shared" si="471"/>
        <v>0</v>
      </c>
      <c r="Q309" s="114">
        <f t="shared" si="471"/>
        <v>609454</v>
      </c>
      <c r="R309" s="114">
        <f aca="true" t="shared" si="472" ref="R309:W309">SUM(R310:R321)</f>
        <v>0</v>
      </c>
      <c r="S309" s="114">
        <f t="shared" si="472"/>
        <v>0</v>
      </c>
      <c r="T309" s="114">
        <f t="shared" si="472"/>
        <v>609454</v>
      </c>
      <c r="U309" s="114">
        <f t="shared" si="472"/>
        <v>0</v>
      </c>
      <c r="V309" s="114">
        <f t="shared" si="472"/>
        <v>0</v>
      </c>
      <c r="W309" s="114">
        <f t="shared" si="472"/>
        <v>609454</v>
      </c>
      <c r="X309" s="114">
        <f aca="true" t="shared" si="473" ref="X309:AC309">SUM(X310:X321)</f>
        <v>0</v>
      </c>
      <c r="Y309" s="114">
        <f t="shared" si="473"/>
        <v>0</v>
      </c>
      <c r="Z309" s="114">
        <f t="shared" si="473"/>
        <v>609454</v>
      </c>
      <c r="AA309" s="114">
        <f t="shared" si="473"/>
        <v>0</v>
      </c>
      <c r="AB309" s="114">
        <f t="shared" si="473"/>
        <v>0</v>
      </c>
      <c r="AC309" s="114">
        <f t="shared" si="473"/>
        <v>609454</v>
      </c>
      <c r="AD309" s="114">
        <f aca="true" t="shared" si="474" ref="AD309:AI309">SUM(AD310:AD321)</f>
        <v>0</v>
      </c>
      <c r="AE309" s="114">
        <f t="shared" si="474"/>
        <v>0</v>
      </c>
      <c r="AF309" s="114">
        <f t="shared" si="474"/>
        <v>609454</v>
      </c>
      <c r="AG309" s="114">
        <f t="shared" si="474"/>
        <v>17992</v>
      </c>
      <c r="AH309" s="114">
        <f t="shared" si="474"/>
        <v>11892</v>
      </c>
      <c r="AI309" s="114">
        <f t="shared" si="474"/>
        <v>615554</v>
      </c>
      <c r="AJ309" s="114">
        <f aca="true" t="shared" si="475" ref="AJ309:AO309">SUM(AJ310:AJ321)</f>
        <v>0</v>
      </c>
      <c r="AK309" s="114">
        <f t="shared" si="475"/>
        <v>0</v>
      </c>
      <c r="AL309" s="114">
        <f t="shared" si="475"/>
        <v>615554</v>
      </c>
      <c r="AM309" s="114">
        <f t="shared" si="475"/>
        <v>0</v>
      </c>
      <c r="AN309" s="114">
        <f t="shared" si="475"/>
        <v>0</v>
      </c>
      <c r="AO309" s="114">
        <f t="shared" si="475"/>
        <v>615554</v>
      </c>
      <c r="AP309" s="114">
        <f aca="true" t="shared" si="476" ref="AP309:AU309">SUM(AP310:AP321)</f>
        <v>0</v>
      </c>
      <c r="AQ309" s="114">
        <f t="shared" si="476"/>
        <v>0</v>
      </c>
      <c r="AR309" s="114">
        <f t="shared" si="476"/>
        <v>615554</v>
      </c>
      <c r="AS309" s="114">
        <f t="shared" si="476"/>
        <v>4885</v>
      </c>
      <c r="AT309" s="114">
        <f t="shared" si="476"/>
        <v>480</v>
      </c>
      <c r="AU309" s="114">
        <f t="shared" si="476"/>
        <v>619959</v>
      </c>
      <c r="AV309" s="339"/>
    </row>
    <row r="310" spans="1:48" s="37" customFormat="1" ht="21" customHeight="1">
      <c r="A310" s="98"/>
      <c r="B310" s="116"/>
      <c r="C310" s="120">
        <v>3020</v>
      </c>
      <c r="D310" s="56" t="s">
        <v>293</v>
      </c>
      <c r="E310" s="114">
        <v>9916</v>
      </c>
      <c r="F310" s="119"/>
      <c r="G310" s="119"/>
      <c r="H310" s="126">
        <f aca="true" t="shared" si="477" ref="H310:H321">SUM(E310+F310-G310)</f>
        <v>9916</v>
      </c>
      <c r="I310" s="119"/>
      <c r="J310" s="119"/>
      <c r="K310" s="126">
        <f aca="true" t="shared" si="478" ref="K310:K321">SUM(H310+I310-J310)</f>
        <v>9916</v>
      </c>
      <c r="L310" s="119"/>
      <c r="M310" s="119"/>
      <c r="N310" s="126">
        <f aca="true" t="shared" si="479" ref="N310:N321">SUM(K310+L310-M310)</f>
        <v>9916</v>
      </c>
      <c r="O310" s="119"/>
      <c r="P310" s="119"/>
      <c r="Q310" s="126">
        <f aca="true" t="shared" si="480" ref="Q310:Q321">SUM(N310+O310-P310)</f>
        <v>9916</v>
      </c>
      <c r="R310" s="119"/>
      <c r="S310" s="119"/>
      <c r="T310" s="126">
        <f aca="true" t="shared" si="481" ref="T310:T321">SUM(Q310+R310-S310)</f>
        <v>9916</v>
      </c>
      <c r="U310" s="119"/>
      <c r="V310" s="119"/>
      <c r="W310" s="126">
        <f aca="true" t="shared" si="482" ref="W310:W321">SUM(T310+U310-V310)</f>
        <v>9916</v>
      </c>
      <c r="X310" s="119"/>
      <c r="Y310" s="119"/>
      <c r="Z310" s="126">
        <f aca="true" t="shared" si="483" ref="Z310:Z321">SUM(W310+X310-Y310)</f>
        <v>9916</v>
      </c>
      <c r="AA310" s="119"/>
      <c r="AB310" s="119"/>
      <c r="AC310" s="126">
        <f aca="true" t="shared" si="484" ref="AC310:AC321">SUM(Z310+AA310-AB310)</f>
        <v>9916</v>
      </c>
      <c r="AD310" s="119"/>
      <c r="AE310" s="119"/>
      <c r="AF310" s="126">
        <f aca="true" t="shared" si="485" ref="AF310:AF321">SUM(AC310+AD310-AE310)</f>
        <v>9916</v>
      </c>
      <c r="AG310" s="119"/>
      <c r="AH310" s="119">
        <v>110</v>
      </c>
      <c r="AI310" s="126">
        <f aca="true" t="shared" si="486" ref="AI310:AI321">SUM(AF310+AG310-AH310)</f>
        <v>9806</v>
      </c>
      <c r="AJ310" s="119"/>
      <c r="AK310" s="119"/>
      <c r="AL310" s="126">
        <f aca="true" t="shared" si="487" ref="AL310:AL321">SUM(AI310+AJ310-AK310)</f>
        <v>9806</v>
      </c>
      <c r="AM310" s="119"/>
      <c r="AN310" s="119"/>
      <c r="AO310" s="126">
        <f aca="true" t="shared" si="488" ref="AO310:AO321">SUM(AL310+AM310-AN310)</f>
        <v>9806</v>
      </c>
      <c r="AP310" s="119"/>
      <c r="AQ310" s="119"/>
      <c r="AR310" s="126">
        <f aca="true" t="shared" si="489" ref="AR310:AR321">SUM(AO310+AP310-AQ310)</f>
        <v>9806</v>
      </c>
      <c r="AS310" s="119"/>
      <c r="AT310" s="119"/>
      <c r="AU310" s="126">
        <f aca="true" t="shared" si="490" ref="AU310:AU321">SUM(AR310+AS310-AT310)</f>
        <v>9806</v>
      </c>
      <c r="AV310" s="337"/>
    </row>
    <row r="311" spans="1:48" s="37" customFormat="1" ht="21" customHeight="1">
      <c r="A311" s="98"/>
      <c r="B311" s="116"/>
      <c r="C311" s="120">
        <v>4010</v>
      </c>
      <c r="D311" s="56" t="s">
        <v>101</v>
      </c>
      <c r="E311" s="114">
        <v>420588</v>
      </c>
      <c r="F311" s="119"/>
      <c r="G311" s="119"/>
      <c r="H311" s="126">
        <f t="shared" si="477"/>
        <v>420588</v>
      </c>
      <c r="I311" s="119">
        <v>522</v>
      </c>
      <c r="J311" s="119"/>
      <c r="K311" s="126">
        <f t="shared" si="478"/>
        <v>421110</v>
      </c>
      <c r="L311" s="119"/>
      <c r="M311" s="119"/>
      <c r="N311" s="126">
        <f t="shared" si="479"/>
        <v>421110</v>
      </c>
      <c r="O311" s="119"/>
      <c r="P311" s="119"/>
      <c r="Q311" s="126">
        <f t="shared" si="480"/>
        <v>421110</v>
      </c>
      <c r="R311" s="119"/>
      <c r="S311" s="119"/>
      <c r="T311" s="126">
        <f t="shared" si="481"/>
        <v>421110</v>
      </c>
      <c r="U311" s="119"/>
      <c r="V311" s="119"/>
      <c r="W311" s="126">
        <f t="shared" si="482"/>
        <v>421110</v>
      </c>
      <c r="X311" s="119"/>
      <c r="Y311" s="119"/>
      <c r="Z311" s="126">
        <f t="shared" si="483"/>
        <v>421110</v>
      </c>
      <c r="AA311" s="119"/>
      <c r="AB311" s="119"/>
      <c r="AC311" s="126">
        <f t="shared" si="484"/>
        <v>421110</v>
      </c>
      <c r="AD311" s="119"/>
      <c r="AE311" s="119"/>
      <c r="AF311" s="126">
        <f t="shared" si="485"/>
        <v>421110</v>
      </c>
      <c r="AG311" s="119">
        <v>14224</v>
      </c>
      <c r="AH311" s="119"/>
      <c r="AI311" s="126">
        <f t="shared" si="486"/>
        <v>435334</v>
      </c>
      <c r="AJ311" s="119"/>
      <c r="AK311" s="119"/>
      <c r="AL311" s="126">
        <f t="shared" si="487"/>
        <v>435334</v>
      </c>
      <c r="AM311" s="119"/>
      <c r="AN311" s="119"/>
      <c r="AO311" s="126">
        <f t="shared" si="488"/>
        <v>435334</v>
      </c>
      <c r="AP311" s="119"/>
      <c r="AQ311" s="119"/>
      <c r="AR311" s="126">
        <f t="shared" si="489"/>
        <v>435334</v>
      </c>
      <c r="AS311" s="119">
        <v>4641</v>
      </c>
      <c r="AT311" s="119"/>
      <c r="AU311" s="126">
        <f t="shared" si="490"/>
        <v>439975</v>
      </c>
      <c r="AV311" s="337">
        <f>SUM(AU311)</f>
        <v>439975</v>
      </c>
    </row>
    <row r="312" spans="1:48" s="37" customFormat="1" ht="21" customHeight="1">
      <c r="A312" s="98"/>
      <c r="B312" s="116"/>
      <c r="C312" s="120">
        <v>4040</v>
      </c>
      <c r="D312" s="56" t="s">
        <v>102</v>
      </c>
      <c r="E312" s="114">
        <v>32640</v>
      </c>
      <c r="F312" s="119"/>
      <c r="G312" s="119"/>
      <c r="H312" s="126">
        <f t="shared" si="477"/>
        <v>32640</v>
      </c>
      <c r="I312" s="119"/>
      <c r="J312" s="119">
        <v>3074</v>
      </c>
      <c r="K312" s="126">
        <f t="shared" si="478"/>
        <v>29566</v>
      </c>
      <c r="L312" s="119"/>
      <c r="M312" s="119"/>
      <c r="N312" s="126">
        <f t="shared" si="479"/>
        <v>29566</v>
      </c>
      <c r="O312" s="119"/>
      <c r="P312" s="119"/>
      <c r="Q312" s="126">
        <f t="shared" si="480"/>
        <v>29566</v>
      </c>
      <c r="R312" s="119"/>
      <c r="S312" s="119"/>
      <c r="T312" s="126">
        <f t="shared" si="481"/>
        <v>29566</v>
      </c>
      <c r="U312" s="119"/>
      <c r="V312" s="119"/>
      <c r="W312" s="126">
        <f t="shared" si="482"/>
        <v>29566</v>
      </c>
      <c r="X312" s="119"/>
      <c r="Y312" s="119"/>
      <c r="Z312" s="126">
        <f t="shared" si="483"/>
        <v>29566</v>
      </c>
      <c r="AA312" s="119"/>
      <c r="AB312" s="119"/>
      <c r="AC312" s="126">
        <f t="shared" si="484"/>
        <v>29566</v>
      </c>
      <c r="AD312" s="119"/>
      <c r="AE312" s="119"/>
      <c r="AF312" s="126">
        <f t="shared" si="485"/>
        <v>29566</v>
      </c>
      <c r="AG312" s="119"/>
      <c r="AH312" s="119"/>
      <c r="AI312" s="126">
        <f t="shared" si="486"/>
        <v>29566</v>
      </c>
      <c r="AJ312" s="119"/>
      <c r="AK312" s="119"/>
      <c r="AL312" s="126">
        <f t="shared" si="487"/>
        <v>29566</v>
      </c>
      <c r="AM312" s="119"/>
      <c r="AN312" s="119"/>
      <c r="AO312" s="126">
        <f t="shared" si="488"/>
        <v>29566</v>
      </c>
      <c r="AP312" s="119"/>
      <c r="AQ312" s="119"/>
      <c r="AR312" s="126">
        <f t="shared" si="489"/>
        <v>29566</v>
      </c>
      <c r="AS312" s="119"/>
      <c r="AT312" s="119"/>
      <c r="AU312" s="126">
        <f t="shared" si="490"/>
        <v>29566</v>
      </c>
      <c r="AV312" s="337">
        <f>SUM(AU312)</f>
        <v>29566</v>
      </c>
    </row>
    <row r="313" spans="1:48" s="37" customFormat="1" ht="21" customHeight="1">
      <c r="A313" s="98"/>
      <c r="B313" s="116"/>
      <c r="C313" s="120">
        <v>4110</v>
      </c>
      <c r="D313" s="56" t="s">
        <v>103</v>
      </c>
      <c r="E313" s="114">
        <v>81375</v>
      </c>
      <c r="F313" s="119"/>
      <c r="G313" s="119"/>
      <c r="H313" s="126">
        <f t="shared" si="477"/>
        <v>81375</v>
      </c>
      <c r="I313" s="119">
        <v>94</v>
      </c>
      <c r="J313" s="119"/>
      <c r="K313" s="126">
        <f t="shared" si="478"/>
        <v>81469</v>
      </c>
      <c r="L313" s="119"/>
      <c r="M313" s="119"/>
      <c r="N313" s="126">
        <f t="shared" si="479"/>
        <v>81469</v>
      </c>
      <c r="O313" s="119"/>
      <c r="P313" s="119"/>
      <c r="Q313" s="126">
        <f t="shared" si="480"/>
        <v>81469</v>
      </c>
      <c r="R313" s="119"/>
      <c r="S313" s="119"/>
      <c r="T313" s="126">
        <f t="shared" si="481"/>
        <v>81469</v>
      </c>
      <c r="U313" s="119"/>
      <c r="V313" s="119"/>
      <c r="W313" s="126">
        <f t="shared" si="482"/>
        <v>81469</v>
      </c>
      <c r="X313" s="119"/>
      <c r="Y313" s="119"/>
      <c r="Z313" s="126">
        <f t="shared" si="483"/>
        <v>81469</v>
      </c>
      <c r="AA313" s="119"/>
      <c r="AB313" s="119"/>
      <c r="AC313" s="126">
        <f t="shared" si="484"/>
        <v>81469</v>
      </c>
      <c r="AD313" s="119"/>
      <c r="AE313" s="119"/>
      <c r="AF313" s="126">
        <f t="shared" si="485"/>
        <v>81469</v>
      </c>
      <c r="AG313" s="119">
        <v>1233</v>
      </c>
      <c r="AH313" s="119"/>
      <c r="AI313" s="126">
        <f t="shared" si="486"/>
        <v>82702</v>
      </c>
      <c r="AJ313" s="119"/>
      <c r="AK313" s="119"/>
      <c r="AL313" s="126">
        <f t="shared" si="487"/>
        <v>82702</v>
      </c>
      <c r="AM313" s="119"/>
      <c r="AN313" s="119"/>
      <c r="AO313" s="126">
        <f t="shared" si="488"/>
        <v>82702</v>
      </c>
      <c r="AP313" s="119"/>
      <c r="AQ313" s="119"/>
      <c r="AR313" s="126">
        <f t="shared" si="489"/>
        <v>82702</v>
      </c>
      <c r="AS313" s="119">
        <v>221</v>
      </c>
      <c r="AT313" s="119"/>
      <c r="AU313" s="126">
        <f t="shared" si="490"/>
        <v>82923</v>
      </c>
      <c r="AV313" s="337">
        <f>SUM(AU313)</f>
        <v>82923</v>
      </c>
    </row>
    <row r="314" spans="1:48" s="37" customFormat="1" ht="21" customHeight="1">
      <c r="A314" s="98"/>
      <c r="B314" s="116"/>
      <c r="C314" s="120">
        <v>4120</v>
      </c>
      <c r="D314" s="56" t="s">
        <v>104</v>
      </c>
      <c r="E314" s="114">
        <v>11081</v>
      </c>
      <c r="F314" s="119"/>
      <c r="G314" s="119"/>
      <c r="H314" s="126">
        <f t="shared" si="477"/>
        <v>11081</v>
      </c>
      <c r="I314" s="119">
        <v>13</v>
      </c>
      <c r="J314" s="119"/>
      <c r="K314" s="126">
        <f t="shared" si="478"/>
        <v>11094</v>
      </c>
      <c r="L314" s="119"/>
      <c r="M314" s="119"/>
      <c r="N314" s="126">
        <f t="shared" si="479"/>
        <v>11094</v>
      </c>
      <c r="O314" s="119"/>
      <c r="P314" s="119"/>
      <c r="Q314" s="126">
        <f t="shared" si="480"/>
        <v>11094</v>
      </c>
      <c r="R314" s="119"/>
      <c r="S314" s="119"/>
      <c r="T314" s="126">
        <f t="shared" si="481"/>
        <v>11094</v>
      </c>
      <c r="U314" s="119"/>
      <c r="V314" s="119"/>
      <c r="W314" s="126">
        <f t="shared" si="482"/>
        <v>11094</v>
      </c>
      <c r="X314" s="119"/>
      <c r="Y314" s="119"/>
      <c r="Z314" s="126">
        <f t="shared" si="483"/>
        <v>11094</v>
      </c>
      <c r="AA314" s="119"/>
      <c r="AB314" s="119"/>
      <c r="AC314" s="126">
        <f t="shared" si="484"/>
        <v>11094</v>
      </c>
      <c r="AD314" s="119"/>
      <c r="AE314" s="119"/>
      <c r="AF314" s="126">
        <f t="shared" si="485"/>
        <v>11094</v>
      </c>
      <c r="AG314" s="119">
        <v>523</v>
      </c>
      <c r="AH314" s="119"/>
      <c r="AI314" s="126">
        <f t="shared" si="486"/>
        <v>11617</v>
      </c>
      <c r="AJ314" s="119"/>
      <c r="AK314" s="119"/>
      <c r="AL314" s="126">
        <f t="shared" si="487"/>
        <v>11617</v>
      </c>
      <c r="AM314" s="119"/>
      <c r="AN314" s="119"/>
      <c r="AO314" s="126">
        <f t="shared" si="488"/>
        <v>11617</v>
      </c>
      <c r="AP314" s="119"/>
      <c r="AQ314" s="119"/>
      <c r="AR314" s="126">
        <f t="shared" si="489"/>
        <v>11617</v>
      </c>
      <c r="AS314" s="119">
        <v>23</v>
      </c>
      <c r="AT314" s="119"/>
      <c r="AU314" s="126">
        <f t="shared" si="490"/>
        <v>11640</v>
      </c>
      <c r="AV314" s="337">
        <f>SUM(AU314)</f>
        <v>11640</v>
      </c>
    </row>
    <row r="315" spans="1:48" s="37" customFormat="1" ht="21" customHeight="1">
      <c r="A315" s="98"/>
      <c r="B315" s="116"/>
      <c r="C315" s="120">
        <v>4170</v>
      </c>
      <c r="D315" s="56" t="s">
        <v>263</v>
      </c>
      <c r="E315" s="114">
        <v>18000</v>
      </c>
      <c r="F315" s="119"/>
      <c r="G315" s="119"/>
      <c r="H315" s="126">
        <f t="shared" si="477"/>
        <v>18000</v>
      </c>
      <c r="I315" s="119"/>
      <c r="J315" s="119"/>
      <c r="K315" s="126">
        <f t="shared" si="478"/>
        <v>18000</v>
      </c>
      <c r="L315" s="119"/>
      <c r="M315" s="119"/>
      <c r="N315" s="126">
        <f t="shared" si="479"/>
        <v>18000</v>
      </c>
      <c r="O315" s="119"/>
      <c r="P315" s="119"/>
      <c r="Q315" s="126">
        <f t="shared" si="480"/>
        <v>18000</v>
      </c>
      <c r="R315" s="119"/>
      <c r="S315" s="119"/>
      <c r="T315" s="126">
        <f t="shared" si="481"/>
        <v>18000</v>
      </c>
      <c r="U315" s="119"/>
      <c r="V315" s="119"/>
      <c r="W315" s="126">
        <f t="shared" si="482"/>
        <v>18000</v>
      </c>
      <c r="X315" s="119"/>
      <c r="Y315" s="119"/>
      <c r="Z315" s="126">
        <f t="shared" si="483"/>
        <v>18000</v>
      </c>
      <c r="AA315" s="119"/>
      <c r="AB315" s="119"/>
      <c r="AC315" s="126">
        <f t="shared" si="484"/>
        <v>18000</v>
      </c>
      <c r="AD315" s="119"/>
      <c r="AE315" s="119"/>
      <c r="AF315" s="126">
        <f t="shared" si="485"/>
        <v>18000</v>
      </c>
      <c r="AG315" s="119"/>
      <c r="AH315" s="119">
        <v>11682</v>
      </c>
      <c r="AI315" s="126">
        <f t="shared" si="486"/>
        <v>6318</v>
      </c>
      <c r="AJ315" s="119"/>
      <c r="AK315" s="119"/>
      <c r="AL315" s="126">
        <f t="shared" si="487"/>
        <v>6318</v>
      </c>
      <c r="AM315" s="119"/>
      <c r="AN315" s="119"/>
      <c r="AO315" s="126">
        <f t="shared" si="488"/>
        <v>6318</v>
      </c>
      <c r="AP315" s="119"/>
      <c r="AQ315" s="119"/>
      <c r="AR315" s="126">
        <f t="shared" si="489"/>
        <v>6318</v>
      </c>
      <c r="AS315" s="119"/>
      <c r="AT315" s="119"/>
      <c r="AU315" s="126">
        <f t="shared" si="490"/>
        <v>6318</v>
      </c>
      <c r="AV315" s="337">
        <f>SUM(AU315)</f>
        <v>6318</v>
      </c>
    </row>
    <row r="316" spans="1:48" s="37" customFormat="1" ht="21" customHeight="1">
      <c r="A316" s="98"/>
      <c r="B316" s="116"/>
      <c r="C316" s="120">
        <v>4210</v>
      </c>
      <c r="D316" s="56" t="s">
        <v>109</v>
      </c>
      <c r="E316" s="114">
        <v>7760</v>
      </c>
      <c r="F316" s="119"/>
      <c r="G316" s="119"/>
      <c r="H316" s="126">
        <f t="shared" si="477"/>
        <v>7760</v>
      </c>
      <c r="I316" s="119"/>
      <c r="J316" s="119"/>
      <c r="K316" s="126">
        <f t="shared" si="478"/>
        <v>7760</v>
      </c>
      <c r="L316" s="119"/>
      <c r="M316" s="119"/>
      <c r="N316" s="126">
        <f t="shared" si="479"/>
        <v>7760</v>
      </c>
      <c r="O316" s="119"/>
      <c r="P316" s="119"/>
      <c r="Q316" s="126">
        <f t="shared" si="480"/>
        <v>7760</v>
      </c>
      <c r="R316" s="119"/>
      <c r="S316" s="119"/>
      <c r="T316" s="126">
        <f t="shared" si="481"/>
        <v>7760</v>
      </c>
      <c r="U316" s="119"/>
      <c r="V316" s="119"/>
      <c r="W316" s="126">
        <f t="shared" si="482"/>
        <v>7760</v>
      </c>
      <c r="X316" s="119"/>
      <c r="Y316" s="119"/>
      <c r="Z316" s="126">
        <f t="shared" si="483"/>
        <v>7760</v>
      </c>
      <c r="AA316" s="119"/>
      <c r="AB316" s="119"/>
      <c r="AC316" s="126">
        <f t="shared" si="484"/>
        <v>7760</v>
      </c>
      <c r="AD316" s="119"/>
      <c r="AE316" s="119"/>
      <c r="AF316" s="126">
        <f t="shared" si="485"/>
        <v>7760</v>
      </c>
      <c r="AG316" s="119"/>
      <c r="AH316" s="119"/>
      <c r="AI316" s="126">
        <f t="shared" si="486"/>
        <v>7760</v>
      </c>
      <c r="AJ316" s="119"/>
      <c r="AK316" s="119"/>
      <c r="AL316" s="126">
        <f t="shared" si="487"/>
        <v>7760</v>
      </c>
      <c r="AM316" s="119"/>
      <c r="AN316" s="119"/>
      <c r="AO316" s="126">
        <f t="shared" si="488"/>
        <v>7760</v>
      </c>
      <c r="AP316" s="119"/>
      <c r="AQ316" s="119"/>
      <c r="AR316" s="126">
        <f t="shared" si="489"/>
        <v>7760</v>
      </c>
      <c r="AS316" s="119"/>
      <c r="AT316" s="119"/>
      <c r="AU316" s="126">
        <f t="shared" si="490"/>
        <v>7760</v>
      </c>
      <c r="AV316" s="337"/>
    </row>
    <row r="317" spans="1:48" s="37" customFormat="1" ht="21" customHeight="1">
      <c r="A317" s="98"/>
      <c r="B317" s="116"/>
      <c r="C317" s="120">
        <v>4230</v>
      </c>
      <c r="D317" s="56" t="s">
        <v>131</v>
      </c>
      <c r="E317" s="114">
        <v>50</v>
      </c>
      <c r="F317" s="119"/>
      <c r="G317" s="119"/>
      <c r="H317" s="126">
        <f t="shared" si="477"/>
        <v>50</v>
      </c>
      <c r="I317" s="119"/>
      <c r="J317" s="119"/>
      <c r="K317" s="126">
        <f t="shared" si="478"/>
        <v>50</v>
      </c>
      <c r="L317" s="119"/>
      <c r="M317" s="119"/>
      <c r="N317" s="126">
        <f t="shared" si="479"/>
        <v>50</v>
      </c>
      <c r="O317" s="119"/>
      <c r="P317" s="119"/>
      <c r="Q317" s="126">
        <f t="shared" si="480"/>
        <v>50</v>
      </c>
      <c r="R317" s="119"/>
      <c r="S317" s="119"/>
      <c r="T317" s="126">
        <f t="shared" si="481"/>
        <v>50</v>
      </c>
      <c r="U317" s="119"/>
      <c r="V317" s="119"/>
      <c r="W317" s="126">
        <f t="shared" si="482"/>
        <v>50</v>
      </c>
      <c r="X317" s="119"/>
      <c r="Y317" s="119"/>
      <c r="Z317" s="126">
        <f t="shared" si="483"/>
        <v>50</v>
      </c>
      <c r="AA317" s="119"/>
      <c r="AB317" s="119"/>
      <c r="AC317" s="126">
        <f t="shared" si="484"/>
        <v>50</v>
      </c>
      <c r="AD317" s="119"/>
      <c r="AE317" s="119"/>
      <c r="AF317" s="126">
        <f t="shared" si="485"/>
        <v>50</v>
      </c>
      <c r="AG317" s="119"/>
      <c r="AH317" s="119"/>
      <c r="AI317" s="126">
        <f t="shared" si="486"/>
        <v>50</v>
      </c>
      <c r="AJ317" s="119"/>
      <c r="AK317" s="119"/>
      <c r="AL317" s="126">
        <f t="shared" si="487"/>
        <v>50</v>
      </c>
      <c r="AM317" s="119"/>
      <c r="AN317" s="119"/>
      <c r="AO317" s="126">
        <f t="shared" si="488"/>
        <v>50</v>
      </c>
      <c r="AP317" s="119"/>
      <c r="AQ317" s="119"/>
      <c r="AR317" s="126">
        <f t="shared" si="489"/>
        <v>50</v>
      </c>
      <c r="AS317" s="119"/>
      <c r="AT317" s="119"/>
      <c r="AU317" s="126">
        <f t="shared" si="490"/>
        <v>50</v>
      </c>
      <c r="AV317" s="337"/>
    </row>
    <row r="318" spans="1:48" s="37" customFormat="1" ht="24">
      <c r="A318" s="98"/>
      <c r="B318" s="116"/>
      <c r="C318" s="120">
        <v>4240</v>
      </c>
      <c r="D318" s="56" t="s">
        <v>142</v>
      </c>
      <c r="E318" s="114">
        <v>1000</v>
      </c>
      <c r="F318" s="119"/>
      <c r="G318" s="119"/>
      <c r="H318" s="126">
        <f t="shared" si="477"/>
        <v>1000</v>
      </c>
      <c r="I318" s="119"/>
      <c r="J318" s="119"/>
      <c r="K318" s="126">
        <f t="shared" si="478"/>
        <v>1000</v>
      </c>
      <c r="L318" s="119"/>
      <c r="M318" s="119"/>
      <c r="N318" s="126">
        <f t="shared" si="479"/>
        <v>1000</v>
      </c>
      <c r="O318" s="119"/>
      <c r="P318" s="119"/>
      <c r="Q318" s="126">
        <f t="shared" si="480"/>
        <v>1000</v>
      </c>
      <c r="R318" s="119"/>
      <c r="S318" s="119"/>
      <c r="T318" s="126">
        <f t="shared" si="481"/>
        <v>1000</v>
      </c>
      <c r="U318" s="119"/>
      <c r="V318" s="119"/>
      <c r="W318" s="126">
        <f t="shared" si="482"/>
        <v>1000</v>
      </c>
      <c r="X318" s="119"/>
      <c r="Y318" s="119"/>
      <c r="Z318" s="126">
        <f t="shared" si="483"/>
        <v>1000</v>
      </c>
      <c r="AA318" s="119"/>
      <c r="AB318" s="119"/>
      <c r="AC318" s="126">
        <f t="shared" si="484"/>
        <v>1000</v>
      </c>
      <c r="AD318" s="119"/>
      <c r="AE318" s="119"/>
      <c r="AF318" s="126">
        <f t="shared" si="485"/>
        <v>1000</v>
      </c>
      <c r="AG318" s="119"/>
      <c r="AH318" s="119"/>
      <c r="AI318" s="126">
        <f t="shared" si="486"/>
        <v>1000</v>
      </c>
      <c r="AJ318" s="119"/>
      <c r="AK318" s="119"/>
      <c r="AL318" s="126">
        <f t="shared" si="487"/>
        <v>1000</v>
      </c>
      <c r="AM318" s="119"/>
      <c r="AN318" s="119"/>
      <c r="AO318" s="126">
        <f t="shared" si="488"/>
        <v>1000</v>
      </c>
      <c r="AP318" s="119"/>
      <c r="AQ318" s="119"/>
      <c r="AR318" s="126">
        <f t="shared" si="489"/>
        <v>1000</v>
      </c>
      <c r="AS318" s="119"/>
      <c r="AT318" s="119"/>
      <c r="AU318" s="126">
        <f t="shared" si="490"/>
        <v>1000</v>
      </c>
      <c r="AV318" s="337"/>
    </row>
    <row r="319" spans="1:48" s="37" customFormat="1" ht="21" customHeight="1">
      <c r="A319" s="98"/>
      <c r="B319" s="116"/>
      <c r="C319" s="120">
        <v>4280</v>
      </c>
      <c r="D319" s="56" t="s">
        <v>267</v>
      </c>
      <c r="E319" s="114"/>
      <c r="F319" s="119"/>
      <c r="G319" s="119"/>
      <c r="H319" s="126">
        <v>0</v>
      </c>
      <c r="I319" s="119">
        <v>200</v>
      </c>
      <c r="J319" s="119"/>
      <c r="K319" s="126">
        <f t="shared" si="478"/>
        <v>200</v>
      </c>
      <c r="L319" s="119"/>
      <c r="M319" s="119"/>
      <c r="N319" s="126">
        <f t="shared" si="479"/>
        <v>200</v>
      </c>
      <c r="O319" s="119"/>
      <c r="P319" s="119"/>
      <c r="Q319" s="126">
        <f t="shared" si="480"/>
        <v>200</v>
      </c>
      <c r="R319" s="119"/>
      <c r="S319" s="119"/>
      <c r="T319" s="126">
        <f t="shared" si="481"/>
        <v>200</v>
      </c>
      <c r="U319" s="119"/>
      <c r="V319" s="119"/>
      <c r="W319" s="126">
        <f t="shared" si="482"/>
        <v>200</v>
      </c>
      <c r="X319" s="119"/>
      <c r="Y319" s="119"/>
      <c r="Z319" s="126">
        <f t="shared" si="483"/>
        <v>200</v>
      </c>
      <c r="AA319" s="119"/>
      <c r="AB319" s="119"/>
      <c r="AC319" s="126">
        <f t="shared" si="484"/>
        <v>200</v>
      </c>
      <c r="AD319" s="119"/>
      <c r="AE319" s="119"/>
      <c r="AF319" s="126">
        <f t="shared" si="485"/>
        <v>200</v>
      </c>
      <c r="AG319" s="119"/>
      <c r="AH319" s="119"/>
      <c r="AI319" s="126">
        <f t="shared" si="486"/>
        <v>200</v>
      </c>
      <c r="AJ319" s="119"/>
      <c r="AK319" s="119"/>
      <c r="AL319" s="126">
        <f t="shared" si="487"/>
        <v>200</v>
      </c>
      <c r="AM319" s="119"/>
      <c r="AN319" s="119"/>
      <c r="AO319" s="126">
        <f t="shared" si="488"/>
        <v>200</v>
      </c>
      <c r="AP319" s="119"/>
      <c r="AQ319" s="119"/>
      <c r="AR319" s="126">
        <f t="shared" si="489"/>
        <v>200</v>
      </c>
      <c r="AS319" s="119"/>
      <c r="AT319" s="119"/>
      <c r="AU319" s="126">
        <f t="shared" si="490"/>
        <v>200</v>
      </c>
      <c r="AV319" s="337"/>
    </row>
    <row r="320" spans="1:48" s="37" customFormat="1" ht="21" customHeight="1">
      <c r="A320" s="98"/>
      <c r="B320" s="116"/>
      <c r="C320" s="120">
        <v>4300</v>
      </c>
      <c r="D320" s="56" t="s">
        <v>96</v>
      </c>
      <c r="E320" s="114">
        <v>850</v>
      </c>
      <c r="F320" s="119"/>
      <c r="G320" s="119"/>
      <c r="H320" s="126">
        <f t="shared" si="477"/>
        <v>850</v>
      </c>
      <c r="I320" s="119"/>
      <c r="J320" s="119">
        <v>200</v>
      </c>
      <c r="K320" s="126">
        <f t="shared" si="478"/>
        <v>650</v>
      </c>
      <c r="L320" s="119"/>
      <c r="M320" s="119"/>
      <c r="N320" s="126">
        <f t="shared" si="479"/>
        <v>650</v>
      </c>
      <c r="O320" s="119"/>
      <c r="P320" s="119"/>
      <c r="Q320" s="126">
        <f t="shared" si="480"/>
        <v>650</v>
      </c>
      <c r="R320" s="119"/>
      <c r="S320" s="119"/>
      <c r="T320" s="126">
        <f t="shared" si="481"/>
        <v>650</v>
      </c>
      <c r="U320" s="119"/>
      <c r="V320" s="119"/>
      <c r="W320" s="126">
        <f t="shared" si="482"/>
        <v>650</v>
      </c>
      <c r="X320" s="119"/>
      <c r="Y320" s="119"/>
      <c r="Z320" s="126">
        <f t="shared" si="483"/>
        <v>650</v>
      </c>
      <c r="AA320" s="119"/>
      <c r="AB320" s="119"/>
      <c r="AC320" s="126">
        <f t="shared" si="484"/>
        <v>650</v>
      </c>
      <c r="AD320" s="119"/>
      <c r="AE320" s="119"/>
      <c r="AF320" s="126">
        <f t="shared" si="485"/>
        <v>650</v>
      </c>
      <c r="AG320" s="119"/>
      <c r="AH320" s="119">
        <v>100</v>
      </c>
      <c r="AI320" s="126">
        <f t="shared" si="486"/>
        <v>550</v>
      </c>
      <c r="AJ320" s="119"/>
      <c r="AK320" s="119"/>
      <c r="AL320" s="126">
        <f t="shared" si="487"/>
        <v>550</v>
      </c>
      <c r="AM320" s="119"/>
      <c r="AN320" s="119"/>
      <c r="AO320" s="126">
        <f t="shared" si="488"/>
        <v>550</v>
      </c>
      <c r="AP320" s="119"/>
      <c r="AQ320" s="119"/>
      <c r="AR320" s="126">
        <f t="shared" si="489"/>
        <v>550</v>
      </c>
      <c r="AS320" s="119"/>
      <c r="AT320" s="119">
        <v>480</v>
      </c>
      <c r="AU320" s="126">
        <f t="shared" si="490"/>
        <v>70</v>
      </c>
      <c r="AV320" s="337"/>
    </row>
    <row r="321" spans="1:48" s="37" customFormat="1" ht="24">
      <c r="A321" s="98"/>
      <c r="B321" s="116"/>
      <c r="C321" s="120">
        <v>4440</v>
      </c>
      <c r="D321" s="56" t="s">
        <v>105</v>
      </c>
      <c r="E321" s="114">
        <v>28639</v>
      </c>
      <c r="F321" s="119"/>
      <c r="G321" s="119"/>
      <c r="H321" s="126">
        <f t="shared" si="477"/>
        <v>28639</v>
      </c>
      <c r="I321" s="119"/>
      <c r="J321" s="119"/>
      <c r="K321" s="126">
        <f t="shared" si="478"/>
        <v>28639</v>
      </c>
      <c r="L321" s="119"/>
      <c r="M321" s="119"/>
      <c r="N321" s="126">
        <f t="shared" si="479"/>
        <v>28639</v>
      </c>
      <c r="O321" s="119"/>
      <c r="P321" s="119"/>
      <c r="Q321" s="126">
        <f t="shared" si="480"/>
        <v>28639</v>
      </c>
      <c r="R321" s="119"/>
      <c r="S321" s="119"/>
      <c r="T321" s="126">
        <f t="shared" si="481"/>
        <v>28639</v>
      </c>
      <c r="U321" s="119"/>
      <c r="V321" s="119"/>
      <c r="W321" s="126">
        <f t="shared" si="482"/>
        <v>28639</v>
      </c>
      <c r="X321" s="119"/>
      <c r="Y321" s="119"/>
      <c r="Z321" s="126">
        <f t="shared" si="483"/>
        <v>28639</v>
      </c>
      <c r="AA321" s="119"/>
      <c r="AB321" s="119"/>
      <c r="AC321" s="126">
        <f t="shared" si="484"/>
        <v>28639</v>
      </c>
      <c r="AD321" s="119"/>
      <c r="AE321" s="119"/>
      <c r="AF321" s="126">
        <f t="shared" si="485"/>
        <v>28639</v>
      </c>
      <c r="AG321" s="119">
        <v>2012</v>
      </c>
      <c r="AH321" s="119"/>
      <c r="AI321" s="126">
        <f t="shared" si="486"/>
        <v>30651</v>
      </c>
      <c r="AJ321" s="119"/>
      <c r="AK321" s="119"/>
      <c r="AL321" s="126">
        <f t="shared" si="487"/>
        <v>30651</v>
      </c>
      <c r="AM321" s="119"/>
      <c r="AN321" s="119"/>
      <c r="AO321" s="126">
        <f t="shared" si="488"/>
        <v>30651</v>
      </c>
      <c r="AP321" s="119"/>
      <c r="AQ321" s="119"/>
      <c r="AR321" s="126">
        <f t="shared" si="489"/>
        <v>30651</v>
      </c>
      <c r="AS321" s="119"/>
      <c r="AT321" s="119"/>
      <c r="AU321" s="126">
        <f t="shared" si="490"/>
        <v>30651</v>
      </c>
      <c r="AV321" s="337"/>
    </row>
    <row r="322" spans="1:48" s="37" customFormat="1" ht="36">
      <c r="A322" s="98"/>
      <c r="B322" s="116" t="s">
        <v>145</v>
      </c>
      <c r="C322" s="120"/>
      <c r="D322" s="56" t="s">
        <v>199</v>
      </c>
      <c r="E322" s="114">
        <f>SUM(E324:E325)</f>
        <v>178550</v>
      </c>
      <c r="F322" s="114">
        <f>SUM(F324:F325)</f>
        <v>0</v>
      </c>
      <c r="G322" s="114">
        <f>SUM(G324:G325)</f>
        <v>40000</v>
      </c>
      <c r="H322" s="114">
        <f aca="true" t="shared" si="491" ref="H322:N322">SUM(H324:H326)</f>
        <v>138550</v>
      </c>
      <c r="I322" s="114">
        <f t="shared" si="491"/>
        <v>90000</v>
      </c>
      <c r="J322" s="114">
        <f t="shared" si="491"/>
        <v>75000</v>
      </c>
      <c r="K322" s="114">
        <f t="shared" si="491"/>
        <v>153550</v>
      </c>
      <c r="L322" s="114">
        <f t="shared" si="491"/>
        <v>0</v>
      </c>
      <c r="M322" s="114">
        <f t="shared" si="491"/>
        <v>0</v>
      </c>
      <c r="N322" s="114">
        <f t="shared" si="491"/>
        <v>153550</v>
      </c>
      <c r="O322" s="114">
        <f>SUM(O324:O326)</f>
        <v>0</v>
      </c>
      <c r="P322" s="114">
        <f>SUM(P324:P326)</f>
        <v>0</v>
      </c>
      <c r="Q322" s="114">
        <f>SUM(Q324:Q326)</f>
        <v>153550</v>
      </c>
      <c r="R322" s="114">
        <f>SUM(R324:R326)</f>
        <v>2430</v>
      </c>
      <c r="S322" s="114">
        <f>SUM(S324:S326)</f>
        <v>10350</v>
      </c>
      <c r="T322" s="114">
        <f aca="true" t="shared" si="492" ref="T322:Z322">SUM(T323:T326)</f>
        <v>145630</v>
      </c>
      <c r="U322" s="114">
        <f t="shared" si="492"/>
        <v>30148</v>
      </c>
      <c r="V322" s="114">
        <f t="shared" si="492"/>
        <v>34600</v>
      </c>
      <c r="W322" s="114">
        <f t="shared" si="492"/>
        <v>141178</v>
      </c>
      <c r="X322" s="114">
        <f t="shared" si="492"/>
        <v>0</v>
      </c>
      <c r="Y322" s="114">
        <f t="shared" si="492"/>
        <v>700</v>
      </c>
      <c r="Z322" s="114">
        <f t="shared" si="492"/>
        <v>140478</v>
      </c>
      <c r="AA322" s="114">
        <f aca="true" t="shared" si="493" ref="AA322:AF322">SUM(AA323:AA326)</f>
        <v>5800</v>
      </c>
      <c r="AB322" s="114">
        <f t="shared" si="493"/>
        <v>879</v>
      </c>
      <c r="AC322" s="114">
        <f t="shared" si="493"/>
        <v>145399</v>
      </c>
      <c r="AD322" s="114">
        <f t="shared" si="493"/>
        <v>0</v>
      </c>
      <c r="AE322" s="114">
        <f t="shared" si="493"/>
        <v>0</v>
      </c>
      <c r="AF322" s="114">
        <f t="shared" si="493"/>
        <v>145399</v>
      </c>
      <c r="AG322" s="114">
        <f aca="true" t="shared" si="494" ref="AG322:AL322">SUM(AG323:AG326)</f>
        <v>262</v>
      </c>
      <c r="AH322" s="114">
        <f t="shared" si="494"/>
        <v>10095</v>
      </c>
      <c r="AI322" s="114">
        <f t="shared" si="494"/>
        <v>135566</v>
      </c>
      <c r="AJ322" s="114">
        <f t="shared" si="494"/>
        <v>0</v>
      </c>
      <c r="AK322" s="114">
        <f t="shared" si="494"/>
        <v>0</v>
      </c>
      <c r="AL322" s="114">
        <f t="shared" si="494"/>
        <v>135566</v>
      </c>
      <c r="AM322" s="114">
        <f aca="true" t="shared" si="495" ref="AM322:AR322">SUM(AM323:AM326)</f>
        <v>0</v>
      </c>
      <c r="AN322" s="114">
        <f t="shared" si="495"/>
        <v>0</v>
      </c>
      <c r="AO322" s="114">
        <f t="shared" si="495"/>
        <v>135566</v>
      </c>
      <c r="AP322" s="114">
        <f t="shared" si="495"/>
        <v>0</v>
      </c>
      <c r="AQ322" s="114">
        <f t="shared" si="495"/>
        <v>0</v>
      </c>
      <c r="AR322" s="114">
        <f t="shared" si="495"/>
        <v>135566</v>
      </c>
      <c r="AS322" s="114">
        <f>SUM(AS323:AS326)</f>
        <v>262</v>
      </c>
      <c r="AT322" s="114">
        <f>SUM(AT323:AT326)</f>
        <v>1061</v>
      </c>
      <c r="AU322" s="114">
        <f>SUM(AU323:AU326)</f>
        <v>134767</v>
      </c>
      <c r="AV322" s="339"/>
    </row>
    <row r="323" spans="1:48" s="37" customFormat="1" ht="48">
      <c r="A323" s="98"/>
      <c r="B323" s="116"/>
      <c r="C323" s="120">
        <v>2630</v>
      </c>
      <c r="D323" s="19" t="s">
        <v>641</v>
      </c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>
        <v>0</v>
      </c>
      <c r="U323" s="114">
        <v>28905</v>
      </c>
      <c r="V323" s="114"/>
      <c r="W323" s="126">
        <f>SUM(T323+U323-V323)</f>
        <v>28905</v>
      </c>
      <c r="X323" s="114"/>
      <c r="Y323" s="114"/>
      <c r="Z323" s="126">
        <f>SUM(W323+X323-Y323)</f>
        <v>28905</v>
      </c>
      <c r="AA323" s="114"/>
      <c r="AB323" s="114"/>
      <c r="AC323" s="126">
        <f>SUM(Z323+AA323-AB323)</f>
        <v>28905</v>
      </c>
      <c r="AD323" s="114"/>
      <c r="AE323" s="114"/>
      <c r="AF323" s="126">
        <f>SUM(AC323+AD323-AE323)</f>
        <v>28905</v>
      </c>
      <c r="AG323" s="114"/>
      <c r="AH323" s="114"/>
      <c r="AI323" s="126">
        <f>SUM(AF323+AG323-AH323)</f>
        <v>28905</v>
      </c>
      <c r="AJ323" s="114"/>
      <c r="AK323" s="114"/>
      <c r="AL323" s="126">
        <f>SUM(AI323+AJ323-AK323)</f>
        <v>28905</v>
      </c>
      <c r="AM323" s="114"/>
      <c r="AN323" s="114"/>
      <c r="AO323" s="126">
        <f>SUM(AL323+AM323-AN323)</f>
        <v>28905</v>
      </c>
      <c r="AP323" s="114"/>
      <c r="AQ323" s="114"/>
      <c r="AR323" s="126">
        <f>SUM(AO323+AP323-AQ323)</f>
        <v>28905</v>
      </c>
      <c r="AS323" s="114"/>
      <c r="AT323" s="114"/>
      <c r="AU323" s="126">
        <f>SUM(AR323+AS323-AT323)</f>
        <v>28905</v>
      </c>
      <c r="AV323" s="337"/>
    </row>
    <row r="324" spans="1:48" s="37" customFormat="1" ht="21" customHeight="1">
      <c r="A324" s="98"/>
      <c r="B324" s="116"/>
      <c r="C324" s="120">
        <v>4210</v>
      </c>
      <c r="D324" s="56" t="s">
        <v>109</v>
      </c>
      <c r="E324" s="114">
        <f>5500+500</f>
        <v>6000</v>
      </c>
      <c r="F324" s="119"/>
      <c r="G324" s="119"/>
      <c r="H324" s="126">
        <f>SUM(E324+F324-G324)</f>
        <v>6000</v>
      </c>
      <c r="I324" s="119"/>
      <c r="J324" s="119"/>
      <c r="K324" s="126">
        <f>SUM(H324+I324-J324)</f>
        <v>6000</v>
      </c>
      <c r="L324" s="119"/>
      <c r="M324" s="119"/>
      <c r="N324" s="126">
        <f>SUM(K324+L324-M324)</f>
        <v>6000</v>
      </c>
      <c r="O324" s="119"/>
      <c r="P324" s="119"/>
      <c r="Q324" s="126">
        <f>SUM(N324+O324-P324)</f>
        <v>6000</v>
      </c>
      <c r="R324" s="119"/>
      <c r="S324" s="119"/>
      <c r="T324" s="126">
        <f>SUM(Q324+R324-S324)</f>
        <v>6000</v>
      </c>
      <c r="U324" s="119"/>
      <c r="V324" s="119">
        <f>43+152</f>
        <v>195</v>
      </c>
      <c r="W324" s="126">
        <f>SUM(T324+U324-V324)</f>
        <v>5805</v>
      </c>
      <c r="X324" s="119"/>
      <c r="Y324" s="119"/>
      <c r="Z324" s="126">
        <f>SUM(W324+X324-Y324)</f>
        <v>5805</v>
      </c>
      <c r="AA324" s="119">
        <f>2300+3500</f>
        <v>5800</v>
      </c>
      <c r="AB324" s="119"/>
      <c r="AC324" s="126">
        <f>SUM(Z324+AA324-AB324)</f>
        <v>11605</v>
      </c>
      <c r="AD324" s="119"/>
      <c r="AE324" s="119"/>
      <c r="AF324" s="126">
        <f>SUM(AC324+AD324-AE324)</f>
        <v>11605</v>
      </c>
      <c r="AG324" s="119"/>
      <c r="AH324" s="119"/>
      <c r="AI324" s="126">
        <f>SUM(AF324+AG324-AH324)</f>
        <v>11605</v>
      </c>
      <c r="AJ324" s="119"/>
      <c r="AK324" s="119"/>
      <c r="AL324" s="126">
        <f>SUM(AI324+AJ324-AK324)</f>
        <v>11605</v>
      </c>
      <c r="AM324" s="119"/>
      <c r="AN324" s="119"/>
      <c r="AO324" s="126">
        <f>SUM(AL324+AM324-AN324)</f>
        <v>11605</v>
      </c>
      <c r="AP324" s="119"/>
      <c r="AQ324" s="119"/>
      <c r="AR324" s="126">
        <f>SUM(AO324+AP324-AQ324)</f>
        <v>11605</v>
      </c>
      <c r="AS324" s="119">
        <v>262</v>
      </c>
      <c r="AT324" s="119"/>
      <c r="AU324" s="126">
        <f>SUM(AR324+AS324-AT324)</f>
        <v>11867</v>
      </c>
      <c r="AV324" s="337"/>
    </row>
    <row r="325" spans="1:48" s="37" customFormat="1" ht="21" customHeight="1">
      <c r="A325" s="120"/>
      <c r="B325" s="121"/>
      <c r="C325" s="120">
        <v>4300</v>
      </c>
      <c r="D325" s="56" t="s">
        <v>96</v>
      </c>
      <c r="E325" s="114">
        <f>99500+13050+45000+15000</f>
        <v>172550</v>
      </c>
      <c r="F325" s="119"/>
      <c r="G325" s="119">
        <v>40000</v>
      </c>
      <c r="H325" s="126">
        <f>SUM(E325+F325-G325)</f>
        <v>132550</v>
      </c>
      <c r="I325" s="119"/>
      <c r="J325" s="119">
        <v>75000</v>
      </c>
      <c r="K325" s="126">
        <f>SUM(H325+I325-J325)</f>
        <v>57550</v>
      </c>
      <c r="L325" s="119"/>
      <c r="M325" s="119"/>
      <c r="N325" s="126">
        <f>SUM(K325+L325-M325)</f>
        <v>57550</v>
      </c>
      <c r="O325" s="119"/>
      <c r="P325" s="119"/>
      <c r="Q325" s="126">
        <f>SUM(N325+O325-P325)</f>
        <v>57550</v>
      </c>
      <c r="R325" s="119">
        <v>500</v>
      </c>
      <c r="S325" s="119">
        <f>8420+1930</f>
        <v>10350</v>
      </c>
      <c r="T325" s="126">
        <f>SUM(Q325+R325-S325)</f>
        <v>47700</v>
      </c>
      <c r="U325" s="119">
        <f>43+1200</f>
        <v>1243</v>
      </c>
      <c r="V325" s="119">
        <f>28905+5500</f>
        <v>34405</v>
      </c>
      <c r="W325" s="126">
        <f>SUM(T325+U325-V325)</f>
        <v>14538</v>
      </c>
      <c r="X325" s="119"/>
      <c r="Y325" s="119">
        <v>700</v>
      </c>
      <c r="Z325" s="126">
        <f>SUM(W325+X325-Y325)</f>
        <v>13838</v>
      </c>
      <c r="AA325" s="119"/>
      <c r="AB325" s="119">
        <f>250+500</f>
        <v>750</v>
      </c>
      <c r="AC325" s="126">
        <f>SUM(Z325+AA325-AB325)</f>
        <v>13088</v>
      </c>
      <c r="AD325" s="119"/>
      <c r="AE325" s="119"/>
      <c r="AF325" s="126">
        <f>SUM(AC325+AD325-AE325)</f>
        <v>13088</v>
      </c>
      <c r="AG325" s="119">
        <v>262</v>
      </c>
      <c r="AH325" s="119">
        <f>5095+5000</f>
        <v>10095</v>
      </c>
      <c r="AI325" s="126">
        <f>SUM(AF325+AG325-AH325)</f>
        <v>3255</v>
      </c>
      <c r="AJ325" s="119"/>
      <c r="AK325" s="119"/>
      <c r="AL325" s="126">
        <f>SUM(AI325+AJ325-AK325)</f>
        <v>3255</v>
      </c>
      <c r="AM325" s="119"/>
      <c r="AN325" s="119"/>
      <c r="AO325" s="126">
        <f>SUM(AL325+AM325-AN325)</f>
        <v>3255</v>
      </c>
      <c r="AP325" s="119"/>
      <c r="AQ325" s="119"/>
      <c r="AR325" s="126">
        <f>SUM(AO325+AP325-AQ325)</f>
        <v>3255</v>
      </c>
      <c r="AS325" s="119"/>
      <c r="AT325" s="119">
        <v>1061</v>
      </c>
      <c r="AU325" s="126">
        <f>SUM(AR325+AS325-AT325)</f>
        <v>2194</v>
      </c>
      <c r="AV325" s="337"/>
    </row>
    <row r="326" spans="1:48" s="37" customFormat="1" ht="21" customHeight="1">
      <c r="A326" s="120"/>
      <c r="B326" s="121"/>
      <c r="C326" s="120">
        <v>6050</v>
      </c>
      <c r="D326" s="56" t="s">
        <v>90</v>
      </c>
      <c r="E326" s="114"/>
      <c r="F326" s="119"/>
      <c r="G326" s="119"/>
      <c r="H326" s="126">
        <v>0</v>
      </c>
      <c r="I326" s="119">
        <f>75000+15000</f>
        <v>90000</v>
      </c>
      <c r="J326" s="119"/>
      <c r="K326" s="126">
        <f>SUM(H326+I326-J326)</f>
        <v>90000</v>
      </c>
      <c r="L326" s="119"/>
      <c r="M326" s="119"/>
      <c r="N326" s="126">
        <f>SUM(K326+L326-M326)</f>
        <v>90000</v>
      </c>
      <c r="O326" s="119"/>
      <c r="P326" s="119"/>
      <c r="Q326" s="126">
        <f>SUM(N326+O326-P326)</f>
        <v>90000</v>
      </c>
      <c r="R326" s="119">
        <v>1930</v>
      </c>
      <c r="S326" s="119"/>
      <c r="T326" s="126">
        <f>SUM(Q326+R326-S326)</f>
        <v>91930</v>
      </c>
      <c r="U326" s="119"/>
      <c r="V326" s="119"/>
      <c r="W326" s="126">
        <f>SUM(T326+U326-V326)</f>
        <v>91930</v>
      </c>
      <c r="X326" s="119"/>
      <c r="Y326" s="119"/>
      <c r="Z326" s="126">
        <f>SUM(W326+X326-Y326)</f>
        <v>91930</v>
      </c>
      <c r="AA326" s="119"/>
      <c r="AB326" s="119">
        <v>129</v>
      </c>
      <c r="AC326" s="126">
        <f>SUM(Z326+AA326-AB326)</f>
        <v>91801</v>
      </c>
      <c r="AD326" s="119"/>
      <c r="AE326" s="119"/>
      <c r="AF326" s="126">
        <f>SUM(AC326+AD326-AE326)</f>
        <v>91801</v>
      </c>
      <c r="AG326" s="119"/>
      <c r="AH326" s="119"/>
      <c r="AI326" s="126">
        <f>SUM(AF326+AG326-AH326)</f>
        <v>91801</v>
      </c>
      <c r="AJ326" s="119"/>
      <c r="AK326" s="119"/>
      <c r="AL326" s="126">
        <f>SUM(AI326+AJ326-AK326)</f>
        <v>91801</v>
      </c>
      <c r="AM326" s="119"/>
      <c r="AN326" s="119"/>
      <c r="AO326" s="126">
        <f>SUM(AL326+AM326-AN326)</f>
        <v>91801</v>
      </c>
      <c r="AP326" s="119"/>
      <c r="AQ326" s="119"/>
      <c r="AR326" s="126">
        <f>SUM(AO326+AP326-AQ326)</f>
        <v>91801</v>
      </c>
      <c r="AS326" s="119"/>
      <c r="AT326" s="119"/>
      <c r="AU326" s="126">
        <f>SUM(AR326+AS326-AT326)</f>
        <v>91801</v>
      </c>
      <c r="AV326" s="337"/>
    </row>
    <row r="327" spans="1:48" s="37" customFormat="1" ht="21.75" customHeight="1">
      <c r="A327" s="120"/>
      <c r="B327" s="104">
        <v>85415</v>
      </c>
      <c r="C327" s="105"/>
      <c r="D327" s="110" t="s">
        <v>415</v>
      </c>
      <c r="E327" s="114">
        <f>SUM(E328)</f>
        <v>0</v>
      </c>
      <c r="F327" s="114">
        <f aca="true" t="shared" si="496" ref="F327:S327">SUM(F328)</f>
        <v>0</v>
      </c>
      <c r="G327" s="114">
        <f t="shared" si="496"/>
        <v>0</v>
      </c>
      <c r="H327" s="114">
        <f t="shared" si="496"/>
        <v>0</v>
      </c>
      <c r="I327" s="114">
        <f t="shared" si="496"/>
        <v>36940</v>
      </c>
      <c r="J327" s="114">
        <f t="shared" si="496"/>
        <v>0</v>
      </c>
      <c r="K327" s="114">
        <f t="shared" si="496"/>
        <v>36940</v>
      </c>
      <c r="L327" s="114">
        <f t="shared" si="496"/>
        <v>0</v>
      </c>
      <c r="M327" s="114">
        <f t="shared" si="496"/>
        <v>0</v>
      </c>
      <c r="N327" s="114">
        <f t="shared" si="496"/>
        <v>36940</v>
      </c>
      <c r="O327" s="114">
        <f t="shared" si="496"/>
        <v>74000</v>
      </c>
      <c r="P327" s="114">
        <f t="shared" si="496"/>
        <v>0</v>
      </c>
      <c r="Q327" s="114">
        <f t="shared" si="496"/>
        <v>110940</v>
      </c>
      <c r="R327" s="114">
        <f t="shared" si="496"/>
        <v>96494</v>
      </c>
      <c r="S327" s="114">
        <f t="shared" si="496"/>
        <v>0</v>
      </c>
      <c r="T327" s="114">
        <f aca="true" t="shared" si="497" ref="T327:Z327">SUM(T328:T331)</f>
        <v>207434</v>
      </c>
      <c r="U327" s="114">
        <f t="shared" si="497"/>
        <v>93333</v>
      </c>
      <c r="V327" s="114">
        <f t="shared" si="497"/>
        <v>0</v>
      </c>
      <c r="W327" s="114">
        <f t="shared" si="497"/>
        <v>300767</v>
      </c>
      <c r="X327" s="114">
        <f t="shared" si="497"/>
        <v>0</v>
      </c>
      <c r="Y327" s="114">
        <f t="shared" si="497"/>
        <v>0</v>
      </c>
      <c r="Z327" s="114">
        <f t="shared" si="497"/>
        <v>300767</v>
      </c>
      <c r="AA327" s="114">
        <f aca="true" t="shared" si="498" ref="AA327:AF327">SUM(AA328:AA331)</f>
        <v>0</v>
      </c>
      <c r="AB327" s="114">
        <f t="shared" si="498"/>
        <v>0</v>
      </c>
      <c r="AC327" s="114">
        <f t="shared" si="498"/>
        <v>300767</v>
      </c>
      <c r="AD327" s="114">
        <f t="shared" si="498"/>
        <v>0</v>
      </c>
      <c r="AE327" s="114">
        <f t="shared" si="498"/>
        <v>0</v>
      </c>
      <c r="AF327" s="114">
        <f t="shared" si="498"/>
        <v>300767</v>
      </c>
      <c r="AG327" s="114">
        <f aca="true" t="shared" si="499" ref="AG327:AL327">SUM(AG328:AG331)</f>
        <v>0</v>
      </c>
      <c r="AH327" s="114">
        <f t="shared" si="499"/>
        <v>0</v>
      </c>
      <c r="AI327" s="114">
        <f t="shared" si="499"/>
        <v>300767</v>
      </c>
      <c r="AJ327" s="114">
        <f t="shared" si="499"/>
        <v>241384</v>
      </c>
      <c r="AK327" s="114">
        <f t="shared" si="499"/>
        <v>0</v>
      </c>
      <c r="AL327" s="114">
        <f t="shared" si="499"/>
        <v>542151</v>
      </c>
      <c r="AM327" s="114">
        <f aca="true" t="shared" si="500" ref="AM327:AR327">SUM(AM328:AM331)</f>
        <v>84047</v>
      </c>
      <c r="AN327" s="114">
        <f t="shared" si="500"/>
        <v>0</v>
      </c>
      <c r="AO327" s="114">
        <f t="shared" si="500"/>
        <v>626198</v>
      </c>
      <c r="AP327" s="114">
        <f t="shared" si="500"/>
        <v>0</v>
      </c>
      <c r="AQ327" s="114">
        <f t="shared" si="500"/>
        <v>0</v>
      </c>
      <c r="AR327" s="114">
        <f t="shared" si="500"/>
        <v>626198</v>
      </c>
      <c r="AS327" s="114">
        <f>SUM(AS328:AS331)</f>
        <v>0</v>
      </c>
      <c r="AT327" s="114">
        <f>SUM(AT328:AT331)</f>
        <v>0</v>
      </c>
      <c r="AU327" s="114">
        <f>SUM(AU328:AU331)</f>
        <v>626198</v>
      </c>
      <c r="AV327" s="339"/>
    </row>
    <row r="328" spans="1:48" s="37" customFormat="1" ht="20.25" customHeight="1">
      <c r="A328" s="120"/>
      <c r="B328" s="121"/>
      <c r="C328" s="120">
        <v>3240</v>
      </c>
      <c r="D328" s="56" t="s">
        <v>416</v>
      </c>
      <c r="E328" s="114">
        <v>0</v>
      </c>
      <c r="F328" s="119"/>
      <c r="G328" s="119"/>
      <c r="H328" s="126">
        <f>SUM(E328+F328-G328)</f>
        <v>0</v>
      </c>
      <c r="I328" s="119">
        <v>36940</v>
      </c>
      <c r="J328" s="119"/>
      <c r="K328" s="126">
        <f>SUM(H328+I328-J328)</f>
        <v>36940</v>
      </c>
      <c r="L328" s="119"/>
      <c r="M328" s="119"/>
      <c r="N328" s="126">
        <f>SUM(K328+L328-M328)</f>
        <v>36940</v>
      </c>
      <c r="O328" s="119">
        <v>74000</v>
      </c>
      <c r="P328" s="119"/>
      <c r="Q328" s="126">
        <f>SUM(N328+O328-P328)</f>
        <v>110940</v>
      </c>
      <c r="R328" s="119">
        <v>96494</v>
      </c>
      <c r="S328" s="119"/>
      <c r="T328" s="126">
        <f>SUM(Q328+R328-S328)</f>
        <v>207434</v>
      </c>
      <c r="U328" s="119">
        <v>25232</v>
      </c>
      <c r="V328" s="119"/>
      <c r="W328" s="126">
        <f>SUM(T328+U328-V328)</f>
        <v>232666</v>
      </c>
      <c r="X328" s="119"/>
      <c r="Y328" s="119"/>
      <c r="Z328" s="126">
        <f>SUM(W328+X328-Y328)</f>
        <v>232666</v>
      </c>
      <c r="AA328" s="119"/>
      <c r="AB328" s="119"/>
      <c r="AC328" s="126">
        <f>SUM(Z328+AA328-AB328)</f>
        <v>232666</v>
      </c>
      <c r="AD328" s="119"/>
      <c r="AE328" s="119"/>
      <c r="AF328" s="126">
        <f>SUM(AC328+AD328-AE328)</f>
        <v>232666</v>
      </c>
      <c r="AG328" s="119"/>
      <c r="AH328" s="119"/>
      <c r="AI328" s="126">
        <f>SUM(AF328+AG328-AH328)</f>
        <v>232666</v>
      </c>
      <c r="AJ328" s="119">
        <v>241384</v>
      </c>
      <c r="AK328" s="119"/>
      <c r="AL328" s="126">
        <f>SUM(AI328+AJ328-AK328)</f>
        <v>474050</v>
      </c>
      <c r="AM328" s="119"/>
      <c r="AN328" s="119"/>
      <c r="AO328" s="126">
        <f>SUM(AL328+AM328-AN328)</f>
        <v>474050</v>
      </c>
      <c r="AP328" s="119"/>
      <c r="AQ328" s="119"/>
      <c r="AR328" s="126">
        <f>SUM(AO328+AP328-AQ328)</f>
        <v>474050</v>
      </c>
      <c r="AS328" s="119"/>
      <c r="AT328" s="119"/>
      <c r="AU328" s="126">
        <f>SUM(AR328+AS328-AT328)</f>
        <v>474050</v>
      </c>
      <c r="AV328" s="337"/>
    </row>
    <row r="329" spans="1:48" s="37" customFormat="1" ht="20.25" customHeight="1">
      <c r="A329" s="120"/>
      <c r="B329" s="121"/>
      <c r="C329" s="120">
        <v>4210</v>
      </c>
      <c r="D329" s="56" t="s">
        <v>109</v>
      </c>
      <c r="E329" s="114"/>
      <c r="F329" s="119"/>
      <c r="G329" s="119"/>
      <c r="H329" s="126"/>
      <c r="I329" s="119"/>
      <c r="J329" s="119"/>
      <c r="K329" s="126"/>
      <c r="L329" s="119"/>
      <c r="M329" s="119"/>
      <c r="N329" s="126"/>
      <c r="O329" s="119"/>
      <c r="P329" s="119"/>
      <c r="Q329" s="126"/>
      <c r="R329" s="119"/>
      <c r="S329" s="119"/>
      <c r="T329" s="126">
        <v>0</v>
      </c>
      <c r="U329" s="119">
        <v>33483</v>
      </c>
      <c r="V329" s="119"/>
      <c r="W329" s="126">
        <f>SUM(T329+U329-V329)</f>
        <v>33483</v>
      </c>
      <c r="X329" s="119"/>
      <c r="Y329" s="119"/>
      <c r="Z329" s="126">
        <f>SUM(W329+X329-Y329)</f>
        <v>33483</v>
      </c>
      <c r="AA329" s="119"/>
      <c r="AB329" s="119"/>
      <c r="AC329" s="126">
        <f>SUM(Z329+AA329-AB329)</f>
        <v>33483</v>
      </c>
      <c r="AD329" s="119"/>
      <c r="AE329" s="119"/>
      <c r="AF329" s="126">
        <f>SUM(AC329+AD329-AE329)</f>
        <v>33483</v>
      </c>
      <c r="AG329" s="119"/>
      <c r="AH329" s="119"/>
      <c r="AI329" s="126">
        <f>SUM(AF329+AG329-AH329)</f>
        <v>33483</v>
      </c>
      <c r="AJ329" s="119"/>
      <c r="AK329" s="119"/>
      <c r="AL329" s="126">
        <f>SUM(AI329+AJ329-AK329)</f>
        <v>33483</v>
      </c>
      <c r="AM329" s="119">
        <f>12644+27480</f>
        <v>40124</v>
      </c>
      <c r="AN329" s="119"/>
      <c r="AO329" s="126">
        <f>SUM(AL329+AM329-AN329)</f>
        <v>73607</v>
      </c>
      <c r="AP329" s="119"/>
      <c r="AQ329" s="119"/>
      <c r="AR329" s="126">
        <f>SUM(AO329+AP329-AQ329)</f>
        <v>73607</v>
      </c>
      <c r="AS329" s="119"/>
      <c r="AT329" s="119"/>
      <c r="AU329" s="126">
        <f>SUM(AR329+AS329-AT329)</f>
        <v>73607</v>
      </c>
      <c r="AV329" s="337"/>
    </row>
    <row r="330" spans="1:48" s="37" customFormat="1" ht="24">
      <c r="A330" s="120"/>
      <c r="B330" s="121"/>
      <c r="C330" s="120">
        <v>4240</v>
      </c>
      <c r="D330" s="56" t="s">
        <v>142</v>
      </c>
      <c r="E330" s="114"/>
      <c r="F330" s="119"/>
      <c r="G330" s="119"/>
      <c r="H330" s="126"/>
      <c r="I330" s="119"/>
      <c r="J330" s="119"/>
      <c r="K330" s="126"/>
      <c r="L330" s="119"/>
      <c r="M330" s="119"/>
      <c r="N330" s="126"/>
      <c r="O330" s="119"/>
      <c r="P330" s="119"/>
      <c r="Q330" s="126"/>
      <c r="R330" s="119"/>
      <c r="S330" s="119"/>
      <c r="T330" s="126">
        <v>0</v>
      </c>
      <c r="U330" s="119">
        <v>500</v>
      </c>
      <c r="V330" s="119"/>
      <c r="W330" s="126">
        <f>SUM(T330+U330-V330)</f>
        <v>500</v>
      </c>
      <c r="X330" s="119"/>
      <c r="Y330" s="119"/>
      <c r="Z330" s="126">
        <f>SUM(W330+X330-Y330)</f>
        <v>500</v>
      </c>
      <c r="AA330" s="119"/>
      <c r="AB330" s="119"/>
      <c r="AC330" s="126">
        <f>SUM(Z330+AA330-AB330)</f>
        <v>500</v>
      </c>
      <c r="AD330" s="119"/>
      <c r="AE330" s="119"/>
      <c r="AF330" s="126">
        <f>SUM(AC330+AD330-AE330)</f>
        <v>500</v>
      </c>
      <c r="AG330" s="119"/>
      <c r="AH330" s="119"/>
      <c r="AI330" s="126">
        <f>SUM(AF330+AG330-AH330)</f>
        <v>500</v>
      </c>
      <c r="AJ330" s="119"/>
      <c r="AK330" s="119"/>
      <c r="AL330" s="126">
        <f>SUM(AI330+AJ330-AK330)</f>
        <v>500</v>
      </c>
      <c r="AM330" s="119"/>
      <c r="AN330" s="119"/>
      <c r="AO330" s="126">
        <f>SUM(AL330+AM330-AN330)</f>
        <v>500</v>
      </c>
      <c r="AP330" s="119"/>
      <c r="AQ330" s="119"/>
      <c r="AR330" s="126">
        <f>SUM(AO330+AP330-AQ330)</f>
        <v>500</v>
      </c>
      <c r="AS330" s="119"/>
      <c r="AT330" s="119"/>
      <c r="AU330" s="126">
        <f>SUM(AR330+AS330-AT330)</f>
        <v>500</v>
      </c>
      <c r="AV330" s="337"/>
    </row>
    <row r="331" spans="1:48" s="37" customFormat="1" ht="21" customHeight="1">
      <c r="A331" s="120"/>
      <c r="B331" s="121"/>
      <c r="C331" s="120">
        <v>4300</v>
      </c>
      <c r="D331" s="56" t="s">
        <v>96</v>
      </c>
      <c r="E331" s="114"/>
      <c r="F331" s="119"/>
      <c r="G331" s="119"/>
      <c r="H331" s="126"/>
      <c r="I331" s="119"/>
      <c r="J331" s="119"/>
      <c r="K331" s="126"/>
      <c r="L331" s="119"/>
      <c r="M331" s="119"/>
      <c r="N331" s="126"/>
      <c r="O331" s="119"/>
      <c r="P331" s="119"/>
      <c r="Q331" s="126"/>
      <c r="R331" s="119"/>
      <c r="S331" s="119"/>
      <c r="T331" s="126">
        <v>0</v>
      </c>
      <c r="U331" s="119">
        <v>34118</v>
      </c>
      <c r="V331" s="119"/>
      <c r="W331" s="126">
        <f>SUM(T331+U331-V331)</f>
        <v>34118</v>
      </c>
      <c r="X331" s="119"/>
      <c r="Y331" s="119"/>
      <c r="Z331" s="126">
        <f>SUM(W331+X331-Y331)</f>
        <v>34118</v>
      </c>
      <c r="AA331" s="119"/>
      <c r="AB331" s="119"/>
      <c r="AC331" s="126">
        <f>SUM(Z331+AA331-AB331)</f>
        <v>34118</v>
      </c>
      <c r="AD331" s="119"/>
      <c r="AE331" s="119"/>
      <c r="AF331" s="126">
        <f>SUM(AC331+AD331-AE331)</f>
        <v>34118</v>
      </c>
      <c r="AG331" s="119"/>
      <c r="AH331" s="119"/>
      <c r="AI331" s="126">
        <f>SUM(AF331+AG331-AH331)</f>
        <v>34118</v>
      </c>
      <c r="AJ331" s="119"/>
      <c r="AK331" s="119"/>
      <c r="AL331" s="126">
        <f>SUM(AI331+AJ331-AK331)</f>
        <v>34118</v>
      </c>
      <c r="AM331" s="119">
        <f>8933+34990</f>
        <v>43923</v>
      </c>
      <c r="AN331" s="119"/>
      <c r="AO331" s="126">
        <f>SUM(AL331+AM331-AN331)</f>
        <v>78041</v>
      </c>
      <c r="AP331" s="119"/>
      <c r="AQ331" s="119"/>
      <c r="AR331" s="126">
        <f>SUM(AO331+AP331-AQ331)</f>
        <v>78041</v>
      </c>
      <c r="AS331" s="119"/>
      <c r="AT331" s="119"/>
      <c r="AU331" s="126">
        <f>SUM(AR331+AS331-AT331)</f>
        <v>78041</v>
      </c>
      <c r="AV331" s="337"/>
    </row>
    <row r="332" spans="1:48" s="37" customFormat="1" ht="21.75" customHeight="1">
      <c r="A332" s="120"/>
      <c r="B332" s="121">
        <v>85446</v>
      </c>
      <c r="C332" s="120"/>
      <c r="D332" s="56" t="s">
        <v>186</v>
      </c>
      <c r="E332" s="114">
        <f aca="true" t="shared" si="501" ref="E332:K332">SUM(E333:E334)</f>
        <v>3323</v>
      </c>
      <c r="F332" s="114">
        <f t="shared" si="501"/>
        <v>887</v>
      </c>
      <c r="G332" s="114">
        <f t="shared" si="501"/>
        <v>887</v>
      </c>
      <c r="H332" s="114">
        <f t="shared" si="501"/>
        <v>3323</v>
      </c>
      <c r="I332" s="114">
        <f t="shared" si="501"/>
        <v>0</v>
      </c>
      <c r="J332" s="114">
        <f t="shared" si="501"/>
        <v>0</v>
      </c>
      <c r="K332" s="114">
        <f t="shared" si="501"/>
        <v>3323</v>
      </c>
      <c r="L332" s="114">
        <f aca="true" t="shared" si="502" ref="L332:Q332">SUM(L333:L334)</f>
        <v>0</v>
      </c>
      <c r="M332" s="114">
        <f t="shared" si="502"/>
        <v>0</v>
      </c>
      <c r="N332" s="114">
        <f t="shared" si="502"/>
        <v>3323</v>
      </c>
      <c r="O332" s="114">
        <f t="shared" si="502"/>
        <v>0</v>
      </c>
      <c r="P332" s="114">
        <f t="shared" si="502"/>
        <v>0</v>
      </c>
      <c r="Q332" s="114">
        <f t="shared" si="502"/>
        <v>3323</v>
      </c>
      <c r="R332" s="114">
        <f aca="true" t="shared" si="503" ref="R332:W332">SUM(R333:R334)</f>
        <v>0</v>
      </c>
      <c r="S332" s="114">
        <f t="shared" si="503"/>
        <v>0</v>
      </c>
      <c r="T332" s="114">
        <f t="shared" si="503"/>
        <v>3323</v>
      </c>
      <c r="U332" s="114">
        <f t="shared" si="503"/>
        <v>0</v>
      </c>
      <c r="V332" s="114">
        <f t="shared" si="503"/>
        <v>0</v>
      </c>
      <c r="W332" s="114">
        <f t="shared" si="503"/>
        <v>3323</v>
      </c>
      <c r="X332" s="114">
        <f aca="true" t="shared" si="504" ref="X332:AC332">SUM(X333:X334)</f>
        <v>0</v>
      </c>
      <c r="Y332" s="114">
        <f t="shared" si="504"/>
        <v>0</v>
      </c>
      <c r="Z332" s="114">
        <f t="shared" si="504"/>
        <v>3323</v>
      </c>
      <c r="AA332" s="114">
        <f t="shared" si="504"/>
        <v>0</v>
      </c>
      <c r="AB332" s="114">
        <f t="shared" si="504"/>
        <v>0</v>
      </c>
      <c r="AC332" s="114">
        <f t="shared" si="504"/>
        <v>3323</v>
      </c>
      <c r="AD332" s="114">
        <f aca="true" t="shared" si="505" ref="AD332:AI332">SUM(AD333:AD334)</f>
        <v>0</v>
      </c>
      <c r="AE332" s="114">
        <f t="shared" si="505"/>
        <v>0</v>
      </c>
      <c r="AF332" s="114">
        <f t="shared" si="505"/>
        <v>3323</v>
      </c>
      <c r="AG332" s="114">
        <f t="shared" si="505"/>
        <v>0</v>
      </c>
      <c r="AH332" s="114">
        <f t="shared" si="505"/>
        <v>0</v>
      </c>
      <c r="AI332" s="114">
        <f t="shared" si="505"/>
        <v>3323</v>
      </c>
      <c r="AJ332" s="114">
        <f aca="true" t="shared" si="506" ref="AJ332:AO332">SUM(AJ333:AJ334)</f>
        <v>90</v>
      </c>
      <c r="AK332" s="114">
        <f t="shared" si="506"/>
        <v>90</v>
      </c>
      <c r="AL332" s="114">
        <f t="shared" si="506"/>
        <v>3323</v>
      </c>
      <c r="AM332" s="114">
        <f t="shared" si="506"/>
        <v>0</v>
      </c>
      <c r="AN332" s="114">
        <f t="shared" si="506"/>
        <v>0</v>
      </c>
      <c r="AO332" s="114">
        <f t="shared" si="506"/>
        <v>3323</v>
      </c>
      <c r="AP332" s="114">
        <f aca="true" t="shared" si="507" ref="AP332:AU332">SUM(AP333:AP334)</f>
        <v>0</v>
      </c>
      <c r="AQ332" s="114">
        <f t="shared" si="507"/>
        <v>0</v>
      </c>
      <c r="AR332" s="114">
        <f t="shared" si="507"/>
        <v>3323</v>
      </c>
      <c r="AS332" s="114">
        <f t="shared" si="507"/>
        <v>0</v>
      </c>
      <c r="AT332" s="114">
        <f t="shared" si="507"/>
        <v>0</v>
      </c>
      <c r="AU332" s="114">
        <f t="shared" si="507"/>
        <v>3323</v>
      </c>
      <c r="AV332" s="339"/>
    </row>
    <row r="333" spans="1:48" s="37" customFormat="1" ht="21" customHeight="1">
      <c r="A333" s="120"/>
      <c r="B333" s="121"/>
      <c r="C333" s="120">
        <v>4300</v>
      </c>
      <c r="D333" s="56" t="s">
        <v>96</v>
      </c>
      <c r="E333" s="114">
        <v>3323</v>
      </c>
      <c r="F333" s="119"/>
      <c r="G333" s="119">
        <v>887</v>
      </c>
      <c r="H333" s="126">
        <f>SUM(E333+F333-G333)</f>
        <v>2436</v>
      </c>
      <c r="I333" s="119"/>
      <c r="J333" s="119"/>
      <c r="K333" s="126">
        <f>SUM(H333+I333-J333)</f>
        <v>2436</v>
      </c>
      <c r="L333" s="119"/>
      <c r="M333" s="119"/>
      <c r="N333" s="126">
        <f>SUM(K333+L333-M333)</f>
        <v>2436</v>
      </c>
      <c r="O333" s="119"/>
      <c r="P333" s="119"/>
      <c r="Q333" s="126">
        <f>SUM(N333+O333-P333)</f>
        <v>2436</v>
      </c>
      <c r="R333" s="119"/>
      <c r="S333" s="119"/>
      <c r="T333" s="126">
        <f>SUM(Q333+R333-S333)</f>
        <v>2436</v>
      </c>
      <c r="U333" s="119"/>
      <c r="V333" s="119"/>
      <c r="W333" s="126">
        <f>SUM(T333+U333-V333)</f>
        <v>2436</v>
      </c>
      <c r="X333" s="119"/>
      <c r="Y333" s="119"/>
      <c r="Z333" s="126">
        <f>SUM(W333+X333-Y333)</f>
        <v>2436</v>
      </c>
      <c r="AA333" s="119"/>
      <c r="AB333" s="119"/>
      <c r="AC333" s="126">
        <f>SUM(Z333+AA333-AB333)</f>
        <v>2436</v>
      </c>
      <c r="AD333" s="119"/>
      <c r="AE333" s="119"/>
      <c r="AF333" s="126">
        <f>SUM(AC333+AD333-AE333)</f>
        <v>2436</v>
      </c>
      <c r="AG333" s="119"/>
      <c r="AH333" s="119"/>
      <c r="AI333" s="126">
        <f>SUM(AF333+AG333-AH333)</f>
        <v>2436</v>
      </c>
      <c r="AJ333" s="119"/>
      <c r="AK333" s="119">
        <v>90</v>
      </c>
      <c r="AL333" s="126">
        <f>SUM(AI333+AJ333-AK333)</f>
        <v>2346</v>
      </c>
      <c r="AM333" s="119"/>
      <c r="AN333" s="119"/>
      <c r="AO333" s="126">
        <f>SUM(AL333+AM333-AN333)</f>
        <v>2346</v>
      </c>
      <c r="AP333" s="119"/>
      <c r="AQ333" s="119"/>
      <c r="AR333" s="126">
        <f>SUM(AO333+AP333-AQ333)</f>
        <v>2346</v>
      </c>
      <c r="AS333" s="119"/>
      <c r="AT333" s="119"/>
      <c r="AU333" s="126">
        <f>SUM(AR333+AS333-AT333)</f>
        <v>2346</v>
      </c>
      <c r="AV333" s="337"/>
    </row>
    <row r="334" spans="1:48" s="37" customFormat="1" ht="21" customHeight="1">
      <c r="A334" s="120"/>
      <c r="B334" s="121"/>
      <c r="C334" s="120">
        <v>4410</v>
      </c>
      <c r="D334" s="56" t="s">
        <v>107</v>
      </c>
      <c r="E334" s="114">
        <v>0</v>
      </c>
      <c r="F334" s="119">
        <v>887</v>
      </c>
      <c r="G334" s="119"/>
      <c r="H334" s="126">
        <f>SUM(E334+F334-G334)</f>
        <v>887</v>
      </c>
      <c r="I334" s="119"/>
      <c r="J334" s="119"/>
      <c r="K334" s="126">
        <f>SUM(H334+I334-J334)</f>
        <v>887</v>
      </c>
      <c r="L334" s="119"/>
      <c r="M334" s="119"/>
      <c r="N334" s="126">
        <f>SUM(K334+L334-M334)</f>
        <v>887</v>
      </c>
      <c r="O334" s="119"/>
      <c r="P334" s="119"/>
      <c r="Q334" s="126">
        <f>SUM(N334+O334-P334)</f>
        <v>887</v>
      </c>
      <c r="R334" s="119"/>
      <c r="S334" s="119"/>
      <c r="T334" s="126">
        <f>SUM(Q334+R334-S334)</f>
        <v>887</v>
      </c>
      <c r="U334" s="119"/>
      <c r="V334" s="119"/>
      <c r="W334" s="126">
        <f>SUM(T334+U334-V334)</f>
        <v>887</v>
      </c>
      <c r="X334" s="119"/>
      <c r="Y334" s="119"/>
      <c r="Z334" s="126">
        <f>SUM(W334+X334-Y334)</f>
        <v>887</v>
      </c>
      <c r="AA334" s="119"/>
      <c r="AB334" s="119"/>
      <c r="AC334" s="126">
        <f>SUM(Z334+AA334-AB334)</f>
        <v>887</v>
      </c>
      <c r="AD334" s="119"/>
      <c r="AE334" s="119"/>
      <c r="AF334" s="126">
        <f>SUM(AC334+AD334-AE334)</f>
        <v>887</v>
      </c>
      <c r="AG334" s="119"/>
      <c r="AH334" s="119"/>
      <c r="AI334" s="126">
        <f>SUM(AF334+AG334-AH334)</f>
        <v>887</v>
      </c>
      <c r="AJ334" s="119">
        <v>90</v>
      </c>
      <c r="AK334" s="119"/>
      <c r="AL334" s="126">
        <f>SUM(AI334+AJ334-AK334)</f>
        <v>977</v>
      </c>
      <c r="AM334" s="119"/>
      <c r="AN334" s="119"/>
      <c r="AO334" s="126">
        <f>SUM(AL334+AM334-AN334)</f>
        <v>977</v>
      </c>
      <c r="AP334" s="119"/>
      <c r="AQ334" s="119"/>
      <c r="AR334" s="126">
        <f>SUM(AO334+AP334-AQ334)</f>
        <v>977</v>
      </c>
      <c r="AS334" s="119"/>
      <c r="AT334" s="119"/>
      <c r="AU334" s="126">
        <f>SUM(AR334+AS334-AT334)</f>
        <v>977</v>
      </c>
      <c r="AV334" s="337"/>
    </row>
    <row r="335" spans="1:48" s="37" customFormat="1" ht="22.5" customHeight="1">
      <c r="A335" s="120"/>
      <c r="B335" s="121">
        <v>85495</v>
      </c>
      <c r="C335" s="120"/>
      <c r="D335" s="56" t="s">
        <v>10</v>
      </c>
      <c r="E335" s="114">
        <f>SUM(E337:E337)</f>
        <v>228650</v>
      </c>
      <c r="F335" s="114">
        <f>SUM(F337:F337)</f>
        <v>0</v>
      </c>
      <c r="G335" s="114">
        <f>SUM(G337:G337)</f>
        <v>0</v>
      </c>
      <c r="H335" s="114">
        <f aca="true" t="shared" si="508" ref="H335:M335">SUM(H336:H337)</f>
        <v>228650</v>
      </c>
      <c r="I335" s="114">
        <f t="shared" si="508"/>
        <v>0</v>
      </c>
      <c r="J335" s="114">
        <f t="shared" si="508"/>
        <v>0</v>
      </c>
      <c r="K335" s="114">
        <f t="shared" si="508"/>
        <v>228650</v>
      </c>
      <c r="L335" s="114">
        <f t="shared" si="508"/>
        <v>0</v>
      </c>
      <c r="M335" s="114">
        <f t="shared" si="508"/>
        <v>0</v>
      </c>
      <c r="N335" s="114">
        <f aca="true" t="shared" si="509" ref="N335:T335">SUM(N337:N340)</f>
        <v>228650</v>
      </c>
      <c r="O335" s="114">
        <f t="shared" si="509"/>
        <v>7000</v>
      </c>
      <c r="P335" s="114">
        <f t="shared" si="509"/>
        <v>0</v>
      </c>
      <c r="Q335" s="114">
        <f t="shared" si="509"/>
        <v>235650</v>
      </c>
      <c r="R335" s="114">
        <f t="shared" si="509"/>
        <v>150</v>
      </c>
      <c r="S335" s="114">
        <f t="shared" si="509"/>
        <v>150</v>
      </c>
      <c r="T335" s="114">
        <f t="shared" si="509"/>
        <v>235650</v>
      </c>
      <c r="U335" s="114">
        <f aca="true" t="shared" si="510" ref="U335:Z335">SUM(U337:U340)</f>
        <v>0</v>
      </c>
      <c r="V335" s="114">
        <f t="shared" si="510"/>
        <v>0</v>
      </c>
      <c r="W335" s="114">
        <f t="shared" si="510"/>
        <v>235650</v>
      </c>
      <c r="X335" s="114">
        <f t="shared" si="510"/>
        <v>0</v>
      </c>
      <c r="Y335" s="114">
        <f t="shared" si="510"/>
        <v>0</v>
      </c>
      <c r="Z335" s="114">
        <f t="shared" si="510"/>
        <v>235650</v>
      </c>
      <c r="AA335" s="114">
        <f aca="true" t="shared" si="511" ref="AA335:AF335">SUM(AA337:AA340)</f>
        <v>0</v>
      </c>
      <c r="AB335" s="114">
        <f t="shared" si="511"/>
        <v>0</v>
      </c>
      <c r="AC335" s="114">
        <f t="shared" si="511"/>
        <v>235650</v>
      </c>
      <c r="AD335" s="114">
        <f t="shared" si="511"/>
        <v>0</v>
      </c>
      <c r="AE335" s="114">
        <f t="shared" si="511"/>
        <v>0</v>
      </c>
      <c r="AF335" s="114">
        <f t="shared" si="511"/>
        <v>235650</v>
      </c>
      <c r="AG335" s="114">
        <f aca="true" t="shared" si="512" ref="AG335:AL335">SUM(AG337:AG340)</f>
        <v>0</v>
      </c>
      <c r="AH335" s="114">
        <f t="shared" si="512"/>
        <v>0</v>
      </c>
      <c r="AI335" s="114">
        <f t="shared" si="512"/>
        <v>235650</v>
      </c>
      <c r="AJ335" s="114">
        <f t="shared" si="512"/>
        <v>0</v>
      </c>
      <c r="AK335" s="114">
        <f t="shared" si="512"/>
        <v>0</v>
      </c>
      <c r="AL335" s="114">
        <f t="shared" si="512"/>
        <v>235650</v>
      </c>
      <c r="AM335" s="114">
        <f aca="true" t="shared" si="513" ref="AM335:AR335">SUM(AM337:AM340)</f>
        <v>0</v>
      </c>
      <c r="AN335" s="114">
        <f t="shared" si="513"/>
        <v>0</v>
      </c>
      <c r="AO335" s="114">
        <f t="shared" si="513"/>
        <v>235650</v>
      </c>
      <c r="AP335" s="114">
        <f t="shared" si="513"/>
        <v>0</v>
      </c>
      <c r="AQ335" s="114">
        <f t="shared" si="513"/>
        <v>0</v>
      </c>
      <c r="AR335" s="114">
        <f t="shared" si="513"/>
        <v>235650</v>
      </c>
      <c r="AS335" s="114">
        <f>SUM(AS337:AS340)</f>
        <v>0</v>
      </c>
      <c r="AT335" s="114">
        <f>SUM(AT337:AT340)</f>
        <v>0</v>
      </c>
      <c r="AU335" s="114">
        <f>SUM(AU337:AU340)</f>
        <v>235650</v>
      </c>
      <c r="AV335" s="339"/>
    </row>
    <row r="336" spans="1:48" s="37" customFormat="1" ht="21.75" customHeight="1" hidden="1">
      <c r="A336" s="120"/>
      <c r="B336" s="121"/>
      <c r="C336" s="120">
        <v>3240</v>
      </c>
      <c r="D336" s="56" t="s">
        <v>416</v>
      </c>
      <c r="E336" s="114"/>
      <c r="F336" s="114"/>
      <c r="G336" s="114"/>
      <c r="H336" s="114">
        <v>0</v>
      </c>
      <c r="I336" s="114"/>
      <c r="J336" s="114"/>
      <c r="K336" s="126">
        <f>SUM(H336+I336-J336)</f>
        <v>0</v>
      </c>
      <c r="L336" s="114"/>
      <c r="M336" s="114"/>
      <c r="N336" s="126">
        <f>SUM(K336+L336-M336)</f>
        <v>0</v>
      </c>
      <c r="O336" s="114"/>
      <c r="P336" s="114"/>
      <c r="Q336" s="126">
        <f>SUM(N336+O336-P336)</f>
        <v>0</v>
      </c>
      <c r="R336" s="114"/>
      <c r="S336" s="114"/>
      <c r="T336" s="126">
        <f>SUM(Q336+R336-S336)</f>
        <v>0</v>
      </c>
      <c r="U336" s="114"/>
      <c r="V336" s="114"/>
      <c r="W336" s="126">
        <f>SUM(T336+U336-V336)</f>
        <v>0</v>
      </c>
      <c r="X336" s="114"/>
      <c r="Y336" s="114"/>
      <c r="Z336" s="126">
        <f>SUM(W336+X336-Y336)</f>
        <v>0</v>
      </c>
      <c r="AA336" s="114"/>
      <c r="AB336" s="114"/>
      <c r="AC336" s="126">
        <f>SUM(Z336+AA336-AB336)</f>
        <v>0</v>
      </c>
      <c r="AD336" s="114"/>
      <c r="AE336" s="114"/>
      <c r="AF336" s="126">
        <f>SUM(AC336+AD336-AE336)</f>
        <v>0</v>
      </c>
      <c r="AG336" s="114"/>
      <c r="AH336" s="114"/>
      <c r="AI336" s="126">
        <f>SUM(AF336+AG336-AH336)</f>
        <v>0</v>
      </c>
      <c r="AJ336" s="114"/>
      <c r="AK336" s="114"/>
      <c r="AL336" s="126">
        <f>SUM(AI336+AJ336-AK336)</f>
        <v>0</v>
      </c>
      <c r="AM336" s="114"/>
      <c r="AN336" s="114"/>
      <c r="AO336" s="126">
        <f>SUM(AL336+AM336-AN336)</f>
        <v>0</v>
      </c>
      <c r="AP336" s="114"/>
      <c r="AQ336" s="114"/>
      <c r="AR336" s="126">
        <f>SUM(AO336+AP336-AQ336)</f>
        <v>0</v>
      </c>
      <c r="AS336" s="114"/>
      <c r="AT336" s="114"/>
      <c r="AU336" s="126">
        <f>SUM(AR336+AS336-AT336)</f>
        <v>0</v>
      </c>
      <c r="AV336" s="337"/>
    </row>
    <row r="337" spans="1:48" s="37" customFormat="1" ht="60">
      <c r="A337" s="120"/>
      <c r="B337" s="121"/>
      <c r="C337" s="120">
        <v>2320</v>
      </c>
      <c r="D337" s="56" t="s">
        <v>189</v>
      </c>
      <c r="E337" s="114">
        <v>228650</v>
      </c>
      <c r="F337" s="119"/>
      <c r="G337" s="119"/>
      <c r="H337" s="126">
        <f>SUM(E337+F337-G337)</f>
        <v>228650</v>
      </c>
      <c r="I337" s="119"/>
      <c r="J337" s="119"/>
      <c r="K337" s="126">
        <f>SUM(H337+I337-J337)</f>
        <v>228650</v>
      </c>
      <c r="L337" s="119"/>
      <c r="M337" s="119"/>
      <c r="N337" s="126">
        <f>SUM(K337+L337-M337)</f>
        <v>228650</v>
      </c>
      <c r="O337" s="119"/>
      <c r="P337" s="119"/>
      <c r="Q337" s="126">
        <f>SUM(N337+O337-P337)</f>
        <v>228650</v>
      </c>
      <c r="R337" s="119"/>
      <c r="S337" s="119"/>
      <c r="T337" s="126">
        <f>SUM(Q337+R337-S337)</f>
        <v>228650</v>
      </c>
      <c r="U337" s="119"/>
      <c r="V337" s="119"/>
      <c r="W337" s="126">
        <f>SUM(T337+U337-V337)</f>
        <v>228650</v>
      </c>
      <c r="X337" s="119"/>
      <c r="Y337" s="119"/>
      <c r="Z337" s="126">
        <f>SUM(W337+X337-Y337)</f>
        <v>228650</v>
      </c>
      <c r="AA337" s="119"/>
      <c r="AB337" s="119"/>
      <c r="AC337" s="126">
        <f>SUM(Z337+AA337-AB337)</f>
        <v>228650</v>
      </c>
      <c r="AD337" s="119"/>
      <c r="AE337" s="119"/>
      <c r="AF337" s="126">
        <f>SUM(AC337+AD337-AE337)</f>
        <v>228650</v>
      </c>
      <c r="AG337" s="119"/>
      <c r="AH337" s="119"/>
      <c r="AI337" s="126">
        <f>SUM(AF337+AG337-AH337)</f>
        <v>228650</v>
      </c>
      <c r="AJ337" s="119"/>
      <c r="AK337" s="119"/>
      <c r="AL337" s="126">
        <f>SUM(AI337+AJ337-AK337)</f>
        <v>228650</v>
      </c>
      <c r="AM337" s="119"/>
      <c r="AN337" s="119"/>
      <c r="AO337" s="126">
        <f>SUM(AL337+AM337-AN337)</f>
        <v>228650</v>
      </c>
      <c r="AP337" s="119"/>
      <c r="AQ337" s="119"/>
      <c r="AR337" s="126">
        <f>SUM(AO337+AP337-AQ337)</f>
        <v>228650</v>
      </c>
      <c r="AS337" s="119"/>
      <c r="AT337" s="119"/>
      <c r="AU337" s="126">
        <f>SUM(AR337+AS337-AT337)</f>
        <v>228650</v>
      </c>
      <c r="AV337" s="337"/>
    </row>
    <row r="338" spans="1:48" s="37" customFormat="1" ht="21.75" customHeight="1">
      <c r="A338" s="120"/>
      <c r="B338" s="121"/>
      <c r="C338" s="120">
        <v>4210</v>
      </c>
      <c r="D338" s="56" t="s">
        <v>109</v>
      </c>
      <c r="E338" s="114"/>
      <c r="F338" s="119"/>
      <c r="G338" s="119"/>
      <c r="H338" s="126"/>
      <c r="I338" s="119"/>
      <c r="J338" s="119"/>
      <c r="K338" s="126"/>
      <c r="L338" s="119"/>
      <c r="M338" s="119"/>
      <c r="N338" s="126">
        <v>0</v>
      </c>
      <c r="O338" s="119">
        <v>2000</v>
      </c>
      <c r="P338" s="119"/>
      <c r="Q338" s="126">
        <f>SUM(N338+O338-P338)</f>
        <v>2000</v>
      </c>
      <c r="R338" s="119"/>
      <c r="S338" s="119">
        <v>150</v>
      </c>
      <c r="T338" s="126">
        <f>SUM(Q338+R338-S338)</f>
        <v>1850</v>
      </c>
      <c r="U338" s="119"/>
      <c r="V338" s="119"/>
      <c r="W338" s="126">
        <f>SUM(T338+U338-V338)</f>
        <v>1850</v>
      </c>
      <c r="X338" s="119"/>
      <c r="Y338" s="119"/>
      <c r="Z338" s="126">
        <f>SUM(W338+X338-Y338)</f>
        <v>1850</v>
      </c>
      <c r="AA338" s="119"/>
      <c r="AB338" s="119"/>
      <c r="AC338" s="126">
        <f>SUM(Z338+AA338-AB338)</f>
        <v>1850</v>
      </c>
      <c r="AD338" s="119"/>
      <c r="AE338" s="119"/>
      <c r="AF338" s="126">
        <f>SUM(AC338+AD338-AE338)</f>
        <v>1850</v>
      </c>
      <c r="AG338" s="119"/>
      <c r="AH338" s="119"/>
      <c r="AI338" s="126">
        <f>SUM(AF338+AG338-AH338)</f>
        <v>1850</v>
      </c>
      <c r="AJ338" s="119"/>
      <c r="AK338" s="119"/>
      <c r="AL338" s="126">
        <f>SUM(AI338+AJ338-AK338)</f>
        <v>1850</v>
      </c>
      <c r="AM338" s="119"/>
      <c r="AN338" s="119"/>
      <c r="AO338" s="126">
        <f>SUM(AL338+AM338-AN338)</f>
        <v>1850</v>
      </c>
      <c r="AP338" s="119"/>
      <c r="AQ338" s="119"/>
      <c r="AR338" s="126">
        <f>SUM(AO338+AP338-AQ338)</f>
        <v>1850</v>
      </c>
      <c r="AS338" s="119"/>
      <c r="AT338" s="119"/>
      <c r="AU338" s="126">
        <f>SUM(AR338+AS338-AT338)</f>
        <v>1850</v>
      </c>
      <c r="AV338" s="337"/>
    </row>
    <row r="339" spans="1:48" s="37" customFormat="1" ht="18.75" customHeight="1">
      <c r="A339" s="120"/>
      <c r="B339" s="121"/>
      <c r="C339" s="120">
        <v>4300</v>
      </c>
      <c r="D339" s="56" t="s">
        <v>96</v>
      </c>
      <c r="E339" s="114"/>
      <c r="F339" s="119"/>
      <c r="G339" s="119"/>
      <c r="H339" s="126"/>
      <c r="I339" s="119"/>
      <c r="J339" s="119"/>
      <c r="K339" s="126"/>
      <c r="L339" s="119"/>
      <c r="M339" s="119"/>
      <c r="N339" s="126">
        <v>0</v>
      </c>
      <c r="O339" s="119">
        <f>5000-1000</f>
        <v>4000</v>
      </c>
      <c r="P339" s="119"/>
      <c r="Q339" s="126">
        <f>SUM(N339+O339-P339)</f>
        <v>4000</v>
      </c>
      <c r="R339" s="119"/>
      <c r="S339" s="119"/>
      <c r="T339" s="126">
        <f>SUM(Q339+R339-S339)</f>
        <v>4000</v>
      </c>
      <c r="U339" s="119"/>
      <c r="V339" s="119"/>
      <c r="W339" s="126">
        <f>SUM(T339+U339-V339)</f>
        <v>4000</v>
      </c>
      <c r="X339" s="119"/>
      <c r="Y339" s="119"/>
      <c r="Z339" s="126">
        <f>SUM(W339+X339-Y339)</f>
        <v>4000</v>
      </c>
      <c r="AA339" s="119"/>
      <c r="AB339" s="119"/>
      <c r="AC339" s="126">
        <f>SUM(Z339+AA339-AB339)</f>
        <v>4000</v>
      </c>
      <c r="AD339" s="119"/>
      <c r="AE339" s="119"/>
      <c r="AF339" s="126">
        <f>SUM(AC339+AD339-AE339)</f>
        <v>4000</v>
      </c>
      <c r="AG339" s="119"/>
      <c r="AH339" s="119"/>
      <c r="AI339" s="126">
        <f>SUM(AF339+AG339-AH339)</f>
        <v>4000</v>
      </c>
      <c r="AJ339" s="119"/>
      <c r="AK339" s="119"/>
      <c r="AL339" s="126">
        <f>SUM(AI339+AJ339-AK339)</f>
        <v>4000</v>
      </c>
      <c r="AM339" s="119"/>
      <c r="AN339" s="119"/>
      <c r="AO339" s="126">
        <f>SUM(AL339+AM339-AN339)</f>
        <v>4000</v>
      </c>
      <c r="AP339" s="119"/>
      <c r="AQ339" s="119"/>
      <c r="AR339" s="126">
        <f>SUM(AO339+AP339-AQ339)</f>
        <v>4000</v>
      </c>
      <c r="AS339" s="119"/>
      <c r="AT339" s="119"/>
      <c r="AU339" s="126">
        <f>SUM(AR339+AS339-AT339)</f>
        <v>4000</v>
      </c>
      <c r="AV339" s="337"/>
    </row>
    <row r="340" spans="1:48" s="37" customFormat="1" ht="18.75" customHeight="1">
      <c r="A340" s="120"/>
      <c r="B340" s="121"/>
      <c r="C340" s="120">
        <v>4410</v>
      </c>
      <c r="D340" s="56" t="s">
        <v>107</v>
      </c>
      <c r="E340" s="114"/>
      <c r="F340" s="119"/>
      <c r="G340" s="119"/>
      <c r="H340" s="126"/>
      <c r="I340" s="119"/>
      <c r="J340" s="119"/>
      <c r="K340" s="126"/>
      <c r="L340" s="119"/>
      <c r="M340" s="119"/>
      <c r="N340" s="126">
        <v>0</v>
      </c>
      <c r="O340" s="119">
        <v>1000</v>
      </c>
      <c r="P340" s="119"/>
      <c r="Q340" s="126">
        <f>SUM(N340+O340-P340)</f>
        <v>1000</v>
      </c>
      <c r="R340" s="119">
        <v>150</v>
      </c>
      <c r="S340" s="119"/>
      <c r="T340" s="126">
        <f>SUM(Q340+R340-S340)</f>
        <v>1150</v>
      </c>
      <c r="U340" s="119"/>
      <c r="V340" s="119"/>
      <c r="W340" s="126">
        <f>SUM(T340+U340-V340)</f>
        <v>1150</v>
      </c>
      <c r="X340" s="119"/>
      <c r="Y340" s="119"/>
      <c r="Z340" s="126">
        <f>SUM(W340+X340-Y340)</f>
        <v>1150</v>
      </c>
      <c r="AA340" s="119"/>
      <c r="AB340" s="119"/>
      <c r="AC340" s="126">
        <f>SUM(Z340+AA340-AB340)</f>
        <v>1150</v>
      </c>
      <c r="AD340" s="119"/>
      <c r="AE340" s="119"/>
      <c r="AF340" s="126">
        <f>SUM(AC340+AD340-AE340)</f>
        <v>1150</v>
      </c>
      <c r="AG340" s="119"/>
      <c r="AH340" s="119"/>
      <c r="AI340" s="126">
        <f>SUM(AF340+AG340-AH340)</f>
        <v>1150</v>
      </c>
      <c r="AJ340" s="119"/>
      <c r="AK340" s="119"/>
      <c r="AL340" s="126">
        <f>SUM(AI340+AJ340-AK340)</f>
        <v>1150</v>
      </c>
      <c r="AM340" s="119"/>
      <c r="AN340" s="119"/>
      <c r="AO340" s="126">
        <f>SUM(AL340+AM340-AN340)</f>
        <v>1150</v>
      </c>
      <c r="AP340" s="119"/>
      <c r="AQ340" s="119"/>
      <c r="AR340" s="126">
        <f>SUM(AO340+AP340-AQ340)</f>
        <v>1150</v>
      </c>
      <c r="AS340" s="119"/>
      <c r="AT340" s="119"/>
      <c r="AU340" s="126">
        <f>SUM(AR340+AS340-AT340)</f>
        <v>1150</v>
      </c>
      <c r="AV340" s="337"/>
    </row>
    <row r="341" spans="1:48" s="9" customFormat="1" ht="24.75" customHeight="1">
      <c r="A341" s="51" t="s">
        <v>147</v>
      </c>
      <c r="B341" s="52"/>
      <c r="C341" s="53"/>
      <c r="D341" s="54" t="s">
        <v>77</v>
      </c>
      <c r="E341" s="55">
        <f aca="true" t="shared" si="514" ref="E341:T341">SUM(E342,E348,E351,E355,E357,E359,E364,)</f>
        <v>10617678</v>
      </c>
      <c r="F341" s="55">
        <f t="shared" si="514"/>
        <v>712320</v>
      </c>
      <c r="G341" s="55">
        <f t="shared" si="514"/>
        <v>662080</v>
      </c>
      <c r="H341" s="55">
        <f t="shared" si="514"/>
        <v>10667918</v>
      </c>
      <c r="I341" s="55">
        <f t="shared" si="514"/>
        <v>5000</v>
      </c>
      <c r="J341" s="55">
        <f t="shared" si="514"/>
        <v>9000</v>
      </c>
      <c r="K341" s="55">
        <f t="shared" si="514"/>
        <v>10663918</v>
      </c>
      <c r="L341" s="55">
        <f t="shared" si="514"/>
        <v>0</v>
      </c>
      <c r="M341" s="55">
        <f t="shared" si="514"/>
        <v>0</v>
      </c>
      <c r="N341" s="55">
        <f t="shared" si="514"/>
        <v>10663918</v>
      </c>
      <c r="O341" s="55">
        <f t="shared" si="514"/>
        <v>7000</v>
      </c>
      <c r="P341" s="55">
        <f t="shared" si="514"/>
        <v>0</v>
      </c>
      <c r="Q341" s="55">
        <f t="shared" si="514"/>
        <v>10670918</v>
      </c>
      <c r="R341" s="55">
        <f t="shared" si="514"/>
        <v>36828</v>
      </c>
      <c r="S341" s="55">
        <f t="shared" si="514"/>
        <v>1300</v>
      </c>
      <c r="T341" s="55">
        <f t="shared" si="514"/>
        <v>10706446</v>
      </c>
      <c r="U341" s="55">
        <f aca="true" t="shared" si="515" ref="U341:Z341">SUM(U342,U348,U351,U355,U357,U359,U364,)</f>
        <v>15755</v>
      </c>
      <c r="V341" s="55">
        <f t="shared" si="515"/>
        <v>15000</v>
      </c>
      <c r="W341" s="55">
        <f t="shared" si="515"/>
        <v>10707201</v>
      </c>
      <c r="X341" s="55">
        <f t="shared" si="515"/>
        <v>152800</v>
      </c>
      <c r="Y341" s="55">
        <f t="shared" si="515"/>
        <v>4822</v>
      </c>
      <c r="Z341" s="55">
        <f t="shared" si="515"/>
        <v>10855179</v>
      </c>
      <c r="AA341" s="55">
        <f aca="true" t="shared" si="516" ref="AA341:AF341">SUM(AA342,AA348,AA351,AA355,AA357,AA359,AA364,)</f>
        <v>1580</v>
      </c>
      <c r="AB341" s="55">
        <f t="shared" si="516"/>
        <v>15500</v>
      </c>
      <c r="AC341" s="55">
        <f t="shared" si="516"/>
        <v>10841259</v>
      </c>
      <c r="AD341" s="55">
        <f t="shared" si="516"/>
        <v>0</v>
      </c>
      <c r="AE341" s="55">
        <f t="shared" si="516"/>
        <v>0</v>
      </c>
      <c r="AF341" s="55">
        <f t="shared" si="516"/>
        <v>10841259</v>
      </c>
      <c r="AG341" s="55">
        <f aca="true" t="shared" si="517" ref="AG341:AL341">SUM(AG342,AG348,AG351,AG355,AG357,AG359,AG364,)</f>
        <v>169400</v>
      </c>
      <c r="AH341" s="55">
        <f t="shared" si="517"/>
        <v>9980</v>
      </c>
      <c r="AI341" s="55">
        <f t="shared" si="517"/>
        <v>11000679</v>
      </c>
      <c r="AJ341" s="55">
        <f t="shared" si="517"/>
        <v>0</v>
      </c>
      <c r="AK341" s="55">
        <f t="shared" si="517"/>
        <v>0</v>
      </c>
      <c r="AL341" s="55">
        <f t="shared" si="517"/>
        <v>11000679</v>
      </c>
      <c r="AM341" s="55">
        <f aca="true" t="shared" si="518" ref="AM341:AR341">SUM(AM342,AM348,AM351,AM355,AM357,AM359,AM364,)</f>
        <v>76000</v>
      </c>
      <c r="AN341" s="55">
        <f t="shared" si="518"/>
        <v>0</v>
      </c>
      <c r="AO341" s="55">
        <f t="shared" si="518"/>
        <v>11076679</v>
      </c>
      <c r="AP341" s="55">
        <f t="shared" si="518"/>
        <v>0</v>
      </c>
      <c r="AQ341" s="55">
        <f t="shared" si="518"/>
        <v>0</v>
      </c>
      <c r="AR341" s="55">
        <f t="shared" si="518"/>
        <v>11076679</v>
      </c>
      <c r="AS341" s="55">
        <f>SUM(AS342,AS348,AS351,AS355,AS357,AS359,AS364,)</f>
        <v>36610</v>
      </c>
      <c r="AT341" s="55">
        <f>SUM(AT342,AT348,AT351,AT355,AT357,AT359,AT364,)</f>
        <v>6410</v>
      </c>
      <c r="AU341" s="55">
        <f>SUM(AU342,AU348,AU351,AU355,AU357,AU359,AU364,)</f>
        <v>11106879</v>
      </c>
      <c r="AV341" s="338"/>
    </row>
    <row r="342" spans="1:48" s="37" customFormat="1" ht="21.75" customHeight="1">
      <c r="A342" s="98"/>
      <c r="B342" s="116" t="s">
        <v>148</v>
      </c>
      <c r="C342" s="120"/>
      <c r="D342" s="56" t="s">
        <v>78</v>
      </c>
      <c r="E342" s="114">
        <f aca="true" t="shared" si="519" ref="E342:K342">SUM(E343:E347)</f>
        <v>8834636</v>
      </c>
      <c r="F342" s="114">
        <f t="shared" si="519"/>
        <v>16000</v>
      </c>
      <c r="G342" s="114">
        <f t="shared" si="519"/>
        <v>35000</v>
      </c>
      <c r="H342" s="114">
        <f t="shared" si="519"/>
        <v>8815636</v>
      </c>
      <c r="I342" s="114">
        <f t="shared" si="519"/>
        <v>0</v>
      </c>
      <c r="J342" s="114">
        <f t="shared" si="519"/>
        <v>0</v>
      </c>
      <c r="K342" s="114">
        <f t="shared" si="519"/>
        <v>8815636</v>
      </c>
      <c r="L342" s="114">
        <f aca="true" t="shared" si="520" ref="L342:Q342">SUM(L343:L347)</f>
        <v>0</v>
      </c>
      <c r="M342" s="114">
        <f t="shared" si="520"/>
        <v>0</v>
      </c>
      <c r="N342" s="114">
        <f t="shared" si="520"/>
        <v>8815636</v>
      </c>
      <c r="O342" s="114">
        <f t="shared" si="520"/>
        <v>0</v>
      </c>
      <c r="P342" s="114">
        <f t="shared" si="520"/>
        <v>0</v>
      </c>
      <c r="Q342" s="114">
        <f t="shared" si="520"/>
        <v>8815636</v>
      </c>
      <c r="R342" s="114">
        <f aca="true" t="shared" si="521" ref="R342:W342">SUM(R343:R347)</f>
        <v>0</v>
      </c>
      <c r="S342" s="114">
        <f t="shared" si="521"/>
        <v>0</v>
      </c>
      <c r="T342" s="114">
        <f t="shared" si="521"/>
        <v>8815636</v>
      </c>
      <c r="U342" s="114">
        <f t="shared" si="521"/>
        <v>55</v>
      </c>
      <c r="V342" s="114">
        <f t="shared" si="521"/>
        <v>0</v>
      </c>
      <c r="W342" s="114">
        <f t="shared" si="521"/>
        <v>8815691</v>
      </c>
      <c r="X342" s="114">
        <f aca="true" t="shared" si="522" ref="X342:AC342">SUM(X343:X347)</f>
        <v>150000</v>
      </c>
      <c r="Y342" s="114">
        <f t="shared" si="522"/>
        <v>0</v>
      </c>
      <c r="Z342" s="114">
        <f t="shared" si="522"/>
        <v>8965691</v>
      </c>
      <c r="AA342" s="114">
        <f t="shared" si="522"/>
        <v>0</v>
      </c>
      <c r="AB342" s="114">
        <f t="shared" si="522"/>
        <v>0</v>
      </c>
      <c r="AC342" s="114">
        <f t="shared" si="522"/>
        <v>8965691</v>
      </c>
      <c r="AD342" s="114">
        <f aca="true" t="shared" si="523" ref="AD342:AI342">SUM(AD343:AD347)</f>
        <v>0</v>
      </c>
      <c r="AE342" s="114">
        <f t="shared" si="523"/>
        <v>0</v>
      </c>
      <c r="AF342" s="114">
        <f t="shared" si="523"/>
        <v>8965691</v>
      </c>
      <c r="AG342" s="114">
        <f t="shared" si="523"/>
        <v>141500</v>
      </c>
      <c r="AH342" s="114">
        <f t="shared" si="523"/>
        <v>0</v>
      </c>
      <c r="AI342" s="114">
        <f t="shared" si="523"/>
        <v>9107191</v>
      </c>
      <c r="AJ342" s="114">
        <f aca="true" t="shared" si="524" ref="AJ342:AO342">SUM(AJ343:AJ347)</f>
        <v>0</v>
      </c>
      <c r="AK342" s="114">
        <f t="shared" si="524"/>
        <v>0</v>
      </c>
      <c r="AL342" s="114">
        <f t="shared" si="524"/>
        <v>9107191</v>
      </c>
      <c r="AM342" s="114">
        <f t="shared" si="524"/>
        <v>0</v>
      </c>
      <c r="AN342" s="114">
        <f t="shared" si="524"/>
        <v>0</v>
      </c>
      <c r="AO342" s="114">
        <f t="shared" si="524"/>
        <v>9107191</v>
      </c>
      <c r="AP342" s="114">
        <f aca="true" t="shared" si="525" ref="AP342:AU342">SUM(AP343:AP347)</f>
        <v>0</v>
      </c>
      <c r="AQ342" s="114">
        <f t="shared" si="525"/>
        <v>0</v>
      </c>
      <c r="AR342" s="114">
        <f t="shared" si="525"/>
        <v>9107191</v>
      </c>
      <c r="AS342" s="114">
        <f t="shared" si="525"/>
        <v>2500</v>
      </c>
      <c r="AT342" s="114">
        <f t="shared" si="525"/>
        <v>0</v>
      </c>
      <c r="AU342" s="114">
        <f t="shared" si="525"/>
        <v>9109691</v>
      </c>
      <c r="AV342" s="339"/>
    </row>
    <row r="343" spans="1:48" s="37" customFormat="1" ht="21" customHeight="1">
      <c r="A343" s="98"/>
      <c r="B343" s="116"/>
      <c r="C343" s="98">
        <v>4300</v>
      </c>
      <c r="D343" s="56" t="s">
        <v>96</v>
      </c>
      <c r="E343" s="114">
        <v>67000</v>
      </c>
      <c r="F343" s="119">
        <v>16000</v>
      </c>
      <c r="G343" s="119"/>
      <c r="H343" s="126">
        <f aca="true" t="shared" si="526" ref="H343:H368">SUM(E343+F343-G343)</f>
        <v>83000</v>
      </c>
      <c r="I343" s="119"/>
      <c r="J343" s="119"/>
      <c r="K343" s="126">
        <f>SUM(H343+I343-J343)</f>
        <v>83000</v>
      </c>
      <c r="L343" s="119"/>
      <c r="M343" s="119"/>
      <c r="N343" s="126">
        <f>SUM(K343+L343-M343)</f>
        <v>83000</v>
      </c>
      <c r="O343" s="119"/>
      <c r="P343" s="119"/>
      <c r="Q343" s="126">
        <f>SUM(N343+O343-P343)</f>
        <v>83000</v>
      </c>
      <c r="R343" s="119"/>
      <c r="S343" s="119"/>
      <c r="T343" s="126">
        <f>SUM(Q343+R343-S343)</f>
        <v>83000</v>
      </c>
      <c r="U343" s="119"/>
      <c r="V343" s="119"/>
      <c r="W343" s="126">
        <f>SUM(T343+U343-V343)</f>
        <v>83000</v>
      </c>
      <c r="X343" s="119"/>
      <c r="Y343" s="119"/>
      <c r="Z343" s="126">
        <f>SUM(W343+X343-Y343)</f>
        <v>83000</v>
      </c>
      <c r="AA343" s="119"/>
      <c r="AB343" s="119"/>
      <c r="AC343" s="126">
        <f>SUM(Z343+AA343-AB343)</f>
        <v>83000</v>
      </c>
      <c r="AD343" s="119"/>
      <c r="AE343" s="119"/>
      <c r="AF343" s="126">
        <f>SUM(AC343+AD343-AE343)</f>
        <v>83000</v>
      </c>
      <c r="AG343" s="119">
        <v>1500</v>
      </c>
      <c r="AH343" s="119"/>
      <c r="AI343" s="126">
        <f>SUM(AF343+AG343-AH343)</f>
        <v>84500</v>
      </c>
      <c r="AJ343" s="119"/>
      <c r="AK343" s="119"/>
      <c r="AL343" s="126">
        <f>SUM(AI343+AJ343-AK343)</f>
        <v>84500</v>
      </c>
      <c r="AM343" s="119"/>
      <c r="AN343" s="119"/>
      <c r="AO343" s="126">
        <f>SUM(AL343+AM343-AN343)</f>
        <v>84500</v>
      </c>
      <c r="AP343" s="119"/>
      <c r="AQ343" s="119"/>
      <c r="AR343" s="126">
        <f>SUM(AO343+AP343-AQ343)</f>
        <v>84500</v>
      </c>
      <c r="AS343" s="119"/>
      <c r="AT343" s="119"/>
      <c r="AU343" s="126">
        <f>SUM(AR343+AS343-AT343)</f>
        <v>84500</v>
      </c>
      <c r="AV343" s="337"/>
    </row>
    <row r="344" spans="1:48" s="37" customFormat="1" ht="60">
      <c r="A344" s="98"/>
      <c r="B344" s="116"/>
      <c r="C344" s="98">
        <v>6010</v>
      </c>
      <c r="D344" s="56" t="s">
        <v>528</v>
      </c>
      <c r="E344" s="114"/>
      <c r="F344" s="119"/>
      <c r="G344" s="119"/>
      <c r="H344" s="126"/>
      <c r="I344" s="119"/>
      <c r="J344" s="119"/>
      <c r="K344" s="126"/>
      <c r="L344" s="119"/>
      <c r="M344" s="119"/>
      <c r="N344" s="126"/>
      <c r="O344" s="119"/>
      <c r="P344" s="119"/>
      <c r="Q344" s="126"/>
      <c r="R344" s="119"/>
      <c r="S344" s="119"/>
      <c r="T344" s="126">
        <v>0</v>
      </c>
      <c r="U344" s="119">
        <v>55</v>
      </c>
      <c r="V344" s="119"/>
      <c r="W344" s="126">
        <f>SUM(T344+U344-V344)</f>
        <v>55</v>
      </c>
      <c r="X344" s="119"/>
      <c r="Y344" s="119"/>
      <c r="Z344" s="126">
        <f>SUM(W344+X344-Y344)</f>
        <v>55</v>
      </c>
      <c r="AA344" s="119"/>
      <c r="AB344" s="119"/>
      <c r="AC344" s="126">
        <f>SUM(Z344+AA344-AB344)</f>
        <v>55</v>
      </c>
      <c r="AD344" s="119"/>
      <c r="AE344" s="119"/>
      <c r="AF344" s="126">
        <f>SUM(AC344+AD344-AE344)</f>
        <v>55</v>
      </c>
      <c r="AG344" s="119"/>
      <c r="AH344" s="119"/>
      <c r="AI344" s="126">
        <f>SUM(AF344+AG344-AH344)</f>
        <v>55</v>
      </c>
      <c r="AJ344" s="119"/>
      <c r="AK344" s="119"/>
      <c r="AL344" s="126">
        <f>SUM(AI344+AJ344-AK344)</f>
        <v>55</v>
      </c>
      <c r="AM344" s="119"/>
      <c r="AN344" s="119"/>
      <c r="AO344" s="126">
        <f>SUM(AL344+AM344-AN344)</f>
        <v>55</v>
      </c>
      <c r="AP344" s="119"/>
      <c r="AQ344" s="119"/>
      <c r="AR344" s="126">
        <f>SUM(AO344+AP344-AQ344)</f>
        <v>55</v>
      </c>
      <c r="AS344" s="119"/>
      <c r="AT344" s="119"/>
      <c r="AU344" s="126">
        <f>SUM(AR344+AS344-AT344)</f>
        <v>55</v>
      </c>
      <c r="AV344" s="337"/>
    </row>
    <row r="345" spans="1:48" s="37" customFormat="1" ht="21" customHeight="1">
      <c r="A345" s="98"/>
      <c r="B345" s="116"/>
      <c r="C345" s="98">
        <v>6050</v>
      </c>
      <c r="D345" s="56" t="s">
        <v>90</v>
      </c>
      <c r="E345" s="114">
        <v>100000</v>
      </c>
      <c r="F345" s="119"/>
      <c r="G345" s="119">
        <v>35000</v>
      </c>
      <c r="H345" s="126">
        <f t="shared" si="526"/>
        <v>65000</v>
      </c>
      <c r="I345" s="119"/>
      <c r="J345" s="119"/>
      <c r="K345" s="126">
        <f>SUM(H345+I345-J345)</f>
        <v>65000</v>
      </c>
      <c r="L345" s="119"/>
      <c r="M345" s="119"/>
      <c r="N345" s="126">
        <f>SUM(K345+L345-M345)</f>
        <v>65000</v>
      </c>
      <c r="O345" s="119"/>
      <c r="P345" s="119"/>
      <c r="Q345" s="126">
        <f>SUM(N345+O345-P345)</f>
        <v>65000</v>
      </c>
      <c r="R345" s="119"/>
      <c r="S345" s="119"/>
      <c r="T345" s="126">
        <f>SUM(Q345+R345-S345)</f>
        <v>65000</v>
      </c>
      <c r="U345" s="119"/>
      <c r="V345" s="119"/>
      <c r="W345" s="126">
        <f>SUM(T345+U345-V345)</f>
        <v>65000</v>
      </c>
      <c r="X345" s="119"/>
      <c r="Y345" s="119"/>
      <c r="Z345" s="126">
        <f>SUM(W345+X345-Y345)</f>
        <v>65000</v>
      </c>
      <c r="AA345" s="119"/>
      <c r="AB345" s="119"/>
      <c r="AC345" s="126">
        <f>SUM(Z345+AA345-AB345)</f>
        <v>65000</v>
      </c>
      <c r="AD345" s="119"/>
      <c r="AE345" s="119"/>
      <c r="AF345" s="126">
        <f>SUM(AC345+AD345-AE345)</f>
        <v>65000</v>
      </c>
      <c r="AG345" s="119"/>
      <c r="AH345" s="119"/>
      <c r="AI345" s="126">
        <f>SUM(AF345+AG345-AH345)</f>
        <v>65000</v>
      </c>
      <c r="AJ345" s="119"/>
      <c r="AK345" s="119"/>
      <c r="AL345" s="126">
        <f>SUM(AI345+AJ345-AK345)</f>
        <v>65000</v>
      </c>
      <c r="AM345" s="119"/>
      <c r="AN345" s="119"/>
      <c r="AO345" s="126">
        <f>SUM(AL345+AM345-AN345)</f>
        <v>65000</v>
      </c>
      <c r="AP345" s="119"/>
      <c r="AQ345" s="119"/>
      <c r="AR345" s="126">
        <f>SUM(AO345+AP345-AQ345)</f>
        <v>65000</v>
      </c>
      <c r="AS345" s="119"/>
      <c r="AT345" s="119"/>
      <c r="AU345" s="126">
        <f>SUM(AR345+AS345-AT345)</f>
        <v>65000</v>
      </c>
      <c r="AV345" s="337"/>
    </row>
    <row r="346" spans="1:48" s="37" customFormat="1" ht="21" customHeight="1">
      <c r="A346" s="98"/>
      <c r="B346" s="116"/>
      <c r="C346" s="98">
        <v>6058</v>
      </c>
      <c r="D346" s="56" t="s">
        <v>90</v>
      </c>
      <c r="E346" s="114">
        <v>5717636</v>
      </c>
      <c r="F346" s="119"/>
      <c r="G346" s="119"/>
      <c r="H346" s="126">
        <f t="shared" si="526"/>
        <v>5717636</v>
      </c>
      <c r="I346" s="119"/>
      <c r="J346" s="119"/>
      <c r="K346" s="126">
        <f>SUM(H346+I346-J346)</f>
        <v>5717636</v>
      </c>
      <c r="L346" s="119"/>
      <c r="M346" s="119"/>
      <c r="N346" s="126">
        <f>SUM(K346+L346-M346)</f>
        <v>5717636</v>
      </c>
      <c r="O346" s="119"/>
      <c r="P346" s="119"/>
      <c r="Q346" s="126">
        <f>SUM(N346+O346-P346)</f>
        <v>5717636</v>
      </c>
      <c r="R346" s="119"/>
      <c r="S346" s="119"/>
      <c r="T346" s="126">
        <f>SUM(Q346+R346-S346)</f>
        <v>5717636</v>
      </c>
      <c r="U346" s="119"/>
      <c r="V346" s="119"/>
      <c r="W346" s="126">
        <f>SUM(T346+U346-V346)</f>
        <v>5717636</v>
      </c>
      <c r="X346" s="119"/>
      <c r="Y346" s="119"/>
      <c r="Z346" s="126">
        <f>SUM(W346+X346-Y346)</f>
        <v>5717636</v>
      </c>
      <c r="AA346" s="119"/>
      <c r="AB346" s="119"/>
      <c r="AC346" s="126">
        <f>SUM(Z346+AA346-AB346)</f>
        <v>5717636</v>
      </c>
      <c r="AD346" s="119"/>
      <c r="AE346" s="119"/>
      <c r="AF346" s="126">
        <f>SUM(AC346+AD346-AE346)</f>
        <v>5717636</v>
      </c>
      <c r="AG346" s="119"/>
      <c r="AH346" s="119"/>
      <c r="AI346" s="126">
        <f>SUM(AF346+AG346-AH346)</f>
        <v>5717636</v>
      </c>
      <c r="AJ346" s="119"/>
      <c r="AK346" s="119"/>
      <c r="AL346" s="126">
        <f>SUM(AI346+AJ346-AK346)</f>
        <v>5717636</v>
      </c>
      <c r="AM346" s="119"/>
      <c r="AN346" s="119"/>
      <c r="AO346" s="126">
        <f>SUM(AL346+AM346-AN346)</f>
        <v>5717636</v>
      </c>
      <c r="AP346" s="119"/>
      <c r="AQ346" s="119"/>
      <c r="AR346" s="126">
        <f>SUM(AO346+AP346-AQ346)</f>
        <v>5717636</v>
      </c>
      <c r="AS346" s="119"/>
      <c r="AT346" s="119"/>
      <c r="AU346" s="126">
        <f>SUM(AR346+AS346-AT346)</f>
        <v>5717636</v>
      </c>
      <c r="AV346" s="337"/>
    </row>
    <row r="347" spans="1:48" s="37" customFormat="1" ht="21" customHeight="1">
      <c r="A347" s="98"/>
      <c r="B347" s="116"/>
      <c r="C347" s="98">
        <v>6059</v>
      </c>
      <c r="D347" s="56" t="s">
        <v>90</v>
      </c>
      <c r="E347" s="114">
        <v>2950000</v>
      </c>
      <c r="F347" s="119"/>
      <c r="G347" s="119"/>
      <c r="H347" s="126">
        <f t="shared" si="526"/>
        <v>2950000</v>
      </c>
      <c r="I347" s="119"/>
      <c r="J347" s="119"/>
      <c r="K347" s="126">
        <f>SUM(H347+I347-J347)</f>
        <v>2950000</v>
      </c>
      <c r="L347" s="119"/>
      <c r="M347" s="119"/>
      <c r="N347" s="126">
        <f>SUM(K347+L347-M347)</f>
        <v>2950000</v>
      </c>
      <c r="O347" s="119"/>
      <c r="P347" s="119"/>
      <c r="Q347" s="126">
        <f>SUM(N347+O347-P347)</f>
        <v>2950000</v>
      </c>
      <c r="R347" s="119"/>
      <c r="S347" s="119"/>
      <c r="T347" s="126">
        <f>SUM(Q347+R347-S347)</f>
        <v>2950000</v>
      </c>
      <c r="U347" s="119"/>
      <c r="V347" s="119"/>
      <c r="W347" s="126">
        <f>SUM(T347+U347-V347)</f>
        <v>2950000</v>
      </c>
      <c r="X347" s="119">
        <v>150000</v>
      </c>
      <c r="Y347" s="119"/>
      <c r="Z347" s="126">
        <f>SUM(W347+X347-Y347)</f>
        <v>3100000</v>
      </c>
      <c r="AA347" s="119"/>
      <c r="AB347" s="119"/>
      <c r="AC347" s="126">
        <f>SUM(Z347+AA347-AB347)</f>
        <v>3100000</v>
      </c>
      <c r="AD347" s="119"/>
      <c r="AE347" s="119"/>
      <c r="AF347" s="126">
        <f>SUM(AC347+AD347-AE347)</f>
        <v>3100000</v>
      </c>
      <c r="AG347" s="119">
        <v>140000</v>
      </c>
      <c r="AH347" s="119"/>
      <c r="AI347" s="126">
        <f>SUM(AF347+AG347-AH347)</f>
        <v>3240000</v>
      </c>
      <c r="AJ347" s="119"/>
      <c r="AK347" s="119"/>
      <c r="AL347" s="126">
        <f>SUM(AI347+AJ347-AK347)</f>
        <v>3240000</v>
      </c>
      <c r="AM347" s="119"/>
      <c r="AN347" s="119"/>
      <c r="AO347" s="126">
        <f>SUM(AL347+AM347-AN347)</f>
        <v>3240000</v>
      </c>
      <c r="AP347" s="119"/>
      <c r="AQ347" s="119"/>
      <c r="AR347" s="126">
        <f>SUM(AO347+AP347-AQ347)</f>
        <v>3240000</v>
      </c>
      <c r="AS347" s="119">
        <v>2500</v>
      </c>
      <c r="AT347" s="119"/>
      <c r="AU347" s="126">
        <f>SUM(AR347+AS347-AT347)</f>
        <v>3242500</v>
      </c>
      <c r="AV347" s="337"/>
    </row>
    <row r="348" spans="1:48" s="37" customFormat="1" ht="18" customHeight="1">
      <c r="A348" s="98"/>
      <c r="B348" s="116" t="s">
        <v>149</v>
      </c>
      <c r="C348" s="120"/>
      <c r="D348" s="56" t="s">
        <v>150</v>
      </c>
      <c r="E348" s="114">
        <f aca="true" t="shared" si="527" ref="E348:K348">SUM(E349:E350)</f>
        <v>627080</v>
      </c>
      <c r="F348" s="114">
        <f t="shared" si="527"/>
        <v>677320</v>
      </c>
      <c r="G348" s="114">
        <f t="shared" si="527"/>
        <v>627080</v>
      </c>
      <c r="H348" s="114">
        <f t="shared" si="527"/>
        <v>677320</v>
      </c>
      <c r="I348" s="114">
        <f t="shared" si="527"/>
        <v>0</v>
      </c>
      <c r="J348" s="114">
        <f t="shared" si="527"/>
        <v>8000</v>
      </c>
      <c r="K348" s="114">
        <f t="shared" si="527"/>
        <v>669320</v>
      </c>
      <c r="L348" s="114">
        <f aca="true" t="shared" si="528" ref="L348:Q348">SUM(L349:L350)</f>
        <v>0</v>
      </c>
      <c r="M348" s="114">
        <f t="shared" si="528"/>
        <v>0</v>
      </c>
      <c r="N348" s="114">
        <f t="shared" si="528"/>
        <v>669320</v>
      </c>
      <c r="O348" s="114">
        <f t="shared" si="528"/>
        <v>0</v>
      </c>
      <c r="P348" s="114">
        <f t="shared" si="528"/>
        <v>0</v>
      </c>
      <c r="Q348" s="114">
        <f t="shared" si="528"/>
        <v>669320</v>
      </c>
      <c r="R348" s="114">
        <f aca="true" t="shared" si="529" ref="R348:W348">SUM(R349:R350)</f>
        <v>60</v>
      </c>
      <c r="S348" s="114">
        <f t="shared" si="529"/>
        <v>0</v>
      </c>
      <c r="T348" s="114">
        <f t="shared" si="529"/>
        <v>669380</v>
      </c>
      <c r="U348" s="114">
        <f t="shared" si="529"/>
        <v>0</v>
      </c>
      <c r="V348" s="114">
        <f t="shared" si="529"/>
        <v>0</v>
      </c>
      <c r="W348" s="114">
        <f t="shared" si="529"/>
        <v>669380</v>
      </c>
      <c r="X348" s="114">
        <f aca="true" t="shared" si="530" ref="X348:AC348">SUM(X349:X350)</f>
        <v>0</v>
      </c>
      <c r="Y348" s="114">
        <f t="shared" si="530"/>
        <v>0</v>
      </c>
      <c r="Z348" s="114">
        <f t="shared" si="530"/>
        <v>669380</v>
      </c>
      <c r="AA348" s="114">
        <f t="shared" si="530"/>
        <v>0</v>
      </c>
      <c r="AB348" s="114">
        <f t="shared" si="530"/>
        <v>0</v>
      </c>
      <c r="AC348" s="114">
        <f t="shared" si="530"/>
        <v>669380</v>
      </c>
      <c r="AD348" s="114">
        <f aca="true" t="shared" si="531" ref="AD348:AI348">SUM(AD349:AD350)</f>
        <v>0</v>
      </c>
      <c r="AE348" s="114">
        <f t="shared" si="531"/>
        <v>0</v>
      </c>
      <c r="AF348" s="114">
        <f t="shared" si="531"/>
        <v>669380</v>
      </c>
      <c r="AG348" s="114">
        <f t="shared" si="531"/>
        <v>0</v>
      </c>
      <c r="AH348" s="114">
        <f t="shared" si="531"/>
        <v>0</v>
      </c>
      <c r="AI348" s="114">
        <f t="shared" si="531"/>
        <v>669380</v>
      </c>
      <c r="AJ348" s="114">
        <f aca="true" t="shared" si="532" ref="AJ348:AO348">SUM(AJ349:AJ350)</f>
        <v>0</v>
      </c>
      <c r="AK348" s="114">
        <f t="shared" si="532"/>
        <v>0</v>
      </c>
      <c r="AL348" s="114">
        <f t="shared" si="532"/>
        <v>669380</v>
      </c>
      <c r="AM348" s="114">
        <f t="shared" si="532"/>
        <v>0</v>
      </c>
      <c r="AN348" s="114">
        <f t="shared" si="532"/>
        <v>0</v>
      </c>
      <c r="AO348" s="114">
        <f t="shared" si="532"/>
        <v>669380</v>
      </c>
      <c r="AP348" s="114">
        <f aca="true" t="shared" si="533" ref="AP348:AU348">SUM(AP349:AP350)</f>
        <v>0</v>
      </c>
      <c r="AQ348" s="114">
        <f t="shared" si="533"/>
        <v>0</v>
      </c>
      <c r="AR348" s="114">
        <f t="shared" si="533"/>
        <v>669380</v>
      </c>
      <c r="AS348" s="114">
        <f t="shared" si="533"/>
        <v>4000</v>
      </c>
      <c r="AT348" s="114">
        <f t="shared" si="533"/>
        <v>4060</v>
      </c>
      <c r="AU348" s="114">
        <f t="shared" si="533"/>
        <v>669320</v>
      </c>
      <c r="AV348" s="339"/>
    </row>
    <row r="349" spans="1:48" s="37" customFormat="1" ht="21" customHeight="1">
      <c r="A349" s="98"/>
      <c r="B349" s="116"/>
      <c r="C349" s="120">
        <v>4210</v>
      </c>
      <c r="D349" s="56" t="s">
        <v>109</v>
      </c>
      <c r="E349" s="114">
        <v>619080</v>
      </c>
      <c r="F349" s="119">
        <v>8000</v>
      </c>
      <c r="G349" s="119">
        <v>619080</v>
      </c>
      <c r="H349" s="126">
        <f t="shared" si="526"/>
        <v>8000</v>
      </c>
      <c r="I349" s="119"/>
      <c r="J349" s="119"/>
      <c r="K349" s="126">
        <f>SUM(H349+I349-J349)</f>
        <v>8000</v>
      </c>
      <c r="L349" s="119"/>
      <c r="M349" s="119"/>
      <c r="N349" s="126">
        <f>SUM(K349+L349-M349)</f>
        <v>8000</v>
      </c>
      <c r="O349" s="119"/>
      <c r="P349" s="119"/>
      <c r="Q349" s="126">
        <f>SUM(N349+O349-P349)</f>
        <v>8000</v>
      </c>
      <c r="R349" s="119"/>
      <c r="S349" s="119"/>
      <c r="T349" s="126">
        <f>SUM(Q349+R349-S349)</f>
        <v>8000</v>
      </c>
      <c r="U349" s="119"/>
      <c r="V349" s="119"/>
      <c r="W349" s="126">
        <f>SUM(T349+U349-V349)</f>
        <v>8000</v>
      </c>
      <c r="X349" s="119"/>
      <c r="Y349" s="119"/>
      <c r="Z349" s="126">
        <f>SUM(W349+X349-Y349)</f>
        <v>8000</v>
      </c>
      <c r="AA349" s="119"/>
      <c r="AB349" s="119"/>
      <c r="AC349" s="126">
        <f>SUM(Z349+AA349-AB349)</f>
        <v>8000</v>
      </c>
      <c r="AD349" s="119"/>
      <c r="AE349" s="119"/>
      <c r="AF349" s="126">
        <f>SUM(AC349+AD349-AE349)</f>
        <v>8000</v>
      </c>
      <c r="AG349" s="119"/>
      <c r="AH349" s="119"/>
      <c r="AI349" s="126">
        <f>SUM(AF349+AG349-AH349)</f>
        <v>8000</v>
      </c>
      <c r="AJ349" s="119"/>
      <c r="AK349" s="119"/>
      <c r="AL349" s="126">
        <f>SUM(AI349+AJ349-AK349)</f>
        <v>8000</v>
      </c>
      <c r="AM349" s="119"/>
      <c r="AN349" s="119"/>
      <c r="AO349" s="126">
        <f>SUM(AL349+AM349-AN349)</f>
        <v>8000</v>
      </c>
      <c r="AP349" s="119"/>
      <c r="AQ349" s="119"/>
      <c r="AR349" s="126">
        <f>SUM(AO349+AP349-AQ349)</f>
        <v>8000</v>
      </c>
      <c r="AS349" s="119"/>
      <c r="AT349" s="119">
        <v>4000</v>
      </c>
      <c r="AU349" s="126">
        <f>SUM(AR349+AS349-AT349)</f>
        <v>4000</v>
      </c>
      <c r="AV349" s="337"/>
    </row>
    <row r="350" spans="1:48" s="37" customFormat="1" ht="19.5" customHeight="1">
      <c r="A350" s="98"/>
      <c r="B350" s="116"/>
      <c r="C350" s="120">
        <v>4300</v>
      </c>
      <c r="D350" s="124" t="s">
        <v>96</v>
      </c>
      <c r="E350" s="114">
        <v>8000</v>
      </c>
      <c r="F350" s="119">
        <f>619080+50240</f>
        <v>669320</v>
      </c>
      <c r="G350" s="119">
        <v>8000</v>
      </c>
      <c r="H350" s="126">
        <f t="shared" si="526"/>
        <v>669320</v>
      </c>
      <c r="I350" s="119"/>
      <c r="J350" s="119">
        <v>8000</v>
      </c>
      <c r="K350" s="126">
        <f>SUM(H350+I350-J350)</f>
        <v>661320</v>
      </c>
      <c r="L350" s="119"/>
      <c r="M350" s="119"/>
      <c r="N350" s="126">
        <f>SUM(K350+L350-M350)</f>
        <v>661320</v>
      </c>
      <c r="O350" s="119"/>
      <c r="P350" s="119"/>
      <c r="Q350" s="126">
        <f>SUM(N350+O350-P350)</f>
        <v>661320</v>
      </c>
      <c r="R350" s="119">
        <v>60</v>
      </c>
      <c r="S350" s="119"/>
      <c r="T350" s="126">
        <f>SUM(Q350+R350-S350)</f>
        <v>661380</v>
      </c>
      <c r="U350" s="119"/>
      <c r="V350" s="119"/>
      <c r="W350" s="126">
        <f>SUM(T350+U350-V350)</f>
        <v>661380</v>
      </c>
      <c r="X350" s="119"/>
      <c r="Y350" s="119"/>
      <c r="Z350" s="126">
        <f>SUM(W350+X350-Y350)</f>
        <v>661380</v>
      </c>
      <c r="AA350" s="119"/>
      <c r="AB350" s="119"/>
      <c r="AC350" s="126">
        <f>SUM(Z350+AA350-AB350)</f>
        <v>661380</v>
      </c>
      <c r="AD350" s="119"/>
      <c r="AE350" s="119"/>
      <c r="AF350" s="126">
        <f>SUM(AC350+AD350-AE350)</f>
        <v>661380</v>
      </c>
      <c r="AG350" s="119"/>
      <c r="AH350" s="119"/>
      <c r="AI350" s="126">
        <f>SUM(AF350+AG350-AH350)</f>
        <v>661380</v>
      </c>
      <c r="AJ350" s="119"/>
      <c r="AK350" s="119"/>
      <c r="AL350" s="126">
        <f>SUM(AI350+AJ350-AK350)</f>
        <v>661380</v>
      </c>
      <c r="AM350" s="119"/>
      <c r="AN350" s="119"/>
      <c r="AO350" s="126">
        <f>SUM(AL350+AM350-AN350)</f>
        <v>661380</v>
      </c>
      <c r="AP350" s="119"/>
      <c r="AQ350" s="119"/>
      <c r="AR350" s="126">
        <f>SUM(AO350+AP350-AQ350)</f>
        <v>661380</v>
      </c>
      <c r="AS350" s="119">
        <v>4000</v>
      </c>
      <c r="AT350" s="119">
        <v>60</v>
      </c>
      <c r="AU350" s="126">
        <f>SUM(AR350+AS350-AT350)</f>
        <v>665320</v>
      </c>
      <c r="AV350" s="337"/>
    </row>
    <row r="351" spans="1:48" s="37" customFormat="1" ht="21.75" customHeight="1">
      <c r="A351" s="98"/>
      <c r="B351" s="116" t="s">
        <v>151</v>
      </c>
      <c r="C351" s="120"/>
      <c r="D351" s="56" t="s">
        <v>191</v>
      </c>
      <c r="E351" s="114">
        <f aca="true" t="shared" si="534" ref="E351:K351">SUM(E352:E354)</f>
        <v>175492</v>
      </c>
      <c r="F351" s="114">
        <f t="shared" si="534"/>
        <v>0</v>
      </c>
      <c r="G351" s="114">
        <f t="shared" si="534"/>
        <v>0</v>
      </c>
      <c r="H351" s="114">
        <f t="shared" si="534"/>
        <v>175492</v>
      </c>
      <c r="I351" s="114">
        <f t="shared" si="534"/>
        <v>0</v>
      </c>
      <c r="J351" s="114">
        <f t="shared" si="534"/>
        <v>0</v>
      </c>
      <c r="K351" s="114">
        <f t="shared" si="534"/>
        <v>175492</v>
      </c>
      <c r="L351" s="114">
        <f aca="true" t="shared" si="535" ref="L351:Q351">SUM(L352:L354)</f>
        <v>0</v>
      </c>
      <c r="M351" s="114">
        <f t="shared" si="535"/>
        <v>0</v>
      </c>
      <c r="N351" s="114">
        <f t="shared" si="535"/>
        <v>175492</v>
      </c>
      <c r="O351" s="114">
        <f t="shared" si="535"/>
        <v>0</v>
      </c>
      <c r="P351" s="114">
        <f t="shared" si="535"/>
        <v>0</v>
      </c>
      <c r="Q351" s="114">
        <f t="shared" si="535"/>
        <v>175492</v>
      </c>
      <c r="R351" s="114">
        <f aca="true" t="shared" si="536" ref="R351:W351">SUM(R352:R354)</f>
        <v>3668</v>
      </c>
      <c r="S351" s="114">
        <f t="shared" si="536"/>
        <v>1100</v>
      </c>
      <c r="T351" s="114">
        <f t="shared" si="536"/>
        <v>178060</v>
      </c>
      <c r="U351" s="114">
        <f t="shared" si="536"/>
        <v>700</v>
      </c>
      <c r="V351" s="114">
        <f t="shared" si="536"/>
        <v>0</v>
      </c>
      <c r="W351" s="114">
        <f t="shared" si="536"/>
        <v>178760</v>
      </c>
      <c r="X351" s="114">
        <f aca="true" t="shared" si="537" ref="X351:AC351">SUM(X352:X354)</f>
        <v>2800</v>
      </c>
      <c r="Y351" s="114">
        <f t="shared" si="537"/>
        <v>2052</v>
      </c>
      <c r="Z351" s="114">
        <f t="shared" si="537"/>
        <v>179508</v>
      </c>
      <c r="AA351" s="114">
        <f t="shared" si="537"/>
        <v>1580</v>
      </c>
      <c r="AB351" s="114">
        <f t="shared" si="537"/>
        <v>12500</v>
      </c>
      <c r="AC351" s="114">
        <f t="shared" si="537"/>
        <v>168588</v>
      </c>
      <c r="AD351" s="114">
        <f aca="true" t="shared" si="538" ref="AD351:AI351">SUM(AD352:AD354)</f>
        <v>0</v>
      </c>
      <c r="AE351" s="114">
        <f t="shared" si="538"/>
        <v>0</v>
      </c>
      <c r="AF351" s="114">
        <f t="shared" si="538"/>
        <v>168588</v>
      </c>
      <c r="AG351" s="114">
        <f t="shared" si="538"/>
        <v>500</v>
      </c>
      <c r="AH351" s="114">
        <f t="shared" si="538"/>
        <v>250</v>
      </c>
      <c r="AI351" s="114">
        <f t="shared" si="538"/>
        <v>168838</v>
      </c>
      <c r="AJ351" s="114">
        <f aca="true" t="shared" si="539" ref="AJ351:AO351">SUM(AJ352:AJ354)</f>
        <v>0</v>
      </c>
      <c r="AK351" s="114">
        <f t="shared" si="539"/>
        <v>0</v>
      </c>
      <c r="AL351" s="114">
        <f t="shared" si="539"/>
        <v>168838</v>
      </c>
      <c r="AM351" s="114">
        <f t="shared" si="539"/>
        <v>0</v>
      </c>
      <c r="AN351" s="114">
        <f t="shared" si="539"/>
        <v>0</v>
      </c>
      <c r="AO351" s="114">
        <f t="shared" si="539"/>
        <v>168838</v>
      </c>
      <c r="AP351" s="114">
        <f aca="true" t="shared" si="540" ref="AP351:AU351">SUM(AP352:AP354)</f>
        <v>0</v>
      </c>
      <c r="AQ351" s="114">
        <f t="shared" si="540"/>
        <v>0</v>
      </c>
      <c r="AR351" s="114">
        <f t="shared" si="540"/>
        <v>168838</v>
      </c>
      <c r="AS351" s="114">
        <f t="shared" si="540"/>
        <v>10</v>
      </c>
      <c r="AT351" s="114">
        <f t="shared" si="540"/>
        <v>34</v>
      </c>
      <c r="AU351" s="114">
        <f t="shared" si="540"/>
        <v>168814</v>
      </c>
      <c r="AV351" s="339"/>
    </row>
    <row r="352" spans="1:48" s="37" customFormat="1" ht="21" customHeight="1">
      <c r="A352" s="98"/>
      <c r="B352" s="116"/>
      <c r="C352" s="98">
        <v>4210</v>
      </c>
      <c r="D352" s="56" t="s">
        <v>109</v>
      </c>
      <c r="E352" s="114">
        <f>25850+26000</f>
        <v>51850</v>
      </c>
      <c r="F352" s="119"/>
      <c r="G352" s="119"/>
      <c r="H352" s="126">
        <f t="shared" si="526"/>
        <v>51850</v>
      </c>
      <c r="I352" s="119"/>
      <c r="J352" s="119"/>
      <c r="K352" s="126">
        <f>SUM(H352+I352-J352)</f>
        <v>51850</v>
      </c>
      <c r="L352" s="119"/>
      <c r="M352" s="119"/>
      <c r="N352" s="126">
        <f>SUM(K352+L352-M352)</f>
        <v>51850</v>
      </c>
      <c r="O352" s="119"/>
      <c r="P352" s="119"/>
      <c r="Q352" s="126">
        <f>SUM(N352+O352-P352)</f>
        <v>51850</v>
      </c>
      <c r="R352" s="119">
        <v>3668</v>
      </c>
      <c r="S352" s="119">
        <v>500</v>
      </c>
      <c r="T352" s="126">
        <f>SUM(Q352+R352-S352)</f>
        <v>55018</v>
      </c>
      <c r="U352" s="119"/>
      <c r="V352" s="119"/>
      <c r="W352" s="126">
        <f>SUM(T352+U352-V352)</f>
        <v>55018</v>
      </c>
      <c r="X352" s="119">
        <v>300</v>
      </c>
      <c r="Y352" s="119">
        <f>622+1130</f>
        <v>1752</v>
      </c>
      <c r="Z352" s="126">
        <f>SUM(W352+X352-Y352)</f>
        <v>53566</v>
      </c>
      <c r="AA352" s="119">
        <v>1580</v>
      </c>
      <c r="AB352" s="119">
        <f>500+7500+3500</f>
        <v>11500</v>
      </c>
      <c r="AC352" s="126">
        <f>SUM(Z352+AA352-AB352)</f>
        <v>43646</v>
      </c>
      <c r="AD352" s="119"/>
      <c r="AE352" s="119"/>
      <c r="AF352" s="126">
        <f>SUM(AC352+AD352-AE352)</f>
        <v>43646</v>
      </c>
      <c r="AG352" s="119"/>
      <c r="AH352" s="119">
        <v>250</v>
      </c>
      <c r="AI352" s="126">
        <f>SUM(AF352+AG352-AH352)</f>
        <v>43396</v>
      </c>
      <c r="AJ352" s="119"/>
      <c r="AK352" s="119"/>
      <c r="AL352" s="126">
        <f>SUM(AI352+AJ352-AK352)</f>
        <v>43396</v>
      </c>
      <c r="AM352" s="119"/>
      <c r="AN352" s="119"/>
      <c r="AO352" s="126">
        <f>SUM(AL352+AM352-AN352)</f>
        <v>43396</v>
      </c>
      <c r="AP352" s="119"/>
      <c r="AQ352" s="119"/>
      <c r="AR352" s="126">
        <f>SUM(AO352+AP352-AQ352)</f>
        <v>43396</v>
      </c>
      <c r="AS352" s="119">
        <v>10</v>
      </c>
      <c r="AT352" s="119">
        <v>34</v>
      </c>
      <c r="AU352" s="126">
        <f>SUM(AR352+AS352-AT352)</f>
        <v>43372</v>
      </c>
      <c r="AV352" s="337"/>
    </row>
    <row r="353" spans="1:48" s="37" customFormat="1" ht="21" customHeight="1">
      <c r="A353" s="98"/>
      <c r="B353" s="116"/>
      <c r="C353" s="98">
        <v>4270</v>
      </c>
      <c r="D353" s="56" t="s">
        <v>95</v>
      </c>
      <c r="E353" s="114">
        <v>4000</v>
      </c>
      <c r="F353" s="119"/>
      <c r="G353" s="119"/>
      <c r="H353" s="126">
        <f t="shared" si="526"/>
        <v>4000</v>
      </c>
      <c r="I353" s="119"/>
      <c r="J353" s="119"/>
      <c r="K353" s="126">
        <f>SUM(H353+I353-J353)</f>
        <v>4000</v>
      </c>
      <c r="L353" s="119"/>
      <c r="M353" s="119"/>
      <c r="N353" s="126">
        <f>SUM(K353+L353-M353)</f>
        <v>4000</v>
      </c>
      <c r="O353" s="119"/>
      <c r="P353" s="119"/>
      <c r="Q353" s="126">
        <f>SUM(N353+O353-P353)</f>
        <v>4000</v>
      </c>
      <c r="R353" s="119"/>
      <c r="S353" s="119"/>
      <c r="T353" s="126">
        <f>SUM(Q353+R353-S353)</f>
        <v>4000</v>
      </c>
      <c r="U353" s="119"/>
      <c r="V353" s="119"/>
      <c r="W353" s="126">
        <f>SUM(T353+U353-V353)</f>
        <v>4000</v>
      </c>
      <c r="X353" s="119"/>
      <c r="Y353" s="119"/>
      <c r="Z353" s="126">
        <f>SUM(W353+X353-Y353)</f>
        <v>4000</v>
      </c>
      <c r="AA353" s="119"/>
      <c r="AB353" s="119"/>
      <c r="AC353" s="126">
        <f>SUM(Z353+AA353-AB353)</f>
        <v>4000</v>
      </c>
      <c r="AD353" s="119"/>
      <c r="AE353" s="119"/>
      <c r="AF353" s="126">
        <f>SUM(AC353+AD353-AE353)</f>
        <v>4000</v>
      </c>
      <c r="AG353" s="119"/>
      <c r="AH353" s="119"/>
      <c r="AI353" s="126">
        <f>SUM(AF353+AG353-AH353)</f>
        <v>4000</v>
      </c>
      <c r="AJ353" s="119"/>
      <c r="AK353" s="119"/>
      <c r="AL353" s="126">
        <f>SUM(AI353+AJ353-AK353)</f>
        <v>4000</v>
      </c>
      <c r="AM353" s="119"/>
      <c r="AN353" s="119"/>
      <c r="AO353" s="126">
        <f>SUM(AL353+AM353-AN353)</f>
        <v>4000</v>
      </c>
      <c r="AP353" s="119"/>
      <c r="AQ353" s="119"/>
      <c r="AR353" s="126">
        <f>SUM(AO353+AP353-AQ353)</f>
        <v>4000</v>
      </c>
      <c r="AS353" s="119"/>
      <c r="AT353" s="119"/>
      <c r="AU353" s="126">
        <f>SUM(AR353+AS353-AT353)</f>
        <v>4000</v>
      </c>
      <c r="AV353" s="337"/>
    </row>
    <row r="354" spans="1:48" s="37" customFormat="1" ht="21" customHeight="1">
      <c r="A354" s="98"/>
      <c r="B354" s="116"/>
      <c r="C354" s="98">
        <v>4300</v>
      </c>
      <c r="D354" s="56" t="s">
        <v>96</v>
      </c>
      <c r="E354" s="114">
        <f>82942+20000+4700+12000</f>
        <v>119642</v>
      </c>
      <c r="F354" s="119"/>
      <c r="G354" s="119"/>
      <c r="H354" s="126">
        <f t="shared" si="526"/>
        <v>119642</v>
      </c>
      <c r="I354" s="119"/>
      <c r="J354" s="119"/>
      <c r="K354" s="126">
        <f>SUM(H354+I354-J354)</f>
        <v>119642</v>
      </c>
      <c r="L354" s="119"/>
      <c r="M354" s="119"/>
      <c r="N354" s="126">
        <f>SUM(K354+L354-M354)</f>
        <v>119642</v>
      </c>
      <c r="O354" s="119"/>
      <c r="P354" s="119"/>
      <c r="Q354" s="126">
        <f>SUM(N354+O354-P354)</f>
        <v>119642</v>
      </c>
      <c r="R354" s="119"/>
      <c r="S354" s="119">
        <v>600</v>
      </c>
      <c r="T354" s="126">
        <f>SUM(Q354+R354-S354)</f>
        <v>119042</v>
      </c>
      <c r="U354" s="119">
        <f>400+300</f>
        <v>700</v>
      </c>
      <c r="V354" s="119"/>
      <c r="W354" s="126">
        <f>SUM(T354+U354-V354)</f>
        <v>119742</v>
      </c>
      <c r="X354" s="119">
        <v>2500</v>
      </c>
      <c r="Y354" s="119">
        <v>300</v>
      </c>
      <c r="Z354" s="126">
        <f>SUM(W354+X354-Y354)</f>
        <v>121942</v>
      </c>
      <c r="AA354" s="119"/>
      <c r="AB354" s="119">
        <v>1000</v>
      </c>
      <c r="AC354" s="126">
        <f>SUM(Z354+AA354-AB354)</f>
        <v>120942</v>
      </c>
      <c r="AD354" s="119"/>
      <c r="AE354" s="119"/>
      <c r="AF354" s="126">
        <f>SUM(AC354+AD354-AE354)</f>
        <v>120942</v>
      </c>
      <c r="AG354" s="119">
        <v>500</v>
      </c>
      <c r="AH354" s="119"/>
      <c r="AI354" s="126">
        <f>SUM(AF354+AG354-AH354)</f>
        <v>121442</v>
      </c>
      <c r="AJ354" s="119"/>
      <c r="AK354" s="119"/>
      <c r="AL354" s="126">
        <f>SUM(AI354+AJ354-AK354)</f>
        <v>121442</v>
      </c>
      <c r="AM354" s="119"/>
      <c r="AN354" s="119"/>
      <c r="AO354" s="126">
        <f>SUM(AL354+AM354-AN354)</f>
        <v>121442</v>
      </c>
      <c r="AP354" s="119"/>
      <c r="AQ354" s="119"/>
      <c r="AR354" s="126">
        <f>SUM(AO354+AP354-AQ354)</f>
        <v>121442</v>
      </c>
      <c r="AS354" s="119"/>
      <c r="AT354" s="119"/>
      <c r="AU354" s="126">
        <f>SUM(AR354+AS354-AT354)</f>
        <v>121442</v>
      </c>
      <c r="AV354" s="337"/>
    </row>
    <row r="355" spans="1:48" s="37" customFormat="1" ht="21.75" customHeight="1">
      <c r="A355" s="98"/>
      <c r="B355" s="116" t="s">
        <v>152</v>
      </c>
      <c r="C355" s="120"/>
      <c r="D355" s="56" t="s">
        <v>153</v>
      </c>
      <c r="E355" s="114">
        <f aca="true" t="shared" si="541" ref="E355:AU355">SUM(E356:E356)</f>
        <v>16000</v>
      </c>
      <c r="F355" s="114">
        <f t="shared" si="541"/>
        <v>0</v>
      </c>
      <c r="G355" s="114">
        <f t="shared" si="541"/>
        <v>0</v>
      </c>
      <c r="H355" s="114">
        <f t="shared" si="541"/>
        <v>16000</v>
      </c>
      <c r="I355" s="114">
        <f t="shared" si="541"/>
        <v>0</v>
      </c>
      <c r="J355" s="114">
        <f t="shared" si="541"/>
        <v>0</v>
      </c>
      <c r="K355" s="114">
        <f t="shared" si="541"/>
        <v>16000</v>
      </c>
      <c r="L355" s="114">
        <f t="shared" si="541"/>
        <v>0</v>
      </c>
      <c r="M355" s="114">
        <f t="shared" si="541"/>
        <v>0</v>
      </c>
      <c r="N355" s="114">
        <f t="shared" si="541"/>
        <v>16000</v>
      </c>
      <c r="O355" s="114">
        <f t="shared" si="541"/>
        <v>0</v>
      </c>
      <c r="P355" s="114">
        <f t="shared" si="541"/>
        <v>0</v>
      </c>
      <c r="Q355" s="114">
        <f t="shared" si="541"/>
        <v>16000</v>
      </c>
      <c r="R355" s="114">
        <f t="shared" si="541"/>
        <v>0</v>
      </c>
      <c r="S355" s="114">
        <f t="shared" si="541"/>
        <v>0</v>
      </c>
      <c r="T355" s="114">
        <f t="shared" si="541"/>
        <v>16000</v>
      </c>
      <c r="U355" s="114">
        <f t="shared" si="541"/>
        <v>0</v>
      </c>
      <c r="V355" s="114">
        <f t="shared" si="541"/>
        <v>0</v>
      </c>
      <c r="W355" s="114">
        <f t="shared" si="541"/>
        <v>16000</v>
      </c>
      <c r="X355" s="114">
        <f t="shared" si="541"/>
        <v>0</v>
      </c>
      <c r="Y355" s="114">
        <f t="shared" si="541"/>
        <v>0</v>
      </c>
      <c r="Z355" s="114">
        <f t="shared" si="541"/>
        <v>16000</v>
      </c>
      <c r="AA355" s="114">
        <f t="shared" si="541"/>
        <v>0</v>
      </c>
      <c r="AB355" s="114">
        <f t="shared" si="541"/>
        <v>0</v>
      </c>
      <c r="AC355" s="114">
        <f t="shared" si="541"/>
        <v>16000</v>
      </c>
      <c r="AD355" s="114">
        <f t="shared" si="541"/>
        <v>0</v>
      </c>
      <c r="AE355" s="114">
        <f t="shared" si="541"/>
        <v>0</v>
      </c>
      <c r="AF355" s="114">
        <f t="shared" si="541"/>
        <v>16000</v>
      </c>
      <c r="AG355" s="114">
        <f t="shared" si="541"/>
        <v>0</v>
      </c>
      <c r="AH355" s="114">
        <f t="shared" si="541"/>
        <v>0</v>
      </c>
      <c r="AI355" s="114">
        <f t="shared" si="541"/>
        <v>16000</v>
      </c>
      <c r="AJ355" s="114">
        <f t="shared" si="541"/>
        <v>0</v>
      </c>
      <c r="AK355" s="114">
        <f t="shared" si="541"/>
        <v>0</v>
      </c>
      <c r="AL355" s="114">
        <f t="shared" si="541"/>
        <v>16000</v>
      </c>
      <c r="AM355" s="114">
        <f t="shared" si="541"/>
        <v>0</v>
      </c>
      <c r="AN355" s="114">
        <f t="shared" si="541"/>
        <v>0</v>
      </c>
      <c r="AO355" s="114">
        <f t="shared" si="541"/>
        <v>16000</v>
      </c>
      <c r="AP355" s="114">
        <f t="shared" si="541"/>
        <v>0</v>
      </c>
      <c r="AQ355" s="114">
        <f t="shared" si="541"/>
        <v>0</v>
      </c>
      <c r="AR355" s="114">
        <f t="shared" si="541"/>
        <v>16000</v>
      </c>
      <c r="AS355" s="114">
        <f t="shared" si="541"/>
        <v>0</v>
      </c>
      <c r="AT355" s="114">
        <f t="shared" si="541"/>
        <v>0</v>
      </c>
      <c r="AU355" s="114">
        <f t="shared" si="541"/>
        <v>16000</v>
      </c>
      <c r="AV355" s="339"/>
    </row>
    <row r="356" spans="1:48" s="37" customFormat="1" ht="24">
      <c r="A356" s="98"/>
      <c r="B356" s="116"/>
      <c r="C356" s="120">
        <v>4520</v>
      </c>
      <c r="D356" s="56" t="s">
        <v>154</v>
      </c>
      <c r="E356" s="114">
        <v>16000</v>
      </c>
      <c r="F356" s="119"/>
      <c r="G356" s="119"/>
      <c r="H356" s="126">
        <f t="shared" si="526"/>
        <v>16000</v>
      </c>
      <c r="I356" s="119"/>
      <c r="J356" s="119"/>
      <c r="K356" s="126">
        <f>SUM(H356+I356-J356)</f>
        <v>16000</v>
      </c>
      <c r="L356" s="119"/>
      <c r="M356" s="119"/>
      <c r="N356" s="126">
        <f>SUM(K356+L356-M356)</f>
        <v>16000</v>
      </c>
      <c r="O356" s="119"/>
      <c r="P356" s="119"/>
      <c r="Q356" s="126">
        <f>SUM(N356+O356-P356)</f>
        <v>16000</v>
      </c>
      <c r="R356" s="119"/>
      <c r="S356" s="119"/>
      <c r="T356" s="126">
        <f>SUM(Q356+R356-S356)</f>
        <v>16000</v>
      </c>
      <c r="U356" s="119"/>
      <c r="V356" s="119"/>
      <c r="W356" s="126">
        <f>SUM(T356+U356-V356)</f>
        <v>16000</v>
      </c>
      <c r="X356" s="119"/>
      <c r="Y356" s="119"/>
      <c r="Z356" s="126">
        <f>SUM(W356+X356-Y356)</f>
        <v>16000</v>
      </c>
      <c r="AA356" s="119"/>
      <c r="AB356" s="119"/>
      <c r="AC356" s="126">
        <f>SUM(Z356+AA356-AB356)</f>
        <v>16000</v>
      </c>
      <c r="AD356" s="119"/>
      <c r="AE356" s="119"/>
      <c r="AF356" s="126">
        <f>SUM(AC356+AD356-AE356)</f>
        <v>16000</v>
      </c>
      <c r="AG356" s="119"/>
      <c r="AH356" s="119"/>
      <c r="AI356" s="126">
        <f>SUM(AF356+AG356-AH356)</f>
        <v>16000</v>
      </c>
      <c r="AJ356" s="119"/>
      <c r="AK356" s="119"/>
      <c r="AL356" s="126">
        <f>SUM(AI356+AJ356-AK356)</f>
        <v>16000</v>
      </c>
      <c r="AM356" s="119"/>
      <c r="AN356" s="119"/>
      <c r="AO356" s="126">
        <f>SUM(AL356+AM356-AN356)</f>
        <v>16000</v>
      </c>
      <c r="AP356" s="119"/>
      <c r="AQ356" s="119"/>
      <c r="AR356" s="126">
        <f>SUM(AO356+AP356-AQ356)</f>
        <v>16000</v>
      </c>
      <c r="AS356" s="119"/>
      <c r="AT356" s="119"/>
      <c r="AU356" s="126">
        <f>SUM(AR356+AS356-AT356)</f>
        <v>16000</v>
      </c>
      <c r="AV356" s="337"/>
    </row>
    <row r="357" spans="1:48" s="37" customFormat="1" ht="21" customHeight="1">
      <c r="A357" s="98"/>
      <c r="B357" s="116" t="s">
        <v>155</v>
      </c>
      <c r="C357" s="120"/>
      <c r="D357" s="56" t="s">
        <v>156</v>
      </c>
      <c r="E357" s="114">
        <f aca="true" t="shared" si="542" ref="E357:AU357">SUM(E358)</f>
        <v>78000</v>
      </c>
      <c r="F357" s="114">
        <f t="shared" si="542"/>
        <v>0</v>
      </c>
      <c r="G357" s="114">
        <f t="shared" si="542"/>
        <v>0</v>
      </c>
      <c r="H357" s="114">
        <f t="shared" si="542"/>
        <v>78000</v>
      </c>
      <c r="I357" s="114">
        <f t="shared" si="542"/>
        <v>0</v>
      </c>
      <c r="J357" s="114">
        <f t="shared" si="542"/>
        <v>0</v>
      </c>
      <c r="K357" s="114">
        <f t="shared" si="542"/>
        <v>78000</v>
      </c>
      <c r="L357" s="114">
        <f t="shared" si="542"/>
        <v>0</v>
      </c>
      <c r="M357" s="114">
        <f t="shared" si="542"/>
        <v>0</v>
      </c>
      <c r="N357" s="114">
        <f t="shared" si="542"/>
        <v>78000</v>
      </c>
      <c r="O357" s="114">
        <f t="shared" si="542"/>
        <v>0</v>
      </c>
      <c r="P357" s="114">
        <f t="shared" si="542"/>
        <v>0</v>
      </c>
      <c r="Q357" s="114">
        <f t="shared" si="542"/>
        <v>78000</v>
      </c>
      <c r="R357" s="114">
        <f t="shared" si="542"/>
        <v>0</v>
      </c>
      <c r="S357" s="114">
        <f t="shared" si="542"/>
        <v>0</v>
      </c>
      <c r="T357" s="114">
        <f t="shared" si="542"/>
        <v>78000</v>
      </c>
      <c r="U357" s="114">
        <f t="shared" si="542"/>
        <v>0</v>
      </c>
      <c r="V357" s="114">
        <f t="shared" si="542"/>
        <v>0</v>
      </c>
      <c r="W357" s="114">
        <f t="shared" si="542"/>
        <v>78000</v>
      </c>
      <c r="X357" s="114">
        <f t="shared" si="542"/>
        <v>0</v>
      </c>
      <c r="Y357" s="114">
        <f t="shared" si="542"/>
        <v>0</v>
      </c>
      <c r="Z357" s="114">
        <f t="shared" si="542"/>
        <v>78000</v>
      </c>
      <c r="AA357" s="114">
        <f t="shared" si="542"/>
        <v>0</v>
      </c>
      <c r="AB357" s="114">
        <f t="shared" si="542"/>
        <v>0</v>
      </c>
      <c r="AC357" s="114">
        <f t="shared" si="542"/>
        <v>78000</v>
      </c>
      <c r="AD357" s="114">
        <f t="shared" si="542"/>
        <v>0</v>
      </c>
      <c r="AE357" s="114">
        <f t="shared" si="542"/>
        <v>0</v>
      </c>
      <c r="AF357" s="114">
        <f t="shared" si="542"/>
        <v>78000</v>
      </c>
      <c r="AG357" s="114">
        <f t="shared" si="542"/>
        <v>4400</v>
      </c>
      <c r="AH357" s="114">
        <f t="shared" si="542"/>
        <v>0</v>
      </c>
      <c r="AI357" s="114">
        <f t="shared" si="542"/>
        <v>82400</v>
      </c>
      <c r="AJ357" s="114">
        <f t="shared" si="542"/>
        <v>0</v>
      </c>
      <c r="AK357" s="114">
        <f t="shared" si="542"/>
        <v>0</v>
      </c>
      <c r="AL357" s="114">
        <f t="shared" si="542"/>
        <v>82400</v>
      </c>
      <c r="AM357" s="114">
        <f t="shared" si="542"/>
        <v>0</v>
      </c>
      <c r="AN357" s="114">
        <f t="shared" si="542"/>
        <v>0</v>
      </c>
      <c r="AO357" s="114">
        <f t="shared" si="542"/>
        <v>82400</v>
      </c>
      <c r="AP357" s="114">
        <f t="shared" si="542"/>
        <v>0</v>
      </c>
      <c r="AQ357" s="114">
        <f t="shared" si="542"/>
        <v>0</v>
      </c>
      <c r="AR357" s="114">
        <f t="shared" si="542"/>
        <v>82400</v>
      </c>
      <c r="AS357" s="114">
        <f t="shared" si="542"/>
        <v>100</v>
      </c>
      <c r="AT357" s="114">
        <f t="shared" si="542"/>
        <v>0</v>
      </c>
      <c r="AU357" s="114">
        <f t="shared" si="542"/>
        <v>82500</v>
      </c>
      <c r="AV357" s="339"/>
    </row>
    <row r="358" spans="1:48" s="37" customFormat="1" ht="21" customHeight="1">
      <c r="A358" s="98"/>
      <c r="B358" s="116"/>
      <c r="C358" s="120">
        <v>4300</v>
      </c>
      <c r="D358" s="124" t="s">
        <v>96</v>
      </c>
      <c r="E358" s="114">
        <v>78000</v>
      </c>
      <c r="F358" s="119"/>
      <c r="G358" s="119"/>
      <c r="H358" s="126">
        <f t="shared" si="526"/>
        <v>78000</v>
      </c>
      <c r="I358" s="119"/>
      <c r="J358" s="119"/>
      <c r="K358" s="126">
        <f>SUM(H358+I358-J358)</f>
        <v>78000</v>
      </c>
      <c r="L358" s="119"/>
      <c r="M358" s="119"/>
      <c r="N358" s="126">
        <f>SUM(K358+L358-M358)</f>
        <v>78000</v>
      </c>
      <c r="O358" s="119"/>
      <c r="P358" s="119"/>
      <c r="Q358" s="126">
        <f>SUM(N358+O358-P358)</f>
        <v>78000</v>
      </c>
      <c r="R358" s="119"/>
      <c r="S358" s="119"/>
      <c r="T358" s="126">
        <f>SUM(Q358+R358-S358)</f>
        <v>78000</v>
      </c>
      <c r="U358" s="119"/>
      <c r="V358" s="119"/>
      <c r="W358" s="126">
        <f>SUM(T358+U358-V358)</f>
        <v>78000</v>
      </c>
      <c r="X358" s="119"/>
      <c r="Y358" s="119"/>
      <c r="Z358" s="126">
        <f>SUM(W358+X358-Y358)</f>
        <v>78000</v>
      </c>
      <c r="AA358" s="119"/>
      <c r="AB358" s="119"/>
      <c r="AC358" s="126">
        <f>SUM(Z358+AA358-AB358)</f>
        <v>78000</v>
      </c>
      <c r="AD358" s="119"/>
      <c r="AE358" s="119"/>
      <c r="AF358" s="126">
        <f>SUM(AC358+AD358-AE358)</f>
        <v>78000</v>
      </c>
      <c r="AG358" s="119">
        <v>4400</v>
      </c>
      <c r="AH358" s="119"/>
      <c r="AI358" s="126">
        <f>SUM(AF358+AG358-AH358)</f>
        <v>82400</v>
      </c>
      <c r="AJ358" s="119"/>
      <c r="AK358" s="119"/>
      <c r="AL358" s="126">
        <f>SUM(AI358+AJ358-AK358)</f>
        <v>82400</v>
      </c>
      <c r="AM358" s="119"/>
      <c r="AN358" s="119"/>
      <c r="AO358" s="126">
        <f>SUM(AL358+AM358-AN358)</f>
        <v>82400</v>
      </c>
      <c r="AP358" s="119"/>
      <c r="AQ358" s="119"/>
      <c r="AR358" s="126">
        <f>SUM(AO358+AP358-AQ358)</f>
        <v>82400</v>
      </c>
      <c r="AS358" s="119">
        <f>100</f>
        <v>100</v>
      </c>
      <c r="AT358" s="119"/>
      <c r="AU358" s="126">
        <f>SUM(AR358+AS358-AT358)</f>
        <v>82500</v>
      </c>
      <c r="AV358" s="337"/>
    </row>
    <row r="359" spans="1:48" s="37" customFormat="1" ht="21" customHeight="1">
      <c r="A359" s="98"/>
      <c r="B359" s="116" t="s">
        <v>157</v>
      </c>
      <c r="C359" s="120"/>
      <c r="D359" s="56" t="s">
        <v>158</v>
      </c>
      <c r="E359" s="114">
        <f aca="true" t="shared" si="543" ref="E359:K359">SUM(E360:E363)</f>
        <v>807000</v>
      </c>
      <c r="F359" s="114">
        <f t="shared" si="543"/>
        <v>19000</v>
      </c>
      <c r="G359" s="114">
        <f t="shared" si="543"/>
        <v>0</v>
      </c>
      <c r="H359" s="114">
        <f t="shared" si="543"/>
        <v>826000</v>
      </c>
      <c r="I359" s="114">
        <f t="shared" si="543"/>
        <v>0</v>
      </c>
      <c r="J359" s="114">
        <f t="shared" si="543"/>
        <v>0</v>
      </c>
      <c r="K359" s="114">
        <f t="shared" si="543"/>
        <v>826000</v>
      </c>
      <c r="L359" s="114">
        <f aca="true" t="shared" si="544" ref="L359:Q359">SUM(L360:L363)</f>
        <v>0</v>
      </c>
      <c r="M359" s="114">
        <f t="shared" si="544"/>
        <v>0</v>
      </c>
      <c r="N359" s="114">
        <f t="shared" si="544"/>
        <v>826000</v>
      </c>
      <c r="O359" s="114">
        <f t="shared" si="544"/>
        <v>7000</v>
      </c>
      <c r="P359" s="114">
        <f t="shared" si="544"/>
        <v>0</v>
      </c>
      <c r="Q359" s="114">
        <f t="shared" si="544"/>
        <v>833000</v>
      </c>
      <c r="R359" s="114">
        <f aca="true" t="shared" si="545" ref="R359:W359">SUM(R360:R363)</f>
        <v>0</v>
      </c>
      <c r="S359" s="114">
        <f t="shared" si="545"/>
        <v>0</v>
      </c>
      <c r="T359" s="114">
        <f t="shared" si="545"/>
        <v>833000</v>
      </c>
      <c r="U359" s="114">
        <f t="shared" si="545"/>
        <v>15000</v>
      </c>
      <c r="V359" s="114">
        <f t="shared" si="545"/>
        <v>15000</v>
      </c>
      <c r="W359" s="114">
        <f t="shared" si="545"/>
        <v>833000</v>
      </c>
      <c r="X359" s="114">
        <f aca="true" t="shared" si="546" ref="X359:AC359">SUM(X360:X363)</f>
        <v>0</v>
      </c>
      <c r="Y359" s="114">
        <f t="shared" si="546"/>
        <v>0</v>
      </c>
      <c r="Z359" s="114">
        <f t="shared" si="546"/>
        <v>833000</v>
      </c>
      <c r="AA359" s="114">
        <f t="shared" si="546"/>
        <v>0</v>
      </c>
      <c r="AB359" s="114">
        <f t="shared" si="546"/>
        <v>0</v>
      </c>
      <c r="AC359" s="114">
        <f t="shared" si="546"/>
        <v>833000</v>
      </c>
      <c r="AD359" s="114">
        <f aca="true" t="shared" si="547" ref="AD359:AI359">SUM(AD360:AD363)</f>
        <v>0</v>
      </c>
      <c r="AE359" s="114">
        <f t="shared" si="547"/>
        <v>0</v>
      </c>
      <c r="AF359" s="114">
        <f t="shared" si="547"/>
        <v>833000</v>
      </c>
      <c r="AG359" s="114">
        <f t="shared" si="547"/>
        <v>23000</v>
      </c>
      <c r="AH359" s="114">
        <f t="shared" si="547"/>
        <v>9730</v>
      </c>
      <c r="AI359" s="114">
        <f t="shared" si="547"/>
        <v>846270</v>
      </c>
      <c r="AJ359" s="114">
        <f aca="true" t="shared" si="548" ref="AJ359:AO359">SUM(AJ360:AJ363)</f>
        <v>0</v>
      </c>
      <c r="AK359" s="114">
        <f t="shared" si="548"/>
        <v>0</v>
      </c>
      <c r="AL359" s="114">
        <f t="shared" si="548"/>
        <v>846270</v>
      </c>
      <c r="AM359" s="114">
        <f t="shared" si="548"/>
        <v>76000</v>
      </c>
      <c r="AN359" s="114">
        <f t="shared" si="548"/>
        <v>0</v>
      </c>
      <c r="AO359" s="114">
        <f t="shared" si="548"/>
        <v>922270</v>
      </c>
      <c r="AP359" s="114">
        <f aca="true" t="shared" si="549" ref="AP359:AU359">SUM(AP360:AP363)</f>
        <v>0</v>
      </c>
      <c r="AQ359" s="114">
        <f t="shared" si="549"/>
        <v>0</v>
      </c>
      <c r="AR359" s="114">
        <f t="shared" si="549"/>
        <v>922270</v>
      </c>
      <c r="AS359" s="114">
        <f t="shared" si="549"/>
        <v>0</v>
      </c>
      <c r="AT359" s="114">
        <f t="shared" si="549"/>
        <v>2316</v>
      </c>
      <c r="AU359" s="114">
        <f t="shared" si="549"/>
        <v>919954</v>
      </c>
      <c r="AV359" s="339"/>
    </row>
    <row r="360" spans="1:48" s="37" customFormat="1" ht="21" customHeight="1">
      <c r="A360" s="98"/>
      <c r="B360" s="121"/>
      <c r="C360" s="98">
        <v>4260</v>
      </c>
      <c r="D360" s="56" t="s">
        <v>112</v>
      </c>
      <c r="E360" s="114">
        <v>412000</v>
      </c>
      <c r="F360" s="119"/>
      <c r="G360" s="119"/>
      <c r="H360" s="126">
        <f t="shared" si="526"/>
        <v>412000</v>
      </c>
      <c r="I360" s="119"/>
      <c r="J360" s="119"/>
      <c r="K360" s="126">
        <f>SUM(H360+I360-J360)</f>
        <v>412000</v>
      </c>
      <c r="L360" s="119"/>
      <c r="M360" s="119"/>
      <c r="N360" s="126">
        <f>SUM(K360+L360-M360)</f>
        <v>412000</v>
      </c>
      <c r="O360" s="119"/>
      <c r="P360" s="119"/>
      <c r="Q360" s="126">
        <f>SUM(N360+O360-P360)</f>
        <v>412000</v>
      </c>
      <c r="R360" s="119"/>
      <c r="S360" s="119"/>
      <c r="T360" s="126">
        <f>SUM(Q360+R360-S360)</f>
        <v>412000</v>
      </c>
      <c r="U360" s="119"/>
      <c r="V360" s="119"/>
      <c r="W360" s="126">
        <f>SUM(T360+U360-V360)</f>
        <v>412000</v>
      </c>
      <c r="X360" s="119"/>
      <c r="Y360" s="119"/>
      <c r="Z360" s="126">
        <f>SUM(W360+X360-Y360)</f>
        <v>412000</v>
      </c>
      <c r="AA360" s="119"/>
      <c r="AB360" s="119"/>
      <c r="AC360" s="126">
        <f>SUM(Z360+AA360-AB360)</f>
        <v>412000</v>
      </c>
      <c r="AD360" s="119"/>
      <c r="AE360" s="119"/>
      <c r="AF360" s="126">
        <f>SUM(AC360+AD360-AE360)</f>
        <v>412000</v>
      </c>
      <c r="AG360" s="119"/>
      <c r="AH360" s="119"/>
      <c r="AI360" s="126">
        <f>SUM(AF360+AG360-AH360)</f>
        <v>412000</v>
      </c>
      <c r="AJ360" s="119"/>
      <c r="AK360" s="119"/>
      <c r="AL360" s="126">
        <f>SUM(AI360+AJ360-AK360)</f>
        <v>412000</v>
      </c>
      <c r="AM360" s="119">
        <v>50000</v>
      </c>
      <c r="AN360" s="119"/>
      <c r="AO360" s="126">
        <f>SUM(AL360+AM360-AN360)</f>
        <v>462000</v>
      </c>
      <c r="AP360" s="119"/>
      <c r="AQ360" s="119"/>
      <c r="AR360" s="126">
        <f>SUM(AO360+AP360-AQ360)</f>
        <v>462000</v>
      </c>
      <c r="AS360" s="119"/>
      <c r="AT360" s="119"/>
      <c r="AU360" s="126">
        <f>SUM(AR360+AS360-AT360)</f>
        <v>462000</v>
      </c>
      <c r="AV360" s="337"/>
    </row>
    <row r="361" spans="1:48" s="37" customFormat="1" ht="21" customHeight="1">
      <c r="A361" s="98"/>
      <c r="B361" s="121"/>
      <c r="C361" s="98">
        <v>4270</v>
      </c>
      <c r="D361" s="56" t="s">
        <v>95</v>
      </c>
      <c r="E361" s="114">
        <v>125000</v>
      </c>
      <c r="F361" s="119">
        <v>2000</v>
      </c>
      <c r="G361" s="119"/>
      <c r="H361" s="126">
        <f t="shared" si="526"/>
        <v>127000</v>
      </c>
      <c r="I361" s="119"/>
      <c r="J361" s="119"/>
      <c r="K361" s="126">
        <f>SUM(H361+I361-J361)</f>
        <v>127000</v>
      </c>
      <c r="L361" s="119"/>
      <c r="M361" s="119"/>
      <c r="N361" s="126">
        <f>SUM(K361+L361-M361)</f>
        <v>127000</v>
      </c>
      <c r="O361" s="119"/>
      <c r="P361" s="119"/>
      <c r="Q361" s="126">
        <f>SUM(N361+O361-P361)</f>
        <v>127000</v>
      </c>
      <c r="R361" s="119"/>
      <c r="S361" s="119"/>
      <c r="T361" s="126">
        <f>SUM(Q361+R361-S361)</f>
        <v>127000</v>
      </c>
      <c r="U361" s="119"/>
      <c r="V361" s="119"/>
      <c r="W361" s="126">
        <f>SUM(T361+U361-V361)</f>
        <v>127000</v>
      </c>
      <c r="X361" s="119"/>
      <c r="Y361" s="119"/>
      <c r="Z361" s="126">
        <f>SUM(W361+X361-Y361)</f>
        <v>127000</v>
      </c>
      <c r="AA361" s="119"/>
      <c r="AB361" s="119"/>
      <c r="AC361" s="126">
        <f>SUM(Z361+AA361-AB361)</f>
        <v>127000</v>
      </c>
      <c r="AD361" s="119"/>
      <c r="AE361" s="119"/>
      <c r="AF361" s="126">
        <f>SUM(AC361+AD361-AE361)</f>
        <v>127000</v>
      </c>
      <c r="AG361" s="119"/>
      <c r="AH361" s="119"/>
      <c r="AI361" s="126">
        <f>SUM(AF361+AG361-AH361)</f>
        <v>127000</v>
      </c>
      <c r="AJ361" s="119"/>
      <c r="AK361" s="119"/>
      <c r="AL361" s="126">
        <f>SUM(AI361+AJ361-AK361)</f>
        <v>127000</v>
      </c>
      <c r="AM361" s="119">
        <v>10000</v>
      </c>
      <c r="AN361" s="119"/>
      <c r="AO361" s="126">
        <f>SUM(AL361+AM361-AN361)</f>
        <v>137000</v>
      </c>
      <c r="AP361" s="119"/>
      <c r="AQ361" s="119"/>
      <c r="AR361" s="126">
        <f>SUM(AO361+AP361-AQ361)</f>
        <v>137000</v>
      </c>
      <c r="AS361" s="119"/>
      <c r="AT361" s="119"/>
      <c r="AU361" s="126">
        <f>SUM(AR361+AS361-AT361)</f>
        <v>137000</v>
      </c>
      <c r="AV361" s="337"/>
    </row>
    <row r="362" spans="1:48" s="37" customFormat="1" ht="21" customHeight="1">
      <c r="A362" s="98"/>
      <c r="B362" s="121"/>
      <c r="C362" s="98">
        <v>4300</v>
      </c>
      <c r="D362" s="124" t="s">
        <v>96</v>
      </c>
      <c r="E362" s="114"/>
      <c r="F362" s="119"/>
      <c r="G362" s="119"/>
      <c r="H362" s="126"/>
      <c r="I362" s="119"/>
      <c r="J362" s="119"/>
      <c r="K362" s="126"/>
      <c r="L362" s="119"/>
      <c r="M362" s="119"/>
      <c r="N362" s="126"/>
      <c r="O362" s="119"/>
      <c r="P362" s="119"/>
      <c r="Q362" s="126"/>
      <c r="R362" s="119"/>
      <c r="S362" s="119"/>
      <c r="T362" s="126"/>
      <c r="U362" s="119"/>
      <c r="V362" s="119"/>
      <c r="W362" s="126"/>
      <c r="X362" s="119"/>
      <c r="Y362" s="119"/>
      <c r="Z362" s="126"/>
      <c r="AA362" s="119"/>
      <c r="AB362" s="119"/>
      <c r="AC362" s="126"/>
      <c r="AD362" s="119"/>
      <c r="AE362" s="119"/>
      <c r="AF362" s="126">
        <v>0</v>
      </c>
      <c r="AG362" s="119">
        <v>20000</v>
      </c>
      <c r="AH362" s="119"/>
      <c r="AI362" s="126">
        <f>SUM(AF362+AG362-AH362)</f>
        <v>20000</v>
      </c>
      <c r="AJ362" s="119"/>
      <c r="AK362" s="119"/>
      <c r="AL362" s="126">
        <f>SUM(AI362+AJ362-AK362)</f>
        <v>20000</v>
      </c>
      <c r="AM362" s="119">
        <v>16000</v>
      </c>
      <c r="AN362" s="119"/>
      <c r="AO362" s="126">
        <f>SUM(AL362+AM362-AN362)</f>
        <v>36000</v>
      </c>
      <c r="AP362" s="119"/>
      <c r="AQ362" s="119"/>
      <c r="AR362" s="126">
        <f>SUM(AO362+AP362-AQ362)</f>
        <v>36000</v>
      </c>
      <c r="AS362" s="119"/>
      <c r="AT362" s="119"/>
      <c r="AU362" s="126">
        <f>SUM(AR362+AS362-AT362)</f>
        <v>36000</v>
      </c>
      <c r="AV362" s="337"/>
    </row>
    <row r="363" spans="1:48" s="37" customFormat="1" ht="21" customHeight="1">
      <c r="A363" s="98"/>
      <c r="B363" s="121"/>
      <c r="C363" s="98">
        <v>6050</v>
      </c>
      <c r="D363" s="56" t="s">
        <v>90</v>
      </c>
      <c r="E363" s="114">
        <f>110000+80000+80000</f>
        <v>270000</v>
      </c>
      <c r="F363" s="159">
        <f>14000+3000</f>
        <v>17000</v>
      </c>
      <c r="G363" s="159"/>
      <c r="H363" s="126">
        <f t="shared" si="526"/>
        <v>287000</v>
      </c>
      <c r="I363" s="159"/>
      <c r="J363" s="159"/>
      <c r="K363" s="126">
        <f>SUM(H363+I363-J363)</f>
        <v>287000</v>
      </c>
      <c r="L363" s="159"/>
      <c r="M363" s="159"/>
      <c r="N363" s="126">
        <f>SUM(K363+L363-M363)</f>
        <v>287000</v>
      </c>
      <c r="O363" s="159">
        <v>7000</v>
      </c>
      <c r="P363" s="159"/>
      <c r="Q363" s="126">
        <f>SUM(N363+O363-P363)</f>
        <v>294000</v>
      </c>
      <c r="R363" s="159"/>
      <c r="S363" s="159"/>
      <c r="T363" s="126">
        <f>SUM(Q363+R363-S363)</f>
        <v>294000</v>
      </c>
      <c r="U363" s="159">
        <v>15000</v>
      </c>
      <c r="V363" s="159">
        <v>15000</v>
      </c>
      <c r="W363" s="126">
        <f>SUM(T363+U363-V363)</f>
        <v>294000</v>
      </c>
      <c r="X363" s="159"/>
      <c r="Y363" s="159"/>
      <c r="Z363" s="126">
        <f>SUM(W363+X363-Y363)</f>
        <v>294000</v>
      </c>
      <c r="AA363" s="159"/>
      <c r="AB363" s="159"/>
      <c r="AC363" s="126">
        <f>SUM(Z363+AA363-AB363)</f>
        <v>294000</v>
      </c>
      <c r="AD363" s="159"/>
      <c r="AE363" s="159"/>
      <c r="AF363" s="126">
        <f>SUM(AC363+AD363-AE363)</f>
        <v>294000</v>
      </c>
      <c r="AG363" s="159">
        <f>3000</f>
        <v>3000</v>
      </c>
      <c r="AH363" s="159">
        <f>1420+2090+6220</f>
        <v>9730</v>
      </c>
      <c r="AI363" s="126">
        <f>SUM(AF363+AG363-AH363)</f>
        <v>287270</v>
      </c>
      <c r="AJ363" s="159"/>
      <c r="AK363" s="159"/>
      <c r="AL363" s="126">
        <f>SUM(AI363+AJ363-AK363)</f>
        <v>287270</v>
      </c>
      <c r="AM363" s="159"/>
      <c r="AN363" s="159"/>
      <c r="AO363" s="126">
        <f>SUM(AL363+AM363-AN363)</f>
        <v>287270</v>
      </c>
      <c r="AP363" s="159"/>
      <c r="AQ363" s="159"/>
      <c r="AR363" s="126">
        <f>SUM(AO363+AP363-AQ363)</f>
        <v>287270</v>
      </c>
      <c r="AS363" s="159"/>
      <c r="AT363" s="159">
        <v>2316</v>
      </c>
      <c r="AU363" s="126">
        <f>SUM(AR363+AS363-AT363)</f>
        <v>284954</v>
      </c>
      <c r="AV363" s="337"/>
    </row>
    <row r="364" spans="1:48" s="37" customFormat="1" ht="21" customHeight="1">
      <c r="A364" s="98"/>
      <c r="B364" s="116" t="s">
        <v>159</v>
      </c>
      <c r="C364" s="120"/>
      <c r="D364" s="56" t="s">
        <v>10</v>
      </c>
      <c r="E364" s="114">
        <f aca="true" t="shared" si="550" ref="E364:K364">SUM(E365:E368)</f>
        <v>79470</v>
      </c>
      <c r="F364" s="114">
        <f t="shared" si="550"/>
        <v>0</v>
      </c>
      <c r="G364" s="114">
        <f t="shared" si="550"/>
        <v>0</v>
      </c>
      <c r="H364" s="114">
        <f t="shared" si="550"/>
        <v>79470</v>
      </c>
      <c r="I364" s="114">
        <f t="shared" si="550"/>
        <v>5000</v>
      </c>
      <c r="J364" s="114">
        <f t="shared" si="550"/>
        <v>1000</v>
      </c>
      <c r="K364" s="114">
        <f t="shared" si="550"/>
        <v>83470</v>
      </c>
      <c r="L364" s="114">
        <f aca="true" t="shared" si="551" ref="L364:Q364">SUM(L365:L368)</f>
        <v>0</v>
      </c>
      <c r="M364" s="114">
        <f t="shared" si="551"/>
        <v>0</v>
      </c>
      <c r="N364" s="114">
        <f t="shared" si="551"/>
        <v>83470</v>
      </c>
      <c r="O364" s="114">
        <f t="shared" si="551"/>
        <v>0</v>
      </c>
      <c r="P364" s="114">
        <f t="shared" si="551"/>
        <v>0</v>
      </c>
      <c r="Q364" s="114">
        <f t="shared" si="551"/>
        <v>83470</v>
      </c>
      <c r="R364" s="114">
        <f aca="true" t="shared" si="552" ref="R364:W364">SUM(R365:R368)</f>
        <v>33100</v>
      </c>
      <c r="S364" s="114">
        <f t="shared" si="552"/>
        <v>200</v>
      </c>
      <c r="T364" s="114">
        <f t="shared" si="552"/>
        <v>116370</v>
      </c>
      <c r="U364" s="114">
        <f t="shared" si="552"/>
        <v>0</v>
      </c>
      <c r="V364" s="114">
        <f t="shared" si="552"/>
        <v>0</v>
      </c>
      <c r="W364" s="114">
        <f t="shared" si="552"/>
        <v>116370</v>
      </c>
      <c r="X364" s="114">
        <f aca="true" t="shared" si="553" ref="X364:AC364">SUM(X365:X368)</f>
        <v>0</v>
      </c>
      <c r="Y364" s="114">
        <f t="shared" si="553"/>
        <v>2770</v>
      </c>
      <c r="Z364" s="114">
        <f t="shared" si="553"/>
        <v>113600</v>
      </c>
      <c r="AA364" s="114">
        <f t="shared" si="553"/>
        <v>0</v>
      </c>
      <c r="AB364" s="114">
        <f t="shared" si="553"/>
        <v>3000</v>
      </c>
      <c r="AC364" s="114">
        <f t="shared" si="553"/>
        <v>110600</v>
      </c>
      <c r="AD364" s="114">
        <f aca="true" t="shared" si="554" ref="AD364:AI364">SUM(AD365:AD368)</f>
        <v>0</v>
      </c>
      <c r="AE364" s="114">
        <f t="shared" si="554"/>
        <v>0</v>
      </c>
      <c r="AF364" s="114">
        <f t="shared" si="554"/>
        <v>110600</v>
      </c>
      <c r="AG364" s="114">
        <f t="shared" si="554"/>
        <v>0</v>
      </c>
      <c r="AH364" s="114">
        <f t="shared" si="554"/>
        <v>0</v>
      </c>
      <c r="AI364" s="114">
        <f t="shared" si="554"/>
        <v>110600</v>
      </c>
      <c r="AJ364" s="114">
        <f aca="true" t="shared" si="555" ref="AJ364:AO364">SUM(AJ365:AJ368)</f>
        <v>0</v>
      </c>
      <c r="AK364" s="114">
        <f t="shared" si="555"/>
        <v>0</v>
      </c>
      <c r="AL364" s="114">
        <f t="shared" si="555"/>
        <v>110600</v>
      </c>
      <c r="AM364" s="114">
        <f t="shared" si="555"/>
        <v>0</v>
      </c>
      <c r="AN364" s="114">
        <f t="shared" si="555"/>
        <v>0</v>
      </c>
      <c r="AO364" s="114">
        <f t="shared" si="555"/>
        <v>110600</v>
      </c>
      <c r="AP364" s="114">
        <f aca="true" t="shared" si="556" ref="AP364:AU364">SUM(AP365:AP368)</f>
        <v>0</v>
      </c>
      <c r="AQ364" s="114">
        <f t="shared" si="556"/>
        <v>0</v>
      </c>
      <c r="AR364" s="114">
        <f t="shared" si="556"/>
        <v>110600</v>
      </c>
      <c r="AS364" s="114">
        <f t="shared" si="556"/>
        <v>30000</v>
      </c>
      <c r="AT364" s="114">
        <f t="shared" si="556"/>
        <v>0</v>
      </c>
      <c r="AU364" s="114">
        <f t="shared" si="556"/>
        <v>140600</v>
      </c>
      <c r="AV364" s="339"/>
    </row>
    <row r="365" spans="1:48" s="37" customFormat="1" ht="21" customHeight="1">
      <c r="A365" s="98"/>
      <c r="B365" s="121"/>
      <c r="C365" s="120">
        <v>4210</v>
      </c>
      <c r="D365" s="56" t="s">
        <v>109</v>
      </c>
      <c r="E365" s="114">
        <v>6970</v>
      </c>
      <c r="F365" s="119"/>
      <c r="G365" s="119"/>
      <c r="H365" s="126">
        <f t="shared" si="526"/>
        <v>6970</v>
      </c>
      <c r="I365" s="119"/>
      <c r="J365" s="119"/>
      <c r="K365" s="126">
        <f>SUM(H365+I365-J365)</f>
        <v>6970</v>
      </c>
      <c r="L365" s="119"/>
      <c r="M365" s="119"/>
      <c r="N365" s="126">
        <f>SUM(K365+L365-M365)</f>
        <v>6970</v>
      </c>
      <c r="O365" s="119"/>
      <c r="P365" s="119"/>
      <c r="Q365" s="126">
        <f>SUM(N365+O365-P365)</f>
        <v>6970</v>
      </c>
      <c r="R365" s="119"/>
      <c r="S365" s="119">
        <v>200</v>
      </c>
      <c r="T365" s="126">
        <f>SUM(Q365+R365-S365)</f>
        <v>6770</v>
      </c>
      <c r="U365" s="119"/>
      <c r="V365" s="119"/>
      <c r="W365" s="126">
        <f>SUM(T365+U365-V365)</f>
        <v>6770</v>
      </c>
      <c r="X365" s="119"/>
      <c r="Y365" s="119">
        <v>2770</v>
      </c>
      <c r="Z365" s="126">
        <f>SUM(W365+X365-Y365)</f>
        <v>4000</v>
      </c>
      <c r="AA365" s="119"/>
      <c r="AB365" s="119">
        <v>3000</v>
      </c>
      <c r="AC365" s="126">
        <f>SUM(Z365+AA365-AB365)</f>
        <v>1000</v>
      </c>
      <c r="AD365" s="119"/>
      <c r="AE365" s="119"/>
      <c r="AF365" s="126">
        <f>SUM(AC365+AD365-AE365)</f>
        <v>1000</v>
      </c>
      <c r="AG365" s="119"/>
      <c r="AH365" s="119"/>
      <c r="AI365" s="126">
        <f>SUM(AF365+AG365-AH365)</f>
        <v>1000</v>
      </c>
      <c r="AJ365" s="119"/>
      <c r="AK365" s="119"/>
      <c r="AL365" s="126">
        <f>SUM(AI365+AJ365-AK365)</f>
        <v>1000</v>
      </c>
      <c r="AM365" s="119"/>
      <c r="AN365" s="119"/>
      <c r="AO365" s="126">
        <f>SUM(AL365+AM365-AN365)</f>
        <v>1000</v>
      </c>
      <c r="AP365" s="119"/>
      <c r="AQ365" s="119"/>
      <c r="AR365" s="126">
        <f>SUM(AO365+AP365-AQ365)</f>
        <v>1000</v>
      </c>
      <c r="AS365" s="119"/>
      <c r="AT365" s="119"/>
      <c r="AU365" s="126">
        <f>SUM(AR365+AS365-AT365)</f>
        <v>1000</v>
      </c>
      <c r="AV365" s="337"/>
    </row>
    <row r="366" spans="1:48" s="37" customFormat="1" ht="21" customHeight="1">
      <c r="A366" s="98"/>
      <c r="B366" s="121"/>
      <c r="C366" s="98">
        <v>4260</v>
      </c>
      <c r="D366" s="56" t="s">
        <v>112</v>
      </c>
      <c r="E366" s="114">
        <v>3500</v>
      </c>
      <c r="F366" s="119"/>
      <c r="G366" s="119"/>
      <c r="H366" s="126">
        <f t="shared" si="526"/>
        <v>3500</v>
      </c>
      <c r="I366" s="119"/>
      <c r="J366" s="119"/>
      <c r="K366" s="126">
        <f>SUM(H366+I366-J366)</f>
        <v>3500</v>
      </c>
      <c r="L366" s="119"/>
      <c r="M366" s="119"/>
      <c r="N366" s="126">
        <f>SUM(K366+L366-M366)</f>
        <v>3500</v>
      </c>
      <c r="O366" s="119"/>
      <c r="P366" s="119"/>
      <c r="Q366" s="126">
        <f>SUM(N366+O366-P366)</f>
        <v>3500</v>
      </c>
      <c r="R366" s="119"/>
      <c r="S366" s="119"/>
      <c r="T366" s="126">
        <f>SUM(Q366+R366-S366)</f>
        <v>3500</v>
      </c>
      <c r="U366" s="119"/>
      <c r="V366" s="119"/>
      <c r="W366" s="126">
        <f>SUM(T366+U366-V366)</f>
        <v>3500</v>
      </c>
      <c r="X366" s="119"/>
      <c r="Y366" s="119"/>
      <c r="Z366" s="126">
        <f>SUM(W366+X366-Y366)</f>
        <v>3500</v>
      </c>
      <c r="AA366" s="119"/>
      <c r="AB366" s="119"/>
      <c r="AC366" s="126">
        <f>SUM(Z366+AA366-AB366)</f>
        <v>3500</v>
      </c>
      <c r="AD366" s="119"/>
      <c r="AE366" s="119"/>
      <c r="AF366" s="126">
        <f>SUM(AC366+AD366-AE366)</f>
        <v>3500</v>
      </c>
      <c r="AG366" s="119"/>
      <c r="AH366" s="119"/>
      <c r="AI366" s="126">
        <f>SUM(AF366+AG366-AH366)</f>
        <v>3500</v>
      </c>
      <c r="AJ366" s="119"/>
      <c r="AK366" s="119"/>
      <c r="AL366" s="126">
        <f>SUM(AI366+AJ366-AK366)</f>
        <v>3500</v>
      </c>
      <c r="AM366" s="119"/>
      <c r="AN366" s="119"/>
      <c r="AO366" s="126">
        <f>SUM(AL366+AM366-AN366)</f>
        <v>3500</v>
      </c>
      <c r="AP366" s="119"/>
      <c r="AQ366" s="119"/>
      <c r="AR366" s="126">
        <f>SUM(AO366+AP366-AQ366)</f>
        <v>3500</v>
      </c>
      <c r="AS366" s="119"/>
      <c r="AT366" s="119"/>
      <c r="AU366" s="126">
        <f>SUM(AR366+AS366-AT366)</f>
        <v>3500</v>
      </c>
      <c r="AV366" s="337"/>
    </row>
    <row r="367" spans="1:48" s="37" customFormat="1" ht="21" customHeight="1">
      <c r="A367" s="98"/>
      <c r="B367" s="121"/>
      <c r="C367" s="98">
        <v>4270</v>
      </c>
      <c r="D367" s="56" t="s">
        <v>95</v>
      </c>
      <c r="E367" s="114">
        <v>5000</v>
      </c>
      <c r="F367" s="119"/>
      <c r="G367" s="119"/>
      <c r="H367" s="126">
        <f t="shared" si="526"/>
        <v>5000</v>
      </c>
      <c r="I367" s="119">
        <v>5000</v>
      </c>
      <c r="J367" s="119"/>
      <c r="K367" s="126">
        <f>SUM(H367+I367-J367)</f>
        <v>10000</v>
      </c>
      <c r="L367" s="119"/>
      <c r="M367" s="119"/>
      <c r="N367" s="126">
        <f>SUM(K367+L367-M367)</f>
        <v>10000</v>
      </c>
      <c r="O367" s="119"/>
      <c r="P367" s="119"/>
      <c r="Q367" s="126">
        <f>SUM(N367+O367-P367)</f>
        <v>10000</v>
      </c>
      <c r="R367" s="119"/>
      <c r="S367" s="119"/>
      <c r="T367" s="126">
        <f>SUM(Q367+R367-S367)</f>
        <v>10000</v>
      </c>
      <c r="U367" s="119"/>
      <c r="V367" s="119"/>
      <c r="W367" s="126">
        <f>SUM(T367+U367-V367)</f>
        <v>10000</v>
      </c>
      <c r="X367" s="119"/>
      <c r="Y367" s="119"/>
      <c r="Z367" s="126">
        <f>SUM(W367+X367-Y367)</f>
        <v>10000</v>
      </c>
      <c r="AA367" s="119"/>
      <c r="AB367" s="119"/>
      <c r="AC367" s="126">
        <f>SUM(Z367+AA367-AB367)</f>
        <v>10000</v>
      </c>
      <c r="AD367" s="119"/>
      <c r="AE367" s="119"/>
      <c r="AF367" s="126">
        <f>SUM(AC367+AD367-AE367)</f>
        <v>10000</v>
      </c>
      <c r="AG367" s="119"/>
      <c r="AH367" s="119"/>
      <c r="AI367" s="126">
        <f>SUM(AF367+AG367-AH367)</f>
        <v>10000</v>
      </c>
      <c r="AJ367" s="119"/>
      <c r="AK367" s="119"/>
      <c r="AL367" s="126">
        <f>SUM(AI367+AJ367-AK367)</f>
        <v>10000</v>
      </c>
      <c r="AM367" s="119"/>
      <c r="AN367" s="119"/>
      <c r="AO367" s="126">
        <f>SUM(AL367+AM367-AN367)</f>
        <v>10000</v>
      </c>
      <c r="AP367" s="119"/>
      <c r="AQ367" s="119"/>
      <c r="AR367" s="126">
        <f>SUM(AO367+AP367-AQ367)</f>
        <v>10000</v>
      </c>
      <c r="AS367" s="119"/>
      <c r="AT367" s="119"/>
      <c r="AU367" s="126">
        <f>SUM(AR367+AS367-AT367)</f>
        <v>10000</v>
      </c>
      <c r="AV367" s="337"/>
    </row>
    <row r="368" spans="1:48" s="37" customFormat="1" ht="21" customHeight="1">
      <c r="A368" s="98"/>
      <c r="B368" s="121"/>
      <c r="C368" s="120">
        <v>4300</v>
      </c>
      <c r="D368" s="124" t="s">
        <v>96</v>
      </c>
      <c r="E368" s="114">
        <f>62000+1000+1000</f>
        <v>64000</v>
      </c>
      <c r="F368" s="119"/>
      <c r="G368" s="119"/>
      <c r="H368" s="126">
        <f t="shared" si="526"/>
        <v>64000</v>
      </c>
      <c r="I368" s="119"/>
      <c r="J368" s="119">
        <v>1000</v>
      </c>
      <c r="K368" s="126">
        <f>SUM(H368+I368-J368)</f>
        <v>63000</v>
      </c>
      <c r="L368" s="119"/>
      <c r="M368" s="119"/>
      <c r="N368" s="126">
        <f>SUM(K368+L368-M368)</f>
        <v>63000</v>
      </c>
      <c r="O368" s="119"/>
      <c r="P368" s="119"/>
      <c r="Q368" s="126">
        <f>SUM(N368+O368-P368)</f>
        <v>63000</v>
      </c>
      <c r="R368" s="119">
        <v>33100</v>
      </c>
      <c r="S368" s="119"/>
      <c r="T368" s="126">
        <f>SUM(Q368+R368-S368)</f>
        <v>96100</v>
      </c>
      <c r="U368" s="119"/>
      <c r="V368" s="119"/>
      <c r="W368" s="126">
        <f>SUM(T368+U368-V368)</f>
        <v>96100</v>
      </c>
      <c r="X368" s="119"/>
      <c r="Y368" s="119"/>
      <c r="Z368" s="126">
        <f>SUM(W368+X368-Y368)</f>
        <v>96100</v>
      </c>
      <c r="AA368" s="119"/>
      <c r="AB368" s="119"/>
      <c r="AC368" s="126">
        <f>SUM(Z368+AA368-AB368)</f>
        <v>96100</v>
      </c>
      <c r="AD368" s="119"/>
      <c r="AE368" s="119"/>
      <c r="AF368" s="126">
        <f>SUM(AC368+AD368-AE368)</f>
        <v>96100</v>
      </c>
      <c r="AG368" s="119"/>
      <c r="AH368" s="119"/>
      <c r="AI368" s="126">
        <f>SUM(AF368+AG368-AH368)</f>
        <v>96100</v>
      </c>
      <c r="AJ368" s="119"/>
      <c r="AK368" s="119"/>
      <c r="AL368" s="126">
        <f>SUM(AI368+AJ368-AK368)</f>
        <v>96100</v>
      </c>
      <c r="AM368" s="119"/>
      <c r="AN368" s="119"/>
      <c r="AO368" s="126">
        <f>SUM(AL368+AM368-AN368)</f>
        <v>96100</v>
      </c>
      <c r="AP368" s="119"/>
      <c r="AQ368" s="119"/>
      <c r="AR368" s="126">
        <f>SUM(AO368+AP368-AQ368)</f>
        <v>96100</v>
      </c>
      <c r="AS368" s="119">
        <v>30000</v>
      </c>
      <c r="AT368" s="119"/>
      <c r="AU368" s="126">
        <f>SUM(AR368+AS368-AT368)</f>
        <v>126100</v>
      </c>
      <c r="AV368" s="337"/>
    </row>
    <row r="369" spans="1:48" s="8" customFormat="1" ht="24.75" customHeight="1">
      <c r="A369" s="51" t="s">
        <v>80</v>
      </c>
      <c r="B369" s="52"/>
      <c r="C369" s="53"/>
      <c r="D369" s="54" t="s">
        <v>160</v>
      </c>
      <c r="E369" s="55">
        <f aca="true" t="shared" si="557" ref="E369:K369">SUM(E370,E378,E380,)</f>
        <v>1637180</v>
      </c>
      <c r="F369" s="55">
        <f t="shared" si="557"/>
        <v>0</v>
      </c>
      <c r="G369" s="55">
        <f t="shared" si="557"/>
        <v>0</v>
      </c>
      <c r="H369" s="55">
        <f t="shared" si="557"/>
        <v>1637180</v>
      </c>
      <c r="I369" s="55">
        <f t="shared" si="557"/>
        <v>6000</v>
      </c>
      <c r="J369" s="55">
        <f t="shared" si="557"/>
        <v>0</v>
      </c>
      <c r="K369" s="55">
        <f t="shared" si="557"/>
        <v>1643180</v>
      </c>
      <c r="L369" s="55">
        <f aca="true" t="shared" si="558" ref="L369:Q369">SUM(L370,L378,L380,)</f>
        <v>0</v>
      </c>
      <c r="M369" s="55">
        <f t="shared" si="558"/>
        <v>0</v>
      </c>
      <c r="N369" s="55">
        <f t="shared" si="558"/>
        <v>1643180</v>
      </c>
      <c r="O369" s="55">
        <f t="shared" si="558"/>
        <v>0</v>
      </c>
      <c r="P369" s="55">
        <f t="shared" si="558"/>
        <v>0</v>
      </c>
      <c r="Q369" s="55">
        <f t="shared" si="558"/>
        <v>1643180</v>
      </c>
      <c r="R369" s="55">
        <f aca="true" t="shared" si="559" ref="R369:W369">SUM(R370,R378,R380,)</f>
        <v>15210</v>
      </c>
      <c r="S369" s="55">
        <f t="shared" si="559"/>
        <v>9310</v>
      </c>
      <c r="T369" s="55">
        <f t="shared" si="559"/>
        <v>1649080</v>
      </c>
      <c r="U369" s="55">
        <f t="shared" si="559"/>
        <v>0</v>
      </c>
      <c r="V369" s="55">
        <f t="shared" si="559"/>
        <v>700</v>
      </c>
      <c r="W369" s="55">
        <f t="shared" si="559"/>
        <v>1648380</v>
      </c>
      <c r="X369" s="55">
        <f aca="true" t="shared" si="560" ref="X369:AC369">SUM(X370,X378,X380,)</f>
        <v>6077</v>
      </c>
      <c r="Y369" s="55">
        <f t="shared" si="560"/>
        <v>4955</v>
      </c>
      <c r="Z369" s="55">
        <f t="shared" si="560"/>
        <v>1649502</v>
      </c>
      <c r="AA369" s="55">
        <f t="shared" si="560"/>
        <v>10207</v>
      </c>
      <c r="AB369" s="55">
        <f t="shared" si="560"/>
        <v>1250</v>
      </c>
      <c r="AC369" s="55">
        <f t="shared" si="560"/>
        <v>1658459</v>
      </c>
      <c r="AD369" s="55">
        <f aca="true" t="shared" si="561" ref="AD369:AI369">SUM(AD370,AD378,AD380,)</f>
        <v>0</v>
      </c>
      <c r="AE369" s="55">
        <f t="shared" si="561"/>
        <v>0</v>
      </c>
      <c r="AF369" s="55">
        <f t="shared" si="561"/>
        <v>1658459</v>
      </c>
      <c r="AG369" s="55">
        <f t="shared" si="561"/>
        <v>5030</v>
      </c>
      <c r="AH369" s="55">
        <f t="shared" si="561"/>
        <v>5941</v>
      </c>
      <c r="AI369" s="55">
        <f t="shared" si="561"/>
        <v>1657548</v>
      </c>
      <c r="AJ369" s="55">
        <f aca="true" t="shared" si="562" ref="AJ369:AO369">SUM(AJ370,AJ378,AJ380,)</f>
        <v>0</v>
      </c>
      <c r="AK369" s="55">
        <f t="shared" si="562"/>
        <v>0</v>
      </c>
      <c r="AL369" s="55">
        <f t="shared" si="562"/>
        <v>1657548</v>
      </c>
      <c r="AM369" s="55">
        <f t="shared" si="562"/>
        <v>0</v>
      </c>
      <c r="AN369" s="55">
        <f t="shared" si="562"/>
        <v>0</v>
      </c>
      <c r="AO369" s="55">
        <f t="shared" si="562"/>
        <v>1657548</v>
      </c>
      <c r="AP369" s="55">
        <f aca="true" t="shared" si="563" ref="AP369:AU369">SUM(AP370,AP378,AP380,)</f>
        <v>0</v>
      </c>
      <c r="AQ369" s="55">
        <f t="shared" si="563"/>
        <v>0</v>
      </c>
      <c r="AR369" s="55">
        <f t="shared" si="563"/>
        <v>1657548</v>
      </c>
      <c r="AS369" s="55">
        <f t="shared" si="563"/>
        <v>10194</v>
      </c>
      <c r="AT369" s="55">
        <f t="shared" si="563"/>
        <v>7268</v>
      </c>
      <c r="AU369" s="55">
        <f t="shared" si="563"/>
        <v>1660474</v>
      </c>
      <c r="AV369" s="338"/>
    </row>
    <row r="370" spans="1:48" s="37" customFormat="1" ht="21.75" customHeight="1">
      <c r="A370" s="98"/>
      <c r="B370" s="116" t="s">
        <v>161</v>
      </c>
      <c r="C370" s="120"/>
      <c r="D370" s="56" t="s">
        <v>190</v>
      </c>
      <c r="E370" s="114">
        <f aca="true" t="shared" si="564" ref="E370:K370">SUM(E371:E376)</f>
        <v>430780</v>
      </c>
      <c r="F370" s="114">
        <f t="shared" si="564"/>
        <v>0</v>
      </c>
      <c r="G370" s="114">
        <f t="shared" si="564"/>
        <v>0</v>
      </c>
      <c r="H370" s="114">
        <f t="shared" si="564"/>
        <v>430780</v>
      </c>
      <c r="I370" s="114">
        <f t="shared" si="564"/>
        <v>4000</v>
      </c>
      <c r="J370" s="114">
        <f t="shared" si="564"/>
        <v>0</v>
      </c>
      <c r="K370" s="114">
        <f t="shared" si="564"/>
        <v>434780</v>
      </c>
      <c r="L370" s="114">
        <f>SUM(L371:L376)</f>
        <v>0</v>
      </c>
      <c r="M370" s="114">
        <f>SUM(M371:M376)</f>
        <v>0</v>
      </c>
      <c r="N370" s="114">
        <f>SUM(N371:N376)</f>
        <v>434780</v>
      </c>
      <c r="O370" s="114">
        <f>SUM(O371:O376)</f>
        <v>0</v>
      </c>
      <c r="P370" s="114">
        <f>SUM(P371:P376)</f>
        <v>0</v>
      </c>
      <c r="Q370" s="114">
        <f aca="true" t="shared" si="565" ref="Q370:W370">SUM(Q371:Q377)</f>
        <v>434780</v>
      </c>
      <c r="R370" s="114">
        <f t="shared" si="565"/>
        <v>15210</v>
      </c>
      <c r="S370" s="114">
        <f t="shared" si="565"/>
        <v>9310</v>
      </c>
      <c r="T370" s="114">
        <f t="shared" si="565"/>
        <v>440680</v>
      </c>
      <c r="U370" s="114">
        <f t="shared" si="565"/>
        <v>0</v>
      </c>
      <c r="V370" s="114">
        <f t="shared" si="565"/>
        <v>700</v>
      </c>
      <c r="W370" s="114">
        <f t="shared" si="565"/>
        <v>439980</v>
      </c>
      <c r="X370" s="114">
        <f aca="true" t="shared" si="566" ref="X370:AC370">SUM(X371:X377)</f>
        <v>6077</v>
      </c>
      <c r="Y370" s="114">
        <f t="shared" si="566"/>
        <v>4955</v>
      </c>
      <c r="Z370" s="114">
        <f t="shared" si="566"/>
        <v>441102</v>
      </c>
      <c r="AA370" s="114">
        <f t="shared" si="566"/>
        <v>10207</v>
      </c>
      <c r="AB370" s="114">
        <f t="shared" si="566"/>
        <v>1250</v>
      </c>
      <c r="AC370" s="114">
        <f t="shared" si="566"/>
        <v>450059</v>
      </c>
      <c r="AD370" s="114">
        <f aca="true" t="shared" si="567" ref="AD370:AI370">SUM(AD371:AD377)</f>
        <v>0</v>
      </c>
      <c r="AE370" s="114">
        <f t="shared" si="567"/>
        <v>0</v>
      </c>
      <c r="AF370" s="114">
        <f t="shared" si="567"/>
        <v>450059</v>
      </c>
      <c r="AG370" s="114">
        <f t="shared" si="567"/>
        <v>5030</v>
      </c>
      <c r="AH370" s="114">
        <f t="shared" si="567"/>
        <v>5941</v>
      </c>
      <c r="AI370" s="114">
        <f t="shared" si="567"/>
        <v>449148</v>
      </c>
      <c r="AJ370" s="114">
        <f aca="true" t="shared" si="568" ref="AJ370:AO370">SUM(AJ371:AJ377)</f>
        <v>0</v>
      </c>
      <c r="AK370" s="114">
        <f t="shared" si="568"/>
        <v>0</v>
      </c>
      <c r="AL370" s="114">
        <f t="shared" si="568"/>
        <v>449148</v>
      </c>
      <c r="AM370" s="114">
        <f t="shared" si="568"/>
        <v>0</v>
      </c>
      <c r="AN370" s="114">
        <f t="shared" si="568"/>
        <v>0</v>
      </c>
      <c r="AO370" s="114">
        <f t="shared" si="568"/>
        <v>449148</v>
      </c>
      <c r="AP370" s="114">
        <f aca="true" t="shared" si="569" ref="AP370:AU370">SUM(AP371:AP377)</f>
        <v>0</v>
      </c>
      <c r="AQ370" s="114">
        <f t="shared" si="569"/>
        <v>0</v>
      </c>
      <c r="AR370" s="114">
        <f t="shared" si="569"/>
        <v>449148</v>
      </c>
      <c r="AS370" s="114">
        <f t="shared" si="569"/>
        <v>10194</v>
      </c>
      <c r="AT370" s="114">
        <f t="shared" si="569"/>
        <v>7268</v>
      </c>
      <c r="AU370" s="114">
        <f t="shared" si="569"/>
        <v>452074</v>
      </c>
      <c r="AV370" s="339"/>
    </row>
    <row r="371" spans="1:48" s="37" customFormat="1" ht="24">
      <c r="A371" s="98"/>
      <c r="B371" s="116"/>
      <c r="C371" s="120">
        <v>2480</v>
      </c>
      <c r="D371" s="56" t="s">
        <v>244</v>
      </c>
      <c r="E371" s="114">
        <v>387940</v>
      </c>
      <c r="F371" s="119"/>
      <c r="G371" s="119"/>
      <c r="H371" s="126">
        <f>SUM(E371+F371-G371)</f>
        <v>387940</v>
      </c>
      <c r="I371" s="119">
        <f>3500+500</f>
        <v>4000</v>
      </c>
      <c r="J371" s="119"/>
      <c r="K371" s="126">
        <f>SUM(H371+I371-J371)</f>
        <v>391940</v>
      </c>
      <c r="L371" s="119"/>
      <c r="M371" s="119"/>
      <c r="N371" s="126">
        <f>SUM(K371+L371-M371)</f>
        <v>391940</v>
      </c>
      <c r="O371" s="119"/>
      <c r="P371" s="119"/>
      <c r="Q371" s="126">
        <f>SUM(N371+O371-P371)</f>
        <v>391940</v>
      </c>
      <c r="R371" s="119"/>
      <c r="S371" s="119"/>
      <c r="T371" s="126">
        <f aca="true" t="shared" si="570" ref="T371:T377">SUM(Q371+R371-S371)</f>
        <v>391940</v>
      </c>
      <c r="U371" s="119"/>
      <c r="V371" s="119"/>
      <c r="W371" s="126">
        <f aca="true" t="shared" si="571" ref="W371:W377">SUM(T371+U371-V371)</f>
        <v>391940</v>
      </c>
      <c r="X371" s="119"/>
      <c r="Y371" s="119"/>
      <c r="Z371" s="126">
        <f aca="true" t="shared" si="572" ref="Z371:Z377">SUM(W371+X371-Y371)</f>
        <v>391940</v>
      </c>
      <c r="AA371" s="119"/>
      <c r="AB371" s="119"/>
      <c r="AC371" s="126">
        <f aca="true" t="shared" si="573" ref="AC371:AC377">SUM(Z371+AA371-AB371)</f>
        <v>391940</v>
      </c>
      <c r="AD371" s="119"/>
      <c r="AE371" s="119"/>
      <c r="AF371" s="126">
        <f aca="true" t="shared" si="574" ref="AF371:AF377">SUM(AC371+AD371-AE371)</f>
        <v>391940</v>
      </c>
      <c r="AG371" s="119"/>
      <c r="AH371" s="119"/>
      <c r="AI371" s="126">
        <f aca="true" t="shared" si="575" ref="AI371:AI377">SUM(AF371+AG371-AH371)</f>
        <v>391940</v>
      </c>
      <c r="AJ371" s="119"/>
      <c r="AK371" s="119"/>
      <c r="AL371" s="126">
        <f aca="true" t="shared" si="576" ref="AL371:AL377">SUM(AI371+AJ371-AK371)</f>
        <v>391940</v>
      </c>
      <c r="AM371" s="119"/>
      <c r="AN371" s="119"/>
      <c r="AO371" s="126">
        <f aca="true" t="shared" si="577" ref="AO371:AO377">SUM(AL371+AM371-AN371)</f>
        <v>391940</v>
      </c>
      <c r="AP371" s="119"/>
      <c r="AQ371" s="119"/>
      <c r="AR371" s="126">
        <f aca="true" t="shared" si="578" ref="AR371:AR377">SUM(AO371+AP371-AQ371)</f>
        <v>391940</v>
      </c>
      <c r="AS371" s="119"/>
      <c r="AT371" s="119"/>
      <c r="AU371" s="126">
        <f aca="true" t="shared" si="579" ref="AU371:AU377">SUM(AR371+AS371-AT371)</f>
        <v>391940</v>
      </c>
      <c r="AV371" s="337"/>
    </row>
    <row r="372" spans="1:48" s="37" customFormat="1" ht="21" customHeight="1">
      <c r="A372" s="98"/>
      <c r="B372" s="116"/>
      <c r="C372" s="98">
        <v>4210</v>
      </c>
      <c r="D372" s="56" t="s">
        <v>109</v>
      </c>
      <c r="E372" s="114">
        <v>19400</v>
      </c>
      <c r="F372" s="119"/>
      <c r="G372" s="119"/>
      <c r="H372" s="126">
        <f>SUM(E372+F372-G372)</f>
        <v>19400</v>
      </c>
      <c r="I372" s="119"/>
      <c r="J372" s="119"/>
      <c r="K372" s="126">
        <f>SUM(H372+I372-J372)</f>
        <v>19400</v>
      </c>
      <c r="L372" s="119"/>
      <c r="M372" s="119"/>
      <c r="N372" s="126">
        <f>SUM(K372+L372-M372)</f>
        <v>19400</v>
      </c>
      <c r="O372" s="119"/>
      <c r="P372" s="119"/>
      <c r="Q372" s="126">
        <f>SUM(N372+O372-P372)</f>
        <v>19400</v>
      </c>
      <c r="R372" s="119">
        <f>500+900+1300+4350</f>
        <v>7050</v>
      </c>
      <c r="S372" s="119">
        <v>4500</v>
      </c>
      <c r="T372" s="126">
        <f t="shared" si="570"/>
        <v>21950</v>
      </c>
      <c r="U372" s="119"/>
      <c r="V372" s="119"/>
      <c r="W372" s="126">
        <f t="shared" si="571"/>
        <v>21950</v>
      </c>
      <c r="X372" s="119">
        <v>1000</v>
      </c>
      <c r="Y372" s="119"/>
      <c r="Z372" s="126">
        <f t="shared" si="572"/>
        <v>22950</v>
      </c>
      <c r="AA372" s="119">
        <v>4629</v>
      </c>
      <c r="AB372" s="119">
        <v>1000</v>
      </c>
      <c r="AC372" s="126">
        <f t="shared" si="573"/>
        <v>26579</v>
      </c>
      <c r="AD372" s="119"/>
      <c r="AE372" s="119"/>
      <c r="AF372" s="126">
        <f t="shared" si="574"/>
        <v>26579</v>
      </c>
      <c r="AG372" s="119">
        <v>4059</v>
      </c>
      <c r="AH372" s="119">
        <v>4010</v>
      </c>
      <c r="AI372" s="126">
        <f t="shared" si="575"/>
        <v>26628</v>
      </c>
      <c r="AJ372" s="119"/>
      <c r="AK372" s="119"/>
      <c r="AL372" s="126">
        <f t="shared" si="576"/>
        <v>26628</v>
      </c>
      <c r="AM372" s="119"/>
      <c r="AN372" s="119"/>
      <c r="AO372" s="126">
        <f t="shared" si="577"/>
        <v>26628</v>
      </c>
      <c r="AP372" s="119"/>
      <c r="AQ372" s="119"/>
      <c r="AR372" s="126">
        <f t="shared" si="578"/>
        <v>26628</v>
      </c>
      <c r="AS372" s="119">
        <v>4000</v>
      </c>
      <c r="AT372" s="119">
        <v>1000</v>
      </c>
      <c r="AU372" s="126">
        <f t="shared" si="579"/>
        <v>29628</v>
      </c>
      <c r="AV372" s="337"/>
    </row>
    <row r="373" spans="1:48" s="37" customFormat="1" ht="21" customHeight="1">
      <c r="A373" s="98"/>
      <c r="B373" s="116"/>
      <c r="C373" s="98">
        <v>4260</v>
      </c>
      <c r="D373" s="56" t="s">
        <v>112</v>
      </c>
      <c r="E373" s="114">
        <v>11630</v>
      </c>
      <c r="F373" s="119"/>
      <c r="G373" s="119"/>
      <c r="H373" s="126">
        <f>SUM(E373+F373-G373)</f>
        <v>11630</v>
      </c>
      <c r="I373" s="119"/>
      <c r="J373" s="119"/>
      <c r="K373" s="126">
        <f>SUM(H373+I373-J373)</f>
        <v>11630</v>
      </c>
      <c r="L373" s="119"/>
      <c r="M373" s="119"/>
      <c r="N373" s="126">
        <f>SUM(K373+L373-M373)</f>
        <v>11630</v>
      </c>
      <c r="O373" s="119"/>
      <c r="P373" s="119"/>
      <c r="Q373" s="126">
        <f>SUM(N373+O373-P373)</f>
        <v>11630</v>
      </c>
      <c r="R373" s="119"/>
      <c r="S373" s="119">
        <v>460</v>
      </c>
      <c r="T373" s="126">
        <f t="shared" si="570"/>
        <v>11170</v>
      </c>
      <c r="U373" s="119"/>
      <c r="V373" s="119"/>
      <c r="W373" s="126">
        <f t="shared" si="571"/>
        <v>11170</v>
      </c>
      <c r="X373" s="119">
        <v>122</v>
      </c>
      <c r="Y373" s="119"/>
      <c r="Z373" s="126">
        <f t="shared" si="572"/>
        <v>11292</v>
      </c>
      <c r="AA373" s="119"/>
      <c r="AB373" s="119">
        <v>250</v>
      </c>
      <c r="AC373" s="126">
        <f t="shared" si="573"/>
        <v>11042</v>
      </c>
      <c r="AD373" s="119"/>
      <c r="AE373" s="119"/>
      <c r="AF373" s="126">
        <f t="shared" si="574"/>
        <v>11042</v>
      </c>
      <c r="AG373" s="119">
        <v>660</v>
      </c>
      <c r="AH373" s="119">
        <v>1881</v>
      </c>
      <c r="AI373" s="126">
        <f t="shared" si="575"/>
        <v>9821</v>
      </c>
      <c r="AJ373" s="119"/>
      <c r="AK373" s="119"/>
      <c r="AL373" s="126">
        <f t="shared" si="576"/>
        <v>9821</v>
      </c>
      <c r="AM373" s="119"/>
      <c r="AN373" s="119"/>
      <c r="AO373" s="126">
        <f t="shared" si="577"/>
        <v>9821</v>
      </c>
      <c r="AP373" s="119"/>
      <c r="AQ373" s="119"/>
      <c r="AR373" s="126">
        <f t="shared" si="578"/>
        <v>9821</v>
      </c>
      <c r="AS373" s="119">
        <v>170</v>
      </c>
      <c r="AT373" s="119">
        <v>1032</v>
      </c>
      <c r="AU373" s="126">
        <f t="shared" si="579"/>
        <v>8959</v>
      </c>
      <c r="AV373" s="337"/>
    </row>
    <row r="374" spans="1:48" s="37" customFormat="1" ht="21" customHeight="1">
      <c r="A374" s="98"/>
      <c r="B374" s="116"/>
      <c r="C374" s="98">
        <v>4270</v>
      </c>
      <c r="D374" s="56" t="s">
        <v>95</v>
      </c>
      <c r="E374" s="114"/>
      <c r="F374" s="119"/>
      <c r="G374" s="119"/>
      <c r="H374" s="126"/>
      <c r="I374" s="119"/>
      <c r="J374" s="119"/>
      <c r="K374" s="126"/>
      <c r="L374" s="119"/>
      <c r="M374" s="119"/>
      <c r="N374" s="126"/>
      <c r="O374" s="119"/>
      <c r="P374" s="119"/>
      <c r="Q374" s="126"/>
      <c r="R374" s="119"/>
      <c r="S374" s="119"/>
      <c r="T374" s="126"/>
      <c r="U374" s="119"/>
      <c r="V374" s="119"/>
      <c r="W374" s="126">
        <v>0</v>
      </c>
      <c r="X374" s="119">
        <v>4955</v>
      </c>
      <c r="Y374" s="119"/>
      <c r="Z374" s="126">
        <f t="shared" si="572"/>
        <v>4955</v>
      </c>
      <c r="AA374" s="119">
        <v>828</v>
      </c>
      <c r="AB374" s="119"/>
      <c r="AC374" s="126">
        <f t="shared" si="573"/>
        <v>5783</v>
      </c>
      <c r="AD374" s="119"/>
      <c r="AE374" s="119"/>
      <c r="AF374" s="126">
        <f t="shared" si="574"/>
        <v>5783</v>
      </c>
      <c r="AG374" s="119"/>
      <c r="AH374" s="119"/>
      <c r="AI374" s="126">
        <f t="shared" si="575"/>
        <v>5783</v>
      </c>
      <c r="AJ374" s="119"/>
      <c r="AK374" s="119"/>
      <c r="AL374" s="126">
        <f t="shared" si="576"/>
        <v>5783</v>
      </c>
      <c r="AM374" s="119"/>
      <c r="AN374" s="119"/>
      <c r="AO374" s="126">
        <f t="shared" si="577"/>
        <v>5783</v>
      </c>
      <c r="AP374" s="119"/>
      <c r="AQ374" s="119"/>
      <c r="AR374" s="126">
        <f t="shared" si="578"/>
        <v>5783</v>
      </c>
      <c r="AS374" s="119"/>
      <c r="AT374" s="119">
        <v>200</v>
      </c>
      <c r="AU374" s="126">
        <f t="shared" si="579"/>
        <v>5583</v>
      </c>
      <c r="AV374" s="337"/>
    </row>
    <row r="375" spans="1:48" s="37" customFormat="1" ht="21" customHeight="1">
      <c r="A375" s="98"/>
      <c r="B375" s="116"/>
      <c r="C375" s="120">
        <v>4300</v>
      </c>
      <c r="D375" s="124" t="s">
        <v>96</v>
      </c>
      <c r="E375" s="114">
        <v>10825</v>
      </c>
      <c r="F375" s="119"/>
      <c r="G375" s="119"/>
      <c r="H375" s="126">
        <f>SUM(E375+F375-G375)</f>
        <v>10825</v>
      </c>
      <c r="I375" s="119"/>
      <c r="J375" s="119"/>
      <c r="K375" s="126">
        <f>SUM(H375+I375-J375)</f>
        <v>10825</v>
      </c>
      <c r="L375" s="119"/>
      <c r="M375" s="119"/>
      <c r="N375" s="126">
        <f>SUM(K375+L375-M375)</f>
        <v>10825</v>
      </c>
      <c r="O375" s="119"/>
      <c r="P375" s="119"/>
      <c r="Q375" s="126">
        <f>SUM(N375+O375-P375)</f>
        <v>10825</v>
      </c>
      <c r="R375" s="119">
        <f>160+4000</f>
        <v>4160</v>
      </c>
      <c r="S375" s="119">
        <v>4350</v>
      </c>
      <c r="T375" s="126">
        <f t="shared" si="570"/>
        <v>10635</v>
      </c>
      <c r="U375" s="119"/>
      <c r="V375" s="119">
        <v>700</v>
      </c>
      <c r="W375" s="126">
        <f t="shared" si="571"/>
        <v>9935</v>
      </c>
      <c r="X375" s="119"/>
      <c r="Y375" s="119">
        <v>4955</v>
      </c>
      <c r="Z375" s="126">
        <f t="shared" si="572"/>
        <v>4980</v>
      </c>
      <c r="AA375" s="119"/>
      <c r="AB375" s="119"/>
      <c r="AC375" s="126">
        <f t="shared" si="573"/>
        <v>4980</v>
      </c>
      <c r="AD375" s="119"/>
      <c r="AE375" s="119"/>
      <c r="AF375" s="126">
        <f t="shared" si="574"/>
        <v>4980</v>
      </c>
      <c r="AG375" s="119"/>
      <c r="AH375" s="119"/>
      <c r="AI375" s="126">
        <f t="shared" si="575"/>
        <v>4980</v>
      </c>
      <c r="AJ375" s="119"/>
      <c r="AK375" s="119"/>
      <c r="AL375" s="126">
        <f t="shared" si="576"/>
        <v>4980</v>
      </c>
      <c r="AM375" s="119"/>
      <c r="AN375" s="119"/>
      <c r="AO375" s="126">
        <f t="shared" si="577"/>
        <v>4980</v>
      </c>
      <c r="AP375" s="119"/>
      <c r="AQ375" s="119"/>
      <c r="AR375" s="126">
        <f t="shared" si="578"/>
        <v>4980</v>
      </c>
      <c r="AS375" s="119"/>
      <c r="AT375" s="119">
        <f>720+4000</f>
        <v>4720</v>
      </c>
      <c r="AU375" s="126">
        <f t="shared" si="579"/>
        <v>260</v>
      </c>
      <c r="AV375" s="337"/>
    </row>
    <row r="376" spans="1:48" s="37" customFormat="1" ht="21" customHeight="1">
      <c r="A376" s="98"/>
      <c r="B376" s="116"/>
      <c r="C376" s="120">
        <v>4430</v>
      </c>
      <c r="D376" s="124" t="s">
        <v>111</v>
      </c>
      <c r="E376" s="114">
        <v>985</v>
      </c>
      <c r="F376" s="119"/>
      <c r="G376" s="119"/>
      <c r="H376" s="126">
        <f>SUM(E376+F376-G376)</f>
        <v>985</v>
      </c>
      <c r="I376" s="119"/>
      <c r="J376" s="119"/>
      <c r="K376" s="126">
        <f>SUM(H376+I376-J376)</f>
        <v>985</v>
      </c>
      <c r="L376" s="119"/>
      <c r="M376" s="119"/>
      <c r="N376" s="126">
        <f>SUM(K376+L376-M376)</f>
        <v>985</v>
      </c>
      <c r="O376" s="119"/>
      <c r="P376" s="119"/>
      <c r="Q376" s="126">
        <f>SUM(N376+O376-P376)</f>
        <v>985</v>
      </c>
      <c r="R376" s="119"/>
      <c r="S376" s="119"/>
      <c r="T376" s="126">
        <f t="shared" si="570"/>
        <v>985</v>
      </c>
      <c r="U376" s="119"/>
      <c r="V376" s="119"/>
      <c r="W376" s="126">
        <f t="shared" si="571"/>
        <v>985</v>
      </c>
      <c r="X376" s="119"/>
      <c r="Y376" s="119"/>
      <c r="Z376" s="126">
        <f t="shared" si="572"/>
        <v>985</v>
      </c>
      <c r="AA376" s="119"/>
      <c r="AB376" s="119"/>
      <c r="AC376" s="126">
        <f t="shared" si="573"/>
        <v>985</v>
      </c>
      <c r="AD376" s="119"/>
      <c r="AE376" s="119"/>
      <c r="AF376" s="126">
        <f t="shared" si="574"/>
        <v>985</v>
      </c>
      <c r="AG376" s="119">
        <v>311</v>
      </c>
      <c r="AH376" s="119">
        <v>50</v>
      </c>
      <c r="AI376" s="126">
        <f t="shared" si="575"/>
        <v>1246</v>
      </c>
      <c r="AJ376" s="119"/>
      <c r="AK376" s="119"/>
      <c r="AL376" s="126">
        <f t="shared" si="576"/>
        <v>1246</v>
      </c>
      <c r="AM376" s="119"/>
      <c r="AN376" s="119"/>
      <c r="AO376" s="126">
        <f t="shared" si="577"/>
        <v>1246</v>
      </c>
      <c r="AP376" s="119"/>
      <c r="AQ376" s="119"/>
      <c r="AR376" s="126">
        <f t="shared" si="578"/>
        <v>1246</v>
      </c>
      <c r="AS376" s="119">
        <v>2888</v>
      </c>
      <c r="AT376" s="119"/>
      <c r="AU376" s="126">
        <f t="shared" si="579"/>
        <v>4134</v>
      </c>
      <c r="AV376" s="337"/>
    </row>
    <row r="377" spans="1:48" s="37" customFormat="1" ht="24" customHeight="1">
      <c r="A377" s="98"/>
      <c r="B377" s="116"/>
      <c r="C377" s="120">
        <v>6060</v>
      </c>
      <c r="D377" s="56" t="s">
        <v>113</v>
      </c>
      <c r="E377" s="114"/>
      <c r="F377" s="119"/>
      <c r="G377" s="119"/>
      <c r="H377" s="126"/>
      <c r="I377" s="119"/>
      <c r="J377" s="119"/>
      <c r="K377" s="126"/>
      <c r="L377" s="119"/>
      <c r="M377" s="119"/>
      <c r="N377" s="126"/>
      <c r="O377" s="119"/>
      <c r="P377" s="119"/>
      <c r="Q377" s="126">
        <v>0</v>
      </c>
      <c r="R377" s="119">
        <v>4000</v>
      </c>
      <c r="S377" s="119"/>
      <c r="T377" s="126">
        <f t="shared" si="570"/>
        <v>4000</v>
      </c>
      <c r="U377" s="119"/>
      <c r="V377" s="119"/>
      <c r="W377" s="126">
        <f t="shared" si="571"/>
        <v>4000</v>
      </c>
      <c r="X377" s="119"/>
      <c r="Y377" s="119"/>
      <c r="Z377" s="126">
        <f t="shared" si="572"/>
        <v>4000</v>
      </c>
      <c r="AA377" s="119">
        <v>4750</v>
      </c>
      <c r="AB377" s="119"/>
      <c r="AC377" s="126">
        <f t="shared" si="573"/>
        <v>8750</v>
      </c>
      <c r="AD377" s="119"/>
      <c r="AE377" s="119"/>
      <c r="AF377" s="126">
        <f t="shared" si="574"/>
        <v>8750</v>
      </c>
      <c r="AG377" s="119"/>
      <c r="AH377" s="119"/>
      <c r="AI377" s="126">
        <f t="shared" si="575"/>
        <v>8750</v>
      </c>
      <c r="AJ377" s="119"/>
      <c r="AK377" s="119"/>
      <c r="AL377" s="126">
        <f t="shared" si="576"/>
        <v>8750</v>
      </c>
      <c r="AM377" s="119"/>
      <c r="AN377" s="119"/>
      <c r="AO377" s="126">
        <f t="shared" si="577"/>
        <v>8750</v>
      </c>
      <c r="AP377" s="119"/>
      <c r="AQ377" s="119"/>
      <c r="AR377" s="126">
        <f t="shared" si="578"/>
        <v>8750</v>
      </c>
      <c r="AS377" s="119">
        <v>3136</v>
      </c>
      <c r="AT377" s="119">
        <v>316</v>
      </c>
      <c r="AU377" s="126">
        <f t="shared" si="579"/>
        <v>11570</v>
      </c>
      <c r="AV377" s="337"/>
    </row>
    <row r="378" spans="1:48" s="37" customFormat="1" ht="21.75" customHeight="1">
      <c r="A378" s="98"/>
      <c r="B378" s="116" t="s">
        <v>81</v>
      </c>
      <c r="C378" s="120"/>
      <c r="D378" s="56" t="s">
        <v>82</v>
      </c>
      <c r="E378" s="114">
        <f>E379</f>
        <v>855480</v>
      </c>
      <c r="F378" s="114">
        <f aca="true" t="shared" si="580" ref="F378:AU378">SUM(F379)</f>
        <v>0</v>
      </c>
      <c r="G378" s="114">
        <f t="shared" si="580"/>
        <v>0</v>
      </c>
      <c r="H378" s="114">
        <f t="shared" si="580"/>
        <v>855480</v>
      </c>
      <c r="I378" s="114">
        <f t="shared" si="580"/>
        <v>0</v>
      </c>
      <c r="J378" s="114">
        <f t="shared" si="580"/>
        <v>0</v>
      </c>
      <c r="K378" s="114">
        <f t="shared" si="580"/>
        <v>855480</v>
      </c>
      <c r="L378" s="114">
        <f t="shared" si="580"/>
        <v>0</v>
      </c>
      <c r="M378" s="114">
        <f t="shared" si="580"/>
        <v>0</v>
      </c>
      <c r="N378" s="114">
        <f t="shared" si="580"/>
        <v>855480</v>
      </c>
      <c r="O378" s="114">
        <f t="shared" si="580"/>
        <v>0</v>
      </c>
      <c r="P378" s="114">
        <f t="shared" si="580"/>
        <v>0</v>
      </c>
      <c r="Q378" s="114">
        <f t="shared" si="580"/>
        <v>855480</v>
      </c>
      <c r="R378" s="114">
        <f t="shared" si="580"/>
        <v>0</v>
      </c>
      <c r="S378" s="114">
        <f t="shared" si="580"/>
        <v>0</v>
      </c>
      <c r="T378" s="114">
        <f t="shared" si="580"/>
        <v>855480</v>
      </c>
      <c r="U378" s="114">
        <f t="shared" si="580"/>
        <v>0</v>
      </c>
      <c r="V378" s="114">
        <f t="shared" si="580"/>
        <v>0</v>
      </c>
      <c r="W378" s="114">
        <f t="shared" si="580"/>
        <v>855480</v>
      </c>
      <c r="X378" s="114">
        <f t="shared" si="580"/>
        <v>0</v>
      </c>
      <c r="Y378" s="114">
        <f t="shared" si="580"/>
        <v>0</v>
      </c>
      <c r="Z378" s="114">
        <f t="shared" si="580"/>
        <v>855480</v>
      </c>
      <c r="AA378" s="114">
        <f t="shared" si="580"/>
        <v>0</v>
      </c>
      <c r="AB378" s="114">
        <f t="shared" si="580"/>
        <v>0</v>
      </c>
      <c r="AC378" s="114">
        <f t="shared" si="580"/>
        <v>855480</v>
      </c>
      <c r="AD378" s="114">
        <f t="shared" si="580"/>
        <v>0</v>
      </c>
      <c r="AE378" s="114">
        <f t="shared" si="580"/>
        <v>0</v>
      </c>
      <c r="AF378" s="114">
        <f t="shared" si="580"/>
        <v>855480</v>
      </c>
      <c r="AG378" s="114">
        <f t="shared" si="580"/>
        <v>0</v>
      </c>
      <c r="AH378" s="114">
        <f t="shared" si="580"/>
        <v>0</v>
      </c>
      <c r="AI378" s="114">
        <f t="shared" si="580"/>
        <v>855480</v>
      </c>
      <c r="AJ378" s="114">
        <f t="shared" si="580"/>
        <v>0</v>
      </c>
      <c r="AK378" s="114">
        <f t="shared" si="580"/>
        <v>0</v>
      </c>
      <c r="AL378" s="114">
        <f t="shared" si="580"/>
        <v>855480</v>
      </c>
      <c r="AM378" s="114">
        <f t="shared" si="580"/>
        <v>0</v>
      </c>
      <c r="AN378" s="114">
        <f t="shared" si="580"/>
        <v>0</v>
      </c>
      <c r="AO378" s="114">
        <f t="shared" si="580"/>
        <v>855480</v>
      </c>
      <c r="AP378" s="114">
        <f t="shared" si="580"/>
        <v>0</v>
      </c>
      <c r="AQ378" s="114">
        <f t="shared" si="580"/>
        <v>0</v>
      </c>
      <c r="AR378" s="114">
        <f t="shared" si="580"/>
        <v>855480</v>
      </c>
      <c r="AS378" s="114">
        <f t="shared" si="580"/>
        <v>0</v>
      </c>
      <c r="AT378" s="114">
        <f t="shared" si="580"/>
        <v>0</v>
      </c>
      <c r="AU378" s="114">
        <f t="shared" si="580"/>
        <v>855480</v>
      </c>
      <c r="AV378" s="339"/>
    </row>
    <row r="379" spans="1:48" s="37" customFormat="1" ht="27" customHeight="1">
      <c r="A379" s="98"/>
      <c r="B379" s="116"/>
      <c r="C379" s="120">
        <v>2480</v>
      </c>
      <c r="D379" s="56" t="s">
        <v>244</v>
      </c>
      <c r="E379" s="114">
        <v>855480</v>
      </c>
      <c r="F379" s="119"/>
      <c r="G379" s="119"/>
      <c r="H379" s="126">
        <f>SUM(E379+F379-G379)</f>
        <v>855480</v>
      </c>
      <c r="I379" s="119"/>
      <c r="J379" s="119"/>
      <c r="K379" s="126">
        <f>SUM(H379+I379-J379)</f>
        <v>855480</v>
      </c>
      <c r="L379" s="119"/>
      <c r="M379" s="119"/>
      <c r="N379" s="126">
        <f>SUM(K379+L379-M379)</f>
        <v>855480</v>
      </c>
      <c r="O379" s="119"/>
      <c r="P379" s="119"/>
      <c r="Q379" s="126">
        <f>SUM(N379+O379-P379)</f>
        <v>855480</v>
      </c>
      <c r="R379" s="119"/>
      <c r="S379" s="119"/>
      <c r="T379" s="126">
        <f>SUM(Q379+R379-S379)</f>
        <v>855480</v>
      </c>
      <c r="U379" s="119"/>
      <c r="V379" s="119"/>
      <c r="W379" s="126">
        <f>SUM(T379+U379-V379)</f>
        <v>855480</v>
      </c>
      <c r="X379" s="119"/>
      <c r="Y379" s="119"/>
      <c r="Z379" s="126">
        <f>SUM(W379+X379-Y379)</f>
        <v>855480</v>
      </c>
      <c r="AA379" s="119"/>
      <c r="AB379" s="119"/>
      <c r="AC379" s="126">
        <f>SUM(Z379+AA379-AB379)</f>
        <v>855480</v>
      </c>
      <c r="AD379" s="119"/>
      <c r="AE379" s="119"/>
      <c r="AF379" s="126">
        <f>SUM(AC379+AD379-AE379)</f>
        <v>855480</v>
      </c>
      <c r="AG379" s="119"/>
      <c r="AH379" s="119"/>
      <c r="AI379" s="126">
        <f>SUM(AF379+AG379-AH379)</f>
        <v>855480</v>
      </c>
      <c r="AJ379" s="119"/>
      <c r="AK379" s="119"/>
      <c r="AL379" s="126">
        <f>SUM(AI379+AJ379-AK379)</f>
        <v>855480</v>
      </c>
      <c r="AM379" s="119"/>
      <c r="AN379" s="119"/>
      <c r="AO379" s="126">
        <f>SUM(AL379+AM379-AN379)</f>
        <v>855480</v>
      </c>
      <c r="AP379" s="119"/>
      <c r="AQ379" s="119"/>
      <c r="AR379" s="126">
        <f>SUM(AO379+AP379-AQ379)</f>
        <v>855480</v>
      </c>
      <c r="AS379" s="119"/>
      <c r="AT379" s="119"/>
      <c r="AU379" s="126">
        <f>SUM(AR379+AS379-AT379)</f>
        <v>855480</v>
      </c>
      <c r="AV379" s="337"/>
    </row>
    <row r="380" spans="1:48" s="37" customFormat="1" ht="18.75" customHeight="1">
      <c r="A380" s="98"/>
      <c r="B380" s="116" t="s">
        <v>163</v>
      </c>
      <c r="C380" s="120"/>
      <c r="D380" s="56" t="s">
        <v>164</v>
      </c>
      <c r="E380" s="114">
        <f>E381</f>
        <v>350920</v>
      </c>
      <c r="F380" s="114">
        <f aca="true" t="shared" si="581" ref="F380:AU380">SUM(F381)</f>
        <v>0</v>
      </c>
      <c r="G380" s="114">
        <f t="shared" si="581"/>
        <v>0</v>
      </c>
      <c r="H380" s="114">
        <f t="shared" si="581"/>
        <v>350920</v>
      </c>
      <c r="I380" s="114">
        <f t="shared" si="581"/>
        <v>2000</v>
      </c>
      <c r="J380" s="114">
        <f t="shared" si="581"/>
        <v>0</v>
      </c>
      <c r="K380" s="114">
        <f t="shared" si="581"/>
        <v>352920</v>
      </c>
      <c r="L380" s="114">
        <f t="shared" si="581"/>
        <v>0</v>
      </c>
      <c r="M380" s="114">
        <f t="shared" si="581"/>
        <v>0</v>
      </c>
      <c r="N380" s="114">
        <f t="shared" si="581"/>
        <v>352920</v>
      </c>
      <c r="O380" s="114">
        <f t="shared" si="581"/>
        <v>0</v>
      </c>
      <c r="P380" s="114">
        <f t="shared" si="581"/>
        <v>0</v>
      </c>
      <c r="Q380" s="114">
        <f t="shared" si="581"/>
        <v>352920</v>
      </c>
      <c r="R380" s="114">
        <f t="shared" si="581"/>
        <v>0</v>
      </c>
      <c r="S380" s="114">
        <f t="shared" si="581"/>
        <v>0</v>
      </c>
      <c r="T380" s="114">
        <f t="shared" si="581"/>
        <v>352920</v>
      </c>
      <c r="U380" s="114">
        <f t="shared" si="581"/>
        <v>0</v>
      </c>
      <c r="V380" s="114">
        <f t="shared" si="581"/>
        <v>0</v>
      </c>
      <c r="W380" s="114">
        <f t="shared" si="581"/>
        <v>352920</v>
      </c>
      <c r="X380" s="114">
        <f t="shared" si="581"/>
        <v>0</v>
      </c>
      <c r="Y380" s="114">
        <f t="shared" si="581"/>
        <v>0</v>
      </c>
      <c r="Z380" s="114">
        <f t="shared" si="581"/>
        <v>352920</v>
      </c>
      <c r="AA380" s="114">
        <f t="shared" si="581"/>
        <v>0</v>
      </c>
      <c r="AB380" s="114">
        <f t="shared" si="581"/>
        <v>0</v>
      </c>
      <c r="AC380" s="114">
        <f t="shared" si="581"/>
        <v>352920</v>
      </c>
      <c r="AD380" s="114">
        <f t="shared" si="581"/>
        <v>0</v>
      </c>
      <c r="AE380" s="114">
        <f t="shared" si="581"/>
        <v>0</v>
      </c>
      <c r="AF380" s="114">
        <f t="shared" si="581"/>
        <v>352920</v>
      </c>
      <c r="AG380" s="114">
        <f t="shared" si="581"/>
        <v>0</v>
      </c>
      <c r="AH380" s="114">
        <f t="shared" si="581"/>
        <v>0</v>
      </c>
      <c r="AI380" s="114">
        <f t="shared" si="581"/>
        <v>352920</v>
      </c>
      <c r="AJ380" s="114">
        <f t="shared" si="581"/>
        <v>0</v>
      </c>
      <c r="AK380" s="114">
        <f t="shared" si="581"/>
        <v>0</v>
      </c>
      <c r="AL380" s="114">
        <f t="shared" si="581"/>
        <v>352920</v>
      </c>
      <c r="AM380" s="114">
        <f t="shared" si="581"/>
        <v>0</v>
      </c>
      <c r="AN380" s="114">
        <f t="shared" si="581"/>
        <v>0</v>
      </c>
      <c r="AO380" s="114">
        <f t="shared" si="581"/>
        <v>352920</v>
      </c>
      <c r="AP380" s="114">
        <f t="shared" si="581"/>
        <v>0</v>
      </c>
      <c r="AQ380" s="114">
        <f t="shared" si="581"/>
        <v>0</v>
      </c>
      <c r="AR380" s="114">
        <f t="shared" si="581"/>
        <v>352920</v>
      </c>
      <c r="AS380" s="114">
        <f t="shared" si="581"/>
        <v>0</v>
      </c>
      <c r="AT380" s="114">
        <f t="shared" si="581"/>
        <v>0</v>
      </c>
      <c r="AU380" s="114">
        <f t="shared" si="581"/>
        <v>352920</v>
      </c>
      <c r="AV380" s="339"/>
    </row>
    <row r="381" spans="1:48" s="37" customFormat="1" ht="25.5" customHeight="1">
      <c r="A381" s="98"/>
      <c r="B381" s="116"/>
      <c r="C381" s="120">
        <v>2480</v>
      </c>
      <c r="D381" s="56" t="s">
        <v>244</v>
      </c>
      <c r="E381" s="114">
        <v>350920</v>
      </c>
      <c r="F381" s="119"/>
      <c r="G381" s="119"/>
      <c r="H381" s="126">
        <f>SUM(E381+F381-G381)</f>
        <v>350920</v>
      </c>
      <c r="I381" s="119">
        <f>500+1000+500</f>
        <v>2000</v>
      </c>
      <c r="J381" s="119"/>
      <c r="K381" s="126">
        <f>SUM(H381+I381-J381)</f>
        <v>352920</v>
      </c>
      <c r="L381" s="119"/>
      <c r="M381" s="119"/>
      <c r="N381" s="126">
        <f>SUM(K381+L381-M381)</f>
        <v>352920</v>
      </c>
      <c r="O381" s="119"/>
      <c r="P381" s="119"/>
      <c r="Q381" s="126">
        <f>SUM(N381+O381-P381)</f>
        <v>352920</v>
      </c>
      <c r="R381" s="119"/>
      <c r="S381" s="119"/>
      <c r="T381" s="126">
        <f>SUM(Q381+R381-S381)</f>
        <v>352920</v>
      </c>
      <c r="U381" s="119"/>
      <c r="V381" s="119"/>
      <c r="W381" s="126">
        <f>SUM(T381+U381-V381)</f>
        <v>352920</v>
      </c>
      <c r="X381" s="119"/>
      <c r="Y381" s="119"/>
      <c r="Z381" s="126">
        <f>SUM(W381+X381-Y381)</f>
        <v>352920</v>
      </c>
      <c r="AA381" s="119"/>
      <c r="AB381" s="119"/>
      <c r="AC381" s="126">
        <f>SUM(Z381+AA381-AB381)</f>
        <v>352920</v>
      </c>
      <c r="AD381" s="119"/>
      <c r="AE381" s="119"/>
      <c r="AF381" s="126">
        <f>SUM(AC381+AD381-AE381)</f>
        <v>352920</v>
      </c>
      <c r="AG381" s="119"/>
      <c r="AH381" s="119"/>
      <c r="AI381" s="126">
        <f>SUM(AF381+AG381-AH381)</f>
        <v>352920</v>
      </c>
      <c r="AJ381" s="119"/>
      <c r="AK381" s="119"/>
      <c r="AL381" s="126">
        <f>SUM(AI381+AJ381-AK381)</f>
        <v>352920</v>
      </c>
      <c r="AM381" s="119"/>
      <c r="AN381" s="119"/>
      <c r="AO381" s="126">
        <f>SUM(AL381+AM381-AN381)</f>
        <v>352920</v>
      </c>
      <c r="AP381" s="119"/>
      <c r="AQ381" s="119"/>
      <c r="AR381" s="126">
        <f>SUM(AO381+AP381-AQ381)</f>
        <v>352920</v>
      </c>
      <c r="AS381" s="119"/>
      <c r="AT381" s="119"/>
      <c r="AU381" s="126">
        <f>SUM(AR381+AS381-AT381)</f>
        <v>352920</v>
      </c>
      <c r="AV381" s="337"/>
    </row>
    <row r="382" spans="1:48" s="8" customFormat="1" ht="19.5" customHeight="1">
      <c r="A382" s="51" t="s">
        <v>165</v>
      </c>
      <c r="B382" s="52"/>
      <c r="C382" s="53"/>
      <c r="D382" s="54" t="s">
        <v>83</v>
      </c>
      <c r="E382" s="55">
        <f aca="true" t="shared" si="582" ref="E382:K382">SUM(E388,E385)</f>
        <v>397640</v>
      </c>
      <c r="F382" s="55">
        <f t="shared" si="582"/>
        <v>142000</v>
      </c>
      <c r="G382" s="55">
        <f t="shared" si="582"/>
        <v>142000</v>
      </c>
      <c r="H382" s="55">
        <f t="shared" si="582"/>
        <v>397640</v>
      </c>
      <c r="I382" s="55">
        <f t="shared" si="582"/>
        <v>4600</v>
      </c>
      <c r="J382" s="55">
        <f t="shared" si="582"/>
        <v>0</v>
      </c>
      <c r="K382" s="55">
        <f t="shared" si="582"/>
        <v>402240</v>
      </c>
      <c r="L382" s="55">
        <f aca="true" t="shared" si="583" ref="L382:Q382">SUM(L388,L385)</f>
        <v>0</v>
      </c>
      <c r="M382" s="55">
        <f t="shared" si="583"/>
        <v>0</v>
      </c>
      <c r="N382" s="55">
        <f t="shared" si="583"/>
        <v>402240</v>
      </c>
      <c r="O382" s="55">
        <f t="shared" si="583"/>
        <v>12000</v>
      </c>
      <c r="P382" s="55">
        <f t="shared" si="583"/>
        <v>0</v>
      </c>
      <c r="Q382" s="55">
        <f t="shared" si="583"/>
        <v>414240</v>
      </c>
      <c r="R382" s="55">
        <f aca="true" t="shared" si="584" ref="R382:W382">SUM(R388,R385)</f>
        <v>44576</v>
      </c>
      <c r="S382" s="55">
        <f t="shared" si="584"/>
        <v>10076</v>
      </c>
      <c r="T382" s="55">
        <f t="shared" si="584"/>
        <v>448740</v>
      </c>
      <c r="U382" s="55">
        <f t="shared" si="584"/>
        <v>1500</v>
      </c>
      <c r="V382" s="55">
        <f t="shared" si="584"/>
        <v>2500</v>
      </c>
      <c r="W382" s="55">
        <f t="shared" si="584"/>
        <v>447740</v>
      </c>
      <c r="X382" s="55">
        <f aca="true" t="shared" si="585" ref="X382:AC382">SUM(X388,X385)</f>
        <v>0</v>
      </c>
      <c r="Y382" s="55">
        <f t="shared" si="585"/>
        <v>13000</v>
      </c>
      <c r="Z382" s="55">
        <f t="shared" si="585"/>
        <v>434740</v>
      </c>
      <c r="AA382" s="55">
        <f t="shared" si="585"/>
        <v>2100</v>
      </c>
      <c r="AB382" s="55">
        <f t="shared" si="585"/>
        <v>3000</v>
      </c>
      <c r="AC382" s="55">
        <f t="shared" si="585"/>
        <v>433840</v>
      </c>
      <c r="AD382" s="55">
        <f>SUM(AD388,AD385)</f>
        <v>0</v>
      </c>
      <c r="AE382" s="55">
        <f>SUM(AE388,AE385)</f>
        <v>0</v>
      </c>
      <c r="AF382" s="55">
        <f aca="true" t="shared" si="586" ref="AF382:AL382">SUM(AF388,AF385,AF383)</f>
        <v>433840</v>
      </c>
      <c r="AG382" s="55">
        <f t="shared" si="586"/>
        <v>35544</v>
      </c>
      <c r="AH382" s="55">
        <f t="shared" si="586"/>
        <v>40210</v>
      </c>
      <c r="AI382" s="55">
        <f t="shared" si="586"/>
        <v>429174</v>
      </c>
      <c r="AJ382" s="55">
        <f t="shared" si="586"/>
        <v>0</v>
      </c>
      <c r="AK382" s="55">
        <f t="shared" si="586"/>
        <v>0</v>
      </c>
      <c r="AL382" s="55">
        <f t="shared" si="586"/>
        <v>429174</v>
      </c>
      <c r="AM382" s="55">
        <f aca="true" t="shared" si="587" ref="AM382:AR382">SUM(AM388,AM385,AM383)</f>
        <v>0</v>
      </c>
      <c r="AN382" s="55">
        <f t="shared" si="587"/>
        <v>0</v>
      </c>
      <c r="AO382" s="55">
        <f t="shared" si="587"/>
        <v>429174</v>
      </c>
      <c r="AP382" s="55">
        <f t="shared" si="587"/>
        <v>0</v>
      </c>
      <c r="AQ382" s="55">
        <f t="shared" si="587"/>
        <v>0</v>
      </c>
      <c r="AR382" s="55">
        <f t="shared" si="587"/>
        <v>429174</v>
      </c>
      <c r="AS382" s="55">
        <f>SUM(AS388,AS385,AS383)</f>
        <v>50000</v>
      </c>
      <c r="AT382" s="55">
        <f>SUM(AT388,AT385,AT383)</f>
        <v>33100</v>
      </c>
      <c r="AU382" s="55">
        <f>SUM(AU388,AU385,AU383)</f>
        <v>446074</v>
      </c>
      <c r="AV382" s="338"/>
    </row>
    <row r="383" spans="1:48" s="37" customFormat="1" ht="19.5" customHeight="1">
      <c r="A383" s="98"/>
      <c r="B383" s="121">
        <v>92601</v>
      </c>
      <c r="C383" s="120"/>
      <c r="D383" s="56" t="s">
        <v>640</v>
      </c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>
        <f aca="true" t="shared" si="588" ref="AF383:AU383">SUM(AF384)</f>
        <v>0</v>
      </c>
      <c r="AG383" s="114">
        <f t="shared" si="588"/>
        <v>20000</v>
      </c>
      <c r="AH383" s="114">
        <f t="shared" si="588"/>
        <v>0</v>
      </c>
      <c r="AI383" s="114">
        <f t="shared" si="588"/>
        <v>20000</v>
      </c>
      <c r="AJ383" s="114">
        <f t="shared" si="588"/>
        <v>0</v>
      </c>
      <c r="AK383" s="114">
        <f t="shared" si="588"/>
        <v>0</v>
      </c>
      <c r="AL383" s="114">
        <f t="shared" si="588"/>
        <v>20000</v>
      </c>
      <c r="AM383" s="114">
        <f t="shared" si="588"/>
        <v>0</v>
      </c>
      <c r="AN383" s="114">
        <f t="shared" si="588"/>
        <v>0</v>
      </c>
      <c r="AO383" s="114">
        <f t="shared" si="588"/>
        <v>20000</v>
      </c>
      <c r="AP383" s="114">
        <f t="shared" si="588"/>
        <v>0</v>
      </c>
      <c r="AQ383" s="114">
        <f t="shared" si="588"/>
        <v>0</v>
      </c>
      <c r="AR383" s="114">
        <f t="shared" si="588"/>
        <v>20000</v>
      </c>
      <c r="AS383" s="114">
        <f t="shared" si="588"/>
        <v>0</v>
      </c>
      <c r="AT383" s="114">
        <f t="shared" si="588"/>
        <v>0</v>
      </c>
      <c r="AU383" s="114">
        <f t="shared" si="588"/>
        <v>20000</v>
      </c>
      <c r="AV383" s="339"/>
    </row>
    <row r="384" spans="1:48" s="37" customFormat="1" ht="19.5" customHeight="1">
      <c r="A384" s="98"/>
      <c r="B384" s="121"/>
      <c r="C384" s="120">
        <v>4300</v>
      </c>
      <c r="D384" s="124" t="s">
        <v>96</v>
      </c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>
        <v>0</v>
      </c>
      <c r="AG384" s="114">
        <v>20000</v>
      </c>
      <c r="AH384" s="114"/>
      <c r="AI384" s="114">
        <f>AF384+AG384-AH384</f>
        <v>20000</v>
      </c>
      <c r="AJ384" s="114"/>
      <c r="AK384" s="114"/>
      <c r="AL384" s="114">
        <f>AI384+AJ384-AK384</f>
        <v>20000</v>
      </c>
      <c r="AM384" s="114"/>
      <c r="AN384" s="114"/>
      <c r="AO384" s="114">
        <f>AL384+AM384-AN384</f>
        <v>20000</v>
      </c>
      <c r="AP384" s="114"/>
      <c r="AQ384" s="114"/>
      <c r="AR384" s="114">
        <f>AO384+AP384-AQ384</f>
        <v>20000</v>
      </c>
      <c r="AS384" s="114"/>
      <c r="AT384" s="114"/>
      <c r="AU384" s="114">
        <f>AR384+AS384-AT384</f>
        <v>20000</v>
      </c>
      <c r="AV384" s="339"/>
    </row>
    <row r="385" spans="1:48" s="37" customFormat="1" ht="19.5" customHeight="1">
      <c r="A385" s="98"/>
      <c r="B385" s="121">
        <v>92604</v>
      </c>
      <c r="C385" s="120"/>
      <c r="D385" s="56" t="s">
        <v>262</v>
      </c>
      <c r="E385" s="114">
        <f aca="true" t="shared" si="589" ref="E385:AQ385">SUM(E387)</f>
        <v>156250</v>
      </c>
      <c r="F385" s="114">
        <f t="shared" si="589"/>
        <v>0</v>
      </c>
      <c r="G385" s="114">
        <f t="shared" si="589"/>
        <v>0</v>
      </c>
      <c r="H385" s="114">
        <f t="shared" si="589"/>
        <v>156250</v>
      </c>
      <c r="I385" s="114">
        <f t="shared" si="589"/>
        <v>0</v>
      </c>
      <c r="J385" s="114">
        <f t="shared" si="589"/>
        <v>0</v>
      </c>
      <c r="K385" s="114">
        <f t="shared" si="589"/>
        <v>156250</v>
      </c>
      <c r="L385" s="114">
        <f t="shared" si="589"/>
        <v>0</v>
      </c>
      <c r="M385" s="114">
        <f t="shared" si="589"/>
        <v>0</v>
      </c>
      <c r="N385" s="114">
        <f t="shared" si="589"/>
        <v>156250</v>
      </c>
      <c r="O385" s="114">
        <f t="shared" si="589"/>
        <v>0</v>
      </c>
      <c r="P385" s="114">
        <f t="shared" si="589"/>
        <v>0</v>
      </c>
      <c r="Q385" s="114">
        <f t="shared" si="589"/>
        <v>156250</v>
      </c>
      <c r="R385" s="114">
        <f t="shared" si="589"/>
        <v>0</v>
      </c>
      <c r="S385" s="114">
        <f t="shared" si="589"/>
        <v>0</v>
      </c>
      <c r="T385" s="114">
        <f t="shared" si="589"/>
        <v>156250</v>
      </c>
      <c r="U385" s="114">
        <f t="shared" si="589"/>
        <v>0</v>
      </c>
      <c r="V385" s="114">
        <f t="shared" si="589"/>
        <v>0</v>
      </c>
      <c r="W385" s="114">
        <f t="shared" si="589"/>
        <v>156250</v>
      </c>
      <c r="X385" s="114">
        <f t="shared" si="589"/>
        <v>0</v>
      </c>
      <c r="Y385" s="114">
        <f t="shared" si="589"/>
        <v>10000</v>
      </c>
      <c r="Z385" s="114">
        <f t="shared" si="589"/>
        <v>146250</v>
      </c>
      <c r="AA385" s="114">
        <f t="shared" si="589"/>
        <v>0</v>
      </c>
      <c r="AB385" s="114">
        <f t="shared" si="589"/>
        <v>0</v>
      </c>
      <c r="AC385" s="114">
        <f t="shared" si="589"/>
        <v>146250</v>
      </c>
      <c r="AD385" s="114">
        <f t="shared" si="589"/>
        <v>0</v>
      </c>
      <c r="AE385" s="114">
        <f t="shared" si="589"/>
        <v>0</v>
      </c>
      <c r="AF385" s="114">
        <f t="shared" si="589"/>
        <v>146250</v>
      </c>
      <c r="AG385" s="114">
        <f t="shared" si="589"/>
        <v>0</v>
      </c>
      <c r="AH385" s="114">
        <f t="shared" si="589"/>
        <v>30500</v>
      </c>
      <c r="AI385" s="114">
        <f t="shared" si="589"/>
        <v>115750</v>
      </c>
      <c r="AJ385" s="114">
        <f t="shared" si="589"/>
        <v>0</v>
      </c>
      <c r="AK385" s="114">
        <f t="shared" si="589"/>
        <v>0</v>
      </c>
      <c r="AL385" s="114">
        <f t="shared" si="589"/>
        <v>115750</v>
      </c>
      <c r="AM385" s="114">
        <f t="shared" si="589"/>
        <v>0</v>
      </c>
      <c r="AN385" s="114">
        <f t="shared" si="589"/>
        <v>0</v>
      </c>
      <c r="AO385" s="114">
        <f t="shared" si="589"/>
        <v>115750</v>
      </c>
      <c r="AP385" s="114">
        <f t="shared" si="589"/>
        <v>0</v>
      </c>
      <c r="AQ385" s="114">
        <f t="shared" si="589"/>
        <v>0</v>
      </c>
      <c r="AR385" s="114">
        <f>SUM(AR386:AR387)</f>
        <v>115750</v>
      </c>
      <c r="AS385" s="114">
        <f>SUM(AS386:AS387)</f>
        <v>50000</v>
      </c>
      <c r="AT385" s="114">
        <f>SUM(AT386:AT387)</f>
        <v>33000</v>
      </c>
      <c r="AU385" s="114">
        <f>SUM(AU386:AU387)</f>
        <v>132750</v>
      </c>
      <c r="AV385" s="339"/>
    </row>
    <row r="386" spans="1:48" s="37" customFormat="1" ht="19.5" customHeight="1">
      <c r="A386" s="98"/>
      <c r="B386" s="121"/>
      <c r="C386" s="120">
        <v>4150</v>
      </c>
      <c r="D386" s="56" t="s">
        <v>707</v>
      </c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  <c r="AI386" s="114"/>
      <c r="AJ386" s="114"/>
      <c r="AK386" s="114"/>
      <c r="AL386" s="114"/>
      <c r="AM386" s="114"/>
      <c r="AN386" s="114"/>
      <c r="AO386" s="114"/>
      <c r="AP386" s="114"/>
      <c r="AQ386" s="114"/>
      <c r="AR386" s="114">
        <v>0</v>
      </c>
      <c r="AS386" s="114">
        <v>50000</v>
      </c>
      <c r="AT386" s="114"/>
      <c r="AU386" s="126">
        <f>SUM(AR386+AS386-AT386)</f>
        <v>50000</v>
      </c>
      <c r="AV386" s="339"/>
    </row>
    <row r="387" spans="1:48" s="37" customFormat="1" ht="19.5" customHeight="1">
      <c r="A387" s="98"/>
      <c r="B387" s="121"/>
      <c r="C387" s="120">
        <v>4300</v>
      </c>
      <c r="D387" s="124" t="s">
        <v>96</v>
      </c>
      <c r="E387" s="114">
        <f>41250+100000+15000</f>
        <v>156250</v>
      </c>
      <c r="F387" s="114"/>
      <c r="G387" s="114"/>
      <c r="H387" s="126">
        <f>SUM(E387+F387-G387)</f>
        <v>156250</v>
      </c>
      <c r="I387" s="114"/>
      <c r="J387" s="114"/>
      <c r="K387" s="126">
        <f>SUM(H387+I387-J387)</f>
        <v>156250</v>
      </c>
      <c r="L387" s="114"/>
      <c r="M387" s="114"/>
      <c r="N387" s="126">
        <f>SUM(K387+L387-M387)</f>
        <v>156250</v>
      </c>
      <c r="O387" s="114"/>
      <c r="P387" s="114"/>
      <c r="Q387" s="126">
        <f>SUM(N387+O387-P387)</f>
        <v>156250</v>
      </c>
      <c r="R387" s="114"/>
      <c r="S387" s="114"/>
      <c r="T387" s="126">
        <f>SUM(Q387+R387-S387)</f>
        <v>156250</v>
      </c>
      <c r="U387" s="114"/>
      <c r="V387" s="114"/>
      <c r="W387" s="126">
        <f>SUM(T387+U387-V387)</f>
        <v>156250</v>
      </c>
      <c r="X387" s="114"/>
      <c r="Y387" s="114">
        <v>10000</v>
      </c>
      <c r="Z387" s="126">
        <f>SUM(W387+X387-Y387)</f>
        <v>146250</v>
      </c>
      <c r="AA387" s="114"/>
      <c r="AB387" s="114"/>
      <c r="AC387" s="126">
        <f>SUM(Z387+AA387-AB387)</f>
        <v>146250</v>
      </c>
      <c r="AD387" s="114"/>
      <c r="AE387" s="114"/>
      <c r="AF387" s="126">
        <f>SUM(AC387+AD387-AE387)</f>
        <v>146250</v>
      </c>
      <c r="AG387" s="114"/>
      <c r="AH387" s="114">
        <v>30500</v>
      </c>
      <c r="AI387" s="126">
        <f>SUM(AF387+AG387-AH387)</f>
        <v>115750</v>
      </c>
      <c r="AJ387" s="114"/>
      <c r="AK387" s="114"/>
      <c r="AL387" s="126">
        <f>SUM(AI387+AJ387-AK387)</f>
        <v>115750</v>
      </c>
      <c r="AM387" s="114"/>
      <c r="AN387" s="114"/>
      <c r="AO387" s="126">
        <f>SUM(AL387+AM387-AN387)</f>
        <v>115750</v>
      </c>
      <c r="AP387" s="114"/>
      <c r="AQ387" s="114"/>
      <c r="AR387" s="126">
        <f>SUM(AO387+AP387-AQ387)</f>
        <v>115750</v>
      </c>
      <c r="AS387" s="114"/>
      <c r="AT387" s="114">
        <v>33000</v>
      </c>
      <c r="AU387" s="126">
        <f>SUM(AR387+AS387-AT387)</f>
        <v>82750</v>
      </c>
      <c r="AV387" s="337"/>
    </row>
    <row r="388" spans="1:48" s="37" customFormat="1" ht="25.5" customHeight="1">
      <c r="A388" s="120"/>
      <c r="B388" s="123">
        <v>92605</v>
      </c>
      <c r="C388" s="120"/>
      <c r="D388" s="56" t="s">
        <v>84</v>
      </c>
      <c r="E388" s="114">
        <f aca="true" t="shared" si="590" ref="E388:K388">SUM(E390:E394)</f>
        <v>241390</v>
      </c>
      <c r="F388" s="114">
        <f t="shared" si="590"/>
        <v>142000</v>
      </c>
      <c r="G388" s="114">
        <f t="shared" si="590"/>
        <v>142000</v>
      </c>
      <c r="H388" s="114">
        <f t="shared" si="590"/>
        <v>241390</v>
      </c>
      <c r="I388" s="114">
        <f t="shared" si="590"/>
        <v>4600</v>
      </c>
      <c r="J388" s="114">
        <f t="shared" si="590"/>
        <v>0</v>
      </c>
      <c r="K388" s="114">
        <f t="shared" si="590"/>
        <v>245990</v>
      </c>
      <c r="L388" s="114">
        <f>SUM(L390:L394)</f>
        <v>0</v>
      </c>
      <c r="M388" s="114">
        <f>SUM(M390:M394)</f>
        <v>0</v>
      </c>
      <c r="N388" s="114">
        <f>SUM(N390:N394)</f>
        <v>245990</v>
      </c>
      <c r="O388" s="114">
        <f>SUM(O390:O394)</f>
        <v>12000</v>
      </c>
      <c r="P388" s="114">
        <f>SUM(P390:P394)</f>
        <v>0</v>
      </c>
      <c r="Q388" s="114">
        <f aca="true" t="shared" si="591" ref="Q388:W388">SUM(Q389:Q394)</f>
        <v>257990</v>
      </c>
      <c r="R388" s="114">
        <f t="shared" si="591"/>
        <v>44576</v>
      </c>
      <c r="S388" s="114">
        <f t="shared" si="591"/>
        <v>10076</v>
      </c>
      <c r="T388" s="114">
        <f t="shared" si="591"/>
        <v>292490</v>
      </c>
      <c r="U388" s="114">
        <f t="shared" si="591"/>
        <v>1500</v>
      </c>
      <c r="V388" s="114">
        <f t="shared" si="591"/>
        <v>2500</v>
      </c>
      <c r="W388" s="114">
        <f t="shared" si="591"/>
        <v>291490</v>
      </c>
      <c r="X388" s="114">
        <f aca="true" t="shared" si="592" ref="X388:AC388">SUM(X389:X394)</f>
        <v>0</v>
      </c>
      <c r="Y388" s="114">
        <f t="shared" si="592"/>
        <v>3000</v>
      </c>
      <c r="Z388" s="114">
        <f t="shared" si="592"/>
        <v>288490</v>
      </c>
      <c r="AA388" s="114">
        <f t="shared" si="592"/>
        <v>2100</v>
      </c>
      <c r="AB388" s="114">
        <f t="shared" si="592"/>
        <v>3000</v>
      </c>
      <c r="AC388" s="114">
        <f t="shared" si="592"/>
        <v>287590</v>
      </c>
      <c r="AD388" s="114">
        <f>SUM(AD389:AD394)</f>
        <v>0</v>
      </c>
      <c r="AE388" s="114">
        <f>SUM(AE389:AE394)</f>
        <v>0</v>
      </c>
      <c r="AF388" s="114">
        <f aca="true" t="shared" si="593" ref="AF388:AL388">SUM(AF389:AF395)</f>
        <v>287590</v>
      </c>
      <c r="AG388" s="114">
        <f t="shared" si="593"/>
        <v>15544</v>
      </c>
      <c r="AH388" s="114">
        <f t="shared" si="593"/>
        <v>9710</v>
      </c>
      <c r="AI388" s="114">
        <f t="shared" si="593"/>
        <v>293424</v>
      </c>
      <c r="AJ388" s="114">
        <f t="shared" si="593"/>
        <v>0</v>
      </c>
      <c r="AK388" s="114">
        <f t="shared" si="593"/>
        <v>0</v>
      </c>
      <c r="AL388" s="114">
        <f t="shared" si="593"/>
        <v>293424</v>
      </c>
      <c r="AM388" s="114">
        <f aca="true" t="shared" si="594" ref="AM388:AR388">SUM(AM389:AM395)</f>
        <v>0</v>
      </c>
      <c r="AN388" s="114">
        <f t="shared" si="594"/>
        <v>0</v>
      </c>
      <c r="AO388" s="114">
        <f t="shared" si="594"/>
        <v>293424</v>
      </c>
      <c r="AP388" s="114">
        <f t="shared" si="594"/>
        <v>0</v>
      </c>
      <c r="AQ388" s="114">
        <f t="shared" si="594"/>
        <v>0</v>
      </c>
      <c r="AR388" s="114">
        <f t="shared" si="594"/>
        <v>293424</v>
      </c>
      <c r="AS388" s="114">
        <f>SUM(AS389:AS395)</f>
        <v>0</v>
      </c>
      <c r="AT388" s="114">
        <f>SUM(AT389:AT395)</f>
        <v>100</v>
      </c>
      <c r="AU388" s="114">
        <f>SUM(AU389:AU395)</f>
        <v>293324</v>
      </c>
      <c r="AV388" s="339"/>
    </row>
    <row r="389" spans="1:48" s="37" customFormat="1" ht="60">
      <c r="A389" s="120"/>
      <c r="B389" s="123"/>
      <c r="C389" s="120">
        <v>2320</v>
      </c>
      <c r="D389" s="56" t="s">
        <v>189</v>
      </c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>
        <v>0</v>
      </c>
      <c r="R389" s="114">
        <f>1000+1200</f>
        <v>2200</v>
      </c>
      <c r="S389" s="114"/>
      <c r="T389" s="126">
        <f aca="true" t="shared" si="595" ref="T389:T394">SUM(Q389+R389-S389)</f>
        <v>2200</v>
      </c>
      <c r="U389" s="114"/>
      <c r="V389" s="114"/>
      <c r="W389" s="126">
        <f aca="true" t="shared" si="596" ref="W389:W394">SUM(T389+U389-V389)</f>
        <v>2200</v>
      </c>
      <c r="X389" s="114"/>
      <c r="Y389" s="114"/>
      <c r="Z389" s="126">
        <f aca="true" t="shared" si="597" ref="Z389:Z394">SUM(W389+X389-Y389)</f>
        <v>2200</v>
      </c>
      <c r="AA389" s="114"/>
      <c r="AB389" s="114"/>
      <c r="AC389" s="126">
        <f aca="true" t="shared" si="598" ref="AC389:AC394">SUM(Z389+AA389-AB389)</f>
        <v>2200</v>
      </c>
      <c r="AD389" s="114"/>
      <c r="AE389" s="114"/>
      <c r="AF389" s="126">
        <f aca="true" t="shared" si="599" ref="AF389:AF394">SUM(AC389+AD389-AE389)</f>
        <v>2200</v>
      </c>
      <c r="AG389" s="114"/>
      <c r="AH389" s="114"/>
      <c r="AI389" s="126">
        <f aca="true" t="shared" si="600" ref="AI389:AI395">SUM(AF389+AG389-AH389)</f>
        <v>2200</v>
      </c>
      <c r="AJ389" s="114"/>
      <c r="AK389" s="114"/>
      <c r="AL389" s="126">
        <f aca="true" t="shared" si="601" ref="AL389:AL395">SUM(AI389+AJ389-AK389)</f>
        <v>2200</v>
      </c>
      <c r="AM389" s="114"/>
      <c r="AN389" s="114"/>
      <c r="AO389" s="126">
        <f aca="true" t="shared" si="602" ref="AO389:AO395">SUM(AL389+AM389-AN389)</f>
        <v>2200</v>
      </c>
      <c r="AP389" s="114"/>
      <c r="AQ389" s="114"/>
      <c r="AR389" s="126">
        <f aca="true" t="shared" si="603" ref="AR389:AR395">SUM(AO389+AP389-AQ389)</f>
        <v>2200</v>
      </c>
      <c r="AS389" s="114"/>
      <c r="AT389" s="114"/>
      <c r="AU389" s="126">
        <f aca="true" t="shared" si="604" ref="AU389:AU395">SUM(AR389+AS389-AT389)</f>
        <v>2200</v>
      </c>
      <c r="AV389" s="337"/>
    </row>
    <row r="390" spans="1:48" s="37" customFormat="1" ht="33.75" customHeight="1">
      <c r="A390" s="120"/>
      <c r="B390" s="123"/>
      <c r="C390" s="120">
        <v>2630</v>
      </c>
      <c r="D390" s="19" t="s">
        <v>364</v>
      </c>
      <c r="E390" s="114">
        <v>0</v>
      </c>
      <c r="F390" s="114">
        <v>142000</v>
      </c>
      <c r="G390" s="114"/>
      <c r="H390" s="126">
        <f>SUM(E390+F390-G390)</f>
        <v>142000</v>
      </c>
      <c r="I390" s="114"/>
      <c r="J390" s="114"/>
      <c r="K390" s="126">
        <f>SUM(H390+I390-J390)</f>
        <v>142000</v>
      </c>
      <c r="L390" s="114"/>
      <c r="M390" s="114"/>
      <c r="N390" s="126">
        <f>SUM(K390+L390-M390)</f>
        <v>142000</v>
      </c>
      <c r="O390" s="114"/>
      <c r="P390" s="114"/>
      <c r="Q390" s="126">
        <f>SUM(N390+O390-P390)</f>
        <v>142000</v>
      </c>
      <c r="R390" s="114"/>
      <c r="S390" s="114"/>
      <c r="T390" s="126">
        <f t="shared" si="595"/>
        <v>142000</v>
      </c>
      <c r="U390" s="114"/>
      <c r="V390" s="114"/>
      <c r="W390" s="126">
        <f t="shared" si="596"/>
        <v>142000</v>
      </c>
      <c r="X390" s="114"/>
      <c r="Y390" s="114"/>
      <c r="Z390" s="126">
        <f t="shared" si="597"/>
        <v>142000</v>
      </c>
      <c r="AA390" s="114"/>
      <c r="AB390" s="114"/>
      <c r="AC390" s="126">
        <f t="shared" si="598"/>
        <v>142000</v>
      </c>
      <c r="AD390" s="114"/>
      <c r="AE390" s="114"/>
      <c r="AF390" s="126">
        <f t="shared" si="599"/>
        <v>142000</v>
      </c>
      <c r="AG390" s="114"/>
      <c r="AH390" s="114"/>
      <c r="AI390" s="126">
        <f t="shared" si="600"/>
        <v>142000</v>
      </c>
      <c r="AJ390" s="114"/>
      <c r="AK390" s="114"/>
      <c r="AL390" s="126">
        <f t="shared" si="601"/>
        <v>142000</v>
      </c>
      <c r="AM390" s="114"/>
      <c r="AN390" s="114"/>
      <c r="AO390" s="126">
        <f t="shared" si="602"/>
        <v>142000</v>
      </c>
      <c r="AP390" s="114"/>
      <c r="AQ390" s="114"/>
      <c r="AR390" s="126">
        <f t="shared" si="603"/>
        <v>142000</v>
      </c>
      <c r="AS390" s="114"/>
      <c r="AT390" s="114"/>
      <c r="AU390" s="126">
        <f t="shared" si="604"/>
        <v>142000</v>
      </c>
      <c r="AV390" s="337"/>
    </row>
    <row r="391" spans="1:48" s="37" customFormat="1" ht="21" customHeight="1">
      <c r="A391" s="120"/>
      <c r="B391" s="123"/>
      <c r="C391" s="120">
        <v>4170</v>
      </c>
      <c r="D391" s="56" t="s">
        <v>257</v>
      </c>
      <c r="E391" s="114">
        <v>20000</v>
      </c>
      <c r="F391" s="119"/>
      <c r="G391" s="119"/>
      <c r="H391" s="126">
        <f>SUM(E391+F391-G391)</f>
        <v>20000</v>
      </c>
      <c r="I391" s="119"/>
      <c r="J391" s="119"/>
      <c r="K391" s="126">
        <f>SUM(H391+I391-J391)</f>
        <v>20000</v>
      </c>
      <c r="L391" s="119"/>
      <c r="M391" s="119"/>
      <c r="N391" s="126">
        <f>SUM(K391+L391-M391)</f>
        <v>20000</v>
      </c>
      <c r="O391" s="119"/>
      <c r="P391" s="119"/>
      <c r="Q391" s="126">
        <f>SUM(N391+O391-P391)</f>
        <v>20000</v>
      </c>
      <c r="R391" s="119">
        <f>11126+1126+5000</f>
        <v>17252</v>
      </c>
      <c r="S391" s="119"/>
      <c r="T391" s="126">
        <f t="shared" si="595"/>
        <v>37252</v>
      </c>
      <c r="U391" s="119"/>
      <c r="V391" s="119"/>
      <c r="W391" s="126">
        <f t="shared" si="596"/>
        <v>37252</v>
      </c>
      <c r="X391" s="119"/>
      <c r="Y391" s="119"/>
      <c r="Z391" s="126">
        <f t="shared" si="597"/>
        <v>37252</v>
      </c>
      <c r="AA391" s="119"/>
      <c r="AB391" s="119"/>
      <c r="AC391" s="126">
        <f t="shared" si="598"/>
        <v>37252</v>
      </c>
      <c r="AD391" s="119"/>
      <c r="AE391" s="119"/>
      <c r="AF391" s="126">
        <f t="shared" si="599"/>
        <v>37252</v>
      </c>
      <c r="AG391" s="119"/>
      <c r="AH391" s="119"/>
      <c r="AI391" s="126">
        <f t="shared" si="600"/>
        <v>37252</v>
      </c>
      <c r="AJ391" s="119"/>
      <c r="AK391" s="119"/>
      <c r="AL391" s="126">
        <f t="shared" si="601"/>
        <v>37252</v>
      </c>
      <c r="AM391" s="119"/>
      <c r="AN391" s="119"/>
      <c r="AO391" s="126">
        <f t="shared" si="602"/>
        <v>37252</v>
      </c>
      <c r="AP391" s="119"/>
      <c r="AQ391" s="119"/>
      <c r="AR391" s="126">
        <f t="shared" si="603"/>
        <v>37252</v>
      </c>
      <c r="AS391" s="119"/>
      <c r="AT391" s="119"/>
      <c r="AU391" s="126">
        <f t="shared" si="604"/>
        <v>37252</v>
      </c>
      <c r="AV391" s="337">
        <f>SUM(AU391)</f>
        <v>37252</v>
      </c>
    </row>
    <row r="392" spans="1:48" s="37" customFormat="1" ht="21.75" customHeight="1">
      <c r="A392" s="120"/>
      <c r="B392" s="116"/>
      <c r="C392" s="98">
        <v>4210</v>
      </c>
      <c r="D392" s="56" t="s">
        <v>109</v>
      </c>
      <c r="E392" s="114">
        <v>17890</v>
      </c>
      <c r="F392" s="119"/>
      <c r="G392" s="119"/>
      <c r="H392" s="126">
        <f>SUM(E392+F392-G392)</f>
        <v>17890</v>
      </c>
      <c r="I392" s="119"/>
      <c r="J392" s="119"/>
      <c r="K392" s="126">
        <f>SUM(H392+I392-J392)</f>
        <v>17890</v>
      </c>
      <c r="L392" s="119"/>
      <c r="M392" s="119"/>
      <c r="N392" s="126">
        <f>SUM(K392+L392-M392)</f>
        <v>17890</v>
      </c>
      <c r="O392" s="119">
        <v>12000</v>
      </c>
      <c r="P392" s="119"/>
      <c r="Q392" s="126">
        <f>SUM(N392+O392-P392)</f>
        <v>29890</v>
      </c>
      <c r="R392" s="119">
        <f>1500+600+2650+2650+300+400</f>
        <v>8100</v>
      </c>
      <c r="S392" s="119"/>
      <c r="T392" s="126">
        <f t="shared" si="595"/>
        <v>37990</v>
      </c>
      <c r="U392" s="119"/>
      <c r="V392" s="119"/>
      <c r="W392" s="126">
        <f t="shared" si="596"/>
        <v>37990</v>
      </c>
      <c r="X392" s="119"/>
      <c r="Y392" s="119">
        <v>3000</v>
      </c>
      <c r="Z392" s="126">
        <f t="shared" si="597"/>
        <v>34990</v>
      </c>
      <c r="AA392" s="119">
        <v>1500</v>
      </c>
      <c r="AB392" s="119">
        <f>600+600+200</f>
        <v>1400</v>
      </c>
      <c r="AC392" s="126">
        <f t="shared" si="598"/>
        <v>35090</v>
      </c>
      <c r="AD392" s="119"/>
      <c r="AE392" s="119"/>
      <c r="AF392" s="126">
        <f t="shared" si="599"/>
        <v>35090</v>
      </c>
      <c r="AG392" s="119">
        <v>1000</v>
      </c>
      <c r="AH392" s="119">
        <v>8710</v>
      </c>
      <c r="AI392" s="126">
        <f t="shared" si="600"/>
        <v>27380</v>
      </c>
      <c r="AJ392" s="119"/>
      <c r="AK392" s="119"/>
      <c r="AL392" s="126">
        <f t="shared" si="601"/>
        <v>27380</v>
      </c>
      <c r="AM392" s="119"/>
      <c r="AN392" s="119"/>
      <c r="AO392" s="126">
        <f t="shared" si="602"/>
        <v>27380</v>
      </c>
      <c r="AP392" s="119"/>
      <c r="AQ392" s="119"/>
      <c r="AR392" s="126">
        <f t="shared" si="603"/>
        <v>27380</v>
      </c>
      <c r="AS392" s="119"/>
      <c r="AT392" s="119"/>
      <c r="AU392" s="126">
        <f t="shared" si="604"/>
        <v>27380</v>
      </c>
      <c r="AV392" s="337"/>
    </row>
    <row r="393" spans="1:48" s="37" customFormat="1" ht="19.5" customHeight="1">
      <c r="A393" s="120"/>
      <c r="B393" s="116"/>
      <c r="C393" s="98">
        <v>4260</v>
      </c>
      <c r="D393" s="56" t="s">
        <v>112</v>
      </c>
      <c r="E393" s="114">
        <v>500</v>
      </c>
      <c r="F393" s="119"/>
      <c r="G393" s="119"/>
      <c r="H393" s="126">
        <f>SUM(E393+F393-G393)</f>
        <v>500</v>
      </c>
      <c r="I393" s="119"/>
      <c r="J393" s="119"/>
      <c r="K393" s="126">
        <f>SUM(H393+I393-J393)</f>
        <v>500</v>
      </c>
      <c r="L393" s="119"/>
      <c r="M393" s="119"/>
      <c r="N393" s="126">
        <f>SUM(K393+L393-M393)</f>
        <v>500</v>
      </c>
      <c r="O393" s="119"/>
      <c r="P393" s="119"/>
      <c r="Q393" s="126">
        <f>SUM(N393+O393-P393)</f>
        <v>500</v>
      </c>
      <c r="R393" s="119"/>
      <c r="S393" s="119"/>
      <c r="T393" s="126">
        <f t="shared" si="595"/>
        <v>500</v>
      </c>
      <c r="U393" s="119"/>
      <c r="V393" s="119"/>
      <c r="W393" s="126">
        <f t="shared" si="596"/>
        <v>500</v>
      </c>
      <c r="X393" s="119"/>
      <c r="Y393" s="119"/>
      <c r="Z393" s="126">
        <f t="shared" si="597"/>
        <v>500</v>
      </c>
      <c r="AA393" s="119"/>
      <c r="AB393" s="119">
        <v>100</v>
      </c>
      <c r="AC393" s="126">
        <f t="shared" si="598"/>
        <v>400</v>
      </c>
      <c r="AD393" s="119"/>
      <c r="AE393" s="119"/>
      <c r="AF393" s="126">
        <f t="shared" si="599"/>
        <v>400</v>
      </c>
      <c r="AG393" s="119"/>
      <c r="AH393" s="119"/>
      <c r="AI393" s="126">
        <f t="shared" si="600"/>
        <v>400</v>
      </c>
      <c r="AJ393" s="119"/>
      <c r="AK393" s="119"/>
      <c r="AL393" s="126">
        <f t="shared" si="601"/>
        <v>400</v>
      </c>
      <c r="AM393" s="119"/>
      <c r="AN393" s="119"/>
      <c r="AO393" s="126">
        <f t="shared" si="602"/>
        <v>400</v>
      </c>
      <c r="AP393" s="119"/>
      <c r="AQ393" s="119"/>
      <c r="AR393" s="126">
        <f t="shared" si="603"/>
        <v>400</v>
      </c>
      <c r="AS393" s="119"/>
      <c r="AT393" s="119">
        <v>100</v>
      </c>
      <c r="AU393" s="126">
        <f t="shared" si="604"/>
        <v>300</v>
      </c>
      <c r="AV393" s="337"/>
    </row>
    <row r="394" spans="1:48" s="37" customFormat="1" ht="19.5" customHeight="1">
      <c r="A394" s="120"/>
      <c r="B394" s="116"/>
      <c r="C394" s="120">
        <v>4300</v>
      </c>
      <c r="D394" s="124" t="s">
        <v>96</v>
      </c>
      <c r="E394" s="114">
        <f>200000+3000</f>
        <v>203000</v>
      </c>
      <c r="F394" s="119"/>
      <c r="G394" s="119">
        <v>142000</v>
      </c>
      <c r="H394" s="126">
        <f>SUM(E394+F394-G394)</f>
        <v>61000</v>
      </c>
      <c r="I394" s="119">
        <f>1500+2500+600</f>
        <v>4600</v>
      </c>
      <c r="J394" s="119"/>
      <c r="K394" s="126">
        <f>SUM(H394+I394-J394)</f>
        <v>65600</v>
      </c>
      <c r="L394" s="119"/>
      <c r="M394" s="119"/>
      <c r="N394" s="126">
        <f>SUM(K394+L394-M394)</f>
        <v>65600</v>
      </c>
      <c r="O394" s="119"/>
      <c r="P394" s="119"/>
      <c r="Q394" s="126">
        <f>SUM(N394+O394-P394)</f>
        <v>65600</v>
      </c>
      <c r="R394" s="119">
        <f>17024</f>
        <v>17024</v>
      </c>
      <c r="S394" s="119">
        <f>1000+1200+1500+600+1126+2650+2000</f>
        <v>10076</v>
      </c>
      <c r="T394" s="126">
        <f t="shared" si="595"/>
        <v>72548</v>
      </c>
      <c r="U394" s="119">
        <v>1500</v>
      </c>
      <c r="V394" s="119">
        <v>2500</v>
      </c>
      <c r="W394" s="126">
        <f t="shared" si="596"/>
        <v>71548</v>
      </c>
      <c r="X394" s="119"/>
      <c r="Y394" s="119"/>
      <c r="Z394" s="126">
        <f t="shared" si="597"/>
        <v>71548</v>
      </c>
      <c r="AA394" s="119">
        <v>600</v>
      </c>
      <c r="AB394" s="119">
        <v>1500</v>
      </c>
      <c r="AC394" s="126">
        <f t="shared" si="598"/>
        <v>70648</v>
      </c>
      <c r="AD394" s="119"/>
      <c r="AE394" s="119"/>
      <c r="AF394" s="126">
        <f t="shared" si="599"/>
        <v>70648</v>
      </c>
      <c r="AG394" s="119">
        <v>1384</v>
      </c>
      <c r="AH394" s="119">
        <v>1000</v>
      </c>
      <c r="AI394" s="126">
        <f t="shared" si="600"/>
        <v>71032</v>
      </c>
      <c r="AJ394" s="119"/>
      <c r="AK394" s="119"/>
      <c r="AL394" s="126">
        <f t="shared" si="601"/>
        <v>71032</v>
      </c>
      <c r="AM394" s="119"/>
      <c r="AN394" s="119"/>
      <c r="AO394" s="126">
        <f t="shared" si="602"/>
        <v>71032</v>
      </c>
      <c r="AP394" s="119"/>
      <c r="AQ394" s="119"/>
      <c r="AR394" s="126">
        <f t="shared" si="603"/>
        <v>71032</v>
      </c>
      <c r="AS394" s="119"/>
      <c r="AT394" s="119"/>
      <c r="AU394" s="126">
        <f t="shared" si="604"/>
        <v>71032</v>
      </c>
      <c r="AV394" s="337"/>
    </row>
    <row r="395" spans="1:48" s="37" customFormat="1" ht="24" customHeight="1">
      <c r="A395" s="120"/>
      <c r="B395" s="98"/>
      <c r="C395" s="120">
        <v>6050</v>
      </c>
      <c r="D395" s="56" t="s">
        <v>90</v>
      </c>
      <c r="E395" s="114"/>
      <c r="F395" s="119"/>
      <c r="G395" s="119"/>
      <c r="H395" s="126"/>
      <c r="I395" s="119"/>
      <c r="J395" s="119"/>
      <c r="K395" s="126"/>
      <c r="L395" s="119"/>
      <c r="M395" s="119"/>
      <c r="N395" s="126"/>
      <c r="O395" s="119"/>
      <c r="P395" s="119"/>
      <c r="Q395" s="126"/>
      <c r="R395" s="119"/>
      <c r="S395" s="119"/>
      <c r="T395" s="126"/>
      <c r="U395" s="119"/>
      <c r="V395" s="119"/>
      <c r="W395" s="126"/>
      <c r="X395" s="119"/>
      <c r="Y395" s="119"/>
      <c r="Z395" s="126"/>
      <c r="AA395" s="119"/>
      <c r="AB395" s="119"/>
      <c r="AC395" s="126"/>
      <c r="AD395" s="119"/>
      <c r="AE395" s="119"/>
      <c r="AF395" s="126">
        <v>0</v>
      </c>
      <c r="AG395" s="119">
        <f>5000+8160</f>
        <v>13160</v>
      </c>
      <c r="AH395" s="119"/>
      <c r="AI395" s="126">
        <f t="shared" si="600"/>
        <v>13160</v>
      </c>
      <c r="AJ395" s="119"/>
      <c r="AK395" s="119"/>
      <c r="AL395" s="126">
        <f t="shared" si="601"/>
        <v>13160</v>
      </c>
      <c r="AM395" s="119"/>
      <c r="AN395" s="119"/>
      <c r="AO395" s="126">
        <f t="shared" si="602"/>
        <v>13160</v>
      </c>
      <c r="AP395" s="119"/>
      <c r="AQ395" s="119"/>
      <c r="AR395" s="126">
        <f t="shared" si="603"/>
        <v>13160</v>
      </c>
      <c r="AS395" s="119"/>
      <c r="AT395" s="119"/>
      <c r="AU395" s="126">
        <f t="shared" si="604"/>
        <v>13160</v>
      </c>
      <c r="AV395" s="337"/>
    </row>
    <row r="396" spans="1:48" s="9" customFormat="1" ht="24.75" customHeight="1">
      <c r="A396" s="13"/>
      <c r="B396" s="13"/>
      <c r="C396" s="13"/>
      <c r="D396" s="53" t="s">
        <v>85</v>
      </c>
      <c r="E396" s="55">
        <f aca="true" t="shared" si="605" ref="E396:AR396">SUM(E382,E369,E341,E308,E246,E230,E153,E150,E146,E138,E106,E92,E49,E42,E26,E15,E8,)</f>
        <v>47469873</v>
      </c>
      <c r="F396" s="55">
        <f t="shared" si="605"/>
        <v>6821828</v>
      </c>
      <c r="G396" s="55">
        <f t="shared" si="605"/>
        <v>6528688</v>
      </c>
      <c r="H396" s="55">
        <f t="shared" si="605"/>
        <v>47763013</v>
      </c>
      <c r="I396" s="55">
        <f t="shared" si="605"/>
        <v>322672</v>
      </c>
      <c r="J396" s="55">
        <f t="shared" si="605"/>
        <v>215007</v>
      </c>
      <c r="K396" s="55">
        <f t="shared" si="605"/>
        <v>47870678</v>
      </c>
      <c r="L396" s="55">
        <f t="shared" si="605"/>
        <v>48232</v>
      </c>
      <c r="M396" s="55">
        <f t="shared" si="605"/>
        <v>71432</v>
      </c>
      <c r="N396" s="55">
        <f t="shared" si="605"/>
        <v>47847478</v>
      </c>
      <c r="O396" s="55">
        <f t="shared" si="605"/>
        <v>806092</v>
      </c>
      <c r="P396" s="55">
        <f t="shared" si="605"/>
        <v>0</v>
      </c>
      <c r="Q396" s="55">
        <f t="shared" si="605"/>
        <v>48653570</v>
      </c>
      <c r="R396" s="55">
        <f t="shared" si="605"/>
        <v>653142</v>
      </c>
      <c r="S396" s="55">
        <f t="shared" si="605"/>
        <v>184571</v>
      </c>
      <c r="T396" s="55">
        <f t="shared" si="605"/>
        <v>49122141</v>
      </c>
      <c r="U396" s="55">
        <f t="shared" si="605"/>
        <v>689399</v>
      </c>
      <c r="V396" s="55">
        <f t="shared" si="605"/>
        <v>562453</v>
      </c>
      <c r="W396" s="55">
        <f t="shared" si="605"/>
        <v>49249087</v>
      </c>
      <c r="X396" s="55">
        <f t="shared" si="605"/>
        <v>1017637</v>
      </c>
      <c r="Y396" s="55">
        <f t="shared" si="605"/>
        <v>459279</v>
      </c>
      <c r="Z396" s="55">
        <f t="shared" si="605"/>
        <v>49807445</v>
      </c>
      <c r="AA396" s="55">
        <f t="shared" si="605"/>
        <v>158723</v>
      </c>
      <c r="AB396" s="55">
        <f t="shared" si="605"/>
        <v>130772</v>
      </c>
      <c r="AC396" s="55">
        <f t="shared" si="605"/>
        <v>49835396</v>
      </c>
      <c r="AD396" s="55">
        <f t="shared" si="605"/>
        <v>241381</v>
      </c>
      <c r="AE396" s="55">
        <f t="shared" si="605"/>
        <v>23547</v>
      </c>
      <c r="AF396" s="55">
        <f t="shared" si="605"/>
        <v>50053230</v>
      </c>
      <c r="AG396" s="55">
        <f t="shared" si="605"/>
        <v>465542</v>
      </c>
      <c r="AH396" s="55">
        <f t="shared" si="605"/>
        <v>433691</v>
      </c>
      <c r="AI396" s="55">
        <f t="shared" si="605"/>
        <v>50085081</v>
      </c>
      <c r="AJ396" s="55">
        <f t="shared" si="605"/>
        <v>1092170</v>
      </c>
      <c r="AK396" s="55">
        <f t="shared" si="605"/>
        <v>21936</v>
      </c>
      <c r="AL396" s="55">
        <f t="shared" si="605"/>
        <v>51155315</v>
      </c>
      <c r="AM396" s="55">
        <f t="shared" si="605"/>
        <v>551788</v>
      </c>
      <c r="AN396" s="55">
        <f t="shared" si="605"/>
        <v>123487</v>
      </c>
      <c r="AO396" s="55">
        <f t="shared" si="605"/>
        <v>51583616</v>
      </c>
      <c r="AP396" s="55">
        <f t="shared" si="605"/>
        <v>55098</v>
      </c>
      <c r="AQ396" s="55">
        <f t="shared" si="605"/>
        <v>3605</v>
      </c>
      <c r="AR396" s="55">
        <f t="shared" si="605"/>
        <v>51635109</v>
      </c>
      <c r="AS396" s="55">
        <f>SUM(AS382,AS369,AS341,AS308,AS246,AS230,AS153,AS150,AS146,AS138,AS106,AS92,AS49,AS42,AS26,AS15,AS8,)</f>
        <v>296546</v>
      </c>
      <c r="AT396" s="55">
        <f>SUM(AT382,AT369,AT341,AT308,AT246,AT230,AT153,AT150,AT146,AT138,AT106,AT92,AT49,AT42,AT26,AT15,AT8,)</f>
        <v>394722</v>
      </c>
      <c r="AU396" s="55">
        <f>SUM(AU382,AU369,AU341,AU308,AU246,AU230,AU153,AU150,AU146,AU138,AU106,AU92,AU49,AU42,AU26,AU15,AU8,)</f>
        <v>51536933</v>
      </c>
      <c r="AV396" s="340">
        <f>SUM(AV8:AV395)</f>
        <v>15754002</v>
      </c>
    </row>
    <row r="397" spans="1:46" ht="12.75">
      <c r="A397" s="85"/>
      <c r="B397" s="85"/>
      <c r="C397" s="85"/>
      <c r="D397" s="85"/>
      <c r="E397" s="201"/>
      <c r="F397" s="154"/>
      <c r="G397" s="155"/>
      <c r="I397" s="154"/>
      <c r="J397" s="155"/>
      <c r="L397" s="154"/>
      <c r="M397" s="155"/>
      <c r="O397" s="154"/>
      <c r="P397" s="155"/>
      <c r="R397" s="154"/>
      <c r="S397" s="155"/>
      <c r="U397" s="154"/>
      <c r="V397" s="155"/>
      <c r="X397" s="154"/>
      <c r="Y397" s="155"/>
      <c r="AA397" s="154"/>
      <c r="AB397" s="155"/>
      <c r="AD397" s="154"/>
      <c r="AE397" s="155"/>
      <c r="AG397" s="154"/>
      <c r="AH397" s="155"/>
      <c r="AJ397" s="154"/>
      <c r="AK397" s="155"/>
      <c r="AM397" s="154"/>
      <c r="AN397" s="155"/>
      <c r="AP397" s="154"/>
      <c r="AQ397" s="155"/>
      <c r="AS397" s="154"/>
      <c r="AT397" s="155"/>
    </row>
    <row r="398" spans="4:46" ht="12.75">
      <c r="D398" s="85"/>
      <c r="E398" s="201"/>
      <c r="F398" s="154"/>
      <c r="I398" s="154"/>
      <c r="J398" s="246"/>
      <c r="L398" s="154"/>
      <c r="M398" s="246"/>
      <c r="O398" s="154"/>
      <c r="P398" s="246"/>
      <c r="R398" s="154"/>
      <c r="S398" s="246">
        <f>SUM(R396-S396)</f>
        <v>468571</v>
      </c>
      <c r="U398" s="154"/>
      <c r="V398" s="246">
        <f>SUM(U396-V396)</f>
        <v>126946</v>
      </c>
      <c r="X398" s="154"/>
      <c r="Y398" s="246">
        <f>X396-Y396</f>
        <v>558358</v>
      </c>
      <c r="AA398" s="154"/>
      <c r="AB398" s="246">
        <f>AA396-AB396</f>
        <v>27951</v>
      </c>
      <c r="AD398" s="154"/>
      <c r="AE398" s="246">
        <f>AD396-AE396</f>
        <v>217834</v>
      </c>
      <c r="AG398" s="154"/>
      <c r="AH398" s="246">
        <f>AG396-AH396</f>
        <v>31851</v>
      </c>
      <c r="AJ398" s="154"/>
      <c r="AK398" s="246">
        <f>AJ396-AK396</f>
        <v>1070234</v>
      </c>
      <c r="AM398" s="154"/>
      <c r="AN398" s="246">
        <f>AM396-AN396</f>
        <v>428301</v>
      </c>
      <c r="AP398" s="154"/>
      <c r="AQ398" s="246">
        <f>AP396-AQ396</f>
        <v>51493</v>
      </c>
      <c r="AS398" s="154"/>
      <c r="AT398" s="246">
        <f>AS396-AT396</f>
        <v>-98176</v>
      </c>
    </row>
    <row r="399" spans="4:48" ht="12.75">
      <c r="D399" s="85"/>
      <c r="E399" s="201"/>
      <c r="F399" s="154"/>
      <c r="I399" s="154"/>
      <c r="J399" s="247"/>
      <c r="K399" s="149"/>
      <c r="L399" s="154"/>
      <c r="M399" s="247"/>
      <c r="N399" s="149"/>
      <c r="O399" s="154"/>
      <c r="P399" s="247"/>
      <c r="Q399" s="149"/>
      <c r="R399" s="154"/>
      <c r="S399" s="247"/>
      <c r="T399" s="149"/>
      <c r="U399" s="154"/>
      <c r="V399" s="247"/>
      <c r="W399" s="149"/>
      <c r="X399" s="143">
        <v>2000</v>
      </c>
      <c r="Y399" s="247"/>
      <c r="Z399" s="149"/>
      <c r="AB399" s="247"/>
      <c r="AC399" s="149"/>
      <c r="AE399" s="247"/>
      <c r="AF399" s="149"/>
      <c r="AH399" s="247"/>
      <c r="AI399" s="149"/>
      <c r="AK399" s="247"/>
      <c r="AL399" s="149"/>
      <c r="AN399" s="247"/>
      <c r="AO399" s="149"/>
      <c r="AQ399" s="247"/>
      <c r="AR399" s="149"/>
      <c r="AT399" s="247"/>
      <c r="AU399" s="149"/>
      <c r="AV399" s="149"/>
    </row>
    <row r="400" spans="4:48" ht="12">
      <c r="D400" s="85"/>
      <c r="E400" s="201"/>
      <c r="F400" s="154"/>
      <c r="G400" s="231"/>
      <c r="H400" s="206"/>
      <c r="I400" s="254"/>
      <c r="J400" s="231"/>
      <c r="K400" s="216"/>
      <c r="L400" s="254"/>
      <c r="M400" s="231"/>
      <c r="N400" s="216"/>
      <c r="O400" s="254"/>
      <c r="P400" s="231"/>
      <c r="Q400" s="261" t="s">
        <v>483</v>
      </c>
      <c r="R400" s="102">
        <v>2200</v>
      </c>
      <c r="S400" s="268">
        <v>-2200</v>
      </c>
      <c r="T400" s="216" t="s">
        <v>521</v>
      </c>
      <c r="U400" s="102">
        <v>428</v>
      </c>
      <c r="V400" s="268">
        <v>428</v>
      </c>
      <c r="W400" s="216"/>
      <c r="X400" s="150">
        <v>257656</v>
      </c>
      <c r="Y400" s="231"/>
      <c r="Z400" s="216"/>
      <c r="AA400" s="150"/>
      <c r="AB400" s="231"/>
      <c r="AC400" s="216"/>
      <c r="AD400" s="150"/>
      <c r="AE400" s="231"/>
      <c r="AF400" s="216"/>
      <c r="AG400" s="150"/>
      <c r="AH400" s="231"/>
      <c r="AI400" s="216"/>
      <c r="AJ400" s="150"/>
      <c r="AK400" s="231"/>
      <c r="AL400" s="216"/>
      <c r="AM400" s="150"/>
      <c r="AN400" s="231"/>
      <c r="AO400" s="216"/>
      <c r="AP400" s="150"/>
      <c r="AQ400" s="231"/>
      <c r="AR400" s="216"/>
      <c r="AS400" s="150">
        <v>23337</v>
      </c>
      <c r="AT400" s="231">
        <v>14243</v>
      </c>
      <c r="AU400" s="216"/>
      <c r="AV400" s="216"/>
    </row>
    <row r="401" spans="1:48" s="34" customFormat="1" ht="12.75">
      <c r="A401" s="36"/>
      <c r="B401" s="36"/>
      <c r="C401" s="36"/>
      <c r="D401" s="175"/>
      <c r="E401" s="143"/>
      <c r="F401" s="143"/>
      <c r="G401" s="231"/>
      <c r="H401" s="216"/>
      <c r="I401" s="150"/>
      <c r="J401" s="231"/>
      <c r="K401" s="216"/>
      <c r="L401" s="150"/>
      <c r="M401" s="231"/>
      <c r="N401" s="216"/>
      <c r="O401" s="150"/>
      <c r="P401" s="231"/>
      <c r="Q401" s="261" t="s">
        <v>486</v>
      </c>
      <c r="R401" s="102">
        <v>96494</v>
      </c>
      <c r="S401" s="268"/>
      <c r="T401" s="216" t="s">
        <v>520</v>
      </c>
      <c r="U401" s="102">
        <v>51010</v>
      </c>
      <c r="V401" s="268"/>
      <c r="W401" s="216"/>
      <c r="X401" s="150">
        <v>32000</v>
      </c>
      <c r="Y401" s="231"/>
      <c r="Z401" s="216"/>
      <c r="AA401" s="150"/>
      <c r="AB401" s="231"/>
      <c r="AC401" s="216"/>
      <c r="AD401" s="150"/>
      <c r="AE401" s="231"/>
      <c r="AF401" s="216"/>
      <c r="AG401" s="150"/>
      <c r="AH401" s="231"/>
      <c r="AI401" s="216"/>
      <c r="AJ401" s="150"/>
      <c r="AK401" s="231"/>
      <c r="AL401" s="216"/>
      <c r="AM401" s="150"/>
      <c r="AN401" s="231"/>
      <c r="AO401" s="216"/>
      <c r="AP401" s="150"/>
      <c r="AQ401" s="231"/>
      <c r="AR401" s="216"/>
      <c r="AS401" s="150">
        <v>980</v>
      </c>
      <c r="AT401" s="231"/>
      <c r="AU401" s="216" t="s">
        <v>702</v>
      </c>
      <c r="AV401" s="216"/>
    </row>
    <row r="402" spans="1:48" s="34" customFormat="1" ht="12.75">
      <c r="A402" s="36"/>
      <c r="B402" s="36"/>
      <c r="C402" s="36"/>
      <c r="D402" s="175"/>
      <c r="E402" s="143"/>
      <c r="F402" s="143"/>
      <c r="G402" s="232"/>
      <c r="H402" s="216"/>
      <c r="I402" s="150"/>
      <c r="J402" s="231"/>
      <c r="K402" s="216"/>
      <c r="L402" s="150"/>
      <c r="M402" s="231"/>
      <c r="N402" s="216"/>
      <c r="O402" s="150"/>
      <c r="P402" s="231"/>
      <c r="Q402" s="261" t="s">
        <v>485</v>
      </c>
      <c r="R402" s="102">
        <v>314277</v>
      </c>
      <c r="S402" s="268"/>
      <c r="T402" s="216" t="s">
        <v>519</v>
      </c>
      <c r="U402" s="102">
        <v>28905</v>
      </c>
      <c r="V402" s="268">
        <v>28905</v>
      </c>
      <c r="W402" s="216"/>
      <c r="X402" s="150">
        <f>SUM(X399:X401)</f>
        <v>291656</v>
      </c>
      <c r="Y402" s="231"/>
      <c r="Z402" s="216"/>
      <c r="AA402" s="150">
        <v>27951</v>
      </c>
      <c r="AB402" s="231"/>
      <c r="AC402" s="216"/>
      <c r="AD402" s="150"/>
      <c r="AE402" s="231"/>
      <c r="AF402" s="216"/>
      <c r="AG402" s="150">
        <v>1901</v>
      </c>
      <c r="AH402" s="231"/>
      <c r="AI402" s="216" t="s">
        <v>613</v>
      </c>
      <c r="AJ402" s="150"/>
      <c r="AK402" s="312">
        <v>242097</v>
      </c>
      <c r="AL402" s="313" t="s">
        <v>658</v>
      </c>
      <c r="AM402" s="150"/>
      <c r="AN402" s="312"/>
      <c r="AO402" s="313"/>
      <c r="AP402" s="150"/>
      <c r="AQ402" s="312"/>
      <c r="AR402" s="313"/>
      <c r="AS402" s="150">
        <v>8212</v>
      </c>
      <c r="AT402" s="312">
        <v>8212</v>
      </c>
      <c r="AU402" s="313" t="s">
        <v>701</v>
      </c>
      <c r="AV402" s="313"/>
    </row>
    <row r="403" spans="1:48" s="34" customFormat="1" ht="12.75">
      <c r="A403" s="36"/>
      <c r="B403" s="36"/>
      <c r="C403" s="36"/>
      <c r="D403" s="36"/>
      <c r="E403" s="35"/>
      <c r="F403" s="143"/>
      <c r="G403" s="146"/>
      <c r="H403" s="149"/>
      <c r="I403" s="150"/>
      <c r="J403" s="231"/>
      <c r="K403" s="149"/>
      <c r="L403" s="150"/>
      <c r="M403" s="231"/>
      <c r="N403" s="149"/>
      <c r="O403" s="150"/>
      <c r="P403" s="231"/>
      <c r="Q403" s="262" t="s">
        <v>484</v>
      </c>
      <c r="R403" s="102">
        <v>27000</v>
      </c>
      <c r="S403" s="268"/>
      <c r="T403" s="149"/>
      <c r="U403" s="102">
        <v>5500</v>
      </c>
      <c r="V403" s="268">
        <v>5500</v>
      </c>
      <c r="W403" s="149"/>
      <c r="X403" s="150"/>
      <c r="Y403" s="231"/>
      <c r="Z403" s="149"/>
      <c r="AA403" s="150">
        <v>941</v>
      </c>
      <c r="AB403" s="231">
        <v>941</v>
      </c>
      <c r="AC403" s="149"/>
      <c r="AD403" s="150"/>
      <c r="AE403" s="231"/>
      <c r="AF403" s="149"/>
      <c r="AG403" s="150">
        <v>229500</v>
      </c>
      <c r="AH403" s="231"/>
      <c r="AI403" s="149" t="s">
        <v>616</v>
      </c>
      <c r="AJ403" s="150"/>
      <c r="AK403" s="312">
        <v>241384</v>
      </c>
      <c r="AL403" s="313" t="s">
        <v>659</v>
      </c>
      <c r="AM403" s="150"/>
      <c r="AN403" s="312"/>
      <c r="AO403" s="313"/>
      <c r="AP403" s="150"/>
      <c r="AQ403" s="312"/>
      <c r="AR403" s="313"/>
      <c r="AS403" s="150">
        <f>69453+68</f>
        <v>69521</v>
      </c>
      <c r="AT403" s="312">
        <f>199113+68</f>
        <v>199181</v>
      </c>
      <c r="AU403" s="313" t="s">
        <v>703</v>
      </c>
      <c r="AV403" s="313"/>
    </row>
    <row r="404" spans="1:48" s="34" customFormat="1" ht="12.75">
      <c r="A404" s="36"/>
      <c r="B404" s="36"/>
      <c r="C404" s="36"/>
      <c r="D404" s="36"/>
      <c r="E404" s="35"/>
      <c r="F404" s="143"/>
      <c r="G404" s="146"/>
      <c r="H404" s="149"/>
      <c r="I404" s="150"/>
      <c r="J404" s="231"/>
      <c r="K404" s="149"/>
      <c r="L404" s="150"/>
      <c r="M404" s="231"/>
      <c r="N404" s="149"/>
      <c r="O404" s="150"/>
      <c r="P404" s="231"/>
      <c r="Q404" s="262"/>
      <c r="R404" s="102"/>
      <c r="S404" s="268"/>
      <c r="T404" s="149"/>
      <c r="U404" s="102"/>
      <c r="V404" s="268"/>
      <c r="W404" s="149"/>
      <c r="X404" s="150"/>
      <c r="Y404" s="231"/>
      <c r="Z404" s="149"/>
      <c r="AA404" s="150"/>
      <c r="AB404" s="231"/>
      <c r="AC404" s="149"/>
      <c r="AD404" s="150"/>
      <c r="AE404" s="231"/>
      <c r="AF404" s="149"/>
      <c r="AG404" s="150"/>
      <c r="AH404" s="231"/>
      <c r="AI404" s="149"/>
      <c r="AJ404" s="150"/>
      <c r="AK404" s="312"/>
      <c r="AL404" s="313"/>
      <c r="AM404" s="150"/>
      <c r="AN404" s="312"/>
      <c r="AO404" s="313"/>
      <c r="AP404" s="150"/>
      <c r="AQ404" s="312"/>
      <c r="AR404" s="313"/>
      <c r="AS404" s="150">
        <v>4766</v>
      </c>
      <c r="AT404" s="312">
        <v>4766</v>
      </c>
      <c r="AU404" s="313" t="s">
        <v>705</v>
      </c>
      <c r="AV404" s="313"/>
    </row>
    <row r="405" spans="1:48" s="34" customFormat="1" ht="12.75">
      <c r="A405" s="36"/>
      <c r="B405" s="36"/>
      <c r="C405" s="36"/>
      <c r="D405" s="36"/>
      <c r="E405" s="35"/>
      <c r="F405" s="143"/>
      <c r="G405" s="146"/>
      <c r="H405" s="149"/>
      <c r="I405" s="150"/>
      <c r="J405" s="231"/>
      <c r="K405" s="149"/>
      <c r="L405" s="150"/>
      <c r="M405" s="231"/>
      <c r="N405" s="149"/>
      <c r="O405" s="150"/>
      <c r="P405" s="231"/>
      <c r="Q405" s="262"/>
      <c r="R405" s="102"/>
      <c r="S405" s="268"/>
      <c r="T405" s="149"/>
      <c r="U405" s="102"/>
      <c r="V405" s="268"/>
      <c r="W405" s="149"/>
      <c r="X405" s="150"/>
      <c r="Y405" s="231"/>
      <c r="Z405" s="149"/>
      <c r="AA405" s="150"/>
      <c r="AB405" s="231"/>
      <c r="AC405" s="149"/>
      <c r="AD405" s="150"/>
      <c r="AE405" s="231"/>
      <c r="AF405" s="149"/>
      <c r="AG405" s="150"/>
      <c r="AH405" s="231"/>
      <c r="AI405" s="149"/>
      <c r="AJ405" s="150"/>
      <c r="AK405" s="312"/>
      <c r="AL405" s="313"/>
      <c r="AM405" s="150"/>
      <c r="AN405" s="312"/>
      <c r="AO405" s="313"/>
      <c r="AP405" s="150"/>
      <c r="AQ405" s="312"/>
      <c r="AR405" s="313"/>
      <c r="AS405" s="150">
        <v>12880</v>
      </c>
      <c r="AT405" s="312"/>
      <c r="AU405" s="313" t="s">
        <v>706</v>
      </c>
      <c r="AV405" s="313"/>
    </row>
    <row r="406" spans="1:48" s="34" customFormat="1" ht="12.75">
      <c r="A406" s="36"/>
      <c r="B406" s="36"/>
      <c r="C406" s="36"/>
      <c r="D406" s="36"/>
      <c r="E406" s="35"/>
      <c r="F406" s="143"/>
      <c r="G406" s="146"/>
      <c r="H406" s="149"/>
      <c r="I406" s="150"/>
      <c r="J406" s="231"/>
      <c r="K406" s="149"/>
      <c r="L406" s="150"/>
      <c r="M406" s="231"/>
      <c r="N406" s="149"/>
      <c r="O406" s="150"/>
      <c r="P406" s="231"/>
      <c r="Q406" s="262"/>
      <c r="R406" s="102"/>
      <c r="S406" s="268"/>
      <c r="T406" s="149"/>
      <c r="U406" s="102"/>
      <c r="V406" s="268"/>
      <c r="W406" s="149"/>
      <c r="X406" s="150"/>
      <c r="Y406" s="231"/>
      <c r="Z406" s="149"/>
      <c r="AA406" s="150"/>
      <c r="AB406" s="231"/>
      <c r="AC406" s="149"/>
      <c r="AD406" s="150"/>
      <c r="AE406" s="231"/>
      <c r="AF406" s="149"/>
      <c r="AG406" s="150"/>
      <c r="AH406" s="231"/>
      <c r="AI406" s="149"/>
      <c r="AJ406" s="150"/>
      <c r="AK406" s="312"/>
      <c r="AL406" s="313"/>
      <c r="AM406" s="150"/>
      <c r="AN406" s="312"/>
      <c r="AO406" s="313"/>
      <c r="AP406" s="150"/>
      <c r="AQ406" s="312"/>
      <c r="AR406" s="313"/>
      <c r="AS406" s="150">
        <v>230200</v>
      </c>
      <c r="AT406" s="312">
        <f>374570-280000-5900</f>
        <v>88670</v>
      </c>
      <c r="AU406" s="313" t="s">
        <v>265</v>
      </c>
      <c r="AV406" s="313"/>
    </row>
    <row r="407" spans="1:48" s="34" customFormat="1" ht="12.75">
      <c r="A407" s="36"/>
      <c r="B407" s="36"/>
      <c r="C407" s="36"/>
      <c r="D407" s="36"/>
      <c r="E407" s="35"/>
      <c r="F407" s="143"/>
      <c r="G407" s="146"/>
      <c r="H407" s="149"/>
      <c r="I407" s="150"/>
      <c r="J407" s="231"/>
      <c r="K407" s="149"/>
      <c r="L407" s="150"/>
      <c r="M407" s="231"/>
      <c r="N407" s="149"/>
      <c r="O407" s="150"/>
      <c r="P407" s="231"/>
      <c r="Q407" s="262"/>
      <c r="R407" s="102"/>
      <c r="S407" s="268"/>
      <c r="T407" s="149"/>
      <c r="U407" s="102"/>
      <c r="V407" s="268"/>
      <c r="W407" s="149"/>
      <c r="X407" s="150"/>
      <c r="Y407" s="231"/>
      <c r="Z407" s="149"/>
      <c r="AA407" s="150"/>
      <c r="AB407" s="231"/>
      <c r="AC407" s="149"/>
      <c r="AD407" s="150"/>
      <c r="AE407" s="231"/>
      <c r="AF407" s="149"/>
      <c r="AG407" s="254">
        <v>12953</v>
      </c>
      <c r="AH407" s="309">
        <v>12953</v>
      </c>
      <c r="AI407" s="149" t="s">
        <v>615</v>
      </c>
      <c r="AJ407" s="254"/>
      <c r="AK407" s="312">
        <v>505100</v>
      </c>
      <c r="AL407" s="313" t="s">
        <v>660</v>
      </c>
      <c r="AM407" s="254"/>
      <c r="AN407" s="312"/>
      <c r="AO407" s="313"/>
      <c r="AP407" s="254"/>
      <c r="AQ407" s="312"/>
      <c r="AR407" s="313"/>
      <c r="AS407" s="254">
        <f>SUM(AS400:AS406)</f>
        <v>349896</v>
      </c>
      <c r="AT407" s="254">
        <f>SUM(AT400:AT406)</f>
        <v>315072</v>
      </c>
      <c r="AU407" s="313"/>
      <c r="AV407" s="313"/>
    </row>
    <row r="408" spans="1:48" s="34" customFormat="1" ht="12.75">
      <c r="A408" s="36"/>
      <c r="B408" s="36"/>
      <c r="C408" s="36"/>
      <c r="D408" s="36"/>
      <c r="E408" s="35"/>
      <c r="F408" s="143"/>
      <c r="G408" s="146"/>
      <c r="H408" s="149"/>
      <c r="I408" s="150"/>
      <c r="J408" s="231"/>
      <c r="K408" s="149"/>
      <c r="L408" s="150"/>
      <c r="M408" s="231"/>
      <c r="N408" s="149"/>
      <c r="O408" s="150"/>
      <c r="P408" s="231"/>
      <c r="Q408" s="262"/>
      <c r="R408" s="102"/>
      <c r="S408" s="268"/>
      <c r="T408" s="149"/>
      <c r="U408" s="102"/>
      <c r="V408" s="268"/>
      <c r="W408" s="149"/>
      <c r="X408" s="150"/>
      <c r="Y408" s="231"/>
      <c r="Z408" s="149"/>
      <c r="AA408" s="150"/>
      <c r="AB408" s="231"/>
      <c r="AC408" s="149"/>
      <c r="AD408" s="150"/>
      <c r="AE408" s="231"/>
      <c r="AF408" s="149"/>
      <c r="AG408" s="254">
        <v>24481</v>
      </c>
      <c r="AH408" s="309">
        <f>24481+489</f>
        <v>24970</v>
      </c>
      <c r="AI408" s="149" t="s">
        <v>614</v>
      </c>
      <c r="AJ408" s="254"/>
      <c r="AK408" s="312">
        <v>16082</v>
      </c>
      <c r="AL408" s="313" t="s">
        <v>662</v>
      </c>
      <c r="AM408" s="254"/>
      <c r="AN408" s="312"/>
      <c r="AO408" s="313"/>
      <c r="AP408" s="254"/>
      <c r="AQ408" s="312"/>
      <c r="AR408" s="313"/>
      <c r="AS408" s="254"/>
      <c r="AT408" s="312"/>
      <c r="AU408" s="313"/>
      <c r="AV408" s="313"/>
    </row>
    <row r="409" spans="1:48" s="34" customFormat="1" ht="12.75">
      <c r="A409" s="36"/>
      <c r="B409" s="36"/>
      <c r="C409" s="36"/>
      <c r="D409" s="36"/>
      <c r="E409" s="35"/>
      <c r="F409" s="143"/>
      <c r="G409" s="146"/>
      <c r="H409" s="149"/>
      <c r="I409" s="150"/>
      <c r="J409" s="231"/>
      <c r="K409" s="149"/>
      <c r="L409" s="150"/>
      <c r="M409" s="231"/>
      <c r="N409" s="149"/>
      <c r="O409" s="150"/>
      <c r="P409" s="231"/>
      <c r="Q409" s="262"/>
      <c r="R409" s="102"/>
      <c r="S409" s="268"/>
      <c r="T409" s="149"/>
      <c r="U409" s="102"/>
      <c r="V409" s="268"/>
      <c r="W409" s="149"/>
      <c r="X409" s="150"/>
      <c r="Y409" s="231"/>
      <c r="Z409" s="149"/>
      <c r="AA409" s="150"/>
      <c r="AB409" s="231"/>
      <c r="AC409" s="149"/>
      <c r="AD409" s="150"/>
      <c r="AE409" s="231"/>
      <c r="AF409" s="149"/>
      <c r="AG409" s="150"/>
      <c r="AH409" s="231">
        <v>53370</v>
      </c>
      <c r="AI409" s="149" t="s">
        <v>619</v>
      </c>
      <c r="AJ409" s="150"/>
      <c r="AK409" s="231">
        <v>65571</v>
      </c>
      <c r="AL409" s="149" t="s">
        <v>663</v>
      </c>
      <c r="AM409" s="150"/>
      <c r="AN409" s="231"/>
      <c r="AO409" s="149"/>
      <c r="AP409" s="150"/>
      <c r="AQ409" s="231"/>
      <c r="AR409" s="149"/>
      <c r="AS409" s="150"/>
      <c r="AT409" s="231"/>
      <c r="AU409" s="149"/>
      <c r="AV409" s="149"/>
    </row>
    <row r="410" spans="1:48" s="34" customFormat="1" ht="12.75">
      <c r="A410" s="36"/>
      <c r="B410" s="36"/>
      <c r="C410" s="36"/>
      <c r="D410" s="36"/>
      <c r="E410" s="35"/>
      <c r="F410" s="143"/>
      <c r="G410" s="146"/>
      <c r="H410" s="149"/>
      <c r="I410" s="150"/>
      <c r="J410" s="231"/>
      <c r="K410" s="149"/>
      <c r="L410" s="150"/>
      <c r="M410" s="231"/>
      <c r="N410" s="149"/>
      <c r="O410" s="150"/>
      <c r="P410" s="231"/>
      <c r="Q410" s="262"/>
      <c r="R410" s="102"/>
      <c r="S410" s="268"/>
      <c r="T410" s="149"/>
      <c r="U410" s="102"/>
      <c r="V410" s="268"/>
      <c r="W410" s="149"/>
      <c r="X410" s="150"/>
      <c r="Y410" s="231"/>
      <c r="Z410" s="149"/>
      <c r="AA410" s="150"/>
      <c r="AB410" s="231"/>
      <c r="AC410" s="149"/>
      <c r="AD410" s="150"/>
      <c r="AE410" s="231"/>
      <c r="AF410" s="149"/>
      <c r="AG410" s="150"/>
      <c r="AH410" s="231">
        <v>5095</v>
      </c>
      <c r="AI410" s="149" t="s">
        <v>618</v>
      </c>
      <c r="AJ410" s="150"/>
      <c r="AK410" s="231">
        <f>SUM(AK402:AK409)</f>
        <v>1070234</v>
      </c>
      <c r="AL410" s="149"/>
      <c r="AM410" s="150"/>
      <c r="AN410" s="231"/>
      <c r="AO410" s="149"/>
      <c r="AP410" s="150"/>
      <c r="AQ410" s="231"/>
      <c r="AR410" s="149"/>
      <c r="AS410" s="150"/>
      <c r="AT410" s="231"/>
      <c r="AU410" s="149"/>
      <c r="AV410" s="149"/>
    </row>
    <row r="411" spans="1:48" s="34" customFormat="1" ht="12.75">
      <c r="A411" s="36"/>
      <c r="B411" s="36"/>
      <c r="C411" s="36"/>
      <c r="D411" s="36"/>
      <c r="E411" s="35"/>
      <c r="F411" s="143"/>
      <c r="G411" s="146"/>
      <c r="H411" s="149"/>
      <c r="I411" s="150"/>
      <c r="J411" s="231"/>
      <c r="K411" s="149"/>
      <c r="L411" s="150"/>
      <c r="M411" s="231"/>
      <c r="N411" s="149"/>
      <c r="O411" s="150"/>
      <c r="P411" s="231"/>
      <c r="Q411" s="262"/>
      <c r="R411" s="102"/>
      <c r="S411" s="268"/>
      <c r="T411" s="149"/>
      <c r="U411" s="102"/>
      <c r="V411" s="268"/>
      <c r="W411" s="149"/>
      <c r="X411" s="150"/>
      <c r="Y411" s="231"/>
      <c r="Z411" s="149"/>
      <c r="AA411" s="150"/>
      <c r="AB411" s="231"/>
      <c r="AC411" s="149"/>
      <c r="AD411" s="150"/>
      <c r="AE411" s="231"/>
      <c r="AF411" s="149"/>
      <c r="AG411" s="150">
        <f>1121+940</f>
        <v>2061</v>
      </c>
      <c r="AH411" s="231"/>
      <c r="AI411" s="149" t="s">
        <v>617</v>
      </c>
      <c r="AJ411" s="150"/>
      <c r="AK411" s="231"/>
      <c r="AL411" s="149"/>
      <c r="AM411" s="150"/>
      <c r="AN411" s="231"/>
      <c r="AO411" s="149"/>
      <c r="AP411" s="150"/>
      <c r="AQ411" s="231"/>
      <c r="AR411" s="149"/>
      <c r="AS411" s="150"/>
      <c r="AT411" s="231"/>
      <c r="AU411" s="149"/>
      <c r="AV411" s="149"/>
    </row>
    <row r="412" spans="1:48" s="34" customFormat="1" ht="12.75">
      <c r="A412" s="36"/>
      <c r="B412" s="36"/>
      <c r="C412" s="36"/>
      <c r="D412" s="36"/>
      <c r="E412" s="35"/>
      <c r="F412" s="143"/>
      <c r="G412" s="146"/>
      <c r="H412" s="149"/>
      <c r="I412" s="150"/>
      <c r="J412" s="231"/>
      <c r="K412" s="149"/>
      <c r="L412" s="150"/>
      <c r="M412" s="231"/>
      <c r="N412" s="149"/>
      <c r="O412" s="150"/>
      <c r="P412" s="231"/>
      <c r="Q412" s="262"/>
      <c r="R412" s="102"/>
      <c r="S412" s="268"/>
      <c r="T412" s="149"/>
      <c r="U412" s="102"/>
      <c r="V412" s="268"/>
      <c r="W412" s="149"/>
      <c r="X412" s="150"/>
      <c r="Y412" s="231"/>
      <c r="Z412" s="149"/>
      <c r="AA412" s="150"/>
      <c r="AB412" s="231"/>
      <c r="AC412" s="149"/>
      <c r="AD412" s="150"/>
      <c r="AE412" s="231"/>
      <c r="AF412" s="149"/>
      <c r="AG412" s="150">
        <v>26500</v>
      </c>
      <c r="AH412" s="231"/>
      <c r="AI412" s="149" t="s">
        <v>630</v>
      </c>
      <c r="AJ412" s="150"/>
      <c r="AK412" s="231"/>
      <c r="AL412" s="149"/>
      <c r="AM412" s="150"/>
      <c r="AN412" s="231"/>
      <c r="AO412" s="149"/>
      <c r="AP412" s="150"/>
      <c r="AQ412" s="231"/>
      <c r="AR412" s="149"/>
      <c r="AS412" s="150"/>
      <c r="AT412" s="231"/>
      <c r="AU412" s="149"/>
      <c r="AV412" s="149"/>
    </row>
    <row r="413" spans="1:48" s="34" customFormat="1" ht="12.75">
      <c r="A413" s="36"/>
      <c r="B413" s="36"/>
      <c r="C413" s="36"/>
      <c r="D413" s="36"/>
      <c r="E413" s="35"/>
      <c r="F413" s="143"/>
      <c r="G413" s="146"/>
      <c r="H413" s="149"/>
      <c r="I413" s="150"/>
      <c r="J413" s="231"/>
      <c r="K413" s="149"/>
      <c r="L413" s="150"/>
      <c r="M413" s="231"/>
      <c r="N413" s="149"/>
      <c r="O413" s="150"/>
      <c r="P413" s="231"/>
      <c r="Q413" s="262"/>
      <c r="R413" s="102"/>
      <c r="S413" s="268"/>
      <c r="T413" s="149"/>
      <c r="U413" s="102"/>
      <c r="V413" s="268"/>
      <c r="W413" s="149"/>
      <c r="X413" s="150"/>
      <c r="Y413" s="231"/>
      <c r="Z413" s="149"/>
      <c r="AA413" s="150"/>
      <c r="AB413" s="231"/>
      <c r="AC413" s="149"/>
      <c r="AD413" s="150"/>
      <c r="AE413" s="231"/>
      <c r="AF413" s="149"/>
      <c r="AG413" s="150">
        <v>5095</v>
      </c>
      <c r="AH413" s="231"/>
      <c r="AI413" s="149" t="s">
        <v>617</v>
      </c>
      <c r="AJ413" s="150"/>
      <c r="AK413" s="231"/>
      <c r="AL413" s="149"/>
      <c r="AM413" s="150"/>
      <c r="AN413" s="231"/>
      <c r="AO413" s="149"/>
      <c r="AP413" s="150"/>
      <c r="AQ413" s="231"/>
      <c r="AR413" s="149"/>
      <c r="AS413" s="150"/>
      <c r="AT413" s="231"/>
      <c r="AU413" s="149"/>
      <c r="AV413" s="149"/>
    </row>
    <row r="414" spans="1:48" s="34" customFormat="1" ht="12.75">
      <c r="A414" s="36"/>
      <c r="B414" s="36"/>
      <c r="C414" s="36"/>
      <c r="D414" s="36"/>
      <c r="E414" s="35"/>
      <c r="F414" s="143"/>
      <c r="G414" s="146"/>
      <c r="H414" s="149"/>
      <c r="I414" s="150"/>
      <c r="J414" s="231"/>
      <c r="K414" s="149"/>
      <c r="L414" s="150"/>
      <c r="M414" s="231"/>
      <c r="N414" s="149"/>
      <c r="O414" s="150"/>
      <c r="P414" s="231"/>
      <c r="Q414" s="262"/>
      <c r="R414" s="102"/>
      <c r="S414" s="268"/>
      <c r="T414" s="149"/>
      <c r="U414" s="102"/>
      <c r="V414" s="268"/>
      <c r="W414" s="149"/>
      <c r="X414" s="150"/>
      <c r="Y414" s="231"/>
      <c r="Z414" s="149"/>
      <c r="AA414" s="150"/>
      <c r="AB414" s="231"/>
      <c r="AC414" s="149"/>
      <c r="AD414" s="150"/>
      <c r="AE414" s="231"/>
      <c r="AF414" s="149"/>
      <c r="AG414" s="150">
        <v>5000</v>
      </c>
      <c r="AH414" s="231"/>
      <c r="AI414" s="149" t="s">
        <v>630</v>
      </c>
      <c r="AJ414" s="150"/>
      <c r="AK414" s="231"/>
      <c r="AL414" s="149"/>
      <c r="AM414" s="150"/>
      <c r="AN414" s="231"/>
      <c r="AO414" s="149"/>
      <c r="AP414" s="150"/>
      <c r="AQ414" s="231"/>
      <c r="AR414" s="149"/>
      <c r="AS414" s="150"/>
      <c r="AT414" s="231"/>
      <c r="AU414" s="149"/>
      <c r="AV414" s="149"/>
    </row>
    <row r="415" spans="1:48" s="34" customFormat="1" ht="12.75">
      <c r="A415" s="36"/>
      <c r="B415" s="36"/>
      <c r="C415" s="36"/>
      <c r="D415" s="36"/>
      <c r="E415" s="35"/>
      <c r="F415" s="143"/>
      <c r="G415" s="146"/>
      <c r="H415" s="149"/>
      <c r="I415" s="150"/>
      <c r="J415" s="231"/>
      <c r="K415" s="149"/>
      <c r="L415" s="150"/>
      <c r="M415" s="231"/>
      <c r="N415" s="149"/>
      <c r="O415" s="150"/>
      <c r="P415" s="231"/>
      <c r="Q415" s="262"/>
      <c r="R415" s="102"/>
      <c r="S415" s="268"/>
      <c r="T415" s="149"/>
      <c r="U415" s="102"/>
      <c r="V415" s="268"/>
      <c r="W415" s="149"/>
      <c r="X415" s="150"/>
      <c r="Y415" s="231"/>
      <c r="Z415" s="149"/>
      <c r="AA415" s="150"/>
      <c r="AB415" s="231"/>
      <c r="AC415" s="149"/>
      <c r="AD415" s="150"/>
      <c r="AE415" s="231"/>
      <c r="AF415" s="149"/>
      <c r="AG415" s="150"/>
      <c r="AH415" s="231">
        <v>5000</v>
      </c>
      <c r="AI415" s="149" t="s">
        <v>618</v>
      </c>
      <c r="AJ415" s="150"/>
      <c r="AK415" s="231"/>
      <c r="AL415" s="149"/>
      <c r="AM415" s="150"/>
      <c r="AN415" s="231"/>
      <c r="AO415" s="149"/>
      <c r="AP415" s="150"/>
      <c r="AQ415" s="231"/>
      <c r="AR415" s="149"/>
      <c r="AS415" s="150"/>
      <c r="AT415" s="231"/>
      <c r="AU415" s="149"/>
      <c r="AV415" s="149"/>
    </row>
    <row r="416" spans="1:48" s="34" customFormat="1" ht="12.75">
      <c r="A416" s="36"/>
      <c r="B416" s="36"/>
      <c r="C416" s="36"/>
      <c r="D416" s="36"/>
      <c r="E416" s="35"/>
      <c r="F416" s="143"/>
      <c r="G416" s="146"/>
      <c r="H416" s="149"/>
      <c r="I416" s="150"/>
      <c r="J416" s="231"/>
      <c r="K416" s="149"/>
      <c r="L416" s="150"/>
      <c r="M416" s="231"/>
      <c r="N416" s="149"/>
      <c r="O416" s="150"/>
      <c r="P416" s="231"/>
      <c r="Q416" s="262"/>
      <c r="R416" s="102"/>
      <c r="S416" s="268"/>
      <c r="T416" s="149"/>
      <c r="U416" s="102"/>
      <c r="V416" s="268"/>
      <c r="W416" s="149"/>
      <c r="X416" s="150"/>
      <c r="Y416" s="231"/>
      <c r="Z416" s="149"/>
      <c r="AA416" s="150"/>
      <c r="AB416" s="231"/>
      <c r="AC416" s="149"/>
      <c r="AD416" s="150"/>
      <c r="AE416" s="231"/>
      <c r="AF416" s="149"/>
      <c r="AG416" s="150">
        <v>13666</v>
      </c>
      <c r="AH416" s="231"/>
      <c r="AI416" s="149" t="s">
        <v>631</v>
      </c>
      <c r="AJ416" s="150"/>
      <c r="AK416" s="231"/>
      <c r="AL416" s="149"/>
      <c r="AM416" s="150"/>
      <c r="AN416" s="231"/>
      <c r="AO416" s="149"/>
      <c r="AP416" s="150"/>
      <c r="AQ416" s="231"/>
      <c r="AR416" s="149"/>
      <c r="AS416" s="150"/>
      <c r="AT416" s="231"/>
      <c r="AU416" s="149"/>
      <c r="AV416" s="149"/>
    </row>
    <row r="417" spans="1:48" s="34" customFormat="1" ht="12.75">
      <c r="A417" s="36"/>
      <c r="B417" s="36"/>
      <c r="C417" s="36"/>
      <c r="D417" s="36"/>
      <c r="E417" s="35"/>
      <c r="F417" s="143"/>
      <c r="G417" s="146"/>
      <c r="H417" s="149"/>
      <c r="I417" s="150"/>
      <c r="J417" s="231"/>
      <c r="K417" s="149"/>
      <c r="L417" s="150"/>
      <c r="M417" s="231"/>
      <c r="N417" s="149"/>
      <c r="O417" s="150"/>
      <c r="P417" s="231"/>
      <c r="Q417" s="262"/>
      <c r="R417" s="102"/>
      <c r="S417" s="268"/>
      <c r="T417" s="149"/>
      <c r="U417" s="102"/>
      <c r="V417" s="268"/>
      <c r="W417" s="149"/>
      <c r="X417" s="150"/>
      <c r="Y417" s="231"/>
      <c r="Z417" s="149"/>
      <c r="AA417" s="150"/>
      <c r="AB417" s="231"/>
      <c r="AC417" s="149"/>
      <c r="AD417" s="150"/>
      <c r="AE417" s="231"/>
      <c r="AF417" s="149"/>
      <c r="AG417" s="150"/>
      <c r="AH417" s="231">
        <v>72389</v>
      </c>
      <c r="AI417" s="149" t="s">
        <v>621</v>
      </c>
      <c r="AJ417" s="150"/>
      <c r="AK417" s="231"/>
      <c r="AL417" s="149"/>
      <c r="AM417" s="150"/>
      <c r="AN417" s="231"/>
      <c r="AO417" s="149"/>
      <c r="AP417" s="150"/>
      <c r="AQ417" s="231"/>
      <c r="AR417" s="149"/>
      <c r="AS417" s="150"/>
      <c r="AT417" s="231"/>
      <c r="AU417" s="149"/>
      <c r="AV417" s="149"/>
    </row>
    <row r="418" spans="1:48" s="34" customFormat="1" ht="12.75">
      <c r="A418" s="36"/>
      <c r="B418" s="36"/>
      <c r="C418" s="36"/>
      <c r="D418" s="36"/>
      <c r="E418" s="35"/>
      <c r="F418" s="143"/>
      <c r="G418" s="146"/>
      <c r="H418" s="149"/>
      <c r="I418" s="150"/>
      <c r="J418" s="231"/>
      <c r="K418" s="149"/>
      <c r="L418" s="150"/>
      <c r="M418" s="231"/>
      <c r="N418" s="149"/>
      <c r="O418" s="150"/>
      <c r="P418" s="231"/>
      <c r="Q418" s="262"/>
      <c r="R418" s="102"/>
      <c r="S418" s="268"/>
      <c r="T418" s="149"/>
      <c r="U418" s="102"/>
      <c r="V418" s="268"/>
      <c r="W418" s="149"/>
      <c r="X418" s="150"/>
      <c r="Y418" s="231"/>
      <c r="Z418" s="149"/>
      <c r="AA418" s="150"/>
      <c r="AB418" s="231"/>
      <c r="AC418" s="149"/>
      <c r="AD418" s="150"/>
      <c r="AE418" s="231"/>
      <c r="AF418" s="149"/>
      <c r="AG418" s="150">
        <v>15735</v>
      </c>
      <c r="AH418" s="231">
        <f>161690</f>
        <v>161690</v>
      </c>
      <c r="AI418" s="149" t="s">
        <v>494</v>
      </c>
      <c r="AJ418" s="150"/>
      <c r="AK418" s="231"/>
      <c r="AL418" s="149"/>
      <c r="AM418" s="150"/>
      <c r="AN418" s="231"/>
      <c r="AO418" s="149"/>
      <c r="AP418" s="150"/>
      <c r="AQ418" s="231"/>
      <c r="AR418" s="149"/>
      <c r="AS418" s="150"/>
      <c r="AT418" s="231"/>
      <c r="AU418" s="149"/>
      <c r="AV418" s="149"/>
    </row>
    <row r="419" spans="1:48" s="34" customFormat="1" ht="12.75">
      <c r="A419" s="36"/>
      <c r="B419" s="36"/>
      <c r="C419" s="36"/>
      <c r="D419" s="36"/>
      <c r="E419" s="35"/>
      <c r="F419" s="143"/>
      <c r="G419" s="146"/>
      <c r="H419" s="149"/>
      <c r="I419" s="150"/>
      <c r="J419" s="231"/>
      <c r="K419" s="149"/>
      <c r="L419" s="150"/>
      <c r="M419" s="231"/>
      <c r="N419" s="149"/>
      <c r="O419" s="150"/>
      <c r="P419" s="231"/>
      <c r="Q419" s="262"/>
      <c r="R419" s="102"/>
      <c r="S419" s="268"/>
      <c r="T419" s="149"/>
      <c r="U419" s="102"/>
      <c r="V419" s="268"/>
      <c r="W419" s="149"/>
      <c r="X419" s="150"/>
      <c r="Y419" s="231"/>
      <c r="Z419" s="149"/>
      <c r="AA419" s="150"/>
      <c r="AB419" s="231"/>
      <c r="AC419" s="149"/>
      <c r="AD419" s="150"/>
      <c r="AE419" s="231"/>
      <c r="AF419" s="149"/>
      <c r="AG419" s="150">
        <v>61800</v>
      </c>
      <c r="AH419" s="231">
        <v>39907</v>
      </c>
      <c r="AI419" s="149" t="s">
        <v>624</v>
      </c>
      <c r="AJ419" s="150"/>
      <c r="AK419" s="231"/>
      <c r="AL419" s="149"/>
      <c r="AM419" s="150"/>
      <c r="AN419" s="231"/>
      <c r="AO419" s="149"/>
      <c r="AP419" s="150"/>
      <c r="AQ419" s="231"/>
      <c r="AR419" s="149"/>
      <c r="AS419" s="150"/>
      <c r="AT419" s="231"/>
      <c r="AU419" s="149"/>
      <c r="AV419" s="149"/>
    </row>
    <row r="420" spans="1:48" s="34" customFormat="1" ht="12.75">
      <c r="A420" s="36"/>
      <c r="B420" s="36"/>
      <c r="C420" s="36"/>
      <c r="D420" s="36"/>
      <c r="E420" s="35"/>
      <c r="F420" s="143"/>
      <c r="G420" s="146"/>
      <c r="H420" s="149"/>
      <c r="I420" s="150"/>
      <c r="J420" s="231"/>
      <c r="K420" s="149"/>
      <c r="L420" s="150"/>
      <c r="M420" s="231"/>
      <c r="N420" s="149"/>
      <c r="O420" s="150"/>
      <c r="P420" s="231"/>
      <c r="Q420" s="262"/>
      <c r="R420" s="102"/>
      <c r="S420" s="268"/>
      <c r="T420" s="149"/>
      <c r="U420" s="102"/>
      <c r="V420" s="268"/>
      <c r="W420" s="149"/>
      <c r="X420" s="150"/>
      <c r="Y420" s="231"/>
      <c r="Z420" s="149"/>
      <c r="AA420" s="150"/>
      <c r="AB420" s="231"/>
      <c r="AC420" s="149"/>
      <c r="AD420" s="150"/>
      <c r="AE420" s="231"/>
      <c r="AF420" s="149"/>
      <c r="AG420" s="150">
        <v>17992</v>
      </c>
      <c r="AH420" s="231">
        <v>11892</v>
      </c>
      <c r="AI420" s="149" t="s">
        <v>625</v>
      </c>
      <c r="AJ420" s="150"/>
      <c r="AK420" s="231"/>
      <c r="AL420" s="149"/>
      <c r="AM420" s="150"/>
      <c r="AN420" s="231"/>
      <c r="AO420" s="149"/>
      <c r="AP420" s="150"/>
      <c r="AQ420" s="231"/>
      <c r="AR420" s="149"/>
      <c r="AS420" s="150"/>
      <c r="AT420" s="231"/>
      <c r="AU420" s="149"/>
      <c r="AV420" s="149"/>
    </row>
    <row r="421" spans="1:48" s="34" customFormat="1" ht="12.75">
      <c r="A421" s="36"/>
      <c r="B421" s="36"/>
      <c r="C421" s="36"/>
      <c r="D421" s="36"/>
      <c r="E421" s="35"/>
      <c r="F421" s="143"/>
      <c r="G421" s="146"/>
      <c r="H421" s="149"/>
      <c r="I421" s="150"/>
      <c r="J421" s="231"/>
      <c r="K421" s="149"/>
      <c r="L421" s="150"/>
      <c r="M421" s="231"/>
      <c r="N421" s="149"/>
      <c r="O421" s="150"/>
      <c r="P421" s="231"/>
      <c r="Q421" s="262"/>
      <c r="R421" s="102"/>
      <c r="S421" s="268"/>
      <c r="T421" s="149"/>
      <c r="U421" s="102"/>
      <c r="V421" s="268"/>
      <c r="W421" s="149"/>
      <c r="X421" s="150"/>
      <c r="Y421" s="231"/>
      <c r="Z421" s="149"/>
      <c r="AA421" s="150"/>
      <c r="AB421" s="231"/>
      <c r="AC421" s="149"/>
      <c r="AD421" s="150"/>
      <c r="AE421" s="231"/>
      <c r="AF421" s="149"/>
      <c r="AG421" s="150">
        <v>336</v>
      </c>
      <c r="AH421" s="231">
        <v>1193</v>
      </c>
      <c r="AI421" s="149" t="s">
        <v>626</v>
      </c>
      <c r="AJ421" s="150"/>
      <c r="AK421" s="231"/>
      <c r="AL421" s="149"/>
      <c r="AM421" s="150"/>
      <c r="AN421" s="231"/>
      <c r="AO421" s="149"/>
      <c r="AP421" s="150"/>
      <c r="AQ421" s="231"/>
      <c r="AR421" s="149"/>
      <c r="AS421" s="150"/>
      <c r="AT421" s="231"/>
      <c r="AU421" s="149"/>
      <c r="AV421" s="149"/>
    </row>
    <row r="422" spans="1:48" s="34" customFormat="1" ht="12.75">
      <c r="A422" s="36"/>
      <c r="B422" s="36"/>
      <c r="C422" s="36"/>
      <c r="D422" s="36"/>
      <c r="E422" s="35"/>
      <c r="F422" s="143"/>
      <c r="G422" s="146"/>
      <c r="H422" s="149"/>
      <c r="I422" s="150"/>
      <c r="J422" s="231"/>
      <c r="K422" s="149"/>
      <c r="L422" s="150"/>
      <c r="M422" s="231"/>
      <c r="N422" s="149"/>
      <c r="O422" s="150"/>
      <c r="P422" s="231"/>
      <c r="Q422" s="262"/>
      <c r="R422" s="102"/>
      <c r="S422" s="268"/>
      <c r="T422" s="149"/>
      <c r="U422" s="102"/>
      <c r="V422" s="268"/>
      <c r="W422" s="149"/>
      <c r="X422" s="150"/>
      <c r="Y422" s="231"/>
      <c r="Z422" s="149"/>
      <c r="AA422" s="150"/>
      <c r="AB422" s="231"/>
      <c r="AC422" s="149"/>
      <c r="AD422" s="150"/>
      <c r="AE422" s="231"/>
      <c r="AF422" s="149"/>
      <c r="AG422" s="150">
        <v>4665</v>
      </c>
      <c r="AH422" s="231">
        <v>4665</v>
      </c>
      <c r="AI422" s="149" t="s">
        <v>627</v>
      </c>
      <c r="AJ422" s="150"/>
      <c r="AK422" s="231"/>
      <c r="AL422" s="149"/>
      <c r="AM422" s="150"/>
      <c r="AN422" s="231"/>
      <c r="AO422" s="149"/>
      <c r="AP422" s="150"/>
      <c r="AQ422" s="231"/>
      <c r="AR422" s="149"/>
      <c r="AS422" s="150"/>
      <c r="AT422" s="231"/>
      <c r="AU422" s="149"/>
      <c r="AV422" s="149"/>
    </row>
    <row r="423" spans="1:48" s="34" customFormat="1" ht="12.75">
      <c r="A423" s="36"/>
      <c r="B423" s="36"/>
      <c r="C423" s="36"/>
      <c r="D423" s="36"/>
      <c r="E423" s="35"/>
      <c r="F423" s="143"/>
      <c r="G423" s="146"/>
      <c r="H423" s="149"/>
      <c r="I423" s="150"/>
      <c r="J423" s="231"/>
      <c r="K423" s="149"/>
      <c r="L423" s="150"/>
      <c r="M423" s="231"/>
      <c r="N423" s="149"/>
      <c r="O423" s="150"/>
      <c r="P423" s="231"/>
      <c r="Q423" s="262"/>
      <c r="R423" s="102"/>
      <c r="S423" s="268"/>
      <c r="T423" s="149"/>
      <c r="U423" s="102"/>
      <c r="V423" s="268"/>
      <c r="W423" s="149"/>
      <c r="X423" s="150"/>
      <c r="Y423" s="231"/>
      <c r="Z423" s="149"/>
      <c r="AA423" s="150"/>
      <c r="AB423" s="231"/>
      <c r="AC423" s="149"/>
      <c r="AD423" s="150"/>
      <c r="AE423" s="231"/>
      <c r="AF423" s="149"/>
      <c r="AG423" s="150">
        <v>294</v>
      </c>
      <c r="AH423" s="231">
        <v>294</v>
      </c>
      <c r="AI423" s="149" t="s">
        <v>628</v>
      </c>
      <c r="AJ423" s="150"/>
      <c r="AK423" s="231"/>
      <c r="AL423" s="149"/>
      <c r="AM423" s="150"/>
      <c r="AN423" s="231"/>
      <c r="AO423" s="149"/>
      <c r="AP423" s="150"/>
      <c r="AQ423" s="231"/>
      <c r="AR423" s="149"/>
      <c r="AS423" s="150"/>
      <c r="AT423" s="231"/>
      <c r="AU423" s="149"/>
      <c r="AV423" s="149"/>
    </row>
    <row r="424" spans="1:48" s="34" customFormat="1" ht="12.75">
      <c r="A424" s="36"/>
      <c r="B424" s="36"/>
      <c r="C424" s="36"/>
      <c r="D424" s="36"/>
      <c r="E424" s="35"/>
      <c r="F424" s="143"/>
      <c r="G424" s="146"/>
      <c r="H424" s="149"/>
      <c r="I424" s="150"/>
      <c r="J424" s="231"/>
      <c r="K424" s="149"/>
      <c r="L424" s="150"/>
      <c r="M424" s="231"/>
      <c r="N424" s="149"/>
      <c r="O424" s="150"/>
      <c r="P424" s="231"/>
      <c r="Q424" s="262"/>
      <c r="R424" s="102"/>
      <c r="S424" s="268"/>
      <c r="T424" s="149"/>
      <c r="U424" s="102"/>
      <c r="V424" s="268"/>
      <c r="W424" s="149"/>
      <c r="X424" s="150"/>
      <c r="Y424" s="231"/>
      <c r="Z424" s="149"/>
      <c r="AA424" s="150"/>
      <c r="AB424" s="231"/>
      <c r="AC424" s="149"/>
      <c r="AD424" s="150"/>
      <c r="AE424" s="231"/>
      <c r="AF424" s="149"/>
      <c r="AG424" s="150">
        <v>23563</v>
      </c>
      <c r="AH424" s="231">
        <v>23563</v>
      </c>
      <c r="AI424" s="149"/>
      <c r="AJ424" s="150"/>
      <c r="AK424" s="231"/>
      <c r="AL424" s="149"/>
      <c r="AM424" s="150"/>
      <c r="AN424" s="231"/>
      <c r="AO424" s="149"/>
      <c r="AP424" s="150"/>
      <c r="AQ424" s="231"/>
      <c r="AR424" s="149"/>
      <c r="AS424" s="150"/>
      <c r="AT424" s="231"/>
      <c r="AU424" s="149"/>
      <c r="AV424" s="149"/>
    </row>
    <row r="425" spans="1:48" s="34" customFormat="1" ht="12.75">
      <c r="A425" s="36"/>
      <c r="B425" s="36"/>
      <c r="C425" s="36"/>
      <c r="D425" s="36"/>
      <c r="E425" s="35"/>
      <c r="F425" s="143"/>
      <c r="G425" s="146"/>
      <c r="H425" s="149"/>
      <c r="I425" s="150"/>
      <c r="J425" s="231"/>
      <c r="K425" s="149"/>
      <c r="L425" s="150"/>
      <c r="M425" s="231"/>
      <c r="N425" s="149"/>
      <c r="O425" s="150"/>
      <c r="P425" s="231"/>
      <c r="Q425" s="262" t="s">
        <v>487</v>
      </c>
      <c r="R425" s="102">
        <v>30800</v>
      </c>
      <c r="S425" s="268"/>
      <c r="T425" s="149"/>
      <c r="U425" s="102">
        <v>152</v>
      </c>
      <c r="V425" s="268">
        <v>195</v>
      </c>
      <c r="W425" s="149"/>
      <c r="X425" s="150"/>
      <c r="Y425" s="231"/>
      <c r="Z425" s="149"/>
      <c r="AA425" s="150">
        <v>10940</v>
      </c>
      <c r="AB425" s="231">
        <v>10940</v>
      </c>
      <c r="AC425" s="149"/>
      <c r="AD425" s="150"/>
      <c r="AE425" s="231"/>
      <c r="AF425" s="149"/>
      <c r="AG425" s="254">
        <f>SUM(AG402:AG424)</f>
        <v>445542</v>
      </c>
      <c r="AH425" s="254">
        <f>SUM(AH402:AH424)</f>
        <v>416981</v>
      </c>
      <c r="AI425" s="149"/>
      <c r="AJ425" s="254"/>
      <c r="AK425" s="254"/>
      <c r="AL425" s="149"/>
      <c r="AM425" s="254"/>
      <c r="AN425" s="254"/>
      <c r="AO425" s="149"/>
      <c r="AP425" s="254"/>
      <c r="AQ425" s="254"/>
      <c r="AR425" s="149"/>
      <c r="AS425" s="254"/>
      <c r="AT425" s="254"/>
      <c r="AU425" s="149"/>
      <c r="AV425" s="149"/>
    </row>
    <row r="426" spans="1:48" s="34" customFormat="1" ht="12.75">
      <c r="A426" s="36"/>
      <c r="B426" s="36"/>
      <c r="C426" s="36"/>
      <c r="D426" s="36"/>
      <c r="E426" s="35"/>
      <c r="F426" s="143"/>
      <c r="G426" s="146"/>
      <c r="H426" s="149"/>
      <c r="I426" s="150"/>
      <c r="J426" s="231"/>
      <c r="K426" s="149"/>
      <c r="L426" s="150"/>
      <c r="M426" s="231"/>
      <c r="N426" s="149"/>
      <c r="O426" s="150"/>
      <c r="P426" s="231"/>
      <c r="Q426" s="262" t="s">
        <v>488</v>
      </c>
      <c r="R426" s="102">
        <v>2100</v>
      </c>
      <c r="S426" s="268">
        <v>-2100</v>
      </c>
      <c r="T426" s="149"/>
      <c r="U426" s="102">
        <v>43</v>
      </c>
      <c r="V426" s="268"/>
      <c r="W426" s="149"/>
      <c r="X426" s="150"/>
      <c r="Y426" s="231"/>
      <c r="Z426" s="149"/>
      <c r="AA426" s="150">
        <v>1500</v>
      </c>
      <c r="AB426" s="231">
        <v>600</v>
      </c>
      <c r="AC426" s="149"/>
      <c r="AD426" s="150"/>
      <c r="AE426" s="231"/>
      <c r="AF426" s="149"/>
      <c r="AG426" s="150"/>
      <c r="AH426" s="231"/>
      <c r="AI426" s="149">
        <f>SUM(AG425-AH425)</f>
        <v>28561</v>
      </c>
      <c r="AJ426" s="150"/>
      <c r="AK426" s="231"/>
      <c r="AL426" s="149"/>
      <c r="AM426" s="150"/>
      <c r="AN426" s="231"/>
      <c r="AO426" s="149"/>
      <c r="AP426" s="150"/>
      <c r="AQ426" s="231"/>
      <c r="AR426" s="149"/>
      <c r="AS426" s="150"/>
      <c r="AT426" s="231"/>
      <c r="AU426" s="149"/>
      <c r="AV426" s="149"/>
    </row>
    <row r="427" spans="1:48" s="34" customFormat="1" ht="12.75">
      <c r="A427" s="36"/>
      <c r="B427" s="36"/>
      <c r="C427" s="36"/>
      <c r="D427" s="36"/>
      <c r="E427" s="35"/>
      <c r="F427" s="143"/>
      <c r="G427" s="146"/>
      <c r="H427" s="149"/>
      <c r="I427" s="150"/>
      <c r="J427" s="231"/>
      <c r="K427" s="149"/>
      <c r="L427" s="150"/>
      <c r="M427" s="231"/>
      <c r="N427" s="149"/>
      <c r="O427" s="150"/>
      <c r="P427" s="231"/>
      <c r="Q427" s="262"/>
      <c r="R427" s="102"/>
      <c r="S427" s="268"/>
      <c r="T427" s="149"/>
      <c r="U427" s="102">
        <v>1500</v>
      </c>
      <c r="V427" s="268">
        <v>2500</v>
      </c>
      <c r="W427" s="149"/>
      <c r="X427" s="150"/>
      <c r="Y427" s="231"/>
      <c r="Z427" s="149"/>
      <c r="AA427" s="150">
        <v>600</v>
      </c>
      <c r="AB427" s="231">
        <v>1500</v>
      </c>
      <c r="AC427" s="149"/>
      <c r="AD427" s="150"/>
      <c r="AE427" s="231"/>
      <c r="AF427" s="149"/>
      <c r="AG427" s="150"/>
      <c r="AH427" s="231"/>
      <c r="AI427" s="149"/>
      <c r="AJ427" s="150"/>
      <c r="AK427" s="231"/>
      <c r="AL427" s="149"/>
      <c r="AM427" s="150"/>
      <c r="AN427" s="231"/>
      <c r="AO427" s="149"/>
      <c r="AP427" s="150"/>
      <c r="AQ427" s="231"/>
      <c r="AR427" s="149"/>
      <c r="AS427" s="150"/>
      <c r="AT427" s="231"/>
      <c r="AU427" s="149"/>
      <c r="AV427" s="149"/>
    </row>
    <row r="428" spans="1:48" s="34" customFormat="1" ht="12.75">
      <c r="A428" s="36"/>
      <c r="B428" s="36"/>
      <c r="C428" s="36"/>
      <c r="D428" s="36"/>
      <c r="E428" s="35"/>
      <c r="F428" s="143"/>
      <c r="G428" s="146"/>
      <c r="H428" s="149"/>
      <c r="I428" s="150"/>
      <c r="J428" s="231"/>
      <c r="K428" s="149"/>
      <c r="L428" s="150"/>
      <c r="M428" s="231"/>
      <c r="N428" s="149"/>
      <c r="O428" s="150"/>
      <c r="P428" s="231"/>
      <c r="Q428" s="262"/>
      <c r="R428" s="102"/>
      <c r="S428" s="268"/>
      <c r="T428" s="149"/>
      <c r="U428" s="102">
        <v>55</v>
      </c>
      <c r="V428" s="268">
        <v>55</v>
      </c>
      <c r="W428" s="149"/>
      <c r="X428" s="150"/>
      <c r="Y428" s="231"/>
      <c r="Z428" s="149"/>
      <c r="AA428" s="150">
        <v>50000</v>
      </c>
      <c r="AB428" s="231">
        <v>50000</v>
      </c>
      <c r="AC428" s="149"/>
      <c r="AD428" s="150"/>
      <c r="AE428" s="231"/>
      <c r="AF428" s="149"/>
      <c r="AG428" s="102">
        <v>1901</v>
      </c>
      <c r="AH428" s="308"/>
      <c r="AI428" s="149"/>
      <c r="AJ428" s="150"/>
      <c r="AK428" s="231"/>
      <c r="AL428" s="149"/>
      <c r="AM428" s="150"/>
      <c r="AN428" s="231"/>
      <c r="AO428" s="149"/>
      <c r="AP428" s="150"/>
      <c r="AQ428" s="231"/>
      <c r="AR428" s="149"/>
      <c r="AS428" s="150"/>
      <c r="AT428" s="231"/>
      <c r="AU428" s="149"/>
      <c r="AV428" s="149"/>
    </row>
    <row r="429" spans="1:48" s="34" customFormat="1" ht="12.75">
      <c r="A429" s="36"/>
      <c r="B429" s="36"/>
      <c r="C429" s="36"/>
      <c r="D429" s="36"/>
      <c r="E429" s="35"/>
      <c r="F429" s="143"/>
      <c r="G429" s="146"/>
      <c r="H429" s="149"/>
      <c r="I429" s="150"/>
      <c r="J429" s="231"/>
      <c r="K429" s="149"/>
      <c r="L429" s="150"/>
      <c r="M429" s="231"/>
      <c r="N429" s="149"/>
      <c r="O429" s="150"/>
      <c r="P429" s="231"/>
      <c r="Q429" s="262"/>
      <c r="R429" s="102"/>
      <c r="S429" s="268"/>
      <c r="T429" s="149"/>
      <c r="U429" s="102"/>
      <c r="V429" s="268"/>
      <c r="W429" s="149"/>
      <c r="X429" s="150"/>
      <c r="Y429" s="231"/>
      <c r="Z429" s="149"/>
      <c r="AA429" s="150">
        <v>1495</v>
      </c>
      <c r="AB429" s="231">
        <v>1495</v>
      </c>
      <c r="AC429" s="149"/>
      <c r="AD429" s="150"/>
      <c r="AE429" s="231"/>
      <c r="AF429" s="149"/>
      <c r="AG429" s="102">
        <v>13666</v>
      </c>
      <c r="AH429" s="308"/>
      <c r="AI429" s="149"/>
      <c r="AJ429" s="150"/>
      <c r="AK429" s="231"/>
      <c r="AL429" s="149"/>
      <c r="AM429" s="150"/>
      <c r="AN429" s="231"/>
      <c r="AO429" s="149"/>
      <c r="AP429" s="150"/>
      <c r="AQ429" s="231"/>
      <c r="AR429" s="149"/>
      <c r="AS429" s="150"/>
      <c r="AT429" s="231"/>
      <c r="AU429" s="149"/>
      <c r="AV429" s="149"/>
    </row>
    <row r="430" spans="1:48" s="34" customFormat="1" ht="12.75">
      <c r="A430" s="36"/>
      <c r="B430" s="36"/>
      <c r="C430" s="36"/>
      <c r="D430" s="36"/>
      <c r="E430" s="35"/>
      <c r="F430" s="143"/>
      <c r="G430" s="146"/>
      <c r="H430" s="149"/>
      <c r="I430" s="150"/>
      <c r="J430" s="231"/>
      <c r="K430" s="149"/>
      <c r="L430" s="150"/>
      <c r="M430" s="231"/>
      <c r="N430" s="149"/>
      <c r="O430" s="150"/>
      <c r="P430" s="231"/>
      <c r="Q430" s="262"/>
      <c r="R430" s="102"/>
      <c r="S430" s="268"/>
      <c r="T430" s="149"/>
      <c r="U430" s="102"/>
      <c r="V430" s="268"/>
      <c r="W430" s="149"/>
      <c r="X430" s="150"/>
      <c r="Y430" s="231"/>
      <c r="Z430" s="149"/>
      <c r="AA430" s="150">
        <v>3233</v>
      </c>
      <c r="AB430" s="231">
        <v>3233</v>
      </c>
      <c r="AC430" s="149"/>
      <c r="AD430" s="150"/>
      <c r="AE430" s="231"/>
      <c r="AF430" s="149"/>
      <c r="AG430" s="102"/>
      <c r="AH430" s="308">
        <v>72389</v>
      </c>
      <c r="AI430" s="149"/>
      <c r="AJ430" s="150"/>
      <c r="AK430" s="231"/>
      <c r="AL430" s="149"/>
      <c r="AM430" s="150"/>
      <c r="AN430" s="231"/>
      <c r="AO430" s="149"/>
      <c r="AP430" s="150"/>
      <c r="AQ430" s="231"/>
      <c r="AR430" s="149"/>
      <c r="AS430" s="150"/>
      <c r="AT430" s="231"/>
      <c r="AU430" s="149"/>
      <c r="AV430" s="149"/>
    </row>
    <row r="431" spans="1:48" s="34" customFormat="1" ht="12.75">
      <c r="A431" s="36"/>
      <c r="B431" s="36"/>
      <c r="C431" s="36"/>
      <c r="D431" s="36"/>
      <c r="E431" s="35"/>
      <c r="F431" s="143"/>
      <c r="G431" s="146"/>
      <c r="H431" s="149"/>
      <c r="I431" s="150"/>
      <c r="J431" s="231"/>
      <c r="K431" s="149"/>
      <c r="L431" s="150"/>
      <c r="M431" s="231"/>
      <c r="N431" s="149"/>
      <c r="O431" s="150"/>
      <c r="P431" s="231"/>
      <c r="Q431" s="262"/>
      <c r="R431" s="102"/>
      <c r="S431" s="268"/>
      <c r="T431" s="149"/>
      <c r="U431" s="102"/>
      <c r="V431" s="268"/>
      <c r="W431" s="149"/>
      <c r="X431" s="150"/>
      <c r="Y431" s="231"/>
      <c r="Z431" s="149"/>
      <c r="AA431" s="150">
        <v>2126</v>
      </c>
      <c r="AB431" s="231">
        <v>2126</v>
      </c>
      <c r="AC431" s="149"/>
      <c r="AD431" s="150"/>
      <c r="AE431" s="231"/>
      <c r="AF431" s="149"/>
      <c r="AG431" s="102">
        <v>15735</v>
      </c>
      <c r="AH431" s="308">
        <v>161690</v>
      </c>
      <c r="AI431" s="149"/>
      <c r="AJ431" s="150"/>
      <c r="AK431" s="231"/>
      <c r="AL431" s="149"/>
      <c r="AM431" s="150"/>
      <c r="AN431" s="231"/>
      <c r="AO431" s="149"/>
      <c r="AP431" s="150"/>
      <c r="AQ431" s="231"/>
      <c r="AR431" s="149"/>
      <c r="AS431" s="150"/>
      <c r="AT431" s="231"/>
      <c r="AU431" s="149"/>
      <c r="AV431" s="149"/>
    </row>
    <row r="432" spans="1:48" s="34" customFormat="1" ht="12.75">
      <c r="A432" s="36"/>
      <c r="B432" s="36"/>
      <c r="C432" s="36"/>
      <c r="D432" s="36"/>
      <c r="E432" s="35"/>
      <c r="F432" s="143"/>
      <c r="G432" s="146"/>
      <c r="H432" s="149"/>
      <c r="I432" s="150"/>
      <c r="J432" s="231"/>
      <c r="K432" s="149"/>
      <c r="L432" s="150"/>
      <c r="M432" s="231"/>
      <c r="N432" s="149"/>
      <c r="O432" s="150"/>
      <c r="P432" s="231"/>
      <c r="Q432" s="262"/>
      <c r="R432" s="102"/>
      <c r="S432" s="268"/>
      <c r="T432" s="149"/>
      <c r="U432" s="102"/>
      <c r="V432" s="268"/>
      <c r="W432" s="149"/>
      <c r="X432" s="150"/>
      <c r="Y432" s="231"/>
      <c r="Z432" s="149"/>
      <c r="AA432" s="150"/>
      <c r="AB432" s="231"/>
      <c r="AC432" s="149"/>
      <c r="AD432" s="150"/>
      <c r="AE432" s="231"/>
      <c r="AF432" s="149"/>
      <c r="AG432" s="102">
        <v>61800</v>
      </c>
      <c r="AH432" s="308">
        <v>39907</v>
      </c>
      <c r="AI432" s="149"/>
      <c r="AJ432" s="150"/>
      <c r="AK432" s="231"/>
      <c r="AL432" s="149"/>
      <c r="AM432" s="150"/>
      <c r="AN432" s="231"/>
      <c r="AO432" s="149"/>
      <c r="AP432" s="150"/>
      <c r="AQ432" s="231"/>
      <c r="AR432" s="149"/>
      <c r="AS432" s="150"/>
      <c r="AT432" s="231"/>
      <c r="AU432" s="149"/>
      <c r="AV432" s="149"/>
    </row>
    <row r="433" spans="1:48" s="34" customFormat="1" ht="12.75">
      <c r="A433" s="36"/>
      <c r="B433" s="36"/>
      <c r="C433" s="36"/>
      <c r="D433" s="36"/>
      <c r="E433" s="35"/>
      <c r="F433" s="143"/>
      <c r="G433" s="146"/>
      <c r="H433" s="149"/>
      <c r="I433" s="150"/>
      <c r="J433" s="231"/>
      <c r="K433" s="149"/>
      <c r="L433" s="150"/>
      <c r="M433" s="231"/>
      <c r="N433" s="149"/>
      <c r="O433" s="150"/>
      <c r="P433" s="231"/>
      <c r="Q433" s="262"/>
      <c r="R433" s="102"/>
      <c r="S433" s="268"/>
      <c r="T433" s="149"/>
      <c r="U433" s="102"/>
      <c r="V433" s="268"/>
      <c r="W433" s="149"/>
      <c r="X433" s="150"/>
      <c r="Y433" s="231"/>
      <c r="Z433" s="149"/>
      <c r="AA433" s="150">
        <v>23000</v>
      </c>
      <c r="AB433" s="231">
        <v>24000</v>
      </c>
      <c r="AC433" s="149"/>
      <c r="AD433" s="150"/>
      <c r="AE433" s="231"/>
      <c r="AF433" s="149"/>
      <c r="AG433" s="102">
        <v>17992</v>
      </c>
      <c r="AH433" s="308">
        <v>11892</v>
      </c>
      <c r="AI433" s="149" t="s">
        <v>634</v>
      </c>
      <c r="AJ433" s="150"/>
      <c r="AK433" s="231"/>
      <c r="AL433" s="149"/>
      <c r="AM433" s="150"/>
      <c r="AN433" s="231"/>
      <c r="AO433" s="149"/>
      <c r="AP433" s="150"/>
      <c r="AQ433" s="231"/>
      <c r="AR433" s="149"/>
      <c r="AS433" s="150"/>
      <c r="AT433" s="231"/>
      <c r="AU433" s="149"/>
      <c r="AV433" s="149"/>
    </row>
    <row r="434" spans="1:48" s="34" customFormat="1" ht="12.75">
      <c r="A434" s="36"/>
      <c r="B434" s="36"/>
      <c r="C434" s="36"/>
      <c r="D434" s="36"/>
      <c r="E434" s="35"/>
      <c r="F434" s="143"/>
      <c r="G434" s="146"/>
      <c r="H434" s="149"/>
      <c r="I434" s="150"/>
      <c r="J434" s="231"/>
      <c r="K434" s="149"/>
      <c r="L434" s="150"/>
      <c r="M434" s="231"/>
      <c r="N434" s="149"/>
      <c r="O434" s="150"/>
      <c r="P434" s="231"/>
      <c r="Q434" s="262"/>
      <c r="R434" s="102"/>
      <c r="S434" s="268"/>
      <c r="T434" s="149"/>
      <c r="U434" s="102"/>
      <c r="V434" s="268"/>
      <c r="W434" s="149"/>
      <c r="X434" s="150"/>
      <c r="Y434" s="231"/>
      <c r="Z434" s="149"/>
      <c r="AA434" s="150">
        <v>5600</v>
      </c>
      <c r="AB434" s="231">
        <v>4600</v>
      </c>
      <c r="AC434" s="149"/>
      <c r="AD434" s="150"/>
      <c r="AE434" s="231"/>
      <c r="AF434" s="149"/>
      <c r="AG434" s="102">
        <v>336</v>
      </c>
      <c r="AH434" s="308">
        <v>1193</v>
      </c>
      <c r="AI434" s="149"/>
      <c r="AJ434" s="150"/>
      <c r="AK434" s="231"/>
      <c r="AL434" s="149"/>
      <c r="AM434" s="150"/>
      <c r="AN434" s="231"/>
      <c r="AO434" s="149"/>
      <c r="AP434" s="150"/>
      <c r="AQ434" s="231"/>
      <c r="AR434" s="149"/>
      <c r="AS434" s="150"/>
      <c r="AT434" s="231"/>
      <c r="AU434" s="149"/>
      <c r="AV434" s="149"/>
    </row>
    <row r="435" spans="1:48" s="34" customFormat="1" ht="12.75">
      <c r="A435" s="36"/>
      <c r="B435" s="36"/>
      <c r="C435" s="36"/>
      <c r="D435" s="36"/>
      <c r="E435" s="35"/>
      <c r="F435" s="143"/>
      <c r="G435" s="146"/>
      <c r="H435" s="149"/>
      <c r="I435" s="150"/>
      <c r="J435" s="231"/>
      <c r="K435" s="149"/>
      <c r="L435" s="150"/>
      <c r="M435" s="231"/>
      <c r="N435" s="149"/>
      <c r="O435" s="150"/>
      <c r="P435" s="231"/>
      <c r="Q435" s="262"/>
      <c r="R435" s="102"/>
      <c r="S435" s="268"/>
      <c r="T435" s="149"/>
      <c r="U435" s="102"/>
      <c r="V435" s="268"/>
      <c r="W435" s="149"/>
      <c r="X435" s="150"/>
      <c r="Y435" s="231"/>
      <c r="Z435" s="149"/>
      <c r="AA435" s="150">
        <f>18287-1500</f>
        <v>16787</v>
      </c>
      <c r="AB435" s="231">
        <f>18287-1500</f>
        <v>16787</v>
      </c>
      <c r="AC435" s="149"/>
      <c r="AD435" s="150"/>
      <c r="AE435" s="231"/>
      <c r="AF435" s="149"/>
      <c r="AG435" s="102">
        <v>4665</v>
      </c>
      <c r="AH435" s="308">
        <v>4665</v>
      </c>
      <c r="AI435" s="149"/>
      <c r="AJ435" s="150"/>
      <c r="AK435" s="231"/>
      <c r="AL435" s="149"/>
      <c r="AM435" s="150"/>
      <c r="AN435" s="231"/>
      <c r="AO435" s="149"/>
      <c r="AP435" s="150"/>
      <c r="AQ435" s="231"/>
      <c r="AR435" s="149"/>
      <c r="AS435" s="150"/>
      <c r="AT435" s="231"/>
      <c r="AU435" s="149"/>
      <c r="AV435" s="149"/>
    </row>
    <row r="436" spans="1:48" s="34" customFormat="1" ht="12.75">
      <c r="A436" s="36"/>
      <c r="B436" s="36"/>
      <c r="C436" s="36"/>
      <c r="D436" s="36"/>
      <c r="E436" s="35"/>
      <c r="F436" s="143"/>
      <c r="G436" s="146"/>
      <c r="H436" s="149"/>
      <c r="I436" s="150"/>
      <c r="J436" s="231"/>
      <c r="K436" s="149"/>
      <c r="L436" s="150"/>
      <c r="M436" s="231"/>
      <c r="N436" s="149"/>
      <c r="O436" s="150"/>
      <c r="P436" s="231"/>
      <c r="Q436" s="262"/>
      <c r="R436" s="102"/>
      <c r="S436" s="268"/>
      <c r="T436" s="149"/>
      <c r="U436" s="102"/>
      <c r="V436" s="268"/>
      <c r="W436" s="149"/>
      <c r="X436" s="150"/>
      <c r="Y436" s="231"/>
      <c r="Z436" s="149"/>
      <c r="AA436" s="150">
        <v>500</v>
      </c>
      <c r="AB436" s="231">
        <v>500</v>
      </c>
      <c r="AC436" s="149"/>
      <c r="AD436" s="150"/>
      <c r="AE436" s="231"/>
      <c r="AF436" s="149"/>
      <c r="AG436" s="102">
        <v>294</v>
      </c>
      <c r="AH436" s="308">
        <v>294</v>
      </c>
      <c r="AI436" s="149"/>
      <c r="AJ436" s="150"/>
      <c r="AK436" s="231"/>
      <c r="AL436" s="149"/>
      <c r="AM436" s="150"/>
      <c r="AN436" s="231"/>
      <c r="AO436" s="149"/>
      <c r="AP436" s="150"/>
      <c r="AQ436" s="231"/>
      <c r="AR436" s="149"/>
      <c r="AS436" s="150"/>
      <c r="AT436" s="231"/>
      <c r="AU436" s="149"/>
      <c r="AV436" s="149"/>
    </row>
    <row r="437" spans="1:48" s="34" customFormat="1" ht="12.75">
      <c r="A437" s="36"/>
      <c r="B437" s="36"/>
      <c r="C437" s="36"/>
      <c r="D437" s="36"/>
      <c r="E437" s="35"/>
      <c r="F437" s="143"/>
      <c r="G437" s="146"/>
      <c r="H437" s="149"/>
      <c r="I437" s="150"/>
      <c r="J437" s="231"/>
      <c r="K437" s="149"/>
      <c r="L437" s="150"/>
      <c r="M437" s="231"/>
      <c r="N437" s="149"/>
      <c r="O437" s="150"/>
      <c r="P437" s="231"/>
      <c r="Q437" s="262"/>
      <c r="R437" s="102"/>
      <c r="S437" s="268"/>
      <c r="T437" s="149"/>
      <c r="U437" s="102"/>
      <c r="V437" s="268"/>
      <c r="W437" s="149"/>
      <c r="X437" s="150"/>
      <c r="Y437" s="231"/>
      <c r="Z437" s="149"/>
      <c r="AA437" s="150"/>
      <c r="AB437" s="231"/>
      <c r="AC437" s="149"/>
      <c r="AD437" s="150"/>
      <c r="AE437" s="231"/>
      <c r="AF437" s="149"/>
      <c r="AG437" s="102"/>
      <c r="AH437" s="308">
        <v>-3290</v>
      </c>
      <c r="AI437" s="149"/>
      <c r="AJ437" s="150"/>
      <c r="AK437" s="231"/>
      <c r="AL437" s="149"/>
      <c r="AM437" s="150"/>
      <c r="AN437" s="231"/>
      <c r="AO437" s="149"/>
      <c r="AP437" s="150"/>
      <c r="AQ437" s="231"/>
      <c r="AR437" s="149"/>
      <c r="AS437" s="150"/>
      <c r="AT437" s="231"/>
      <c r="AU437" s="149"/>
      <c r="AV437" s="149"/>
    </row>
    <row r="438" spans="1:48" s="34" customFormat="1" ht="12.75">
      <c r="A438" s="36"/>
      <c r="B438" s="36"/>
      <c r="C438" s="36"/>
      <c r="D438" s="36"/>
      <c r="E438" s="35"/>
      <c r="F438" s="143"/>
      <c r="G438" s="146"/>
      <c r="H438" s="149"/>
      <c r="I438" s="150"/>
      <c r="J438" s="231"/>
      <c r="K438" s="149"/>
      <c r="L438" s="150"/>
      <c r="M438" s="231"/>
      <c r="N438" s="149"/>
      <c r="O438" s="150"/>
      <c r="P438" s="231"/>
      <c r="Q438" s="262"/>
      <c r="R438" s="102"/>
      <c r="S438" s="268"/>
      <c r="T438" s="149"/>
      <c r="U438" s="102">
        <v>15000</v>
      </c>
      <c r="V438" s="268">
        <v>15000</v>
      </c>
      <c r="W438" s="149"/>
      <c r="X438" s="150"/>
      <c r="Y438" s="231"/>
      <c r="Z438" s="149"/>
      <c r="AA438" s="254">
        <f>SUM(AA402:AA436)</f>
        <v>144673</v>
      </c>
      <c r="AB438" s="254">
        <f>SUM(AB402:AB436)</f>
        <v>116722</v>
      </c>
      <c r="AC438" s="149"/>
      <c r="AD438" s="254"/>
      <c r="AE438" s="254"/>
      <c r="AF438" s="149"/>
      <c r="AG438" s="263">
        <f>SUM(AG428:AG436)</f>
        <v>116389</v>
      </c>
      <c r="AH438" s="263">
        <f>SUM(AH428:AH437)</f>
        <v>288740</v>
      </c>
      <c r="AI438" s="149"/>
      <c r="AJ438" s="254"/>
      <c r="AK438" s="254"/>
      <c r="AL438" s="149"/>
      <c r="AM438" s="254"/>
      <c r="AN438" s="254"/>
      <c r="AO438" s="149"/>
      <c r="AP438" s="254"/>
      <c r="AQ438" s="254"/>
      <c r="AR438" s="149"/>
      <c r="AS438" s="254"/>
      <c r="AT438" s="254"/>
      <c r="AU438" s="149"/>
      <c r="AV438" s="149"/>
    </row>
    <row r="439" spans="1:48" s="34" customFormat="1" ht="12.75">
      <c r="A439" s="36"/>
      <c r="B439" s="36"/>
      <c r="C439" s="36"/>
      <c r="D439" s="36"/>
      <c r="E439" s="35"/>
      <c r="F439" s="143"/>
      <c r="G439" s="146"/>
      <c r="H439" s="149"/>
      <c r="I439" s="150"/>
      <c r="J439" s="231"/>
      <c r="K439" s="149"/>
      <c r="L439" s="150"/>
      <c r="M439" s="231"/>
      <c r="N439" s="149"/>
      <c r="O439" s="150"/>
      <c r="P439" s="231"/>
      <c r="Q439" s="262"/>
      <c r="R439" s="102"/>
      <c r="S439" s="268"/>
      <c r="T439" s="149"/>
      <c r="U439" s="102">
        <v>10940</v>
      </c>
      <c r="V439" s="268">
        <v>10940</v>
      </c>
      <c r="W439" s="149"/>
      <c r="X439" s="150"/>
      <c r="Y439" s="231"/>
      <c r="Z439" s="149"/>
      <c r="AA439" s="150"/>
      <c r="AB439" s="231"/>
      <c r="AC439" s="149"/>
      <c r="AD439" s="150"/>
      <c r="AE439" s="231"/>
      <c r="AF439" s="149"/>
      <c r="AG439" s="150"/>
      <c r="AH439" s="231"/>
      <c r="AI439" s="149"/>
      <c r="AJ439" s="150"/>
      <c r="AK439" s="231"/>
      <c r="AL439" s="149"/>
      <c r="AM439" s="150"/>
      <c r="AN439" s="231"/>
      <c r="AO439" s="149"/>
      <c r="AP439" s="150"/>
      <c r="AQ439" s="231"/>
      <c r="AR439" s="149"/>
      <c r="AS439" s="150"/>
      <c r="AT439" s="231"/>
      <c r="AU439" s="149"/>
      <c r="AV439" s="149"/>
    </row>
    <row r="440" spans="1:48" s="34" customFormat="1" ht="12.75">
      <c r="A440" s="36"/>
      <c r="B440" s="36"/>
      <c r="C440" s="36"/>
      <c r="D440" s="36"/>
      <c r="E440" s="35"/>
      <c r="F440" s="143"/>
      <c r="G440" s="146"/>
      <c r="H440" s="149"/>
      <c r="I440" s="150"/>
      <c r="J440" s="231"/>
      <c r="K440" s="149"/>
      <c r="L440" s="150"/>
      <c r="M440" s="231"/>
      <c r="N440" s="149"/>
      <c r="O440" s="150"/>
      <c r="P440" s="231"/>
      <c r="Q440" s="262"/>
      <c r="R440" s="102"/>
      <c r="S440" s="268"/>
      <c r="T440" s="149"/>
      <c r="U440" s="102">
        <v>2600</v>
      </c>
      <c r="V440" s="268">
        <v>2600</v>
      </c>
      <c r="W440" s="149"/>
      <c r="X440" s="150"/>
      <c r="Y440" s="231"/>
      <c r="Z440" s="149"/>
      <c r="AA440" s="150"/>
      <c r="AB440" s="231"/>
      <c r="AC440" s="149"/>
      <c r="AD440" s="150"/>
      <c r="AE440" s="231"/>
      <c r="AF440" s="149"/>
      <c r="AG440" s="150"/>
      <c r="AH440" s="309">
        <f>SUM(AG438-AH438)</f>
        <v>-172351</v>
      </c>
      <c r="AI440" s="149"/>
      <c r="AJ440" s="150"/>
      <c r="AK440" s="309"/>
      <c r="AL440" s="149"/>
      <c r="AM440" s="150"/>
      <c r="AN440" s="309"/>
      <c r="AO440" s="149"/>
      <c r="AP440" s="150"/>
      <c r="AQ440" s="309"/>
      <c r="AR440" s="149"/>
      <c r="AS440" s="150"/>
      <c r="AT440" s="309"/>
      <c r="AU440" s="149"/>
      <c r="AV440" s="149"/>
    </row>
    <row r="441" spans="1:48" s="34" customFormat="1" ht="12.75">
      <c r="A441" s="36"/>
      <c r="B441" s="36"/>
      <c r="C441" s="36"/>
      <c r="D441" s="36"/>
      <c r="E441" s="35"/>
      <c r="F441" s="143"/>
      <c r="G441" s="146"/>
      <c r="H441" s="149"/>
      <c r="I441" s="150"/>
      <c r="J441" s="231"/>
      <c r="K441" s="149"/>
      <c r="L441" s="150"/>
      <c r="M441" s="231"/>
      <c r="N441" s="149"/>
      <c r="O441" s="150"/>
      <c r="P441" s="231"/>
      <c r="Q441" s="262"/>
      <c r="R441" s="102"/>
      <c r="S441" s="268"/>
      <c r="T441" s="149"/>
      <c r="U441" s="102">
        <v>50000</v>
      </c>
      <c r="V441" s="268">
        <v>50000</v>
      </c>
      <c r="W441" s="149"/>
      <c r="X441" s="150"/>
      <c r="Y441" s="231"/>
      <c r="Z441" s="149"/>
      <c r="AA441" s="150"/>
      <c r="AB441" s="231"/>
      <c r="AC441" s="149"/>
      <c r="AD441" s="150"/>
      <c r="AE441" s="231"/>
      <c r="AF441" s="149"/>
      <c r="AG441" s="150"/>
      <c r="AH441" s="231"/>
      <c r="AI441" s="149"/>
      <c r="AJ441" s="150"/>
      <c r="AK441" s="231"/>
      <c r="AL441" s="149"/>
      <c r="AM441" s="150"/>
      <c r="AN441" s="231"/>
      <c r="AO441" s="149"/>
      <c r="AP441" s="150"/>
      <c r="AQ441" s="231"/>
      <c r="AR441" s="149"/>
      <c r="AS441" s="150"/>
      <c r="AT441" s="231"/>
      <c r="AU441" s="149"/>
      <c r="AV441" s="149"/>
    </row>
    <row r="442" spans="1:48" s="34" customFormat="1" ht="12.75">
      <c r="A442" s="36"/>
      <c r="B442" s="36"/>
      <c r="C442" s="36"/>
      <c r="D442" s="36"/>
      <c r="E442" s="35"/>
      <c r="F442" s="143"/>
      <c r="G442" s="146"/>
      <c r="H442" s="149"/>
      <c r="I442" s="150"/>
      <c r="J442" s="231"/>
      <c r="K442" s="149"/>
      <c r="L442" s="150"/>
      <c r="M442" s="231"/>
      <c r="N442" s="149"/>
      <c r="O442" s="150"/>
      <c r="P442" s="231"/>
      <c r="Q442" s="262"/>
      <c r="R442" s="102"/>
      <c r="S442" s="268"/>
      <c r="T442" s="149"/>
      <c r="U442" s="102">
        <v>400000</v>
      </c>
      <c r="V442" s="268">
        <v>400000</v>
      </c>
      <c r="W442" s="149"/>
      <c r="X442" s="150"/>
      <c r="Y442" s="231"/>
      <c r="Z442" s="149"/>
      <c r="AA442" s="150"/>
      <c r="AB442" s="231"/>
      <c r="AC442" s="149"/>
      <c r="AD442" s="150"/>
      <c r="AE442" s="231"/>
      <c r="AF442" s="149"/>
      <c r="AG442" s="150"/>
      <c r="AH442" s="231"/>
      <c r="AI442" s="149"/>
      <c r="AJ442" s="150"/>
      <c r="AK442" s="231"/>
      <c r="AL442" s="149"/>
      <c r="AM442" s="150"/>
      <c r="AN442" s="231"/>
      <c r="AO442" s="149"/>
      <c r="AP442" s="150"/>
      <c r="AQ442" s="231"/>
      <c r="AR442" s="149"/>
      <c r="AS442" s="150"/>
      <c r="AT442" s="231"/>
      <c r="AU442" s="149"/>
      <c r="AV442" s="149"/>
    </row>
    <row r="443" spans="1:48" s="34" customFormat="1" ht="12.75">
      <c r="A443" s="36"/>
      <c r="B443" s="36"/>
      <c r="C443" s="36"/>
      <c r="D443" s="36"/>
      <c r="E443" s="35"/>
      <c r="F443" s="143"/>
      <c r="G443" s="146"/>
      <c r="H443" s="149"/>
      <c r="I443" s="150"/>
      <c r="J443" s="231"/>
      <c r="K443" s="149"/>
      <c r="L443" s="150"/>
      <c r="M443" s="231"/>
      <c r="N443" s="149"/>
      <c r="O443" s="150"/>
      <c r="P443" s="231"/>
      <c r="Q443" s="262"/>
      <c r="R443" s="102"/>
      <c r="S443" s="268"/>
      <c r="T443" s="149"/>
      <c r="U443" s="102">
        <v>15000</v>
      </c>
      <c r="V443" s="268">
        <v>15000</v>
      </c>
      <c r="W443" s="149"/>
      <c r="X443" s="150"/>
      <c r="Y443" s="231"/>
      <c r="Z443" s="149"/>
      <c r="AA443" s="150"/>
      <c r="AB443" s="231"/>
      <c r="AC443" s="149"/>
      <c r="AD443" s="150"/>
      <c r="AE443" s="231"/>
      <c r="AF443" s="149"/>
      <c r="AG443" s="102"/>
      <c r="AH443" s="308">
        <v>5095</v>
      </c>
      <c r="AI443" s="149"/>
      <c r="AJ443" s="150"/>
      <c r="AK443" s="231"/>
      <c r="AL443" s="149"/>
      <c r="AM443" s="150"/>
      <c r="AN443" s="231"/>
      <c r="AO443" s="149"/>
      <c r="AP443" s="150"/>
      <c r="AQ443" s="231"/>
      <c r="AR443" s="149"/>
      <c r="AS443" s="150"/>
      <c r="AT443" s="231"/>
      <c r="AU443" s="149"/>
      <c r="AV443" s="149"/>
    </row>
    <row r="444" spans="1:48" s="34" customFormat="1" ht="12.75">
      <c r="A444" s="36"/>
      <c r="B444" s="36"/>
      <c r="C444" s="36"/>
      <c r="D444" s="36"/>
      <c r="E444" s="35"/>
      <c r="F444" s="143"/>
      <c r="G444" s="146"/>
      <c r="H444" s="149"/>
      <c r="I444" s="150"/>
      <c r="J444" s="231"/>
      <c r="K444" s="149"/>
      <c r="L444" s="150"/>
      <c r="M444" s="231"/>
      <c r="N444" s="149"/>
      <c r="O444" s="150"/>
      <c r="P444" s="231"/>
      <c r="Q444" s="262"/>
      <c r="R444" s="102"/>
      <c r="S444" s="268"/>
      <c r="T444" s="149"/>
      <c r="U444" s="102">
        <v>25232</v>
      </c>
      <c r="V444" s="268">
        <v>25232</v>
      </c>
      <c r="W444" s="149"/>
      <c r="X444" s="150"/>
      <c r="Y444" s="231"/>
      <c r="Z444" s="149"/>
      <c r="AA444" s="150"/>
      <c r="AB444" s="231"/>
      <c r="AC444" s="149"/>
      <c r="AD444" s="150"/>
      <c r="AE444" s="231"/>
      <c r="AF444" s="149"/>
      <c r="AG444" s="102">
        <v>23561</v>
      </c>
      <c r="AH444" s="308"/>
      <c r="AI444" s="149"/>
      <c r="AJ444" s="150"/>
      <c r="AK444" s="231"/>
      <c r="AL444" s="149"/>
      <c r="AM444" s="150"/>
      <c r="AN444" s="231"/>
      <c r="AO444" s="149"/>
      <c r="AP444" s="150"/>
      <c r="AQ444" s="231"/>
      <c r="AR444" s="149"/>
      <c r="AS444" s="150"/>
      <c r="AT444" s="231"/>
      <c r="AU444" s="149"/>
      <c r="AV444" s="149"/>
    </row>
    <row r="445" spans="1:48" s="34" customFormat="1" ht="12.75">
      <c r="A445" s="36"/>
      <c r="B445" s="36"/>
      <c r="C445" s="36"/>
      <c r="D445" s="36"/>
      <c r="E445" s="35"/>
      <c r="F445" s="143"/>
      <c r="G445" s="146"/>
      <c r="H445" s="149"/>
      <c r="I445" s="150"/>
      <c r="J445" s="231"/>
      <c r="K445" s="149"/>
      <c r="L445" s="150"/>
      <c r="M445" s="231"/>
      <c r="N445" s="149"/>
      <c r="O445" s="150"/>
      <c r="P445" s="231"/>
      <c r="Q445" s="262" t="s">
        <v>489</v>
      </c>
      <c r="R445" s="102">
        <v>2650</v>
      </c>
      <c r="S445" s="268">
        <v>-2650</v>
      </c>
      <c r="T445" s="255" t="s">
        <v>85</v>
      </c>
      <c r="U445" s="263">
        <f>SUM(U400:U444)</f>
        <v>606365</v>
      </c>
      <c r="V445" s="269">
        <f>SUM(V400:V444)</f>
        <v>556355</v>
      </c>
      <c r="W445" s="149"/>
      <c r="X445" s="254"/>
      <c r="Y445" s="254"/>
      <c r="Z445" s="149"/>
      <c r="AA445" s="254"/>
      <c r="AB445" s="254"/>
      <c r="AC445" s="149"/>
      <c r="AD445" s="254"/>
      <c r="AE445" s="254"/>
      <c r="AF445" s="149"/>
      <c r="AG445" s="102">
        <v>5000</v>
      </c>
      <c r="AH445" s="308"/>
      <c r="AI445" s="149" t="s">
        <v>632</v>
      </c>
      <c r="AJ445" s="150"/>
      <c r="AK445" s="231"/>
      <c r="AL445" s="149"/>
      <c r="AM445" s="150"/>
      <c r="AN445" s="231"/>
      <c r="AO445" s="149"/>
      <c r="AP445" s="150"/>
      <c r="AQ445" s="231"/>
      <c r="AR445" s="149"/>
      <c r="AS445" s="150"/>
      <c r="AT445" s="231"/>
      <c r="AU445" s="149"/>
      <c r="AV445" s="149"/>
    </row>
    <row r="446" spans="1:48" s="34" customFormat="1" ht="12.75">
      <c r="A446" s="36"/>
      <c r="B446" s="36"/>
      <c r="C446" s="36"/>
      <c r="D446" s="36"/>
      <c r="E446" s="35"/>
      <c r="F446" s="143"/>
      <c r="G446" s="146"/>
      <c r="H446" s="149"/>
      <c r="I446" s="150"/>
      <c r="J446" s="231"/>
      <c r="K446" s="149"/>
      <c r="L446" s="150"/>
      <c r="M446" s="231"/>
      <c r="N446" s="149"/>
      <c r="O446" s="150"/>
      <c r="P446" s="231"/>
      <c r="Q446" s="262" t="s">
        <v>490</v>
      </c>
      <c r="R446" s="102">
        <v>1126</v>
      </c>
      <c r="S446" s="268">
        <v>-1126</v>
      </c>
      <c r="T446" s="149"/>
      <c r="U446" s="150"/>
      <c r="V446" s="231"/>
      <c r="W446" s="149"/>
      <c r="X446" s="150"/>
      <c r="Y446" s="231"/>
      <c r="Z446" s="149"/>
      <c r="AA446" s="150"/>
      <c r="AB446" s="231"/>
      <c r="AC446" s="149"/>
      <c r="AD446" s="150"/>
      <c r="AE446" s="231"/>
      <c r="AF446" s="149"/>
      <c r="AG446" s="102">
        <v>5095</v>
      </c>
      <c r="AH446" s="308"/>
      <c r="AI446" s="149"/>
      <c r="AJ446" s="150"/>
      <c r="AK446" s="231"/>
      <c r="AL446" s="149"/>
      <c r="AM446" s="150"/>
      <c r="AN446" s="231"/>
      <c r="AO446" s="149"/>
      <c r="AP446" s="150"/>
      <c r="AQ446" s="231"/>
      <c r="AR446" s="149"/>
      <c r="AS446" s="150"/>
      <c r="AT446" s="231"/>
      <c r="AU446" s="149"/>
      <c r="AV446" s="149"/>
    </row>
    <row r="447" spans="1:48" s="34" customFormat="1" ht="12.75">
      <c r="A447" s="36"/>
      <c r="B447" s="36"/>
      <c r="C447" s="36"/>
      <c r="D447" s="36"/>
      <c r="E447" s="35"/>
      <c r="F447" s="143"/>
      <c r="G447" s="146"/>
      <c r="H447" s="149"/>
      <c r="I447" s="150"/>
      <c r="J447" s="231"/>
      <c r="K447" s="149"/>
      <c r="L447" s="150"/>
      <c r="M447" s="231"/>
      <c r="N447" s="149"/>
      <c r="O447" s="150"/>
      <c r="P447" s="231"/>
      <c r="Q447" s="262"/>
      <c r="R447" s="102"/>
      <c r="S447" s="268"/>
      <c r="T447" s="149"/>
      <c r="U447" s="150"/>
      <c r="V447" s="231"/>
      <c r="W447" s="149"/>
      <c r="X447" s="150"/>
      <c r="Y447" s="231"/>
      <c r="Z447" s="149"/>
      <c r="AA447" s="150"/>
      <c r="AB447" s="231"/>
      <c r="AC447" s="149"/>
      <c r="AD447" s="150"/>
      <c r="AE447" s="231"/>
      <c r="AF447" s="149"/>
      <c r="AG447" s="102">
        <v>5000</v>
      </c>
      <c r="AH447" s="308"/>
      <c r="AI447" s="149"/>
      <c r="AJ447" s="150"/>
      <c r="AK447" s="231"/>
      <c r="AL447" s="149"/>
      <c r="AM447" s="150"/>
      <c r="AN447" s="231"/>
      <c r="AO447" s="149"/>
      <c r="AP447" s="150"/>
      <c r="AQ447" s="231"/>
      <c r="AR447" s="149"/>
      <c r="AS447" s="150"/>
      <c r="AT447" s="231"/>
      <c r="AU447" s="149"/>
      <c r="AV447" s="149"/>
    </row>
    <row r="448" spans="1:48" s="34" customFormat="1" ht="12.75">
      <c r="A448" s="36"/>
      <c r="B448" s="36"/>
      <c r="C448" s="36"/>
      <c r="D448" s="36"/>
      <c r="E448" s="35"/>
      <c r="F448" s="143"/>
      <c r="G448" s="146"/>
      <c r="H448" s="149"/>
      <c r="I448" s="150"/>
      <c r="J448" s="231"/>
      <c r="K448" s="149"/>
      <c r="L448" s="150"/>
      <c r="M448" s="231"/>
      <c r="N448" s="149"/>
      <c r="O448" s="150"/>
      <c r="P448" s="231"/>
      <c r="Q448" s="262"/>
      <c r="R448" s="102"/>
      <c r="S448" s="268"/>
      <c r="T448" s="149"/>
      <c r="U448" s="150"/>
      <c r="V448" s="231">
        <f>SUM(U445-V445)</f>
        <v>50010</v>
      </c>
      <c r="W448" s="149"/>
      <c r="X448" s="150"/>
      <c r="Y448" s="231"/>
      <c r="Z448" s="149"/>
      <c r="AA448" s="150"/>
      <c r="AB448" s="231"/>
      <c r="AC448" s="149"/>
      <c r="AD448" s="150"/>
      <c r="AE448" s="231"/>
      <c r="AF448" s="149"/>
      <c r="AG448" s="102"/>
      <c r="AH448" s="308">
        <v>5000</v>
      </c>
      <c r="AI448" s="149"/>
      <c r="AJ448" s="150"/>
      <c r="AK448" s="231"/>
      <c r="AL448" s="149"/>
      <c r="AM448" s="150"/>
      <c r="AN448" s="231"/>
      <c r="AO448" s="149"/>
      <c r="AP448" s="150"/>
      <c r="AQ448" s="231"/>
      <c r="AR448" s="149"/>
      <c r="AS448" s="150"/>
      <c r="AT448" s="231"/>
      <c r="AU448" s="149"/>
      <c r="AV448" s="149"/>
    </row>
    <row r="449" spans="1:48" s="34" customFormat="1" ht="12.75">
      <c r="A449" s="36"/>
      <c r="B449" s="36"/>
      <c r="C449" s="36"/>
      <c r="D449" s="36"/>
      <c r="E449" s="35"/>
      <c r="F449" s="143"/>
      <c r="G449" s="146"/>
      <c r="H449" s="149"/>
      <c r="I449" s="150"/>
      <c r="J449" s="231"/>
      <c r="K449" s="149"/>
      <c r="L449" s="150"/>
      <c r="M449" s="231"/>
      <c r="N449" s="149"/>
      <c r="O449" s="150"/>
      <c r="P449" s="231"/>
      <c r="Q449" s="262" t="s">
        <v>492</v>
      </c>
      <c r="R449" s="102">
        <v>67013</v>
      </c>
      <c r="S449" s="268">
        <v>-67013</v>
      </c>
      <c r="T449" s="149"/>
      <c r="U449" s="150"/>
      <c r="V449" s="231"/>
      <c r="W449" s="149"/>
      <c r="X449" s="150"/>
      <c r="Y449" s="231"/>
      <c r="Z449" s="149"/>
      <c r="AA449" s="150"/>
      <c r="AB449" s="231"/>
      <c r="AC449" s="149"/>
      <c r="AD449" s="150"/>
      <c r="AE449" s="231"/>
      <c r="AF449" s="149"/>
      <c r="AG449" s="263">
        <f>SUM(AG443:AG448)</f>
        <v>38656</v>
      </c>
      <c r="AH449" s="263">
        <f>SUM(AH443:AH448)</f>
        <v>10095</v>
      </c>
      <c r="AI449" s="149"/>
      <c r="AJ449" s="254"/>
      <c r="AK449" s="254"/>
      <c r="AL449" s="149"/>
      <c r="AM449" s="254"/>
      <c r="AN449" s="254"/>
      <c r="AO449" s="149"/>
      <c r="AP449" s="254"/>
      <c r="AQ449" s="254"/>
      <c r="AR449" s="149"/>
      <c r="AS449" s="254"/>
      <c r="AT449" s="254"/>
      <c r="AU449" s="149"/>
      <c r="AV449" s="149"/>
    </row>
    <row r="450" spans="1:48" s="34" customFormat="1" ht="12.75">
      <c r="A450" s="36"/>
      <c r="B450" s="36"/>
      <c r="C450" s="36"/>
      <c r="D450" s="36"/>
      <c r="E450" s="35"/>
      <c r="F450" s="143"/>
      <c r="G450" s="146"/>
      <c r="H450" s="149"/>
      <c r="I450" s="150"/>
      <c r="J450" s="231"/>
      <c r="K450" s="149"/>
      <c r="L450" s="150"/>
      <c r="M450" s="231"/>
      <c r="N450" s="149"/>
      <c r="O450" s="150"/>
      <c r="P450" s="231"/>
      <c r="Q450" s="262" t="s">
        <v>493</v>
      </c>
      <c r="R450" s="102">
        <f>22669+1930</f>
        <v>24599</v>
      </c>
      <c r="S450" s="268">
        <f>-22669-1930</f>
        <v>-24599</v>
      </c>
      <c r="T450" s="149"/>
      <c r="U450" s="150"/>
      <c r="V450" s="231"/>
      <c r="W450" s="149"/>
      <c r="X450" s="150"/>
      <c r="Y450" s="231"/>
      <c r="Z450" s="149"/>
      <c r="AA450" s="150"/>
      <c r="AB450" s="231"/>
      <c r="AC450" s="149"/>
      <c r="AD450" s="150"/>
      <c r="AE450" s="231"/>
      <c r="AF450" s="149"/>
      <c r="AG450" s="150"/>
      <c r="AH450" s="231"/>
      <c r="AI450" s="149"/>
      <c r="AJ450" s="150"/>
      <c r="AK450" s="231"/>
      <c r="AL450" s="149"/>
      <c r="AM450" s="150"/>
      <c r="AN450" s="231"/>
      <c r="AO450" s="149"/>
      <c r="AP450" s="150"/>
      <c r="AQ450" s="231"/>
      <c r="AR450" s="149"/>
      <c r="AS450" s="150"/>
      <c r="AT450" s="231"/>
      <c r="AU450" s="149"/>
      <c r="AV450" s="149"/>
    </row>
    <row r="451" spans="1:48" s="34" customFormat="1" ht="12.75">
      <c r="A451" s="36"/>
      <c r="B451" s="36"/>
      <c r="C451" s="36"/>
      <c r="D451" s="36"/>
      <c r="E451" s="35"/>
      <c r="F451" s="143"/>
      <c r="G451" s="146"/>
      <c r="H451" s="149"/>
      <c r="I451" s="150"/>
      <c r="J451" s="231"/>
      <c r="K451" s="149"/>
      <c r="L451" s="150"/>
      <c r="M451" s="231"/>
      <c r="N451" s="149"/>
      <c r="O451" s="150"/>
      <c r="P451" s="231"/>
      <c r="Q451" s="262" t="s">
        <v>67</v>
      </c>
      <c r="R451" s="102"/>
      <c r="S451" s="268">
        <v>-16800</v>
      </c>
      <c r="T451" s="149"/>
      <c r="U451" s="150"/>
      <c r="V451" s="231"/>
      <c r="W451" s="149"/>
      <c r="X451" s="150"/>
      <c r="Y451" s="231"/>
      <c r="Z451" s="149"/>
      <c r="AA451" s="150"/>
      <c r="AB451" s="231"/>
      <c r="AC451" s="149"/>
      <c r="AD451" s="150"/>
      <c r="AE451" s="231"/>
      <c r="AF451" s="149"/>
      <c r="AG451" s="150"/>
      <c r="AH451" s="309">
        <f>AG449-AH449</f>
        <v>28561</v>
      </c>
      <c r="AI451" s="149"/>
      <c r="AJ451" s="150"/>
      <c r="AK451" s="309"/>
      <c r="AL451" s="149"/>
      <c r="AM451" s="150"/>
      <c r="AN451" s="309"/>
      <c r="AO451" s="149"/>
      <c r="AP451" s="150"/>
      <c r="AQ451" s="309"/>
      <c r="AR451" s="149"/>
      <c r="AS451" s="150"/>
      <c r="AT451" s="309"/>
      <c r="AU451" s="149"/>
      <c r="AV451" s="149"/>
    </row>
    <row r="452" spans="1:48" s="34" customFormat="1" ht="12.75">
      <c r="A452" s="36"/>
      <c r="B452" s="36"/>
      <c r="C452" s="36"/>
      <c r="D452" s="36"/>
      <c r="E452" s="35"/>
      <c r="F452" s="143"/>
      <c r="G452" s="146"/>
      <c r="H452" s="149"/>
      <c r="I452" s="150"/>
      <c r="J452" s="231"/>
      <c r="K452" s="149"/>
      <c r="L452" s="150"/>
      <c r="M452" s="231"/>
      <c r="N452" s="149"/>
      <c r="O452" s="150"/>
      <c r="P452" s="231"/>
      <c r="Q452" s="262" t="s">
        <v>494</v>
      </c>
      <c r="R452" s="102">
        <v>30600</v>
      </c>
      <c r="S452" s="268"/>
      <c r="T452" s="149"/>
      <c r="U452" s="150"/>
      <c r="V452" s="231"/>
      <c r="W452" s="149"/>
      <c r="X452" s="150"/>
      <c r="Y452" s="231"/>
      <c r="Z452" s="149"/>
      <c r="AA452" s="150"/>
      <c r="AB452" s="231"/>
      <c r="AC452" s="149"/>
      <c r="AD452" s="150"/>
      <c r="AE452" s="231"/>
      <c r="AF452" s="149"/>
      <c r="AG452" s="150"/>
      <c r="AH452" s="231"/>
      <c r="AI452" s="149"/>
      <c r="AJ452" s="150"/>
      <c r="AK452" s="231"/>
      <c r="AL452" s="149"/>
      <c r="AM452" s="150"/>
      <c r="AN452" s="231"/>
      <c r="AO452" s="149"/>
      <c r="AP452" s="150"/>
      <c r="AQ452" s="231"/>
      <c r="AR452" s="149"/>
      <c r="AS452" s="150"/>
      <c r="AT452" s="231"/>
      <c r="AU452" s="149"/>
      <c r="AV452" s="149"/>
    </row>
    <row r="453" spans="1:48" s="34" customFormat="1" ht="12.75">
      <c r="A453" s="36"/>
      <c r="B453" s="36"/>
      <c r="C453" s="36"/>
      <c r="D453" s="36"/>
      <c r="E453" s="35"/>
      <c r="F453" s="143"/>
      <c r="G453" s="146"/>
      <c r="H453" s="149"/>
      <c r="I453" s="150"/>
      <c r="J453" s="231"/>
      <c r="K453" s="149"/>
      <c r="L453" s="150"/>
      <c r="M453" s="231"/>
      <c r="N453" s="149"/>
      <c r="O453" s="150"/>
      <c r="P453" s="231"/>
      <c r="Q453" s="262" t="s">
        <v>495</v>
      </c>
      <c r="R453" s="102">
        <v>6900</v>
      </c>
      <c r="S453" s="268"/>
      <c r="T453" s="149"/>
      <c r="U453" s="150"/>
      <c r="V453" s="231"/>
      <c r="W453" s="149"/>
      <c r="X453" s="150"/>
      <c r="Y453" s="231"/>
      <c r="Z453" s="149"/>
      <c r="AA453" s="150"/>
      <c r="AB453" s="231"/>
      <c r="AC453" s="149"/>
      <c r="AD453" s="150"/>
      <c r="AE453" s="231"/>
      <c r="AF453" s="149"/>
      <c r="AG453" s="150"/>
      <c r="AH453" s="231"/>
      <c r="AI453" s="149"/>
      <c r="AJ453" s="150"/>
      <c r="AK453" s="231"/>
      <c r="AL453" s="149"/>
      <c r="AM453" s="150"/>
      <c r="AN453" s="231"/>
      <c r="AO453" s="149"/>
      <c r="AP453" s="150"/>
      <c r="AQ453" s="231"/>
      <c r="AR453" s="149"/>
      <c r="AS453" s="150"/>
      <c r="AT453" s="231"/>
      <c r="AU453" s="149"/>
      <c r="AV453" s="149"/>
    </row>
    <row r="454" spans="1:48" s="34" customFormat="1" ht="12.75">
      <c r="A454" s="36"/>
      <c r="B454" s="36"/>
      <c r="C454" s="36"/>
      <c r="D454" s="36"/>
      <c r="E454" s="35"/>
      <c r="F454" s="143"/>
      <c r="G454" s="146"/>
      <c r="H454" s="149"/>
      <c r="I454" s="150"/>
      <c r="J454" s="231"/>
      <c r="K454" s="149"/>
      <c r="L454" s="150"/>
      <c r="M454" s="231"/>
      <c r="N454" s="149"/>
      <c r="O454" s="150"/>
      <c r="P454" s="231"/>
      <c r="Q454" s="262" t="s">
        <v>496</v>
      </c>
      <c r="R454" s="102"/>
      <c r="S454" s="268">
        <v>-40000</v>
      </c>
      <c r="T454" s="149"/>
      <c r="U454" s="150"/>
      <c r="V454" s="231"/>
      <c r="W454" s="149"/>
      <c r="X454" s="150"/>
      <c r="Y454" s="231"/>
      <c r="Z454" s="149"/>
      <c r="AA454" s="150"/>
      <c r="AB454" s="231"/>
      <c r="AC454" s="149"/>
      <c r="AD454" s="150"/>
      <c r="AE454" s="231"/>
      <c r="AF454" s="149"/>
      <c r="AG454" s="263">
        <f>229500+20000</f>
        <v>249500</v>
      </c>
      <c r="AH454" s="310">
        <f>53370-10500+30500</f>
        <v>73370</v>
      </c>
      <c r="AI454" s="149" t="s">
        <v>633</v>
      </c>
      <c r="AJ454" s="254"/>
      <c r="AK454" s="309"/>
      <c r="AL454" s="149"/>
      <c r="AM454" s="254"/>
      <c r="AN454" s="309"/>
      <c r="AO454" s="149"/>
      <c r="AP454" s="254"/>
      <c r="AQ454" s="309"/>
      <c r="AR454" s="149"/>
      <c r="AS454" s="254"/>
      <c r="AT454" s="309"/>
      <c r="AU454" s="149"/>
      <c r="AV454" s="149"/>
    </row>
    <row r="455" spans="1:48" s="34" customFormat="1" ht="12.75">
      <c r="A455" s="36"/>
      <c r="B455" s="36"/>
      <c r="C455" s="36"/>
      <c r="D455" s="36"/>
      <c r="E455" s="35"/>
      <c r="F455" s="143"/>
      <c r="G455" s="146"/>
      <c r="H455" s="149"/>
      <c r="I455" s="150"/>
      <c r="J455" s="231"/>
      <c r="K455" s="149"/>
      <c r="L455" s="150"/>
      <c r="M455" s="231"/>
      <c r="N455" s="149"/>
      <c r="O455" s="150"/>
      <c r="P455" s="231"/>
      <c r="Q455" s="262" t="s">
        <v>353</v>
      </c>
      <c r="R455" s="102"/>
      <c r="S455" s="268">
        <v>-13800</v>
      </c>
      <c r="T455" s="149"/>
      <c r="U455" s="150"/>
      <c r="V455" s="231"/>
      <c r="W455" s="149"/>
      <c r="X455" s="150"/>
      <c r="Y455" s="231"/>
      <c r="Z455" s="149"/>
      <c r="AA455" s="150"/>
      <c r="AB455" s="231"/>
      <c r="AC455" s="149"/>
      <c r="AD455" s="150"/>
      <c r="AE455" s="231"/>
      <c r="AF455" s="149"/>
      <c r="AG455" s="150"/>
      <c r="AH455" s="231"/>
      <c r="AI455" s="149"/>
      <c r="AJ455" s="150"/>
      <c r="AK455" s="231"/>
      <c r="AL455" s="149"/>
      <c r="AM455" s="150"/>
      <c r="AN455" s="231"/>
      <c r="AO455" s="149"/>
      <c r="AP455" s="150"/>
      <c r="AQ455" s="231"/>
      <c r="AR455" s="149"/>
      <c r="AS455" s="150"/>
      <c r="AT455" s="231"/>
      <c r="AU455" s="149"/>
      <c r="AV455" s="149"/>
    </row>
    <row r="456" spans="1:48" s="34" customFormat="1" ht="12.75">
      <c r="A456" s="36"/>
      <c r="B456" s="36"/>
      <c r="C456" s="36"/>
      <c r="D456" s="36"/>
      <c r="E456" s="35"/>
      <c r="F456" s="143"/>
      <c r="G456" s="146"/>
      <c r="H456" s="149"/>
      <c r="I456" s="150"/>
      <c r="J456" s="231"/>
      <c r="K456" s="149"/>
      <c r="L456" s="150"/>
      <c r="M456" s="231"/>
      <c r="N456" s="149"/>
      <c r="O456" s="150"/>
      <c r="P456" s="231"/>
      <c r="Q456" s="262">
        <v>90011</v>
      </c>
      <c r="R456" s="102">
        <v>33100</v>
      </c>
      <c r="S456" s="268"/>
      <c r="T456" s="149"/>
      <c r="U456" s="150"/>
      <c r="V456" s="231"/>
      <c r="W456" s="149"/>
      <c r="X456" s="150"/>
      <c r="Y456" s="231"/>
      <c r="Z456" s="149"/>
      <c r="AA456" s="150"/>
      <c r="AB456" s="231"/>
      <c r="AC456" s="149"/>
      <c r="AD456" s="150"/>
      <c r="AE456" s="231"/>
      <c r="AF456" s="149"/>
      <c r="AG456" s="150"/>
      <c r="AH456" s="309">
        <f>AG454-AH454</f>
        <v>176130</v>
      </c>
      <c r="AI456" s="149"/>
      <c r="AJ456" s="150"/>
      <c r="AK456" s="309"/>
      <c r="AL456" s="149"/>
      <c r="AM456" s="150"/>
      <c r="AN456" s="309"/>
      <c r="AO456" s="149"/>
      <c r="AP456" s="150"/>
      <c r="AQ456" s="309"/>
      <c r="AR456" s="149"/>
      <c r="AS456" s="150"/>
      <c r="AT456" s="309"/>
      <c r="AU456" s="149"/>
      <c r="AV456" s="149"/>
    </row>
    <row r="457" spans="1:48" s="34" customFormat="1" ht="12.75">
      <c r="A457" s="36"/>
      <c r="B457" s="36"/>
      <c r="C457" s="36"/>
      <c r="D457" s="36"/>
      <c r="E457" s="35"/>
      <c r="F457" s="143"/>
      <c r="G457" s="146"/>
      <c r="H457" s="149"/>
      <c r="I457" s="150"/>
      <c r="J457" s="231"/>
      <c r="K457" s="149"/>
      <c r="L457" s="150"/>
      <c r="M457" s="231"/>
      <c r="N457" s="149"/>
      <c r="O457" s="150"/>
      <c r="P457" s="231"/>
      <c r="Q457" s="262"/>
      <c r="R457" s="102"/>
      <c r="S457" s="268"/>
      <c r="T457" s="149"/>
      <c r="U457" s="150"/>
      <c r="V457" s="231"/>
      <c r="W457" s="149"/>
      <c r="X457" s="150"/>
      <c r="Y457" s="231"/>
      <c r="Z457" s="149"/>
      <c r="AA457" s="150"/>
      <c r="AB457" s="231"/>
      <c r="AC457" s="149"/>
      <c r="AD457" s="150"/>
      <c r="AE457" s="231"/>
      <c r="AF457" s="149"/>
      <c r="AG457" s="150"/>
      <c r="AH457" s="309"/>
      <c r="AI457" s="149"/>
      <c r="AJ457" s="150"/>
      <c r="AK457" s="309"/>
      <c r="AL457" s="149"/>
      <c r="AM457" s="150"/>
      <c r="AN457" s="309"/>
      <c r="AO457" s="149"/>
      <c r="AP457" s="150"/>
      <c r="AQ457" s="309"/>
      <c r="AR457" s="149"/>
      <c r="AS457" s="150"/>
      <c r="AT457" s="309"/>
      <c r="AU457" s="149"/>
      <c r="AV457" s="149"/>
    </row>
    <row r="458" spans="1:48" s="34" customFormat="1" ht="12.75">
      <c r="A458" s="36"/>
      <c r="B458" s="36"/>
      <c r="C458" s="36"/>
      <c r="D458" s="36"/>
      <c r="E458" s="35"/>
      <c r="F458" s="143"/>
      <c r="G458" s="146"/>
      <c r="H458" s="149"/>
      <c r="I458" s="150"/>
      <c r="J458" s="231"/>
      <c r="K458" s="149"/>
      <c r="L458" s="150"/>
      <c r="M458" s="231"/>
      <c r="N458" s="149"/>
      <c r="O458" s="150"/>
      <c r="P458" s="231"/>
      <c r="Q458" s="262"/>
      <c r="R458" s="102"/>
      <c r="S458" s="268"/>
      <c r="T458" s="149"/>
      <c r="U458" s="150"/>
      <c r="V458" s="231"/>
      <c r="W458" s="149"/>
      <c r="X458" s="150"/>
      <c r="Y458" s="231"/>
      <c r="Z458" s="149"/>
      <c r="AA458" s="150"/>
      <c r="AB458" s="231"/>
      <c r="AC458" s="149"/>
      <c r="AD458" s="150"/>
      <c r="AE458" s="231"/>
      <c r="AF458" s="149"/>
      <c r="AG458" s="150"/>
      <c r="AH458" s="309">
        <f>-489-3290</f>
        <v>-3779</v>
      </c>
      <c r="AI458" s="149" t="s">
        <v>635</v>
      </c>
      <c r="AJ458" s="150"/>
      <c r="AK458" s="309"/>
      <c r="AL458" s="149"/>
      <c r="AM458" s="150"/>
      <c r="AN458" s="309"/>
      <c r="AO458" s="149"/>
      <c r="AP458" s="150"/>
      <c r="AQ458" s="309"/>
      <c r="AR458" s="149"/>
      <c r="AS458" s="150"/>
      <c r="AT458" s="309"/>
      <c r="AU458" s="149"/>
      <c r="AV458" s="149"/>
    </row>
    <row r="459" spans="1:48" s="34" customFormat="1" ht="12.75">
      <c r="A459" s="36"/>
      <c r="B459" s="36"/>
      <c r="C459" s="36"/>
      <c r="D459" s="36"/>
      <c r="E459" s="35"/>
      <c r="F459" s="143"/>
      <c r="G459" s="146"/>
      <c r="H459" s="149"/>
      <c r="I459" s="150"/>
      <c r="J459" s="231"/>
      <c r="K459" s="149"/>
      <c r="L459" s="150"/>
      <c r="M459" s="231"/>
      <c r="N459" s="149"/>
      <c r="O459" s="150"/>
      <c r="P459" s="231"/>
      <c r="Q459" s="262" t="s">
        <v>500</v>
      </c>
      <c r="R459" s="102">
        <v>9783</v>
      </c>
      <c r="S459" s="268">
        <v>-9783</v>
      </c>
      <c r="T459" s="149"/>
      <c r="U459" s="150"/>
      <c r="V459" s="231"/>
      <c r="W459" s="149"/>
      <c r="X459" s="150"/>
      <c r="Y459" s="231"/>
      <c r="Z459" s="149"/>
      <c r="AA459" s="150"/>
      <c r="AB459" s="231"/>
      <c r="AC459" s="149"/>
      <c r="AD459" s="150"/>
      <c r="AE459" s="231"/>
      <c r="AF459" s="149"/>
      <c r="AG459" s="150"/>
      <c r="AH459" s="231"/>
      <c r="AI459" s="255">
        <f>AH456+AH451+AH440+AH458</f>
        <v>28561</v>
      </c>
      <c r="AJ459" s="150"/>
      <c r="AK459" s="231"/>
      <c r="AL459" s="255"/>
      <c r="AM459" s="150"/>
      <c r="AN459" s="231"/>
      <c r="AO459" s="255"/>
      <c r="AP459" s="150"/>
      <c r="AQ459" s="231"/>
      <c r="AR459" s="255"/>
      <c r="AS459" s="150"/>
      <c r="AT459" s="231"/>
      <c r="AU459" s="255"/>
      <c r="AV459" s="255"/>
    </row>
    <row r="460" spans="1:48" s="34" customFormat="1" ht="12.75">
      <c r="A460" s="36"/>
      <c r="B460" s="36"/>
      <c r="C460" s="36"/>
      <c r="D460" s="36"/>
      <c r="E460" s="35"/>
      <c r="F460" s="143"/>
      <c r="G460" s="146"/>
      <c r="H460" s="149"/>
      <c r="I460" s="150"/>
      <c r="J460" s="231"/>
      <c r="K460" s="149"/>
      <c r="L460" s="150"/>
      <c r="M460" s="231"/>
      <c r="N460" s="149"/>
      <c r="O460" s="150"/>
      <c r="P460" s="231"/>
      <c r="Q460" s="262" t="s">
        <v>499</v>
      </c>
      <c r="R460" s="102">
        <v>150</v>
      </c>
      <c r="S460" s="268">
        <v>-150</v>
      </c>
      <c r="T460" s="149"/>
      <c r="U460" s="150"/>
      <c r="V460" s="231"/>
      <c r="W460" s="149"/>
      <c r="X460" s="150"/>
      <c r="Y460" s="231"/>
      <c r="Z460" s="149"/>
      <c r="AA460" s="150"/>
      <c r="AB460" s="231"/>
      <c r="AC460" s="149"/>
      <c r="AD460" s="150"/>
      <c r="AE460" s="231"/>
      <c r="AF460" s="149"/>
      <c r="AG460" s="150"/>
      <c r="AH460" s="231"/>
      <c r="AI460" s="149"/>
      <c r="AJ460" s="150"/>
      <c r="AK460" s="231"/>
      <c r="AL460" s="149"/>
      <c r="AM460" s="150"/>
      <c r="AN460" s="231"/>
      <c r="AO460" s="149"/>
      <c r="AP460" s="150"/>
      <c r="AQ460" s="231"/>
      <c r="AR460" s="149"/>
      <c r="AS460" s="150"/>
      <c r="AT460" s="231"/>
      <c r="AU460" s="149"/>
      <c r="AV460" s="149"/>
    </row>
    <row r="461" spans="1:48" s="34" customFormat="1" ht="12.75">
      <c r="A461" s="36"/>
      <c r="B461" s="36"/>
      <c r="C461" s="36"/>
      <c r="D461" s="36"/>
      <c r="E461" s="35"/>
      <c r="F461" s="143"/>
      <c r="G461" s="146"/>
      <c r="H461" s="149"/>
      <c r="I461" s="150"/>
      <c r="J461" s="231"/>
      <c r="K461" s="149"/>
      <c r="L461" s="150"/>
      <c r="M461" s="231"/>
      <c r="N461" s="149"/>
      <c r="O461" s="150"/>
      <c r="P461" s="231"/>
      <c r="Q461" s="262"/>
      <c r="R461" s="102">
        <v>4350</v>
      </c>
      <c r="S461" s="268">
        <v>-4350</v>
      </c>
      <c r="T461" s="149"/>
      <c r="U461" s="150"/>
      <c r="V461" s="231"/>
      <c r="W461" s="149"/>
      <c r="X461" s="150"/>
      <c r="Y461" s="231"/>
      <c r="Z461" s="149"/>
      <c r="AA461" s="150"/>
      <c r="AB461" s="231"/>
      <c r="AC461" s="149"/>
      <c r="AD461" s="150"/>
      <c r="AE461" s="231"/>
      <c r="AF461" s="149"/>
      <c r="AG461" s="150"/>
      <c r="AH461" s="231"/>
      <c r="AI461" s="149"/>
      <c r="AJ461" s="150"/>
      <c r="AK461" s="231"/>
      <c r="AL461" s="149"/>
      <c r="AM461" s="150"/>
      <c r="AN461" s="231"/>
      <c r="AO461" s="149"/>
      <c r="AP461" s="150"/>
      <c r="AQ461" s="231"/>
      <c r="AR461" s="149"/>
      <c r="AS461" s="150"/>
      <c r="AT461" s="231"/>
      <c r="AU461" s="149"/>
      <c r="AV461" s="149"/>
    </row>
    <row r="462" spans="1:48" s="34" customFormat="1" ht="12.75">
      <c r="A462" s="36"/>
      <c r="B462" s="36"/>
      <c r="C462" s="36"/>
      <c r="D462" s="36"/>
      <c r="E462" s="35"/>
      <c r="F462" s="143"/>
      <c r="G462" s="146"/>
      <c r="H462" s="149"/>
      <c r="I462" s="150"/>
      <c r="J462" s="231"/>
      <c r="K462" s="149"/>
      <c r="L462" s="150"/>
      <c r="M462" s="231"/>
      <c r="N462" s="149"/>
      <c r="O462" s="150"/>
      <c r="P462" s="231"/>
      <c r="Q462" s="262"/>
      <c r="R462" s="263">
        <f>SUM(R400:R461)</f>
        <v>653142</v>
      </c>
      <c r="S462" s="269">
        <f>SUM(S400:S461)</f>
        <v>-184571</v>
      </c>
      <c r="T462" s="149"/>
      <c r="U462" s="254"/>
      <c r="V462" s="254"/>
      <c r="W462" s="149"/>
      <c r="X462" s="254"/>
      <c r="Y462" s="254"/>
      <c r="Z462" s="149"/>
      <c r="AA462" s="254"/>
      <c r="AB462" s="254"/>
      <c r="AC462" s="149"/>
      <c r="AD462" s="254"/>
      <c r="AE462" s="254"/>
      <c r="AF462" s="149"/>
      <c r="AG462" s="254"/>
      <c r="AH462" s="254"/>
      <c r="AI462" s="149"/>
      <c r="AJ462" s="254"/>
      <c r="AK462" s="254"/>
      <c r="AL462" s="149"/>
      <c r="AM462" s="254"/>
      <c r="AN462" s="254"/>
      <c r="AO462" s="149"/>
      <c r="AP462" s="254"/>
      <c r="AQ462" s="254"/>
      <c r="AR462" s="149"/>
      <c r="AS462" s="254"/>
      <c r="AT462" s="254"/>
      <c r="AU462" s="149"/>
      <c r="AV462" s="149"/>
    </row>
    <row r="463" spans="1:48" s="34" customFormat="1" ht="12.75">
      <c r="A463" s="36"/>
      <c r="B463" s="36"/>
      <c r="C463" s="36"/>
      <c r="D463" s="36"/>
      <c r="E463" s="35"/>
      <c r="F463" s="143"/>
      <c r="G463" s="146"/>
      <c r="H463" s="149"/>
      <c r="I463" s="150"/>
      <c r="J463" s="231"/>
      <c r="K463" s="149"/>
      <c r="L463" s="150"/>
      <c r="M463" s="231"/>
      <c r="N463" s="149"/>
      <c r="O463" s="150"/>
      <c r="P463" s="231"/>
      <c r="Q463" s="149"/>
      <c r="R463" s="150"/>
      <c r="S463" s="231"/>
      <c r="T463" s="149"/>
      <c r="U463" s="150"/>
      <c r="V463" s="231"/>
      <c r="W463" s="149"/>
      <c r="X463" s="150"/>
      <c r="Y463" s="231"/>
      <c r="Z463" s="149"/>
      <c r="AA463" s="150"/>
      <c r="AB463" s="231"/>
      <c r="AC463" s="149"/>
      <c r="AD463" s="150"/>
      <c r="AE463" s="231"/>
      <c r="AF463" s="149"/>
      <c r="AG463" s="150"/>
      <c r="AH463" s="231"/>
      <c r="AI463" s="149"/>
      <c r="AJ463" s="150"/>
      <c r="AK463" s="231"/>
      <c r="AL463" s="149"/>
      <c r="AM463" s="150"/>
      <c r="AN463" s="231"/>
      <c r="AO463" s="149"/>
      <c r="AP463" s="150"/>
      <c r="AQ463" s="231"/>
      <c r="AR463" s="149"/>
      <c r="AS463" s="150"/>
      <c r="AT463" s="231"/>
      <c r="AU463" s="149"/>
      <c r="AV463" s="149"/>
    </row>
    <row r="464" spans="1:48" s="34" customFormat="1" ht="12.75">
      <c r="A464" s="36"/>
      <c r="B464" s="36"/>
      <c r="C464" s="36"/>
      <c r="D464" s="36"/>
      <c r="E464" s="35"/>
      <c r="F464" s="143"/>
      <c r="G464" s="146"/>
      <c r="H464" s="149"/>
      <c r="I464" s="150"/>
      <c r="J464" s="231"/>
      <c r="K464" s="149"/>
      <c r="L464" s="150"/>
      <c r="M464" s="231"/>
      <c r="N464" s="149"/>
      <c r="O464" s="150"/>
      <c r="P464" s="231"/>
      <c r="Q464" s="149"/>
      <c r="R464" s="150"/>
      <c r="S464" s="231">
        <f>SUM(R462:S462)</f>
        <v>468571</v>
      </c>
      <c r="T464" s="149"/>
      <c r="U464" s="150"/>
      <c r="V464" s="231"/>
      <c r="W464" s="149"/>
      <c r="X464" s="150"/>
      <c r="Y464" s="231"/>
      <c r="Z464" s="149"/>
      <c r="AA464" s="150"/>
      <c r="AB464" s="231"/>
      <c r="AC464" s="149"/>
      <c r="AD464" s="150"/>
      <c r="AE464" s="231"/>
      <c r="AF464" s="149"/>
      <c r="AG464" s="150"/>
      <c r="AH464" s="231"/>
      <c r="AI464" s="149"/>
      <c r="AJ464" s="150"/>
      <c r="AK464" s="231"/>
      <c r="AL464" s="149"/>
      <c r="AM464" s="150"/>
      <c r="AN464" s="231"/>
      <c r="AO464" s="149"/>
      <c r="AP464" s="150"/>
      <c r="AQ464" s="231"/>
      <c r="AR464" s="149"/>
      <c r="AS464" s="150"/>
      <c r="AT464" s="231"/>
      <c r="AU464" s="149"/>
      <c r="AV464" s="149"/>
    </row>
    <row r="465" spans="1:48" s="34" customFormat="1" ht="12.75">
      <c r="A465" s="36"/>
      <c r="B465" s="36"/>
      <c r="C465" s="36"/>
      <c r="D465" s="36"/>
      <c r="E465" s="35"/>
      <c r="F465" s="143"/>
      <c r="G465" s="146"/>
      <c r="H465" s="149"/>
      <c r="I465" s="150"/>
      <c r="J465" s="231"/>
      <c r="K465" s="149"/>
      <c r="L465" s="150"/>
      <c r="M465" s="231"/>
      <c r="N465" s="149"/>
      <c r="O465" s="150"/>
      <c r="P465" s="231"/>
      <c r="Q465" s="149"/>
      <c r="R465" s="150"/>
      <c r="S465" s="231"/>
      <c r="T465" s="149"/>
      <c r="U465" s="150"/>
      <c r="V465" s="231"/>
      <c r="W465" s="149"/>
      <c r="X465" s="150"/>
      <c r="Y465" s="231"/>
      <c r="Z465" s="149"/>
      <c r="AA465" s="150"/>
      <c r="AB465" s="231"/>
      <c r="AC465" s="149"/>
      <c r="AD465" s="150"/>
      <c r="AE465" s="231"/>
      <c r="AF465" s="149"/>
      <c r="AG465" s="150"/>
      <c r="AH465" s="231"/>
      <c r="AI465" s="149"/>
      <c r="AJ465" s="150"/>
      <c r="AK465" s="231"/>
      <c r="AL465" s="149"/>
      <c r="AM465" s="150"/>
      <c r="AN465" s="231"/>
      <c r="AO465" s="149"/>
      <c r="AP465" s="150"/>
      <c r="AQ465" s="231"/>
      <c r="AR465" s="149"/>
      <c r="AS465" s="150"/>
      <c r="AT465" s="231"/>
      <c r="AU465" s="149"/>
      <c r="AV465" s="149"/>
    </row>
    <row r="466" spans="1:48" s="34" customFormat="1" ht="12.75">
      <c r="A466" s="36"/>
      <c r="B466" s="36"/>
      <c r="C466" s="36"/>
      <c r="D466" s="36"/>
      <c r="E466" s="35"/>
      <c r="F466" s="143"/>
      <c r="G466" s="146"/>
      <c r="H466" s="149"/>
      <c r="I466" s="150"/>
      <c r="J466" s="231"/>
      <c r="K466" s="149"/>
      <c r="L466" s="150"/>
      <c r="M466" s="231"/>
      <c r="N466" s="149"/>
      <c r="O466" s="150"/>
      <c r="P466" s="231"/>
      <c r="Q466" s="149"/>
      <c r="R466" s="150"/>
      <c r="S466" s="231"/>
      <c r="T466" s="149"/>
      <c r="U466" s="150"/>
      <c r="V466" s="231"/>
      <c r="W466" s="149"/>
      <c r="X466" s="150"/>
      <c r="Y466" s="231"/>
      <c r="Z466" s="149"/>
      <c r="AA466" s="150"/>
      <c r="AB466" s="231"/>
      <c r="AC466" s="149"/>
      <c r="AD466" s="150"/>
      <c r="AE466" s="231"/>
      <c r="AF466" s="149"/>
      <c r="AG466" s="150"/>
      <c r="AH466" s="231"/>
      <c r="AI466" s="149"/>
      <c r="AJ466" s="150"/>
      <c r="AK466" s="231"/>
      <c r="AL466" s="149"/>
      <c r="AM466" s="150"/>
      <c r="AN466" s="231"/>
      <c r="AO466" s="149"/>
      <c r="AP466" s="150"/>
      <c r="AQ466" s="231"/>
      <c r="AR466" s="149"/>
      <c r="AS466" s="150"/>
      <c r="AT466" s="231"/>
      <c r="AU466" s="149"/>
      <c r="AV466" s="149"/>
    </row>
    <row r="467" spans="1:48" s="34" customFormat="1" ht="12.75">
      <c r="A467" s="36"/>
      <c r="B467" s="36"/>
      <c r="C467" s="36"/>
      <c r="D467" s="36"/>
      <c r="E467" s="35"/>
      <c r="F467" s="143"/>
      <c r="G467" s="146"/>
      <c r="H467" s="149"/>
      <c r="I467" s="150"/>
      <c r="J467" s="231"/>
      <c r="K467" s="149"/>
      <c r="L467" s="150"/>
      <c r="M467" s="231"/>
      <c r="N467" s="149"/>
      <c r="O467" s="150"/>
      <c r="P467" s="231"/>
      <c r="Q467" s="149"/>
      <c r="R467" s="150"/>
      <c r="S467" s="231"/>
      <c r="T467" s="149"/>
      <c r="U467" s="150"/>
      <c r="V467" s="231"/>
      <c r="W467" s="149"/>
      <c r="X467" s="150"/>
      <c r="Y467" s="231"/>
      <c r="Z467" s="149"/>
      <c r="AA467" s="150"/>
      <c r="AB467" s="231"/>
      <c r="AC467" s="149"/>
      <c r="AD467" s="150"/>
      <c r="AE467" s="231"/>
      <c r="AF467" s="149"/>
      <c r="AG467" s="150"/>
      <c r="AH467" s="231"/>
      <c r="AI467" s="149"/>
      <c r="AJ467" s="150"/>
      <c r="AK467" s="231"/>
      <c r="AL467" s="149"/>
      <c r="AM467" s="150"/>
      <c r="AN467" s="231"/>
      <c r="AO467" s="149"/>
      <c r="AP467" s="150"/>
      <c r="AQ467" s="231"/>
      <c r="AR467" s="149"/>
      <c r="AS467" s="150"/>
      <c r="AT467" s="231"/>
      <c r="AU467" s="149"/>
      <c r="AV467" s="149"/>
    </row>
    <row r="468" spans="1:48" s="34" customFormat="1" ht="12.75">
      <c r="A468" s="36"/>
      <c r="B468" s="36"/>
      <c r="C468" s="36"/>
      <c r="D468" s="36"/>
      <c r="E468" s="35"/>
      <c r="F468" s="143"/>
      <c r="G468" s="146"/>
      <c r="H468" s="155"/>
      <c r="I468" s="150"/>
      <c r="J468" s="231"/>
      <c r="K468" s="149"/>
      <c r="L468" s="150"/>
      <c r="M468" s="231"/>
      <c r="N468" s="149"/>
      <c r="O468" s="150"/>
      <c r="P468" s="231"/>
      <c r="Q468" s="149"/>
      <c r="R468" s="150"/>
      <c r="S468" s="231"/>
      <c r="T468" s="149"/>
      <c r="U468" s="150"/>
      <c r="V468" s="231"/>
      <c r="W468" s="149"/>
      <c r="X468" s="150"/>
      <c r="Y468" s="231"/>
      <c r="Z468" s="149"/>
      <c r="AA468" s="150"/>
      <c r="AB468" s="231"/>
      <c r="AC468" s="149"/>
      <c r="AD468" s="150"/>
      <c r="AE468" s="231"/>
      <c r="AF468" s="149"/>
      <c r="AG468" s="150"/>
      <c r="AH468" s="231"/>
      <c r="AI468" s="149"/>
      <c r="AJ468" s="150"/>
      <c r="AK468" s="231"/>
      <c r="AL468" s="149"/>
      <c r="AM468" s="150"/>
      <c r="AN468" s="231"/>
      <c r="AO468" s="149"/>
      <c r="AP468" s="150"/>
      <c r="AQ468" s="231"/>
      <c r="AR468" s="149"/>
      <c r="AS468" s="150"/>
      <c r="AT468" s="231"/>
      <c r="AU468" s="149"/>
      <c r="AV468" s="149"/>
    </row>
    <row r="469" spans="1:48" s="34" customFormat="1" ht="12.75">
      <c r="A469" s="36"/>
      <c r="B469" s="36"/>
      <c r="C469" s="36"/>
      <c r="D469" s="36"/>
      <c r="E469" s="35"/>
      <c r="F469" s="143"/>
      <c r="G469" s="146"/>
      <c r="H469" s="155"/>
      <c r="I469" s="150"/>
      <c r="J469" s="231"/>
      <c r="K469" s="149"/>
      <c r="L469" s="150"/>
      <c r="M469" s="231"/>
      <c r="N469" s="149"/>
      <c r="O469" s="150"/>
      <c r="P469" s="231"/>
      <c r="Q469" s="149"/>
      <c r="R469" s="150"/>
      <c r="S469" s="231"/>
      <c r="T469" s="149"/>
      <c r="U469" s="150"/>
      <c r="V469" s="231"/>
      <c r="W469" s="149"/>
      <c r="X469" s="150"/>
      <c r="Y469" s="231"/>
      <c r="Z469" s="149"/>
      <c r="AA469" s="150"/>
      <c r="AB469" s="231"/>
      <c r="AC469" s="149"/>
      <c r="AD469" s="150"/>
      <c r="AE469" s="231"/>
      <c r="AF469" s="149"/>
      <c r="AG469" s="150"/>
      <c r="AH469" s="231"/>
      <c r="AI469" s="149"/>
      <c r="AJ469" s="150"/>
      <c r="AK469" s="231"/>
      <c r="AL469" s="149"/>
      <c r="AM469" s="150"/>
      <c r="AN469" s="231"/>
      <c r="AO469" s="149"/>
      <c r="AP469" s="150"/>
      <c r="AQ469" s="231"/>
      <c r="AR469" s="149"/>
      <c r="AS469" s="150"/>
      <c r="AT469" s="231"/>
      <c r="AU469" s="149"/>
      <c r="AV469" s="149"/>
    </row>
    <row r="470" spans="1:48" s="34" customFormat="1" ht="12.75">
      <c r="A470" s="36"/>
      <c r="B470" s="36"/>
      <c r="C470" s="36"/>
      <c r="D470" s="36"/>
      <c r="E470" s="35"/>
      <c r="F470" s="143"/>
      <c r="G470" s="146"/>
      <c r="H470" s="155"/>
      <c r="I470" s="150"/>
      <c r="J470" s="231"/>
      <c r="K470" s="149"/>
      <c r="L470" s="150"/>
      <c r="M470" s="231"/>
      <c r="N470" s="149"/>
      <c r="O470" s="150"/>
      <c r="P470" s="231"/>
      <c r="Q470" s="149"/>
      <c r="R470" s="150"/>
      <c r="S470" s="231"/>
      <c r="T470" s="149"/>
      <c r="U470" s="150"/>
      <c r="V470" s="231"/>
      <c r="W470" s="149"/>
      <c r="X470" s="150"/>
      <c r="Y470" s="231"/>
      <c r="Z470" s="149"/>
      <c r="AA470" s="150"/>
      <c r="AB470" s="231"/>
      <c r="AC470" s="149"/>
      <c r="AD470" s="150"/>
      <c r="AE470" s="231"/>
      <c r="AF470" s="149"/>
      <c r="AG470" s="150"/>
      <c r="AH470" s="231"/>
      <c r="AI470" s="149"/>
      <c r="AJ470" s="150"/>
      <c r="AK470" s="231"/>
      <c r="AL470" s="149"/>
      <c r="AM470" s="150"/>
      <c r="AN470" s="231"/>
      <c r="AO470" s="149"/>
      <c r="AP470" s="150"/>
      <c r="AQ470" s="231"/>
      <c r="AR470" s="149"/>
      <c r="AS470" s="150"/>
      <c r="AT470" s="231"/>
      <c r="AU470" s="149"/>
      <c r="AV470" s="149"/>
    </row>
    <row r="471" spans="1:48" s="34" customFormat="1" ht="12.75">
      <c r="A471" s="36"/>
      <c r="B471" s="36"/>
      <c r="C471" s="36"/>
      <c r="D471" s="36"/>
      <c r="E471" s="35"/>
      <c r="F471" s="143"/>
      <c r="G471" s="146"/>
      <c r="H471" s="155"/>
      <c r="I471" s="150"/>
      <c r="J471" s="231"/>
      <c r="K471" s="149"/>
      <c r="L471" s="150"/>
      <c r="M471" s="231"/>
      <c r="N471" s="149"/>
      <c r="O471" s="150"/>
      <c r="P471" s="231"/>
      <c r="Q471" s="149"/>
      <c r="R471" s="150"/>
      <c r="S471" s="231"/>
      <c r="T471" s="149"/>
      <c r="U471" s="150"/>
      <c r="V471" s="231"/>
      <c r="W471" s="149"/>
      <c r="X471" s="150"/>
      <c r="Y471" s="231"/>
      <c r="Z471" s="149"/>
      <c r="AA471" s="150"/>
      <c r="AB471" s="231"/>
      <c r="AC471" s="149"/>
      <c r="AD471" s="150"/>
      <c r="AE471" s="231"/>
      <c r="AF471" s="149"/>
      <c r="AG471" s="150"/>
      <c r="AH471" s="231"/>
      <c r="AI471" s="149"/>
      <c r="AJ471" s="150"/>
      <c r="AK471" s="231"/>
      <c r="AL471" s="149"/>
      <c r="AM471" s="150"/>
      <c r="AN471" s="231"/>
      <c r="AO471" s="149"/>
      <c r="AP471" s="150"/>
      <c r="AQ471" s="231"/>
      <c r="AR471" s="149"/>
      <c r="AS471" s="150"/>
      <c r="AT471" s="231"/>
      <c r="AU471" s="149"/>
      <c r="AV471" s="149"/>
    </row>
    <row r="472" spans="1:48" s="34" customFormat="1" ht="12.75">
      <c r="A472" s="36"/>
      <c r="B472" s="36"/>
      <c r="C472" s="36"/>
      <c r="D472" s="36"/>
      <c r="E472" s="35"/>
      <c r="F472" s="143"/>
      <c r="G472" s="146"/>
      <c r="H472" s="155"/>
      <c r="I472" s="150"/>
      <c r="J472" s="231"/>
      <c r="K472" s="149"/>
      <c r="L472" s="150"/>
      <c r="M472" s="231"/>
      <c r="N472" s="149"/>
      <c r="O472" s="150"/>
      <c r="P472" s="231"/>
      <c r="Q472" s="149"/>
      <c r="R472" s="150"/>
      <c r="S472" s="231"/>
      <c r="T472" s="149"/>
      <c r="U472" s="150"/>
      <c r="V472" s="231"/>
      <c r="W472" s="149"/>
      <c r="X472" s="150"/>
      <c r="Y472" s="231"/>
      <c r="Z472" s="149"/>
      <c r="AA472" s="150"/>
      <c r="AB472" s="231"/>
      <c r="AC472" s="149"/>
      <c r="AD472" s="150"/>
      <c r="AE472" s="231"/>
      <c r="AF472" s="149"/>
      <c r="AG472" s="150"/>
      <c r="AH472" s="231"/>
      <c r="AI472" s="149"/>
      <c r="AJ472" s="150"/>
      <c r="AK472" s="231"/>
      <c r="AL472" s="149"/>
      <c r="AM472" s="150"/>
      <c r="AN472" s="231"/>
      <c r="AO472" s="149"/>
      <c r="AP472" s="150"/>
      <c r="AQ472" s="231"/>
      <c r="AR472" s="149"/>
      <c r="AS472" s="150"/>
      <c r="AT472" s="231"/>
      <c r="AU472" s="149"/>
      <c r="AV472" s="149"/>
    </row>
    <row r="473" spans="1:48" s="34" customFormat="1" ht="12.75">
      <c r="A473" s="36"/>
      <c r="B473" s="36"/>
      <c r="C473" s="36"/>
      <c r="D473" s="36"/>
      <c r="E473" s="35"/>
      <c r="F473" s="143"/>
      <c r="G473" s="146"/>
      <c r="H473" s="155"/>
      <c r="I473" s="150"/>
      <c r="J473" s="231"/>
      <c r="K473" s="149"/>
      <c r="L473" s="150"/>
      <c r="M473" s="231"/>
      <c r="N473" s="149"/>
      <c r="O473" s="150"/>
      <c r="P473" s="231"/>
      <c r="Q473" s="149"/>
      <c r="R473" s="150"/>
      <c r="S473" s="231"/>
      <c r="T473" s="149"/>
      <c r="U473" s="150"/>
      <c r="V473" s="231"/>
      <c r="W473" s="149"/>
      <c r="X473" s="150"/>
      <c r="Y473" s="231"/>
      <c r="Z473" s="149"/>
      <c r="AA473" s="150"/>
      <c r="AB473" s="231"/>
      <c r="AC473" s="149"/>
      <c r="AD473" s="150"/>
      <c r="AE473" s="231"/>
      <c r="AF473" s="149"/>
      <c r="AG473" s="150"/>
      <c r="AH473" s="231"/>
      <c r="AI473" s="149"/>
      <c r="AJ473" s="150"/>
      <c r="AK473" s="231"/>
      <c r="AL473" s="149"/>
      <c r="AM473" s="150"/>
      <c r="AN473" s="231"/>
      <c r="AO473" s="149"/>
      <c r="AP473" s="150"/>
      <c r="AQ473" s="231"/>
      <c r="AR473" s="149"/>
      <c r="AS473" s="150"/>
      <c r="AT473" s="231"/>
      <c r="AU473" s="149"/>
      <c r="AV473" s="149"/>
    </row>
    <row r="474" spans="1:48" s="34" customFormat="1" ht="12.75">
      <c r="A474" s="36"/>
      <c r="B474" s="36"/>
      <c r="C474" s="36"/>
      <c r="D474" s="36"/>
      <c r="E474" s="35"/>
      <c r="F474" s="143"/>
      <c r="G474" s="146"/>
      <c r="H474" s="155"/>
      <c r="I474" s="150"/>
      <c r="J474" s="231"/>
      <c r="K474" s="149"/>
      <c r="L474" s="150"/>
      <c r="M474" s="231"/>
      <c r="N474" s="149"/>
      <c r="O474" s="150"/>
      <c r="P474" s="231"/>
      <c r="Q474" s="149"/>
      <c r="R474" s="150"/>
      <c r="S474" s="231"/>
      <c r="T474" s="149"/>
      <c r="U474" s="150"/>
      <c r="V474" s="231"/>
      <c r="W474" s="149"/>
      <c r="X474" s="150"/>
      <c r="Y474" s="231"/>
      <c r="Z474" s="149"/>
      <c r="AA474" s="150"/>
      <c r="AB474" s="231"/>
      <c r="AC474" s="149"/>
      <c r="AD474" s="150"/>
      <c r="AE474" s="231"/>
      <c r="AF474" s="149"/>
      <c r="AG474" s="150"/>
      <c r="AH474" s="231"/>
      <c r="AI474" s="149"/>
      <c r="AJ474" s="150"/>
      <c r="AK474" s="231"/>
      <c r="AL474" s="149"/>
      <c r="AM474" s="150"/>
      <c r="AN474" s="231"/>
      <c r="AO474" s="149"/>
      <c r="AP474" s="150"/>
      <c r="AQ474" s="231"/>
      <c r="AR474" s="149"/>
      <c r="AS474" s="150"/>
      <c r="AT474" s="231"/>
      <c r="AU474" s="149"/>
      <c r="AV474" s="149"/>
    </row>
    <row r="475" spans="1:48" s="34" customFormat="1" ht="12.75">
      <c r="A475" s="36"/>
      <c r="B475" s="36"/>
      <c r="C475" s="36"/>
      <c r="D475" s="36"/>
      <c r="E475" s="35"/>
      <c r="F475" s="143"/>
      <c r="G475" s="146"/>
      <c r="H475" s="155"/>
      <c r="I475" s="150"/>
      <c r="J475" s="231"/>
      <c r="K475" s="149"/>
      <c r="L475" s="150"/>
      <c r="M475" s="231"/>
      <c r="N475" s="149"/>
      <c r="O475" s="150"/>
      <c r="P475" s="231"/>
      <c r="Q475" s="149"/>
      <c r="R475" s="150"/>
      <c r="S475" s="231"/>
      <c r="T475" s="149"/>
      <c r="U475" s="150"/>
      <c r="V475" s="231"/>
      <c r="W475" s="149"/>
      <c r="X475" s="150"/>
      <c r="Y475" s="231"/>
      <c r="Z475" s="149"/>
      <c r="AA475" s="150"/>
      <c r="AB475" s="231"/>
      <c r="AC475" s="149"/>
      <c r="AD475" s="150"/>
      <c r="AE475" s="231"/>
      <c r="AF475" s="149"/>
      <c r="AG475" s="150"/>
      <c r="AH475" s="231"/>
      <c r="AI475" s="149"/>
      <c r="AJ475" s="150"/>
      <c r="AK475" s="231"/>
      <c r="AL475" s="149"/>
      <c r="AM475" s="150"/>
      <c r="AN475" s="231"/>
      <c r="AO475" s="149"/>
      <c r="AP475" s="150"/>
      <c r="AQ475" s="231"/>
      <c r="AR475" s="149"/>
      <c r="AS475" s="150"/>
      <c r="AT475" s="231"/>
      <c r="AU475" s="149"/>
      <c r="AV475" s="149"/>
    </row>
    <row r="476" spans="1:48" s="34" customFormat="1" ht="12.75">
      <c r="A476" s="36"/>
      <c r="B476" s="36"/>
      <c r="C476" s="36"/>
      <c r="D476" s="36"/>
      <c r="E476" s="35"/>
      <c r="F476" s="143"/>
      <c r="G476" s="146"/>
      <c r="H476" s="149"/>
      <c r="I476" s="150"/>
      <c r="J476" s="231"/>
      <c r="K476" s="149"/>
      <c r="L476" s="150"/>
      <c r="M476" s="231"/>
      <c r="N476" s="149"/>
      <c r="O476" s="150"/>
      <c r="P476" s="231"/>
      <c r="Q476" s="149"/>
      <c r="R476" s="150"/>
      <c r="S476" s="231"/>
      <c r="T476" s="149"/>
      <c r="U476" s="150"/>
      <c r="V476" s="231"/>
      <c r="W476" s="149"/>
      <c r="X476" s="150"/>
      <c r="Y476" s="231"/>
      <c r="Z476" s="149"/>
      <c r="AA476" s="150"/>
      <c r="AB476" s="231"/>
      <c r="AC476" s="149"/>
      <c r="AD476" s="150"/>
      <c r="AE476" s="231"/>
      <c r="AF476" s="149"/>
      <c r="AG476" s="150"/>
      <c r="AH476" s="231"/>
      <c r="AI476" s="149"/>
      <c r="AJ476" s="150"/>
      <c r="AK476" s="231"/>
      <c r="AL476" s="149"/>
      <c r="AM476" s="150"/>
      <c r="AN476" s="231"/>
      <c r="AO476" s="149"/>
      <c r="AP476" s="150"/>
      <c r="AQ476" s="231"/>
      <c r="AR476" s="149"/>
      <c r="AS476" s="150"/>
      <c r="AT476" s="231"/>
      <c r="AU476" s="149"/>
      <c r="AV476" s="149"/>
    </row>
    <row r="477" spans="1:48" s="34" customFormat="1" ht="12.75">
      <c r="A477" s="36"/>
      <c r="B477" s="36"/>
      <c r="C477" s="36"/>
      <c r="D477" s="36"/>
      <c r="E477" s="35"/>
      <c r="F477" s="143"/>
      <c r="G477" s="146"/>
      <c r="H477" s="149"/>
      <c r="I477" s="150"/>
      <c r="J477" s="231"/>
      <c r="K477" s="149"/>
      <c r="L477" s="150"/>
      <c r="M477" s="231"/>
      <c r="N477" s="149"/>
      <c r="O477" s="150"/>
      <c r="P477" s="231"/>
      <c r="Q477" s="149"/>
      <c r="R477" s="150"/>
      <c r="S477" s="231"/>
      <c r="T477" s="149"/>
      <c r="U477" s="150"/>
      <c r="V477" s="231"/>
      <c r="W477" s="149"/>
      <c r="X477" s="150"/>
      <c r="Y477" s="231"/>
      <c r="Z477" s="149"/>
      <c r="AA477" s="150"/>
      <c r="AB477" s="231"/>
      <c r="AC477" s="149"/>
      <c r="AD477" s="150"/>
      <c r="AE477" s="231"/>
      <c r="AF477" s="149"/>
      <c r="AG477" s="150"/>
      <c r="AH477" s="231"/>
      <c r="AI477" s="149"/>
      <c r="AJ477" s="150"/>
      <c r="AK477" s="231"/>
      <c r="AL477" s="149"/>
      <c r="AM477" s="150"/>
      <c r="AN477" s="231"/>
      <c r="AO477" s="149"/>
      <c r="AP477" s="150"/>
      <c r="AQ477" s="231"/>
      <c r="AR477" s="149"/>
      <c r="AS477" s="150"/>
      <c r="AT477" s="231"/>
      <c r="AU477" s="149"/>
      <c r="AV477" s="149"/>
    </row>
    <row r="478" spans="1:48" s="34" customFormat="1" ht="12.75">
      <c r="A478" s="36"/>
      <c r="B478" s="36"/>
      <c r="C478" s="36"/>
      <c r="D478" s="36"/>
      <c r="E478" s="35"/>
      <c r="F478" s="143"/>
      <c r="G478" s="146"/>
      <c r="H478" s="149"/>
      <c r="I478" s="150"/>
      <c r="J478" s="231"/>
      <c r="K478" s="149"/>
      <c r="L478" s="150"/>
      <c r="M478" s="231"/>
      <c r="N478" s="149"/>
      <c r="O478" s="150"/>
      <c r="P478" s="231"/>
      <c r="Q478" s="149"/>
      <c r="R478" s="150"/>
      <c r="S478" s="231"/>
      <c r="T478" s="149"/>
      <c r="U478" s="150"/>
      <c r="V478" s="231"/>
      <c r="W478" s="149"/>
      <c r="X478" s="150"/>
      <c r="Y478" s="231"/>
      <c r="Z478" s="149"/>
      <c r="AA478" s="150"/>
      <c r="AB478" s="231"/>
      <c r="AC478" s="149"/>
      <c r="AD478" s="150"/>
      <c r="AE478" s="231"/>
      <c r="AF478" s="149"/>
      <c r="AG478" s="150"/>
      <c r="AH478" s="231"/>
      <c r="AI478" s="149"/>
      <c r="AJ478" s="150"/>
      <c r="AK478" s="231"/>
      <c r="AL478" s="149"/>
      <c r="AM478" s="150"/>
      <c r="AN478" s="231"/>
      <c r="AO478" s="149"/>
      <c r="AP478" s="150"/>
      <c r="AQ478" s="231"/>
      <c r="AR478" s="149"/>
      <c r="AS478" s="150"/>
      <c r="AT478" s="231"/>
      <c r="AU478" s="149"/>
      <c r="AV478" s="149"/>
    </row>
    <row r="479" spans="1:48" s="34" customFormat="1" ht="12.75">
      <c r="A479" s="36"/>
      <c r="B479" s="36"/>
      <c r="C479" s="36"/>
      <c r="D479" s="36"/>
      <c r="E479" s="35"/>
      <c r="F479" s="143"/>
      <c r="G479" s="146"/>
      <c r="H479" s="149"/>
      <c r="I479" s="254"/>
      <c r="J479" s="254"/>
      <c r="K479" s="255"/>
      <c r="L479" s="254"/>
      <c r="M479" s="254"/>
      <c r="N479" s="255"/>
      <c r="O479" s="254"/>
      <c r="P479" s="254"/>
      <c r="Q479" s="255"/>
      <c r="R479" s="254"/>
      <c r="S479" s="254"/>
      <c r="T479" s="255"/>
      <c r="U479" s="254"/>
      <c r="V479" s="254"/>
      <c r="W479" s="255"/>
      <c r="X479" s="254"/>
      <c r="Y479" s="254"/>
      <c r="Z479" s="255"/>
      <c r="AA479" s="254"/>
      <c r="AB479" s="254"/>
      <c r="AC479" s="255"/>
      <c r="AD479" s="254"/>
      <c r="AE479" s="254"/>
      <c r="AF479" s="255"/>
      <c r="AG479" s="254"/>
      <c r="AH479" s="254"/>
      <c r="AI479" s="255"/>
      <c r="AJ479" s="254"/>
      <c r="AK479" s="254"/>
      <c r="AL479" s="255"/>
      <c r="AM479" s="254"/>
      <c r="AN479" s="254"/>
      <c r="AO479" s="255"/>
      <c r="AP479" s="254"/>
      <c r="AQ479" s="254"/>
      <c r="AR479" s="255"/>
      <c r="AS479" s="254"/>
      <c r="AT479" s="254"/>
      <c r="AU479" s="255"/>
      <c r="AV479" s="255"/>
    </row>
    <row r="480" spans="1:48" s="34" customFormat="1" ht="12.75">
      <c r="A480" s="36"/>
      <c r="B480" s="36"/>
      <c r="C480" s="36"/>
      <c r="D480" s="36"/>
      <c r="E480" s="35"/>
      <c r="F480" s="143"/>
      <c r="G480" s="146"/>
      <c r="H480" s="149"/>
      <c r="I480" s="150"/>
      <c r="J480" s="232"/>
      <c r="K480" s="149"/>
      <c r="L480" s="150"/>
      <c r="M480" s="232"/>
      <c r="N480" s="149"/>
      <c r="O480" s="150"/>
      <c r="P480" s="232"/>
      <c r="Q480" s="149"/>
      <c r="R480" s="150"/>
      <c r="S480" s="232"/>
      <c r="T480" s="149"/>
      <c r="U480" s="150"/>
      <c r="V480" s="232"/>
      <c r="W480" s="149"/>
      <c r="X480" s="150"/>
      <c r="Y480" s="232"/>
      <c r="Z480" s="149"/>
      <c r="AA480" s="150"/>
      <c r="AB480" s="232"/>
      <c r="AC480" s="149"/>
      <c r="AD480" s="150"/>
      <c r="AE480" s="232"/>
      <c r="AF480" s="149"/>
      <c r="AG480" s="150"/>
      <c r="AH480" s="232"/>
      <c r="AI480" s="149"/>
      <c r="AJ480" s="150"/>
      <c r="AK480" s="232"/>
      <c r="AL480" s="149"/>
      <c r="AM480" s="150"/>
      <c r="AN480" s="232"/>
      <c r="AO480" s="149"/>
      <c r="AP480" s="150"/>
      <c r="AQ480" s="232"/>
      <c r="AR480" s="149"/>
      <c r="AS480" s="150"/>
      <c r="AT480" s="232"/>
      <c r="AU480" s="149"/>
      <c r="AV480" s="149"/>
    </row>
    <row r="481" spans="1:48" s="34" customFormat="1" ht="12.75">
      <c r="A481" s="36"/>
      <c r="B481" s="36"/>
      <c r="C481" s="36"/>
      <c r="D481" s="36"/>
      <c r="E481" s="35"/>
      <c r="F481" s="143"/>
      <c r="G481" s="146"/>
      <c r="H481" s="149"/>
      <c r="I481" s="143"/>
      <c r="J481" s="155"/>
      <c r="K481" s="149"/>
      <c r="L481" s="143"/>
      <c r="M481" s="155"/>
      <c r="N481" s="149"/>
      <c r="O481" s="143"/>
      <c r="P481" s="155"/>
      <c r="Q481" s="149"/>
      <c r="R481" s="143"/>
      <c r="S481" s="155"/>
      <c r="T481" s="149"/>
      <c r="U481" s="143"/>
      <c r="V481" s="155"/>
      <c r="W481" s="149"/>
      <c r="X481" s="143"/>
      <c r="Y481" s="155"/>
      <c r="Z481" s="149"/>
      <c r="AA481" s="143"/>
      <c r="AB481" s="155"/>
      <c r="AC481" s="149"/>
      <c r="AD481" s="143"/>
      <c r="AE481" s="155"/>
      <c r="AF481" s="149"/>
      <c r="AG481" s="143"/>
      <c r="AH481" s="155"/>
      <c r="AI481" s="149"/>
      <c r="AJ481" s="143"/>
      <c r="AK481" s="155"/>
      <c r="AL481" s="149"/>
      <c r="AM481" s="143"/>
      <c r="AN481" s="155"/>
      <c r="AO481" s="149"/>
      <c r="AP481" s="143"/>
      <c r="AQ481" s="155"/>
      <c r="AR481" s="149"/>
      <c r="AS481" s="143"/>
      <c r="AT481" s="155"/>
      <c r="AU481" s="149"/>
      <c r="AV481" s="149"/>
    </row>
    <row r="482" spans="1:48" s="34" customFormat="1" ht="12.75">
      <c r="A482" s="36"/>
      <c r="B482" s="36"/>
      <c r="C482" s="36"/>
      <c r="D482" s="36"/>
      <c r="E482" s="35"/>
      <c r="F482" s="143"/>
      <c r="G482" s="146"/>
      <c r="H482" s="149"/>
      <c r="I482" s="143"/>
      <c r="J482" s="146"/>
      <c r="K482" s="149"/>
      <c r="L482" s="143"/>
      <c r="M482" s="146"/>
      <c r="N482" s="149"/>
      <c r="O482" s="143"/>
      <c r="P482" s="146"/>
      <c r="Q482" s="149"/>
      <c r="R482" s="143"/>
      <c r="S482" s="146"/>
      <c r="T482" s="149"/>
      <c r="U482" s="143"/>
      <c r="V482" s="146"/>
      <c r="W482" s="149"/>
      <c r="X482" s="143"/>
      <c r="Y482" s="146"/>
      <c r="Z482" s="149"/>
      <c r="AA482" s="143"/>
      <c r="AB482" s="146"/>
      <c r="AC482" s="149"/>
      <c r="AD482" s="143"/>
      <c r="AE482" s="146"/>
      <c r="AF482" s="149"/>
      <c r="AG482" s="143"/>
      <c r="AH482" s="146"/>
      <c r="AI482" s="149"/>
      <c r="AJ482" s="143"/>
      <c r="AK482" s="146"/>
      <c r="AL482" s="149"/>
      <c r="AM482" s="143"/>
      <c r="AN482" s="146"/>
      <c r="AO482" s="149"/>
      <c r="AP482" s="143"/>
      <c r="AQ482" s="146"/>
      <c r="AR482" s="149"/>
      <c r="AS482" s="143"/>
      <c r="AT482" s="146"/>
      <c r="AU482" s="149"/>
      <c r="AV482" s="149"/>
    </row>
    <row r="483" spans="1:48" s="34" customFormat="1" ht="12.75">
      <c r="A483" s="36"/>
      <c r="B483" s="36"/>
      <c r="C483" s="36"/>
      <c r="D483" s="36"/>
      <c r="E483" s="35"/>
      <c r="F483" s="143"/>
      <c r="G483" s="146"/>
      <c r="H483" s="149"/>
      <c r="I483" s="143"/>
      <c r="J483" s="146"/>
      <c r="K483" s="149"/>
      <c r="L483" s="143"/>
      <c r="M483" s="146"/>
      <c r="N483" s="149"/>
      <c r="O483" s="143"/>
      <c r="P483" s="146"/>
      <c r="Q483" s="149"/>
      <c r="R483" s="143"/>
      <c r="S483" s="146"/>
      <c r="T483" s="149"/>
      <c r="U483" s="143"/>
      <c r="V483" s="146"/>
      <c r="W483" s="149"/>
      <c r="X483" s="143"/>
      <c r="Y483" s="146"/>
      <c r="Z483" s="149"/>
      <c r="AA483" s="143"/>
      <c r="AB483" s="146"/>
      <c r="AC483" s="149"/>
      <c r="AD483" s="143"/>
      <c r="AE483" s="146"/>
      <c r="AF483" s="149"/>
      <c r="AG483" s="143"/>
      <c r="AH483" s="146"/>
      <c r="AI483" s="149"/>
      <c r="AJ483" s="143"/>
      <c r="AK483" s="146"/>
      <c r="AL483" s="149"/>
      <c r="AM483" s="143"/>
      <c r="AN483" s="146"/>
      <c r="AO483" s="149"/>
      <c r="AP483" s="143"/>
      <c r="AQ483" s="146"/>
      <c r="AR483" s="149"/>
      <c r="AS483" s="143"/>
      <c r="AT483" s="146"/>
      <c r="AU483" s="149"/>
      <c r="AV483" s="149"/>
    </row>
    <row r="484" spans="1:48" s="34" customFormat="1" ht="12.75">
      <c r="A484" s="36"/>
      <c r="B484" s="36"/>
      <c r="C484" s="36"/>
      <c r="D484" s="36"/>
      <c r="E484" s="35"/>
      <c r="F484" s="143"/>
      <c r="G484" s="146"/>
      <c r="H484" s="149"/>
      <c r="I484" s="143"/>
      <c r="J484" s="146"/>
      <c r="K484" s="149"/>
      <c r="L484" s="143"/>
      <c r="M484" s="146"/>
      <c r="N484" s="149"/>
      <c r="O484" s="143"/>
      <c r="P484" s="146"/>
      <c r="Q484" s="149"/>
      <c r="R484" s="143"/>
      <c r="S484" s="146"/>
      <c r="T484" s="149"/>
      <c r="U484" s="143"/>
      <c r="V484" s="146"/>
      <c r="W484" s="149"/>
      <c r="X484" s="143"/>
      <c r="Y484" s="146"/>
      <c r="Z484" s="149"/>
      <c r="AA484" s="143"/>
      <c r="AB484" s="146"/>
      <c r="AC484" s="149"/>
      <c r="AD484" s="143"/>
      <c r="AE484" s="146"/>
      <c r="AF484" s="149"/>
      <c r="AG484" s="143"/>
      <c r="AH484" s="146"/>
      <c r="AI484" s="149"/>
      <c r="AJ484" s="143"/>
      <c r="AK484" s="146"/>
      <c r="AL484" s="149"/>
      <c r="AM484" s="143"/>
      <c r="AN484" s="146"/>
      <c r="AO484" s="149"/>
      <c r="AP484" s="143"/>
      <c r="AQ484" s="146"/>
      <c r="AR484" s="149"/>
      <c r="AS484" s="143"/>
      <c r="AT484" s="146"/>
      <c r="AU484" s="149"/>
      <c r="AV484" s="149"/>
    </row>
    <row r="485" spans="1:48" s="34" customFormat="1" ht="12.75">
      <c r="A485" s="36"/>
      <c r="B485" s="36"/>
      <c r="C485" s="36"/>
      <c r="D485" s="36"/>
      <c r="E485" s="35"/>
      <c r="F485" s="143"/>
      <c r="G485" s="146"/>
      <c r="H485" s="149"/>
      <c r="I485" s="143"/>
      <c r="J485" s="146"/>
      <c r="K485" s="149"/>
      <c r="L485" s="143"/>
      <c r="M485" s="146"/>
      <c r="N485" s="149"/>
      <c r="O485" s="143"/>
      <c r="P485" s="146"/>
      <c r="Q485" s="149"/>
      <c r="R485" s="143"/>
      <c r="S485" s="146"/>
      <c r="T485" s="149"/>
      <c r="U485" s="143"/>
      <c r="V485" s="146"/>
      <c r="W485" s="149"/>
      <c r="X485" s="143"/>
      <c r="Y485" s="146"/>
      <c r="Z485" s="149"/>
      <c r="AA485" s="143"/>
      <c r="AB485" s="146"/>
      <c r="AC485" s="149"/>
      <c r="AD485" s="143"/>
      <c r="AE485" s="146"/>
      <c r="AF485" s="149"/>
      <c r="AG485" s="143"/>
      <c r="AH485" s="146"/>
      <c r="AI485" s="149"/>
      <c r="AJ485" s="143"/>
      <c r="AK485" s="146"/>
      <c r="AL485" s="149"/>
      <c r="AM485" s="143"/>
      <c r="AN485" s="146"/>
      <c r="AO485" s="149"/>
      <c r="AP485" s="143"/>
      <c r="AQ485" s="146"/>
      <c r="AR485" s="149"/>
      <c r="AS485" s="143"/>
      <c r="AT485" s="146"/>
      <c r="AU485" s="149"/>
      <c r="AV485" s="149"/>
    </row>
    <row r="486" spans="1:48" s="34" customFormat="1" ht="12.75">
      <c r="A486" s="36"/>
      <c r="B486" s="36"/>
      <c r="C486" s="36"/>
      <c r="D486" s="36"/>
      <c r="E486" s="35"/>
      <c r="F486" s="143"/>
      <c r="G486" s="146"/>
      <c r="H486" s="149"/>
      <c r="I486" s="143"/>
      <c r="J486" s="146"/>
      <c r="K486" s="149"/>
      <c r="L486" s="143"/>
      <c r="M486" s="146"/>
      <c r="N486" s="149"/>
      <c r="O486" s="143"/>
      <c r="P486" s="146"/>
      <c r="Q486" s="149"/>
      <c r="R486" s="143"/>
      <c r="S486" s="146"/>
      <c r="T486" s="149"/>
      <c r="U486" s="143"/>
      <c r="V486" s="146"/>
      <c r="W486" s="149"/>
      <c r="X486" s="143"/>
      <c r="Y486" s="146"/>
      <c r="Z486" s="149"/>
      <c r="AA486" s="143"/>
      <c r="AB486" s="146"/>
      <c r="AC486" s="149"/>
      <c r="AD486" s="143"/>
      <c r="AE486" s="146"/>
      <c r="AF486" s="149"/>
      <c r="AG486" s="143"/>
      <c r="AH486" s="146"/>
      <c r="AI486" s="149"/>
      <c r="AJ486" s="143"/>
      <c r="AK486" s="146"/>
      <c r="AL486" s="149"/>
      <c r="AM486" s="143"/>
      <c r="AN486" s="146"/>
      <c r="AO486" s="149"/>
      <c r="AP486" s="143"/>
      <c r="AQ486" s="146"/>
      <c r="AR486" s="149"/>
      <c r="AS486" s="143"/>
      <c r="AT486" s="146"/>
      <c r="AU486" s="149"/>
      <c r="AV486" s="149"/>
    </row>
    <row r="487" spans="1:48" s="34" customFormat="1" ht="12.75">
      <c r="A487" s="36"/>
      <c r="B487" s="36"/>
      <c r="C487" s="36"/>
      <c r="D487" s="36"/>
      <c r="E487" s="35"/>
      <c r="F487" s="143"/>
      <c r="G487" s="146"/>
      <c r="H487" s="149"/>
      <c r="I487" s="143"/>
      <c r="J487" s="146"/>
      <c r="K487" s="149"/>
      <c r="L487" s="143"/>
      <c r="M487" s="146"/>
      <c r="N487" s="149"/>
      <c r="O487" s="143"/>
      <c r="P487" s="146"/>
      <c r="Q487" s="149"/>
      <c r="R487" s="143"/>
      <c r="S487" s="146"/>
      <c r="T487" s="149"/>
      <c r="U487" s="143"/>
      <c r="V487" s="146"/>
      <c r="W487" s="149"/>
      <c r="X487" s="143"/>
      <c r="Y487" s="146"/>
      <c r="Z487" s="149"/>
      <c r="AA487" s="143"/>
      <c r="AB487" s="146"/>
      <c r="AC487" s="149"/>
      <c r="AD487" s="143"/>
      <c r="AE487" s="146"/>
      <c r="AF487" s="149"/>
      <c r="AG487" s="143"/>
      <c r="AH487" s="146"/>
      <c r="AI487" s="149"/>
      <c r="AJ487" s="143"/>
      <c r="AK487" s="146"/>
      <c r="AL487" s="149"/>
      <c r="AM487" s="143"/>
      <c r="AN487" s="146"/>
      <c r="AO487" s="149"/>
      <c r="AP487" s="143"/>
      <c r="AQ487" s="146"/>
      <c r="AR487" s="149"/>
      <c r="AS487" s="143"/>
      <c r="AT487" s="146"/>
      <c r="AU487" s="149"/>
      <c r="AV487" s="149"/>
    </row>
    <row r="488" spans="1:48" s="34" customFormat="1" ht="12.75">
      <c r="A488" s="36"/>
      <c r="B488" s="36"/>
      <c r="C488" s="36"/>
      <c r="D488" s="36"/>
      <c r="E488" s="35"/>
      <c r="F488" s="143"/>
      <c r="G488" s="146"/>
      <c r="H488" s="149"/>
      <c r="I488" s="143"/>
      <c r="J488" s="146"/>
      <c r="K488" s="149"/>
      <c r="L488" s="143"/>
      <c r="M488" s="146"/>
      <c r="N488" s="149"/>
      <c r="O488" s="143"/>
      <c r="P488" s="146"/>
      <c r="Q488" s="149"/>
      <c r="R488" s="143"/>
      <c r="S488" s="146"/>
      <c r="T488" s="149"/>
      <c r="U488" s="143"/>
      <c r="V488" s="146"/>
      <c r="W488" s="149"/>
      <c r="X488" s="143"/>
      <c r="Y488" s="146"/>
      <c r="Z488" s="149"/>
      <c r="AA488" s="143"/>
      <c r="AB488" s="146"/>
      <c r="AC488" s="149"/>
      <c r="AD488" s="143"/>
      <c r="AE488" s="146"/>
      <c r="AF488" s="149"/>
      <c r="AG488" s="143"/>
      <c r="AH488" s="146"/>
      <c r="AI488" s="149"/>
      <c r="AJ488" s="143"/>
      <c r="AK488" s="146"/>
      <c r="AL488" s="149"/>
      <c r="AM488" s="143"/>
      <c r="AN488" s="146"/>
      <c r="AO488" s="149"/>
      <c r="AP488" s="143"/>
      <c r="AQ488" s="146"/>
      <c r="AR488" s="149"/>
      <c r="AS488" s="143"/>
      <c r="AT488" s="146"/>
      <c r="AU488" s="149"/>
      <c r="AV488" s="149"/>
    </row>
    <row r="489" spans="1:48" s="34" customFormat="1" ht="12.75">
      <c r="A489" s="36"/>
      <c r="B489" s="36"/>
      <c r="C489" s="36"/>
      <c r="D489" s="36"/>
      <c r="E489" s="35"/>
      <c r="F489" s="143"/>
      <c r="G489" s="146"/>
      <c r="H489" s="149"/>
      <c r="I489" s="143"/>
      <c r="J489" s="146"/>
      <c r="K489" s="149"/>
      <c r="L489" s="143"/>
      <c r="M489" s="146"/>
      <c r="N489" s="149"/>
      <c r="O489" s="143"/>
      <c r="P489" s="146"/>
      <c r="Q489" s="149"/>
      <c r="R489" s="143"/>
      <c r="S489" s="146"/>
      <c r="T489" s="149"/>
      <c r="U489" s="143"/>
      <c r="V489" s="146"/>
      <c r="W489" s="149"/>
      <c r="X489" s="143"/>
      <c r="Y489" s="146"/>
      <c r="Z489" s="149"/>
      <c r="AA489" s="143"/>
      <c r="AB489" s="146"/>
      <c r="AC489" s="149"/>
      <c r="AD489" s="143"/>
      <c r="AE489" s="146"/>
      <c r="AF489" s="149"/>
      <c r="AG489" s="143"/>
      <c r="AH489" s="146"/>
      <c r="AI489" s="149"/>
      <c r="AJ489" s="143"/>
      <c r="AK489" s="146"/>
      <c r="AL489" s="149"/>
      <c r="AM489" s="143"/>
      <c r="AN489" s="146"/>
      <c r="AO489" s="149"/>
      <c r="AP489" s="143"/>
      <c r="AQ489" s="146"/>
      <c r="AR489" s="149"/>
      <c r="AS489" s="143"/>
      <c r="AT489" s="146"/>
      <c r="AU489" s="149"/>
      <c r="AV489" s="149"/>
    </row>
    <row r="490" spans="1:48" s="34" customFormat="1" ht="12.75">
      <c r="A490" s="36"/>
      <c r="B490" s="36"/>
      <c r="C490" s="36"/>
      <c r="D490" s="36"/>
      <c r="E490" s="35"/>
      <c r="F490" s="143"/>
      <c r="G490" s="146"/>
      <c r="H490" s="149"/>
      <c r="I490" s="143"/>
      <c r="J490" s="146"/>
      <c r="K490" s="149"/>
      <c r="L490" s="143"/>
      <c r="M490" s="146"/>
      <c r="N490" s="149"/>
      <c r="O490" s="143"/>
      <c r="P490" s="146"/>
      <c r="Q490" s="149"/>
      <c r="R490" s="143"/>
      <c r="S490" s="146"/>
      <c r="T490" s="149"/>
      <c r="U490" s="143"/>
      <c r="V490" s="146"/>
      <c r="W490" s="149"/>
      <c r="X490" s="143"/>
      <c r="Y490" s="146"/>
      <c r="Z490" s="149"/>
      <c r="AA490" s="143"/>
      <c r="AB490" s="146"/>
      <c r="AC490" s="149"/>
      <c r="AD490" s="143"/>
      <c r="AE490" s="146"/>
      <c r="AF490" s="149"/>
      <c r="AG490" s="143"/>
      <c r="AH490" s="146"/>
      <c r="AI490" s="149"/>
      <c r="AJ490" s="143"/>
      <c r="AK490" s="146"/>
      <c r="AL490" s="149"/>
      <c r="AM490" s="143"/>
      <c r="AN490" s="146"/>
      <c r="AO490" s="149"/>
      <c r="AP490" s="143"/>
      <c r="AQ490" s="146"/>
      <c r="AR490" s="149"/>
      <c r="AS490" s="143"/>
      <c r="AT490" s="146"/>
      <c r="AU490" s="149"/>
      <c r="AV490" s="149"/>
    </row>
    <row r="491" spans="1:48" s="34" customFormat="1" ht="12.75">
      <c r="A491" s="36"/>
      <c r="B491" s="36"/>
      <c r="C491" s="36"/>
      <c r="D491" s="36"/>
      <c r="E491" s="35"/>
      <c r="F491" s="143"/>
      <c r="G491" s="146"/>
      <c r="H491" s="149"/>
      <c r="I491" s="143"/>
      <c r="J491" s="146"/>
      <c r="K491" s="149"/>
      <c r="L491" s="143"/>
      <c r="M491" s="146"/>
      <c r="N491" s="149"/>
      <c r="O491" s="143"/>
      <c r="P491" s="146"/>
      <c r="Q491" s="149"/>
      <c r="R491" s="143"/>
      <c r="S491" s="146"/>
      <c r="T491" s="149"/>
      <c r="U491" s="143"/>
      <c r="V491" s="146"/>
      <c r="W491" s="149"/>
      <c r="X491" s="143"/>
      <c r="Y491" s="146"/>
      <c r="Z491" s="149"/>
      <c r="AA491" s="143"/>
      <c r="AB491" s="146"/>
      <c r="AC491" s="149"/>
      <c r="AD491" s="143"/>
      <c r="AE491" s="146"/>
      <c r="AF491" s="149"/>
      <c r="AG491" s="143"/>
      <c r="AH491" s="146"/>
      <c r="AI491" s="149"/>
      <c r="AJ491" s="143"/>
      <c r="AK491" s="146"/>
      <c r="AL491" s="149"/>
      <c r="AM491" s="143"/>
      <c r="AN491" s="146"/>
      <c r="AO491" s="149"/>
      <c r="AP491" s="143"/>
      <c r="AQ491" s="146"/>
      <c r="AR491" s="149"/>
      <c r="AS491" s="143"/>
      <c r="AT491" s="146"/>
      <c r="AU491" s="149"/>
      <c r="AV491" s="149"/>
    </row>
    <row r="492" spans="1:48" s="34" customFormat="1" ht="12.75">
      <c r="A492" s="36"/>
      <c r="B492" s="36"/>
      <c r="C492" s="36"/>
      <c r="D492" s="36"/>
      <c r="E492" s="35"/>
      <c r="F492" s="143"/>
      <c r="G492" s="146"/>
      <c r="H492" s="149"/>
      <c r="I492" s="143"/>
      <c r="J492" s="146"/>
      <c r="K492" s="149"/>
      <c r="L492" s="143"/>
      <c r="M492" s="146"/>
      <c r="N492" s="149"/>
      <c r="O492" s="143"/>
      <c r="P492" s="146"/>
      <c r="Q492" s="149"/>
      <c r="R492" s="143"/>
      <c r="S492" s="146"/>
      <c r="T492" s="149"/>
      <c r="U492" s="143"/>
      <c r="V492" s="146"/>
      <c r="W492" s="149"/>
      <c r="X492" s="143"/>
      <c r="Y492" s="146"/>
      <c r="Z492" s="149"/>
      <c r="AA492" s="143"/>
      <c r="AB492" s="146"/>
      <c r="AC492" s="149"/>
      <c r="AD492" s="143"/>
      <c r="AE492" s="146"/>
      <c r="AF492" s="149"/>
      <c r="AG492" s="143"/>
      <c r="AH492" s="146"/>
      <c r="AI492" s="149"/>
      <c r="AJ492" s="143"/>
      <c r="AK492" s="146"/>
      <c r="AL492" s="149"/>
      <c r="AM492" s="143"/>
      <c r="AN492" s="146"/>
      <c r="AO492" s="149"/>
      <c r="AP492" s="143"/>
      <c r="AQ492" s="146"/>
      <c r="AR492" s="149"/>
      <c r="AS492" s="143"/>
      <c r="AT492" s="146"/>
      <c r="AU492" s="149"/>
      <c r="AV492" s="149"/>
    </row>
    <row r="493" spans="1:48" s="34" customFormat="1" ht="12.75">
      <c r="A493" s="36"/>
      <c r="B493" s="36"/>
      <c r="C493" s="36"/>
      <c r="D493" s="36"/>
      <c r="E493" s="35"/>
      <c r="F493" s="143"/>
      <c r="G493" s="146"/>
      <c r="H493" s="149"/>
      <c r="I493" s="143"/>
      <c r="J493" s="146"/>
      <c r="K493" s="149"/>
      <c r="L493" s="143"/>
      <c r="M493" s="146"/>
      <c r="N493" s="149"/>
      <c r="O493" s="143"/>
      <c r="P493" s="146"/>
      <c r="Q493" s="149"/>
      <c r="R493" s="143"/>
      <c r="S493" s="146"/>
      <c r="T493" s="149"/>
      <c r="U493" s="143"/>
      <c r="V493" s="146"/>
      <c r="W493" s="149"/>
      <c r="X493" s="143"/>
      <c r="Y493" s="146"/>
      <c r="Z493" s="149"/>
      <c r="AA493" s="143"/>
      <c r="AB493" s="146"/>
      <c r="AC493" s="149"/>
      <c r="AD493" s="143"/>
      <c r="AE493" s="146"/>
      <c r="AF493" s="149"/>
      <c r="AG493" s="143"/>
      <c r="AH493" s="146"/>
      <c r="AI493" s="149"/>
      <c r="AJ493" s="143"/>
      <c r="AK493" s="146"/>
      <c r="AL493" s="149"/>
      <c r="AM493" s="143"/>
      <c r="AN493" s="146"/>
      <c r="AO493" s="149"/>
      <c r="AP493" s="143"/>
      <c r="AQ493" s="146"/>
      <c r="AR493" s="149"/>
      <c r="AS493" s="143"/>
      <c r="AT493" s="146"/>
      <c r="AU493" s="149"/>
      <c r="AV493" s="149"/>
    </row>
    <row r="494" spans="1:48" s="34" customFormat="1" ht="12.75">
      <c r="A494" s="36"/>
      <c r="B494" s="36"/>
      <c r="C494" s="36"/>
      <c r="D494" s="36"/>
      <c r="E494" s="35"/>
      <c r="F494" s="143"/>
      <c r="G494" s="146"/>
      <c r="H494" s="149"/>
      <c r="I494" s="143"/>
      <c r="J494" s="146"/>
      <c r="K494" s="149"/>
      <c r="L494" s="143"/>
      <c r="M494" s="146"/>
      <c r="N494" s="149"/>
      <c r="O494" s="143"/>
      <c r="P494" s="146"/>
      <c r="Q494" s="149"/>
      <c r="R494" s="143"/>
      <c r="S494" s="146"/>
      <c r="T494" s="149"/>
      <c r="U494" s="143"/>
      <c r="V494" s="146"/>
      <c r="W494" s="149"/>
      <c r="X494" s="143"/>
      <c r="Y494" s="146"/>
      <c r="Z494" s="149"/>
      <c r="AA494" s="143"/>
      <c r="AB494" s="146"/>
      <c r="AC494" s="149"/>
      <c r="AD494" s="143"/>
      <c r="AE494" s="146"/>
      <c r="AF494" s="149"/>
      <c r="AG494" s="143"/>
      <c r="AH494" s="146"/>
      <c r="AI494" s="149"/>
      <c r="AJ494" s="143"/>
      <c r="AK494" s="146"/>
      <c r="AL494" s="149"/>
      <c r="AM494" s="143"/>
      <c r="AN494" s="146"/>
      <c r="AO494" s="149"/>
      <c r="AP494" s="143"/>
      <c r="AQ494" s="146"/>
      <c r="AR494" s="149"/>
      <c r="AS494" s="143"/>
      <c r="AT494" s="146"/>
      <c r="AU494" s="149"/>
      <c r="AV494" s="149"/>
    </row>
    <row r="495" spans="1:48" s="34" customFormat="1" ht="12.75">
      <c r="A495" s="36"/>
      <c r="B495" s="36"/>
      <c r="C495" s="36"/>
      <c r="D495" s="36"/>
      <c r="E495" s="35"/>
      <c r="F495" s="143"/>
      <c r="G495" s="146"/>
      <c r="H495" s="149"/>
      <c r="I495" s="143"/>
      <c r="J495" s="146"/>
      <c r="K495" s="149"/>
      <c r="L495" s="143"/>
      <c r="M495" s="146"/>
      <c r="N495" s="149"/>
      <c r="O495" s="143"/>
      <c r="P495" s="146"/>
      <c r="Q495" s="149"/>
      <c r="R495" s="143"/>
      <c r="S495" s="146"/>
      <c r="T495" s="149"/>
      <c r="U495" s="143"/>
      <c r="V495" s="146"/>
      <c r="W495" s="149"/>
      <c r="X495" s="143"/>
      <c r="Y495" s="146"/>
      <c r="Z495" s="149"/>
      <c r="AA495" s="143"/>
      <c r="AB495" s="146"/>
      <c r="AC495" s="149"/>
      <c r="AD495" s="143"/>
      <c r="AE495" s="146"/>
      <c r="AF495" s="149"/>
      <c r="AG495" s="143"/>
      <c r="AH495" s="146"/>
      <c r="AI495" s="149"/>
      <c r="AJ495" s="143"/>
      <c r="AK495" s="146"/>
      <c r="AL495" s="149"/>
      <c r="AM495" s="143"/>
      <c r="AN495" s="146"/>
      <c r="AO495" s="149"/>
      <c r="AP495" s="143"/>
      <c r="AQ495" s="146"/>
      <c r="AR495" s="149"/>
      <c r="AS495" s="143"/>
      <c r="AT495" s="146"/>
      <c r="AU495" s="149"/>
      <c r="AV495" s="149"/>
    </row>
    <row r="496" spans="1:48" s="34" customFormat="1" ht="12.75">
      <c r="A496" s="36"/>
      <c r="B496" s="36"/>
      <c r="C496" s="36"/>
      <c r="D496" s="36"/>
      <c r="E496" s="35"/>
      <c r="F496" s="143"/>
      <c r="G496" s="146"/>
      <c r="H496" s="149"/>
      <c r="I496" s="143"/>
      <c r="J496" s="146"/>
      <c r="K496" s="149"/>
      <c r="L496" s="143"/>
      <c r="M496" s="146"/>
      <c r="N496" s="149"/>
      <c r="O496" s="143"/>
      <c r="P496" s="146"/>
      <c r="Q496" s="149"/>
      <c r="R496" s="143"/>
      <c r="S496" s="146"/>
      <c r="T496" s="149"/>
      <c r="U496" s="143"/>
      <c r="V496" s="146"/>
      <c r="W496" s="149"/>
      <c r="X496" s="143"/>
      <c r="Y496" s="146"/>
      <c r="Z496" s="149"/>
      <c r="AA496" s="143"/>
      <c r="AB496" s="146"/>
      <c r="AC496" s="149"/>
      <c r="AD496" s="143"/>
      <c r="AE496" s="146"/>
      <c r="AF496" s="149"/>
      <c r="AG496" s="143"/>
      <c r="AH496" s="146"/>
      <c r="AI496" s="149"/>
      <c r="AJ496" s="143"/>
      <c r="AK496" s="146"/>
      <c r="AL496" s="149"/>
      <c r="AM496" s="143"/>
      <c r="AN496" s="146"/>
      <c r="AO496" s="149"/>
      <c r="AP496" s="143"/>
      <c r="AQ496" s="146"/>
      <c r="AR496" s="149"/>
      <c r="AS496" s="143"/>
      <c r="AT496" s="146"/>
      <c r="AU496" s="149"/>
      <c r="AV496" s="149"/>
    </row>
    <row r="497" spans="1:48" s="34" customFormat="1" ht="12.75">
      <c r="A497" s="36"/>
      <c r="B497" s="36"/>
      <c r="C497" s="36"/>
      <c r="D497" s="36"/>
      <c r="E497" s="35"/>
      <c r="F497" s="143"/>
      <c r="G497" s="146"/>
      <c r="H497" s="149"/>
      <c r="I497" s="143"/>
      <c r="J497" s="146"/>
      <c r="K497" s="149"/>
      <c r="L497" s="143"/>
      <c r="M497" s="146"/>
      <c r="N497" s="149"/>
      <c r="O497" s="143"/>
      <c r="P497" s="146"/>
      <c r="Q497" s="149"/>
      <c r="R497" s="143"/>
      <c r="S497" s="146"/>
      <c r="T497" s="149"/>
      <c r="U497" s="143"/>
      <c r="V497" s="146"/>
      <c r="W497" s="149"/>
      <c r="X497" s="143"/>
      <c r="Y497" s="146"/>
      <c r="Z497" s="149"/>
      <c r="AA497" s="143"/>
      <c r="AB497" s="146"/>
      <c r="AC497" s="149"/>
      <c r="AD497" s="143"/>
      <c r="AE497" s="146"/>
      <c r="AF497" s="149"/>
      <c r="AG497" s="143"/>
      <c r="AH497" s="146"/>
      <c r="AI497" s="149"/>
      <c r="AJ497" s="143"/>
      <c r="AK497" s="146"/>
      <c r="AL497" s="149"/>
      <c r="AM497" s="143"/>
      <c r="AN497" s="146"/>
      <c r="AO497" s="149"/>
      <c r="AP497" s="143"/>
      <c r="AQ497" s="146"/>
      <c r="AR497" s="149"/>
      <c r="AS497" s="143"/>
      <c r="AT497" s="146"/>
      <c r="AU497" s="149"/>
      <c r="AV497" s="149"/>
    </row>
    <row r="498" spans="1:48" s="34" customFormat="1" ht="12.75">
      <c r="A498" s="36"/>
      <c r="B498" s="36"/>
      <c r="C498" s="36"/>
      <c r="D498" s="36"/>
      <c r="E498" s="35"/>
      <c r="F498" s="143"/>
      <c r="G498" s="146"/>
      <c r="H498" s="149"/>
      <c r="I498" s="143"/>
      <c r="J498" s="146"/>
      <c r="K498" s="149"/>
      <c r="L498" s="143"/>
      <c r="M498" s="146"/>
      <c r="N498" s="149"/>
      <c r="O498" s="143"/>
      <c r="P498" s="146"/>
      <c r="Q498" s="149"/>
      <c r="R498" s="143"/>
      <c r="S498" s="146"/>
      <c r="T498" s="149"/>
      <c r="U498" s="143"/>
      <c r="V498" s="146"/>
      <c r="W498" s="149"/>
      <c r="X498" s="143"/>
      <c r="Y498" s="146"/>
      <c r="Z498" s="149"/>
      <c r="AA498" s="143"/>
      <c r="AB498" s="146"/>
      <c r="AC498" s="149"/>
      <c r="AD498" s="143"/>
      <c r="AE498" s="146"/>
      <c r="AF498" s="149"/>
      <c r="AG498" s="143"/>
      <c r="AH498" s="146"/>
      <c r="AI498" s="149"/>
      <c r="AJ498" s="143"/>
      <c r="AK498" s="146"/>
      <c r="AL498" s="149"/>
      <c r="AM498" s="143"/>
      <c r="AN498" s="146"/>
      <c r="AO498" s="149"/>
      <c r="AP498" s="143"/>
      <c r="AQ498" s="146"/>
      <c r="AR498" s="149"/>
      <c r="AS498" s="143"/>
      <c r="AT498" s="146"/>
      <c r="AU498" s="149"/>
      <c r="AV498" s="149"/>
    </row>
    <row r="499" spans="1:48" s="34" customFormat="1" ht="12.75">
      <c r="A499" s="36"/>
      <c r="B499" s="36"/>
      <c r="C499" s="36"/>
      <c r="D499" s="36"/>
      <c r="E499" s="35"/>
      <c r="F499" s="143"/>
      <c r="G499" s="146"/>
      <c r="H499" s="149"/>
      <c r="I499" s="143"/>
      <c r="J499" s="146"/>
      <c r="K499" s="149"/>
      <c r="L499" s="143"/>
      <c r="M499" s="146"/>
      <c r="N499" s="149"/>
      <c r="O499" s="143"/>
      <c r="P499" s="146"/>
      <c r="Q499" s="149"/>
      <c r="R499" s="143"/>
      <c r="S499" s="146"/>
      <c r="T499" s="149"/>
      <c r="U499" s="143"/>
      <c r="V499" s="146"/>
      <c r="W499" s="149"/>
      <c r="X499" s="143"/>
      <c r="Y499" s="146"/>
      <c r="Z499" s="149"/>
      <c r="AA499" s="143"/>
      <c r="AB499" s="146"/>
      <c r="AC499" s="149"/>
      <c r="AD499" s="143"/>
      <c r="AE499" s="146"/>
      <c r="AF499" s="149"/>
      <c r="AG499" s="143"/>
      <c r="AH499" s="146"/>
      <c r="AI499" s="149"/>
      <c r="AJ499" s="143"/>
      <c r="AK499" s="146"/>
      <c r="AL499" s="149"/>
      <c r="AM499" s="143"/>
      <c r="AN499" s="146"/>
      <c r="AO499" s="149"/>
      <c r="AP499" s="143"/>
      <c r="AQ499" s="146"/>
      <c r="AR499" s="149"/>
      <c r="AS499" s="143"/>
      <c r="AT499" s="146"/>
      <c r="AU499" s="149"/>
      <c r="AV499" s="149"/>
    </row>
    <row r="500" spans="1:48" s="34" customFormat="1" ht="12.75">
      <c r="A500" s="36"/>
      <c r="B500" s="36"/>
      <c r="C500" s="36"/>
      <c r="D500" s="36"/>
      <c r="E500" s="35"/>
      <c r="F500" s="143"/>
      <c r="G500" s="146"/>
      <c r="H500" s="149"/>
      <c r="I500" s="143"/>
      <c r="J500" s="146"/>
      <c r="K500" s="149"/>
      <c r="L500" s="143"/>
      <c r="M500" s="146"/>
      <c r="N500" s="149"/>
      <c r="O500" s="143"/>
      <c r="P500" s="146"/>
      <c r="Q500" s="149"/>
      <c r="R500" s="143"/>
      <c r="S500" s="146"/>
      <c r="T500" s="149"/>
      <c r="U500" s="143"/>
      <c r="V500" s="146"/>
      <c r="W500" s="149"/>
      <c r="X500" s="143"/>
      <c r="Y500" s="146"/>
      <c r="Z500" s="149"/>
      <c r="AA500" s="143"/>
      <c r="AB500" s="146"/>
      <c r="AC500" s="149"/>
      <c r="AD500" s="143"/>
      <c r="AE500" s="146"/>
      <c r="AF500" s="149"/>
      <c r="AG500" s="143"/>
      <c r="AH500" s="146"/>
      <c r="AI500" s="149"/>
      <c r="AJ500" s="143"/>
      <c r="AK500" s="146"/>
      <c r="AL500" s="149"/>
      <c r="AM500" s="143"/>
      <c r="AN500" s="146"/>
      <c r="AO500" s="149"/>
      <c r="AP500" s="143"/>
      <c r="AQ500" s="146"/>
      <c r="AR500" s="149"/>
      <c r="AS500" s="143"/>
      <c r="AT500" s="146"/>
      <c r="AU500" s="149"/>
      <c r="AV500" s="149"/>
    </row>
    <row r="501" spans="1:48" s="34" customFormat="1" ht="12.75">
      <c r="A501" s="36"/>
      <c r="B501" s="36"/>
      <c r="C501" s="36"/>
      <c r="D501" s="36"/>
      <c r="E501" s="35"/>
      <c r="F501" s="143"/>
      <c r="G501" s="146"/>
      <c r="H501" s="149"/>
      <c r="I501" s="143"/>
      <c r="J501" s="146"/>
      <c r="K501" s="149"/>
      <c r="L501" s="143"/>
      <c r="M501" s="146"/>
      <c r="N501" s="149"/>
      <c r="O501" s="143"/>
      <c r="P501" s="146"/>
      <c r="Q501" s="149"/>
      <c r="R501" s="143"/>
      <c r="S501" s="146"/>
      <c r="T501" s="149"/>
      <c r="U501" s="143"/>
      <c r="V501" s="146"/>
      <c r="W501" s="149"/>
      <c r="X501" s="143"/>
      <c r="Y501" s="146"/>
      <c r="Z501" s="149"/>
      <c r="AA501" s="143"/>
      <c r="AB501" s="146"/>
      <c r="AC501" s="149"/>
      <c r="AD501" s="143"/>
      <c r="AE501" s="146"/>
      <c r="AF501" s="149"/>
      <c r="AG501" s="143"/>
      <c r="AH501" s="146"/>
      <c r="AI501" s="149"/>
      <c r="AJ501" s="143"/>
      <c r="AK501" s="146"/>
      <c r="AL501" s="149"/>
      <c r="AM501" s="143"/>
      <c r="AN501" s="146"/>
      <c r="AO501" s="149"/>
      <c r="AP501" s="143"/>
      <c r="AQ501" s="146"/>
      <c r="AR501" s="149"/>
      <c r="AS501" s="143"/>
      <c r="AT501" s="146"/>
      <c r="AU501" s="149"/>
      <c r="AV501" s="149"/>
    </row>
    <row r="502" spans="1:48" s="34" customFormat="1" ht="12.75">
      <c r="A502" s="36"/>
      <c r="B502" s="36"/>
      <c r="C502" s="36"/>
      <c r="D502" s="36"/>
      <c r="E502" s="35"/>
      <c r="F502" s="143"/>
      <c r="G502" s="146"/>
      <c r="H502" s="149"/>
      <c r="I502" s="143"/>
      <c r="J502" s="146"/>
      <c r="K502" s="149"/>
      <c r="L502" s="143"/>
      <c r="M502" s="146"/>
      <c r="N502" s="149"/>
      <c r="O502" s="143"/>
      <c r="P502" s="146"/>
      <c r="Q502" s="149"/>
      <c r="R502" s="143"/>
      <c r="S502" s="146"/>
      <c r="T502" s="149"/>
      <c r="U502" s="143"/>
      <c r="V502" s="146"/>
      <c r="W502" s="149"/>
      <c r="X502" s="143"/>
      <c r="Y502" s="146"/>
      <c r="Z502" s="149"/>
      <c r="AA502" s="143"/>
      <c r="AB502" s="146"/>
      <c r="AC502" s="149"/>
      <c r="AD502" s="143"/>
      <c r="AE502" s="146"/>
      <c r="AF502" s="149"/>
      <c r="AG502" s="143"/>
      <c r="AH502" s="146"/>
      <c r="AI502" s="149"/>
      <c r="AJ502" s="143"/>
      <c r="AK502" s="146"/>
      <c r="AL502" s="149"/>
      <c r="AM502" s="143"/>
      <c r="AN502" s="146"/>
      <c r="AO502" s="149"/>
      <c r="AP502" s="143"/>
      <c r="AQ502" s="146"/>
      <c r="AR502" s="149"/>
      <c r="AS502" s="143"/>
      <c r="AT502" s="146"/>
      <c r="AU502" s="149"/>
      <c r="AV502" s="149"/>
    </row>
    <row r="503" spans="1:48" s="34" customFormat="1" ht="12.75">
      <c r="A503" s="36"/>
      <c r="B503" s="36"/>
      <c r="C503" s="36"/>
      <c r="D503" s="36"/>
      <c r="E503" s="35"/>
      <c r="F503" s="143"/>
      <c r="G503" s="146"/>
      <c r="H503" s="149"/>
      <c r="I503" s="143"/>
      <c r="J503" s="146"/>
      <c r="K503" s="149"/>
      <c r="L503" s="143"/>
      <c r="M503" s="146"/>
      <c r="N503" s="149"/>
      <c r="O503" s="143"/>
      <c r="P503" s="146"/>
      <c r="Q503" s="149"/>
      <c r="R503" s="143"/>
      <c r="S503" s="146"/>
      <c r="T503" s="149"/>
      <c r="U503" s="143"/>
      <c r="V503" s="146"/>
      <c r="W503" s="149"/>
      <c r="X503" s="143"/>
      <c r="Y503" s="146"/>
      <c r="Z503" s="149"/>
      <c r="AA503" s="143"/>
      <c r="AB503" s="146"/>
      <c r="AC503" s="149"/>
      <c r="AD503" s="143"/>
      <c r="AE503" s="146"/>
      <c r="AF503" s="149"/>
      <c r="AG503" s="143"/>
      <c r="AH503" s="146"/>
      <c r="AI503" s="149"/>
      <c r="AJ503" s="143"/>
      <c r="AK503" s="146"/>
      <c r="AL503" s="149"/>
      <c r="AM503" s="143"/>
      <c r="AN503" s="146"/>
      <c r="AO503" s="149"/>
      <c r="AP503" s="143"/>
      <c r="AQ503" s="146"/>
      <c r="AR503" s="149"/>
      <c r="AS503" s="143"/>
      <c r="AT503" s="146"/>
      <c r="AU503" s="149"/>
      <c r="AV503" s="149"/>
    </row>
    <row r="504" spans="1:48" s="34" customFormat="1" ht="12.75">
      <c r="A504" s="36"/>
      <c r="B504" s="36"/>
      <c r="C504" s="36"/>
      <c r="D504" s="36"/>
      <c r="E504" s="35"/>
      <c r="F504" s="143"/>
      <c r="G504" s="146"/>
      <c r="H504" s="149"/>
      <c r="I504" s="143"/>
      <c r="J504" s="146"/>
      <c r="K504" s="149"/>
      <c r="L504" s="143"/>
      <c r="M504" s="146"/>
      <c r="N504" s="149"/>
      <c r="O504" s="143"/>
      <c r="P504" s="146"/>
      <c r="Q504" s="149"/>
      <c r="R504" s="143"/>
      <c r="S504" s="146"/>
      <c r="T504" s="149"/>
      <c r="U504" s="143"/>
      <c r="V504" s="146"/>
      <c r="W504" s="149"/>
      <c r="X504" s="143"/>
      <c r="Y504" s="146"/>
      <c r="Z504" s="149"/>
      <c r="AA504" s="143"/>
      <c r="AB504" s="146"/>
      <c r="AC504" s="149"/>
      <c r="AD504" s="143"/>
      <c r="AE504" s="146"/>
      <c r="AF504" s="149"/>
      <c r="AG504" s="143"/>
      <c r="AH504" s="146"/>
      <c r="AI504" s="149"/>
      <c r="AJ504" s="143"/>
      <c r="AK504" s="146"/>
      <c r="AL504" s="149"/>
      <c r="AM504" s="143"/>
      <c r="AN504" s="146"/>
      <c r="AO504" s="149"/>
      <c r="AP504" s="143"/>
      <c r="AQ504" s="146"/>
      <c r="AR504" s="149"/>
      <c r="AS504" s="143"/>
      <c r="AT504" s="146"/>
      <c r="AU504" s="149"/>
      <c r="AV504" s="149"/>
    </row>
    <row r="505" spans="1:48" s="34" customFormat="1" ht="12.75">
      <c r="A505" s="36"/>
      <c r="B505" s="36"/>
      <c r="C505" s="36"/>
      <c r="D505" s="36"/>
      <c r="E505" s="35"/>
      <c r="F505" s="143"/>
      <c r="G505" s="146"/>
      <c r="H505" s="149"/>
      <c r="I505" s="143"/>
      <c r="J505" s="146"/>
      <c r="K505" s="149"/>
      <c r="L505" s="143"/>
      <c r="M505" s="146"/>
      <c r="N505" s="149"/>
      <c r="O505" s="143"/>
      <c r="P505" s="146"/>
      <c r="Q505" s="149"/>
      <c r="R505" s="143"/>
      <c r="S505" s="146"/>
      <c r="T505" s="149"/>
      <c r="U505" s="143"/>
      <c r="V505" s="146"/>
      <c r="W505" s="149"/>
      <c r="X505" s="143"/>
      <c r="Y505" s="146"/>
      <c r="Z505" s="149"/>
      <c r="AA505" s="143"/>
      <c r="AB505" s="146"/>
      <c r="AC505" s="149"/>
      <c r="AD505" s="143"/>
      <c r="AE505" s="146"/>
      <c r="AF505" s="149"/>
      <c r="AG505" s="143"/>
      <c r="AH505" s="146"/>
      <c r="AI505" s="149"/>
      <c r="AJ505" s="143"/>
      <c r="AK505" s="146"/>
      <c r="AL505" s="149"/>
      <c r="AM505" s="143"/>
      <c r="AN505" s="146"/>
      <c r="AO505" s="149"/>
      <c r="AP505" s="143"/>
      <c r="AQ505" s="146"/>
      <c r="AR505" s="149"/>
      <c r="AS505" s="143"/>
      <c r="AT505" s="146"/>
      <c r="AU505" s="149"/>
      <c r="AV505" s="149"/>
    </row>
    <row r="506" spans="1:48" s="34" customFormat="1" ht="12.75">
      <c r="A506" s="36"/>
      <c r="B506" s="36"/>
      <c r="C506" s="36"/>
      <c r="D506" s="36"/>
      <c r="E506" s="35"/>
      <c r="F506" s="143"/>
      <c r="G506" s="146"/>
      <c r="H506" s="149"/>
      <c r="I506" s="143"/>
      <c r="J506" s="146"/>
      <c r="K506" s="149"/>
      <c r="L506" s="143"/>
      <c r="M506" s="146"/>
      <c r="N506" s="149"/>
      <c r="O506" s="143"/>
      <c r="P506" s="146"/>
      <c r="Q506" s="149"/>
      <c r="R506" s="143"/>
      <c r="S506" s="146"/>
      <c r="T506" s="149"/>
      <c r="U506" s="143"/>
      <c r="V506" s="146"/>
      <c r="W506" s="149"/>
      <c r="X506" s="143"/>
      <c r="Y506" s="146"/>
      <c r="Z506" s="149"/>
      <c r="AA506" s="143"/>
      <c r="AB506" s="146"/>
      <c r="AC506" s="149"/>
      <c r="AD506" s="143"/>
      <c r="AE506" s="146"/>
      <c r="AF506" s="149"/>
      <c r="AG506" s="143"/>
      <c r="AH506" s="146"/>
      <c r="AI506" s="149"/>
      <c r="AJ506" s="143"/>
      <c r="AK506" s="146"/>
      <c r="AL506" s="149"/>
      <c r="AM506" s="143"/>
      <c r="AN506" s="146"/>
      <c r="AO506" s="149"/>
      <c r="AP506" s="143"/>
      <c r="AQ506" s="146"/>
      <c r="AR506" s="149"/>
      <c r="AS506" s="143"/>
      <c r="AT506" s="146"/>
      <c r="AU506" s="149"/>
      <c r="AV506" s="149"/>
    </row>
    <row r="507" spans="1:48" s="34" customFormat="1" ht="12.75">
      <c r="A507" s="36"/>
      <c r="B507" s="36"/>
      <c r="C507" s="36"/>
      <c r="D507" s="36"/>
      <c r="E507" s="35"/>
      <c r="F507" s="143"/>
      <c r="G507" s="146"/>
      <c r="H507" s="149"/>
      <c r="I507" s="143"/>
      <c r="J507" s="146"/>
      <c r="K507" s="149"/>
      <c r="L507" s="143"/>
      <c r="M507" s="146"/>
      <c r="N507" s="149"/>
      <c r="O507" s="143"/>
      <c r="P507" s="146"/>
      <c r="Q507" s="149"/>
      <c r="R507" s="143"/>
      <c r="S507" s="146"/>
      <c r="T507" s="149"/>
      <c r="U507" s="143"/>
      <c r="V507" s="146"/>
      <c r="W507" s="149"/>
      <c r="X507" s="143"/>
      <c r="Y507" s="146"/>
      <c r="Z507" s="149"/>
      <c r="AA507" s="143"/>
      <c r="AB507" s="146"/>
      <c r="AC507" s="149"/>
      <c r="AD507" s="143"/>
      <c r="AE507" s="146"/>
      <c r="AF507" s="149"/>
      <c r="AG507" s="143"/>
      <c r="AH507" s="146"/>
      <c r="AI507" s="149"/>
      <c r="AJ507" s="143"/>
      <c r="AK507" s="146"/>
      <c r="AL507" s="149"/>
      <c r="AM507" s="143"/>
      <c r="AN507" s="146"/>
      <c r="AO507" s="149"/>
      <c r="AP507" s="143"/>
      <c r="AQ507" s="146"/>
      <c r="AR507" s="149"/>
      <c r="AS507" s="143"/>
      <c r="AT507" s="146"/>
      <c r="AU507" s="149"/>
      <c r="AV507" s="149"/>
    </row>
    <row r="508" spans="1:48" s="34" customFormat="1" ht="12.75">
      <c r="A508" s="36"/>
      <c r="B508" s="36"/>
      <c r="C508" s="36"/>
      <c r="D508" s="36"/>
      <c r="E508" s="35"/>
      <c r="F508" s="143"/>
      <c r="G508" s="146"/>
      <c r="H508" s="149"/>
      <c r="I508" s="143"/>
      <c r="J508" s="146"/>
      <c r="K508" s="149"/>
      <c r="L508" s="143"/>
      <c r="M508" s="146"/>
      <c r="N508" s="149"/>
      <c r="O508" s="143"/>
      <c r="P508" s="146"/>
      <c r="Q508" s="149"/>
      <c r="R508" s="143"/>
      <c r="S508" s="146"/>
      <c r="T508" s="149"/>
      <c r="U508" s="143"/>
      <c r="V508" s="146"/>
      <c r="W508" s="149"/>
      <c r="X508" s="143"/>
      <c r="Y508" s="146"/>
      <c r="Z508" s="149"/>
      <c r="AA508" s="143"/>
      <c r="AB508" s="146"/>
      <c r="AC508" s="149"/>
      <c r="AD508" s="143"/>
      <c r="AE508" s="146"/>
      <c r="AF508" s="149"/>
      <c r="AG508" s="143"/>
      <c r="AH508" s="146"/>
      <c r="AI508" s="149"/>
      <c r="AJ508" s="143"/>
      <c r="AK508" s="146"/>
      <c r="AL508" s="149"/>
      <c r="AM508" s="143"/>
      <c r="AN508" s="146"/>
      <c r="AO508" s="149"/>
      <c r="AP508" s="143"/>
      <c r="AQ508" s="146"/>
      <c r="AR508" s="149"/>
      <c r="AS508" s="143"/>
      <c r="AT508" s="146"/>
      <c r="AU508" s="149"/>
      <c r="AV508" s="149"/>
    </row>
    <row r="509" spans="1:48" s="34" customFormat="1" ht="12.75">
      <c r="A509" s="36"/>
      <c r="B509" s="36"/>
      <c r="C509" s="36"/>
      <c r="D509" s="36"/>
      <c r="E509" s="35"/>
      <c r="F509" s="143"/>
      <c r="G509" s="146"/>
      <c r="H509" s="149"/>
      <c r="I509" s="143"/>
      <c r="J509" s="146"/>
      <c r="K509" s="149"/>
      <c r="L509" s="143"/>
      <c r="M509" s="146"/>
      <c r="N509" s="149"/>
      <c r="O509" s="143"/>
      <c r="P509" s="146"/>
      <c r="Q509" s="149"/>
      <c r="R509" s="143"/>
      <c r="S509" s="146"/>
      <c r="T509" s="149"/>
      <c r="U509" s="143"/>
      <c r="V509" s="146"/>
      <c r="W509" s="149"/>
      <c r="X509" s="143"/>
      <c r="Y509" s="146"/>
      <c r="Z509" s="149"/>
      <c r="AA509" s="143"/>
      <c r="AB509" s="146"/>
      <c r="AC509" s="149"/>
      <c r="AD509" s="143"/>
      <c r="AE509" s="146"/>
      <c r="AF509" s="149"/>
      <c r="AG509" s="143"/>
      <c r="AH509" s="146"/>
      <c r="AI509" s="149"/>
      <c r="AJ509" s="143"/>
      <c r="AK509" s="146"/>
      <c r="AL509" s="149"/>
      <c r="AM509" s="143"/>
      <c r="AN509" s="146"/>
      <c r="AO509" s="149"/>
      <c r="AP509" s="143"/>
      <c r="AQ509" s="146"/>
      <c r="AR509" s="149"/>
      <c r="AS509" s="143"/>
      <c r="AT509" s="146"/>
      <c r="AU509" s="149"/>
      <c r="AV509" s="149"/>
    </row>
    <row r="510" spans="1:48" s="34" customFormat="1" ht="12.75">
      <c r="A510" s="36"/>
      <c r="B510" s="36"/>
      <c r="C510" s="36"/>
      <c r="D510" s="36"/>
      <c r="E510" s="35"/>
      <c r="F510" s="143"/>
      <c r="G510" s="146"/>
      <c r="H510" s="149"/>
      <c r="I510" s="143"/>
      <c r="J510" s="146"/>
      <c r="K510" s="149"/>
      <c r="L510" s="143"/>
      <c r="M510" s="146"/>
      <c r="N510" s="149"/>
      <c r="O510" s="143"/>
      <c r="P510" s="146"/>
      <c r="Q510" s="149"/>
      <c r="R510" s="143"/>
      <c r="S510" s="146"/>
      <c r="T510" s="149"/>
      <c r="U510" s="143"/>
      <c r="V510" s="146"/>
      <c r="W510" s="149"/>
      <c r="X510" s="143"/>
      <c r="Y510" s="146"/>
      <c r="Z510" s="149"/>
      <c r="AA510" s="143"/>
      <c r="AB510" s="146"/>
      <c r="AC510" s="149"/>
      <c r="AD510" s="143"/>
      <c r="AE510" s="146"/>
      <c r="AF510" s="149"/>
      <c r="AG510" s="143"/>
      <c r="AH510" s="146"/>
      <c r="AI510" s="149"/>
      <c r="AJ510" s="143"/>
      <c r="AK510" s="146"/>
      <c r="AL510" s="149"/>
      <c r="AM510" s="143"/>
      <c r="AN510" s="146"/>
      <c r="AO510" s="149"/>
      <c r="AP510" s="143"/>
      <c r="AQ510" s="146"/>
      <c r="AR510" s="149"/>
      <c r="AS510" s="143"/>
      <c r="AT510" s="146"/>
      <c r="AU510" s="149"/>
      <c r="AV510" s="149"/>
    </row>
    <row r="511" spans="1:48" s="34" customFormat="1" ht="12.75">
      <c r="A511" s="36"/>
      <c r="B511" s="36"/>
      <c r="C511" s="36"/>
      <c r="D511" s="36"/>
      <c r="E511" s="35"/>
      <c r="F511" s="143"/>
      <c r="G511" s="146"/>
      <c r="H511" s="149"/>
      <c r="I511" s="143"/>
      <c r="J511" s="146"/>
      <c r="K511" s="149"/>
      <c r="L511" s="143"/>
      <c r="M511" s="146"/>
      <c r="N511" s="149"/>
      <c r="O511" s="143"/>
      <c r="P511" s="146"/>
      <c r="Q511" s="149"/>
      <c r="R511" s="143"/>
      <c r="S511" s="146"/>
      <c r="T511" s="149"/>
      <c r="U511" s="143"/>
      <c r="V511" s="146"/>
      <c r="W511" s="149"/>
      <c r="X511" s="143"/>
      <c r="Y511" s="146"/>
      <c r="Z511" s="149"/>
      <c r="AA511" s="143"/>
      <c r="AB511" s="146"/>
      <c r="AC511" s="149"/>
      <c r="AD511" s="143"/>
      <c r="AE511" s="146"/>
      <c r="AF511" s="149"/>
      <c r="AG511" s="143"/>
      <c r="AH511" s="146"/>
      <c r="AI511" s="149"/>
      <c r="AJ511" s="143"/>
      <c r="AK511" s="146"/>
      <c r="AL511" s="149"/>
      <c r="AM511" s="143"/>
      <c r="AN511" s="146"/>
      <c r="AO511" s="149"/>
      <c r="AP511" s="143"/>
      <c r="AQ511" s="146"/>
      <c r="AR511" s="149"/>
      <c r="AS511" s="143"/>
      <c r="AT511" s="146"/>
      <c r="AU511" s="149"/>
      <c r="AV511" s="149"/>
    </row>
    <row r="512" spans="1:48" s="34" customFormat="1" ht="12.75">
      <c r="A512" s="36"/>
      <c r="B512" s="36"/>
      <c r="C512" s="36"/>
      <c r="D512" s="36"/>
      <c r="E512" s="35"/>
      <c r="F512" s="143"/>
      <c r="G512" s="146"/>
      <c r="H512" s="149"/>
      <c r="I512" s="143"/>
      <c r="J512" s="146"/>
      <c r="K512" s="149"/>
      <c r="L512" s="143"/>
      <c r="M512" s="146"/>
      <c r="N512" s="149"/>
      <c r="O512" s="143"/>
      <c r="P512" s="146"/>
      <c r="Q512" s="149"/>
      <c r="R512" s="143"/>
      <c r="S512" s="146"/>
      <c r="T512" s="149"/>
      <c r="U512" s="143"/>
      <c r="V512" s="146"/>
      <c r="W512" s="149"/>
      <c r="X512" s="143"/>
      <c r="Y512" s="146"/>
      <c r="Z512" s="149"/>
      <c r="AA512" s="143"/>
      <c r="AB512" s="146"/>
      <c r="AC512" s="149"/>
      <c r="AD512" s="143"/>
      <c r="AE512" s="146"/>
      <c r="AF512" s="149"/>
      <c r="AG512" s="143"/>
      <c r="AH512" s="146"/>
      <c r="AI512" s="149"/>
      <c r="AJ512" s="143"/>
      <c r="AK512" s="146"/>
      <c r="AL512" s="149"/>
      <c r="AM512" s="143"/>
      <c r="AN512" s="146"/>
      <c r="AO512" s="149"/>
      <c r="AP512" s="143"/>
      <c r="AQ512" s="146"/>
      <c r="AR512" s="149"/>
      <c r="AS512" s="143"/>
      <c r="AT512" s="146"/>
      <c r="AU512" s="149"/>
      <c r="AV512" s="149"/>
    </row>
    <row r="513" spans="1:48" s="34" customFormat="1" ht="12.75">
      <c r="A513" s="36"/>
      <c r="B513" s="36"/>
      <c r="C513" s="36"/>
      <c r="D513" s="36"/>
      <c r="E513" s="35"/>
      <c r="F513" s="143"/>
      <c r="G513" s="146"/>
      <c r="H513" s="149"/>
      <c r="I513" s="143"/>
      <c r="J513" s="146"/>
      <c r="K513" s="149"/>
      <c r="L513" s="143"/>
      <c r="M513" s="146"/>
      <c r="N513" s="149"/>
      <c r="O513" s="143"/>
      <c r="P513" s="146"/>
      <c r="Q513" s="149"/>
      <c r="R513" s="143"/>
      <c r="S513" s="146"/>
      <c r="T513" s="149"/>
      <c r="U513" s="143"/>
      <c r="V513" s="146"/>
      <c r="W513" s="149"/>
      <c r="X513" s="143"/>
      <c r="Y513" s="146"/>
      <c r="Z513" s="149"/>
      <c r="AA513" s="143"/>
      <c r="AB513" s="146"/>
      <c r="AC513" s="149"/>
      <c r="AD513" s="143"/>
      <c r="AE513" s="146"/>
      <c r="AF513" s="149"/>
      <c r="AG513" s="143"/>
      <c r="AH513" s="146"/>
      <c r="AI513" s="149"/>
      <c r="AJ513" s="143"/>
      <c r="AK513" s="146"/>
      <c r="AL513" s="149"/>
      <c r="AM513" s="143"/>
      <c r="AN513" s="146"/>
      <c r="AO513" s="149"/>
      <c r="AP513" s="143"/>
      <c r="AQ513" s="146"/>
      <c r="AR513" s="149"/>
      <c r="AS513" s="143"/>
      <c r="AT513" s="146"/>
      <c r="AU513" s="149"/>
      <c r="AV513" s="149"/>
    </row>
    <row r="514" spans="1:48" s="34" customFormat="1" ht="12.75">
      <c r="A514" s="36"/>
      <c r="B514" s="36"/>
      <c r="C514" s="36"/>
      <c r="D514" s="36"/>
      <c r="E514" s="35"/>
      <c r="F514" s="143"/>
      <c r="G514" s="146"/>
      <c r="H514" s="149"/>
      <c r="I514" s="143"/>
      <c r="J514" s="146"/>
      <c r="K514" s="149"/>
      <c r="L514" s="143"/>
      <c r="M514" s="146"/>
      <c r="N514" s="149"/>
      <c r="O514" s="143"/>
      <c r="P514" s="146"/>
      <c r="Q514" s="149"/>
      <c r="R514" s="143"/>
      <c r="S514" s="146"/>
      <c r="T514" s="149"/>
      <c r="U514" s="143"/>
      <c r="V514" s="146"/>
      <c r="W514" s="149"/>
      <c r="X514" s="143"/>
      <c r="Y514" s="146"/>
      <c r="Z514" s="149"/>
      <c r="AA514" s="143"/>
      <c r="AB514" s="146"/>
      <c r="AC514" s="149"/>
      <c r="AD514" s="143"/>
      <c r="AE514" s="146"/>
      <c r="AF514" s="149"/>
      <c r="AG514" s="143"/>
      <c r="AH514" s="146"/>
      <c r="AI514" s="149"/>
      <c r="AJ514" s="143"/>
      <c r="AK514" s="146"/>
      <c r="AL514" s="149"/>
      <c r="AM514" s="143"/>
      <c r="AN514" s="146"/>
      <c r="AO514" s="149"/>
      <c r="AP514" s="143"/>
      <c r="AQ514" s="146"/>
      <c r="AR514" s="149"/>
      <c r="AS514" s="143"/>
      <c r="AT514" s="146"/>
      <c r="AU514" s="149"/>
      <c r="AV514" s="149"/>
    </row>
    <row r="515" spans="1:48" s="34" customFormat="1" ht="12.75">
      <c r="A515" s="36"/>
      <c r="B515" s="36"/>
      <c r="C515" s="36"/>
      <c r="D515" s="36"/>
      <c r="E515" s="35"/>
      <c r="F515" s="143"/>
      <c r="G515" s="146"/>
      <c r="H515" s="149"/>
      <c r="I515" s="143"/>
      <c r="J515" s="146"/>
      <c r="K515" s="149"/>
      <c r="L515" s="143"/>
      <c r="M515" s="146"/>
      <c r="N515" s="149"/>
      <c r="O515" s="143"/>
      <c r="P515" s="146"/>
      <c r="Q515" s="149"/>
      <c r="R515" s="143"/>
      <c r="S515" s="146"/>
      <c r="T515" s="149"/>
      <c r="U515" s="143"/>
      <c r="V515" s="146"/>
      <c r="W515" s="149"/>
      <c r="X515" s="143"/>
      <c r="Y515" s="146"/>
      <c r="Z515" s="149"/>
      <c r="AA515" s="143"/>
      <c r="AB515" s="146"/>
      <c r="AC515" s="149"/>
      <c r="AD515" s="143"/>
      <c r="AE515" s="146"/>
      <c r="AF515" s="149"/>
      <c r="AG515" s="143"/>
      <c r="AH515" s="146"/>
      <c r="AI515" s="149"/>
      <c r="AJ515" s="143"/>
      <c r="AK515" s="146"/>
      <c r="AL515" s="149"/>
      <c r="AM515" s="143"/>
      <c r="AN515" s="146"/>
      <c r="AO515" s="149"/>
      <c r="AP515" s="143"/>
      <c r="AQ515" s="146"/>
      <c r="AR515" s="149"/>
      <c r="AS515" s="143"/>
      <c r="AT515" s="146"/>
      <c r="AU515" s="149"/>
      <c r="AV515" s="149"/>
    </row>
    <row r="516" spans="1:48" s="34" customFormat="1" ht="12.75">
      <c r="A516" s="36"/>
      <c r="B516" s="36"/>
      <c r="C516" s="36"/>
      <c r="D516" s="36"/>
      <c r="E516" s="35"/>
      <c r="F516" s="143"/>
      <c r="G516" s="146"/>
      <c r="H516" s="149"/>
      <c r="I516" s="143"/>
      <c r="J516" s="146"/>
      <c r="K516" s="149"/>
      <c r="L516" s="143"/>
      <c r="M516" s="146"/>
      <c r="N516" s="149"/>
      <c r="O516" s="143"/>
      <c r="P516" s="146"/>
      <c r="Q516" s="149"/>
      <c r="R516" s="143"/>
      <c r="S516" s="146"/>
      <c r="T516" s="149"/>
      <c r="U516" s="143"/>
      <c r="V516" s="146"/>
      <c r="W516" s="149"/>
      <c r="X516" s="143"/>
      <c r="Y516" s="146"/>
      <c r="Z516" s="149"/>
      <c r="AA516" s="143"/>
      <c r="AB516" s="146"/>
      <c r="AC516" s="149"/>
      <c r="AD516" s="143"/>
      <c r="AE516" s="146"/>
      <c r="AF516" s="149"/>
      <c r="AG516" s="143"/>
      <c r="AH516" s="146"/>
      <c r="AI516" s="149"/>
      <c r="AJ516" s="143"/>
      <c r="AK516" s="146"/>
      <c r="AL516" s="149"/>
      <c r="AM516" s="143"/>
      <c r="AN516" s="146"/>
      <c r="AO516" s="149"/>
      <c r="AP516" s="143"/>
      <c r="AQ516" s="146"/>
      <c r="AR516" s="149"/>
      <c r="AS516" s="143"/>
      <c r="AT516" s="146"/>
      <c r="AU516" s="149"/>
      <c r="AV516" s="149"/>
    </row>
    <row r="517" spans="1:48" s="34" customFormat="1" ht="12.75">
      <c r="A517" s="36"/>
      <c r="B517" s="36"/>
      <c r="C517" s="36"/>
      <c r="D517" s="36"/>
      <c r="E517" s="35"/>
      <c r="F517" s="143"/>
      <c r="G517" s="146"/>
      <c r="H517" s="149"/>
      <c r="I517" s="143"/>
      <c r="J517" s="146"/>
      <c r="K517" s="149"/>
      <c r="L517" s="143"/>
      <c r="M517" s="146"/>
      <c r="N517" s="149"/>
      <c r="O517" s="143"/>
      <c r="P517" s="146"/>
      <c r="Q517" s="149"/>
      <c r="R517" s="143"/>
      <c r="S517" s="146"/>
      <c r="T517" s="149"/>
      <c r="U517" s="143"/>
      <c r="V517" s="146"/>
      <c r="W517" s="149"/>
      <c r="X517" s="143"/>
      <c r="Y517" s="146"/>
      <c r="Z517" s="149"/>
      <c r="AA517" s="143"/>
      <c r="AB517" s="146"/>
      <c r="AC517" s="149"/>
      <c r="AD517" s="143"/>
      <c r="AE517" s="146"/>
      <c r="AF517" s="149"/>
      <c r="AG517" s="143"/>
      <c r="AH517" s="146"/>
      <c r="AI517" s="149"/>
      <c r="AJ517" s="143"/>
      <c r="AK517" s="146"/>
      <c r="AL517" s="149"/>
      <c r="AM517" s="143"/>
      <c r="AN517" s="146"/>
      <c r="AO517" s="149"/>
      <c r="AP517" s="143"/>
      <c r="AQ517" s="146"/>
      <c r="AR517" s="149"/>
      <c r="AS517" s="143"/>
      <c r="AT517" s="146"/>
      <c r="AU517" s="149"/>
      <c r="AV517" s="149"/>
    </row>
    <row r="518" spans="1:48" s="34" customFormat="1" ht="12.75">
      <c r="A518" s="36"/>
      <c r="B518" s="36"/>
      <c r="C518" s="36"/>
      <c r="D518" s="36"/>
      <c r="E518" s="35"/>
      <c r="F518" s="143"/>
      <c r="G518" s="146"/>
      <c r="H518" s="149"/>
      <c r="I518" s="143"/>
      <c r="J518" s="146"/>
      <c r="K518" s="149"/>
      <c r="L518" s="143"/>
      <c r="M518" s="146"/>
      <c r="N518" s="149"/>
      <c r="O518" s="143"/>
      <c r="P518" s="146"/>
      <c r="Q518" s="149"/>
      <c r="R518" s="143"/>
      <c r="S518" s="146"/>
      <c r="T518" s="149"/>
      <c r="U518" s="143"/>
      <c r="V518" s="146"/>
      <c r="W518" s="149"/>
      <c r="X518" s="143"/>
      <c r="Y518" s="146"/>
      <c r="Z518" s="149"/>
      <c r="AA518" s="143"/>
      <c r="AB518" s="146"/>
      <c r="AC518" s="149"/>
      <c r="AD518" s="143"/>
      <c r="AE518" s="146"/>
      <c r="AF518" s="149"/>
      <c r="AG518" s="143"/>
      <c r="AH518" s="146"/>
      <c r="AI518" s="149"/>
      <c r="AJ518" s="143"/>
      <c r="AK518" s="146"/>
      <c r="AL518" s="149"/>
      <c r="AM518" s="143"/>
      <c r="AN518" s="146"/>
      <c r="AO518" s="149"/>
      <c r="AP518" s="143"/>
      <c r="AQ518" s="146"/>
      <c r="AR518" s="149"/>
      <c r="AS518" s="143"/>
      <c r="AT518" s="146"/>
      <c r="AU518" s="149"/>
      <c r="AV518" s="149"/>
    </row>
    <row r="519" spans="1:48" s="34" customFormat="1" ht="12.75">
      <c r="A519" s="36"/>
      <c r="B519" s="36"/>
      <c r="C519" s="36"/>
      <c r="D519" s="36"/>
      <c r="E519" s="35"/>
      <c r="F519" s="143"/>
      <c r="G519" s="146"/>
      <c r="H519" s="149"/>
      <c r="I519" s="143"/>
      <c r="J519" s="146"/>
      <c r="K519" s="149"/>
      <c r="L519" s="143"/>
      <c r="M519" s="146"/>
      <c r="N519" s="149"/>
      <c r="O519" s="143"/>
      <c r="P519" s="146"/>
      <c r="Q519" s="149"/>
      <c r="R519" s="143"/>
      <c r="S519" s="146"/>
      <c r="T519" s="149"/>
      <c r="U519" s="143"/>
      <c r="V519" s="146"/>
      <c r="W519" s="149"/>
      <c r="X519" s="143"/>
      <c r="Y519" s="146"/>
      <c r="Z519" s="149"/>
      <c r="AA519" s="143"/>
      <c r="AB519" s="146"/>
      <c r="AC519" s="149"/>
      <c r="AD519" s="143"/>
      <c r="AE519" s="146"/>
      <c r="AF519" s="149"/>
      <c r="AG519" s="143"/>
      <c r="AH519" s="146"/>
      <c r="AI519" s="149"/>
      <c r="AJ519" s="143"/>
      <c r="AK519" s="146"/>
      <c r="AL519" s="149"/>
      <c r="AM519" s="143"/>
      <c r="AN519" s="146"/>
      <c r="AO519" s="149"/>
      <c r="AP519" s="143"/>
      <c r="AQ519" s="146"/>
      <c r="AR519" s="149"/>
      <c r="AS519" s="143"/>
      <c r="AT519" s="146"/>
      <c r="AU519" s="149"/>
      <c r="AV519" s="149"/>
    </row>
    <row r="520" spans="1:48" s="34" customFormat="1" ht="12.75">
      <c r="A520" s="36"/>
      <c r="B520" s="36"/>
      <c r="C520" s="36"/>
      <c r="D520" s="36"/>
      <c r="E520" s="35"/>
      <c r="F520" s="143"/>
      <c r="G520" s="146"/>
      <c r="H520" s="149"/>
      <c r="I520" s="143"/>
      <c r="J520" s="146"/>
      <c r="K520" s="149"/>
      <c r="L520" s="143"/>
      <c r="M520" s="146"/>
      <c r="N520" s="149"/>
      <c r="O520" s="143"/>
      <c r="P520" s="146"/>
      <c r="Q520" s="149"/>
      <c r="R520" s="143"/>
      <c r="S520" s="146"/>
      <c r="T520" s="149"/>
      <c r="U520" s="143"/>
      <c r="V520" s="146"/>
      <c r="W520" s="149"/>
      <c r="X520" s="143"/>
      <c r="Y520" s="146"/>
      <c r="Z520" s="149"/>
      <c r="AA520" s="143"/>
      <c r="AB520" s="146"/>
      <c r="AC520" s="149"/>
      <c r="AD520" s="143"/>
      <c r="AE520" s="146"/>
      <c r="AF520" s="149"/>
      <c r="AG520" s="143"/>
      <c r="AH520" s="146"/>
      <c r="AI520" s="149"/>
      <c r="AJ520" s="143"/>
      <c r="AK520" s="146"/>
      <c r="AL520" s="149"/>
      <c r="AM520" s="143"/>
      <c r="AN520" s="146"/>
      <c r="AO520" s="149"/>
      <c r="AP520" s="143"/>
      <c r="AQ520" s="146"/>
      <c r="AR520" s="149"/>
      <c r="AS520" s="143"/>
      <c r="AT520" s="146"/>
      <c r="AU520" s="149"/>
      <c r="AV520" s="149"/>
    </row>
    <row r="521" spans="1:48" s="34" customFormat="1" ht="12.75">
      <c r="A521" s="36"/>
      <c r="B521" s="36"/>
      <c r="C521" s="36"/>
      <c r="D521" s="36"/>
      <c r="E521" s="35"/>
      <c r="F521" s="143"/>
      <c r="G521" s="146"/>
      <c r="H521" s="149"/>
      <c r="I521" s="143"/>
      <c r="J521" s="146"/>
      <c r="K521" s="149"/>
      <c r="L521" s="143"/>
      <c r="M521" s="146"/>
      <c r="N521" s="149"/>
      <c r="O521" s="143"/>
      <c r="P521" s="146"/>
      <c r="Q521" s="149"/>
      <c r="R521" s="143"/>
      <c r="S521" s="146"/>
      <c r="T521" s="149"/>
      <c r="U521" s="143"/>
      <c r="V521" s="146"/>
      <c r="W521" s="149"/>
      <c r="X521" s="143"/>
      <c r="Y521" s="146"/>
      <c r="Z521" s="149"/>
      <c r="AA521" s="143"/>
      <c r="AB521" s="146"/>
      <c r="AC521" s="149"/>
      <c r="AD521" s="143"/>
      <c r="AE521" s="146"/>
      <c r="AF521" s="149"/>
      <c r="AG521" s="143"/>
      <c r="AH521" s="146"/>
      <c r="AI521" s="149"/>
      <c r="AJ521" s="143"/>
      <c r="AK521" s="146"/>
      <c r="AL521" s="149"/>
      <c r="AM521" s="143"/>
      <c r="AN521" s="146"/>
      <c r="AO521" s="149"/>
      <c r="AP521" s="143"/>
      <c r="AQ521" s="146"/>
      <c r="AR521" s="149"/>
      <c r="AS521" s="143"/>
      <c r="AT521" s="146"/>
      <c r="AU521" s="149"/>
      <c r="AV521" s="149"/>
    </row>
    <row r="522" spans="1:48" s="34" customFormat="1" ht="12.75">
      <c r="A522" s="36"/>
      <c r="B522" s="36"/>
      <c r="C522" s="36"/>
      <c r="D522" s="36"/>
      <c r="E522" s="35"/>
      <c r="F522" s="143"/>
      <c r="G522" s="146"/>
      <c r="H522" s="149"/>
      <c r="I522" s="143"/>
      <c r="J522" s="146"/>
      <c r="K522" s="149"/>
      <c r="L522" s="143"/>
      <c r="M522" s="146"/>
      <c r="N522" s="149"/>
      <c r="O522" s="143"/>
      <c r="P522" s="146"/>
      <c r="Q522" s="149"/>
      <c r="R522" s="143"/>
      <c r="S522" s="146"/>
      <c r="T522" s="149"/>
      <c r="U522" s="143"/>
      <c r="V522" s="146"/>
      <c r="W522" s="149"/>
      <c r="X522" s="143"/>
      <c r="Y522" s="146"/>
      <c r="Z522" s="149"/>
      <c r="AA522" s="143"/>
      <c r="AB522" s="146"/>
      <c r="AC522" s="149"/>
      <c r="AD522" s="143"/>
      <c r="AE522" s="146"/>
      <c r="AF522" s="149"/>
      <c r="AG522" s="143"/>
      <c r="AH522" s="146"/>
      <c r="AI522" s="149"/>
      <c r="AJ522" s="143"/>
      <c r="AK522" s="146"/>
      <c r="AL522" s="149"/>
      <c r="AM522" s="143"/>
      <c r="AN522" s="146"/>
      <c r="AO522" s="149"/>
      <c r="AP522" s="143"/>
      <c r="AQ522" s="146"/>
      <c r="AR522" s="149"/>
      <c r="AS522" s="143"/>
      <c r="AT522" s="146"/>
      <c r="AU522" s="149"/>
      <c r="AV522" s="149"/>
    </row>
    <row r="523" spans="1:48" s="34" customFormat="1" ht="12.75">
      <c r="A523" s="36"/>
      <c r="B523" s="36"/>
      <c r="C523" s="36"/>
      <c r="D523" s="36"/>
      <c r="E523" s="35"/>
      <c r="F523" s="143"/>
      <c r="G523" s="146"/>
      <c r="H523" s="149"/>
      <c r="I523" s="143"/>
      <c r="J523" s="146"/>
      <c r="K523" s="149"/>
      <c r="L523" s="143"/>
      <c r="M523" s="146"/>
      <c r="N523" s="149"/>
      <c r="O523" s="143"/>
      <c r="P523" s="146"/>
      <c r="Q523" s="149"/>
      <c r="R523" s="143"/>
      <c r="S523" s="146"/>
      <c r="T523" s="149"/>
      <c r="U523" s="143"/>
      <c r="V523" s="146"/>
      <c r="W523" s="149"/>
      <c r="X523" s="143"/>
      <c r="Y523" s="146"/>
      <c r="Z523" s="149"/>
      <c r="AA523" s="143"/>
      <c r="AB523" s="146"/>
      <c r="AC523" s="149"/>
      <c r="AD523" s="143"/>
      <c r="AE523" s="146"/>
      <c r="AF523" s="149"/>
      <c r="AG523" s="143"/>
      <c r="AH523" s="146"/>
      <c r="AI523" s="149"/>
      <c r="AJ523" s="143"/>
      <c r="AK523" s="146"/>
      <c r="AL523" s="149"/>
      <c r="AM523" s="143"/>
      <c r="AN523" s="146"/>
      <c r="AO523" s="149"/>
      <c r="AP523" s="143"/>
      <c r="AQ523" s="146"/>
      <c r="AR523" s="149"/>
      <c r="AS523" s="143"/>
      <c r="AT523" s="146"/>
      <c r="AU523" s="149"/>
      <c r="AV523" s="149"/>
    </row>
    <row r="524" spans="1:48" s="34" customFormat="1" ht="12.75">
      <c r="A524" s="36"/>
      <c r="B524" s="36"/>
      <c r="C524" s="36"/>
      <c r="D524" s="36"/>
      <c r="E524" s="35"/>
      <c r="F524" s="143"/>
      <c r="G524" s="146"/>
      <c r="H524" s="149"/>
      <c r="I524" s="143"/>
      <c r="J524" s="146"/>
      <c r="K524" s="149"/>
      <c r="L524" s="143"/>
      <c r="M524" s="146"/>
      <c r="N524" s="149"/>
      <c r="O524" s="143"/>
      <c r="P524" s="146"/>
      <c r="Q524" s="149"/>
      <c r="R524" s="143"/>
      <c r="S524" s="146"/>
      <c r="T524" s="149"/>
      <c r="U524" s="143"/>
      <c r="V524" s="146"/>
      <c r="W524" s="149"/>
      <c r="X524" s="143"/>
      <c r="Y524" s="146"/>
      <c r="Z524" s="149"/>
      <c r="AA524" s="143"/>
      <c r="AB524" s="146"/>
      <c r="AC524" s="149"/>
      <c r="AD524" s="143"/>
      <c r="AE524" s="146"/>
      <c r="AF524" s="149"/>
      <c r="AG524" s="143"/>
      <c r="AH524" s="146"/>
      <c r="AI524" s="149"/>
      <c r="AJ524" s="143"/>
      <c r="AK524" s="146"/>
      <c r="AL524" s="149"/>
      <c r="AM524" s="143"/>
      <c r="AN524" s="146"/>
      <c r="AO524" s="149"/>
      <c r="AP524" s="143"/>
      <c r="AQ524" s="146"/>
      <c r="AR524" s="149"/>
      <c r="AS524" s="143"/>
      <c r="AT524" s="146"/>
      <c r="AU524" s="149"/>
      <c r="AV524" s="149"/>
    </row>
    <row r="525" spans="1:48" s="34" customFormat="1" ht="12.75">
      <c r="A525" s="36"/>
      <c r="B525" s="36"/>
      <c r="C525" s="36"/>
      <c r="D525" s="36"/>
      <c r="E525" s="35"/>
      <c r="F525" s="143"/>
      <c r="G525" s="146"/>
      <c r="H525" s="149"/>
      <c r="I525" s="143"/>
      <c r="J525" s="146"/>
      <c r="K525" s="149"/>
      <c r="L525" s="143"/>
      <c r="M525" s="146"/>
      <c r="N525" s="149"/>
      <c r="O525" s="143"/>
      <c r="P525" s="146"/>
      <c r="Q525" s="149"/>
      <c r="R525" s="143"/>
      <c r="S525" s="146"/>
      <c r="T525" s="149"/>
      <c r="U525" s="143"/>
      <c r="V525" s="146"/>
      <c r="W525" s="149"/>
      <c r="X525" s="143"/>
      <c r="Y525" s="146"/>
      <c r="Z525" s="149"/>
      <c r="AA525" s="143"/>
      <c r="AB525" s="146"/>
      <c r="AC525" s="149"/>
      <c r="AD525" s="143"/>
      <c r="AE525" s="146"/>
      <c r="AF525" s="149"/>
      <c r="AG525" s="143"/>
      <c r="AH525" s="146"/>
      <c r="AI525" s="149"/>
      <c r="AJ525" s="143"/>
      <c r="AK525" s="146"/>
      <c r="AL525" s="149"/>
      <c r="AM525" s="143"/>
      <c r="AN525" s="146"/>
      <c r="AO525" s="149"/>
      <c r="AP525" s="143"/>
      <c r="AQ525" s="146"/>
      <c r="AR525" s="149"/>
      <c r="AS525" s="143"/>
      <c r="AT525" s="146"/>
      <c r="AU525" s="149"/>
      <c r="AV525" s="149"/>
    </row>
    <row r="526" spans="1:48" s="34" customFormat="1" ht="12.75">
      <c r="A526" s="36"/>
      <c r="B526" s="36"/>
      <c r="C526" s="36"/>
      <c r="D526" s="36"/>
      <c r="E526" s="35"/>
      <c r="F526" s="143"/>
      <c r="G526" s="146"/>
      <c r="H526" s="149"/>
      <c r="I526" s="143"/>
      <c r="J526" s="146"/>
      <c r="K526" s="149"/>
      <c r="L526" s="143"/>
      <c r="M526" s="146"/>
      <c r="N526" s="149"/>
      <c r="O526" s="143"/>
      <c r="P526" s="146"/>
      <c r="Q526" s="149"/>
      <c r="R526" s="143"/>
      <c r="S526" s="146"/>
      <c r="T526" s="149"/>
      <c r="U526" s="143"/>
      <c r="V526" s="146"/>
      <c r="W526" s="149"/>
      <c r="X526" s="143"/>
      <c r="Y526" s="146"/>
      <c r="Z526" s="149"/>
      <c r="AA526" s="143"/>
      <c r="AB526" s="146"/>
      <c r="AC526" s="149"/>
      <c r="AD526" s="143"/>
      <c r="AE526" s="146"/>
      <c r="AF526" s="149"/>
      <c r="AG526" s="143"/>
      <c r="AH526" s="146"/>
      <c r="AI526" s="149"/>
      <c r="AJ526" s="143"/>
      <c r="AK526" s="146"/>
      <c r="AL526" s="149"/>
      <c r="AM526" s="143"/>
      <c r="AN526" s="146"/>
      <c r="AO526" s="149"/>
      <c r="AP526" s="143"/>
      <c r="AQ526" s="146"/>
      <c r="AR526" s="149"/>
      <c r="AS526" s="143"/>
      <c r="AT526" s="146"/>
      <c r="AU526" s="149"/>
      <c r="AV526" s="149"/>
    </row>
    <row r="527" spans="1:48" s="34" customFormat="1" ht="12.75">
      <c r="A527" s="36"/>
      <c r="B527" s="36"/>
      <c r="C527" s="36"/>
      <c r="D527" s="36"/>
      <c r="E527" s="35"/>
      <c r="F527" s="143"/>
      <c r="G527" s="146"/>
      <c r="H527" s="149"/>
      <c r="I527" s="143"/>
      <c r="J527" s="146"/>
      <c r="K527" s="149"/>
      <c r="L527" s="143"/>
      <c r="M527" s="146"/>
      <c r="N527" s="149"/>
      <c r="O527" s="143"/>
      <c r="P527" s="146"/>
      <c r="Q527" s="149"/>
      <c r="R527" s="143"/>
      <c r="S527" s="146"/>
      <c r="T527" s="149"/>
      <c r="U527" s="143"/>
      <c r="V527" s="146"/>
      <c r="W527" s="149"/>
      <c r="X527" s="143"/>
      <c r="Y527" s="146"/>
      <c r="Z527" s="149"/>
      <c r="AA527" s="143"/>
      <c r="AB527" s="146"/>
      <c r="AC527" s="149"/>
      <c r="AD527" s="143"/>
      <c r="AE527" s="146"/>
      <c r="AF527" s="149"/>
      <c r="AG527" s="143"/>
      <c r="AH527" s="146"/>
      <c r="AI527" s="149"/>
      <c r="AJ527" s="143"/>
      <c r="AK527" s="146"/>
      <c r="AL527" s="149"/>
      <c r="AM527" s="143"/>
      <c r="AN527" s="146"/>
      <c r="AO527" s="149"/>
      <c r="AP527" s="143"/>
      <c r="AQ527" s="146"/>
      <c r="AR527" s="149"/>
      <c r="AS527" s="143"/>
      <c r="AT527" s="146"/>
      <c r="AU527" s="149"/>
      <c r="AV527" s="149"/>
    </row>
    <row r="528" spans="1:48" s="34" customFormat="1" ht="12.75">
      <c r="A528" s="36"/>
      <c r="B528" s="36"/>
      <c r="C528" s="36"/>
      <c r="D528" s="36"/>
      <c r="E528" s="35"/>
      <c r="F528" s="143"/>
      <c r="G528" s="146"/>
      <c r="H528" s="149"/>
      <c r="I528" s="143"/>
      <c r="J528" s="146"/>
      <c r="K528" s="149"/>
      <c r="L528" s="143"/>
      <c r="M528" s="146"/>
      <c r="N528" s="149"/>
      <c r="O528" s="143"/>
      <c r="P528" s="146"/>
      <c r="Q528" s="149"/>
      <c r="R528" s="143"/>
      <c r="S528" s="146"/>
      <c r="T528" s="149"/>
      <c r="U528" s="143"/>
      <c r="V528" s="146"/>
      <c r="W528" s="149"/>
      <c r="X528" s="143"/>
      <c r="Y528" s="146"/>
      <c r="Z528" s="149"/>
      <c r="AA528" s="143"/>
      <c r="AB528" s="146"/>
      <c r="AC528" s="149"/>
      <c r="AD528" s="143"/>
      <c r="AE528" s="146"/>
      <c r="AF528" s="149"/>
      <c r="AG528" s="143"/>
      <c r="AH528" s="146"/>
      <c r="AI528" s="149"/>
      <c r="AJ528" s="143"/>
      <c r="AK528" s="146"/>
      <c r="AL528" s="149"/>
      <c r="AM528" s="143"/>
      <c r="AN528" s="146"/>
      <c r="AO528" s="149"/>
      <c r="AP528" s="143"/>
      <c r="AQ528" s="146"/>
      <c r="AR528" s="149"/>
      <c r="AS528" s="143"/>
      <c r="AT528" s="146"/>
      <c r="AU528" s="149"/>
      <c r="AV528" s="149"/>
    </row>
    <row r="529" spans="1:48" s="34" customFormat="1" ht="12.75">
      <c r="A529" s="36"/>
      <c r="B529" s="36"/>
      <c r="C529" s="36"/>
      <c r="D529" s="36"/>
      <c r="E529" s="35"/>
      <c r="F529" s="143"/>
      <c r="G529" s="146"/>
      <c r="H529" s="149"/>
      <c r="I529" s="143"/>
      <c r="J529" s="146"/>
      <c r="K529" s="149"/>
      <c r="L529" s="143"/>
      <c r="M529" s="146"/>
      <c r="N529" s="149"/>
      <c r="O529" s="143"/>
      <c r="P529" s="146"/>
      <c r="Q529" s="149"/>
      <c r="R529" s="143"/>
      <c r="S529" s="146"/>
      <c r="T529" s="149"/>
      <c r="U529" s="143"/>
      <c r="V529" s="146"/>
      <c r="W529" s="149"/>
      <c r="X529" s="143"/>
      <c r="Y529" s="146"/>
      <c r="Z529" s="149"/>
      <c r="AA529" s="143"/>
      <c r="AB529" s="146"/>
      <c r="AC529" s="149"/>
      <c r="AD529" s="143"/>
      <c r="AE529" s="146"/>
      <c r="AF529" s="149"/>
      <c r="AG529" s="143"/>
      <c r="AH529" s="146"/>
      <c r="AI529" s="149"/>
      <c r="AJ529" s="143"/>
      <c r="AK529" s="146"/>
      <c r="AL529" s="149"/>
      <c r="AM529" s="143"/>
      <c r="AN529" s="146"/>
      <c r="AO529" s="149"/>
      <c r="AP529" s="143"/>
      <c r="AQ529" s="146"/>
      <c r="AR529" s="149"/>
      <c r="AS529" s="143"/>
      <c r="AT529" s="146"/>
      <c r="AU529" s="149"/>
      <c r="AV529" s="149"/>
    </row>
    <row r="530" spans="1:48" s="34" customFormat="1" ht="12.75">
      <c r="A530" s="36"/>
      <c r="B530" s="36"/>
      <c r="C530" s="36"/>
      <c r="D530" s="36"/>
      <c r="E530" s="35"/>
      <c r="F530" s="143"/>
      <c r="G530" s="146"/>
      <c r="H530" s="149"/>
      <c r="I530" s="143"/>
      <c r="J530" s="146"/>
      <c r="K530" s="149"/>
      <c r="L530" s="143"/>
      <c r="M530" s="146"/>
      <c r="N530" s="149"/>
      <c r="O530" s="143"/>
      <c r="P530" s="146"/>
      <c r="Q530" s="149"/>
      <c r="R530" s="143"/>
      <c r="S530" s="146"/>
      <c r="T530" s="149"/>
      <c r="U530" s="143"/>
      <c r="V530" s="146"/>
      <c r="W530" s="149"/>
      <c r="X530" s="143"/>
      <c r="Y530" s="146"/>
      <c r="Z530" s="149"/>
      <c r="AA530" s="143"/>
      <c r="AB530" s="146"/>
      <c r="AC530" s="149"/>
      <c r="AD530" s="143"/>
      <c r="AE530" s="146"/>
      <c r="AF530" s="149"/>
      <c r="AG530" s="143"/>
      <c r="AH530" s="146"/>
      <c r="AI530" s="149"/>
      <c r="AJ530" s="143"/>
      <c r="AK530" s="146"/>
      <c r="AL530" s="149"/>
      <c r="AM530" s="143"/>
      <c r="AN530" s="146"/>
      <c r="AO530" s="149"/>
      <c r="AP530" s="143"/>
      <c r="AQ530" s="146"/>
      <c r="AR530" s="149"/>
      <c r="AS530" s="143"/>
      <c r="AT530" s="146"/>
      <c r="AU530" s="149"/>
      <c r="AV530" s="149"/>
    </row>
    <row r="531" spans="1:48" s="34" customFormat="1" ht="12.75">
      <c r="A531" s="36"/>
      <c r="B531" s="36"/>
      <c r="C531" s="36"/>
      <c r="D531" s="36"/>
      <c r="E531" s="35"/>
      <c r="F531" s="143"/>
      <c r="G531" s="146"/>
      <c r="H531" s="149"/>
      <c r="I531" s="143"/>
      <c r="J531" s="146"/>
      <c r="K531" s="149"/>
      <c r="L531" s="143"/>
      <c r="M531" s="146"/>
      <c r="N531" s="149"/>
      <c r="O531" s="143"/>
      <c r="P531" s="146"/>
      <c r="Q531" s="149"/>
      <c r="R531" s="143"/>
      <c r="S531" s="146"/>
      <c r="T531" s="149"/>
      <c r="U531" s="143"/>
      <c r="V531" s="146"/>
      <c r="W531" s="149"/>
      <c r="X531" s="143"/>
      <c r="Y531" s="146"/>
      <c r="Z531" s="149"/>
      <c r="AA531" s="143"/>
      <c r="AB531" s="146"/>
      <c r="AC531" s="149"/>
      <c r="AD531" s="143"/>
      <c r="AE531" s="146"/>
      <c r="AF531" s="149"/>
      <c r="AG531" s="143"/>
      <c r="AH531" s="146"/>
      <c r="AI531" s="149"/>
      <c r="AJ531" s="143"/>
      <c r="AK531" s="146"/>
      <c r="AL531" s="149"/>
      <c r="AM531" s="143"/>
      <c r="AN531" s="146"/>
      <c r="AO531" s="149"/>
      <c r="AP531" s="143"/>
      <c r="AQ531" s="146"/>
      <c r="AR531" s="149"/>
      <c r="AS531" s="143"/>
      <c r="AT531" s="146"/>
      <c r="AU531" s="149"/>
      <c r="AV531" s="149"/>
    </row>
    <row r="532" spans="1:48" s="34" customFormat="1" ht="12.75">
      <c r="A532" s="36"/>
      <c r="B532" s="36"/>
      <c r="C532" s="36"/>
      <c r="D532" s="36"/>
      <c r="E532" s="35"/>
      <c r="F532" s="143"/>
      <c r="G532" s="146"/>
      <c r="H532" s="149"/>
      <c r="I532" s="143"/>
      <c r="J532" s="146"/>
      <c r="K532" s="149"/>
      <c r="L532" s="143"/>
      <c r="M532" s="146"/>
      <c r="N532" s="149"/>
      <c r="O532" s="143"/>
      <c r="P532" s="146"/>
      <c r="Q532" s="149"/>
      <c r="R532" s="143"/>
      <c r="S532" s="146"/>
      <c r="T532" s="149"/>
      <c r="U532" s="143"/>
      <c r="V532" s="146"/>
      <c r="W532" s="149"/>
      <c r="X532" s="143"/>
      <c r="Y532" s="146"/>
      <c r="Z532" s="149"/>
      <c r="AA532" s="143"/>
      <c r="AB532" s="146"/>
      <c r="AC532" s="149"/>
      <c r="AD532" s="143"/>
      <c r="AE532" s="146"/>
      <c r="AF532" s="149"/>
      <c r="AG532" s="143"/>
      <c r="AH532" s="146"/>
      <c r="AI532" s="149"/>
      <c r="AJ532" s="143"/>
      <c r="AK532" s="146"/>
      <c r="AL532" s="149"/>
      <c r="AM532" s="143"/>
      <c r="AN532" s="146"/>
      <c r="AO532" s="149"/>
      <c r="AP532" s="143"/>
      <c r="AQ532" s="146"/>
      <c r="AR532" s="149"/>
      <c r="AS532" s="143"/>
      <c r="AT532" s="146"/>
      <c r="AU532" s="149"/>
      <c r="AV532" s="149"/>
    </row>
    <row r="533" spans="1:48" s="34" customFormat="1" ht="12.75">
      <c r="A533" s="36"/>
      <c r="B533" s="36"/>
      <c r="C533" s="36"/>
      <c r="D533" s="36"/>
      <c r="E533" s="35"/>
      <c r="F533" s="143"/>
      <c r="G533" s="146"/>
      <c r="H533" s="149"/>
      <c r="I533" s="143"/>
      <c r="J533" s="146"/>
      <c r="K533" s="149"/>
      <c r="L533" s="143"/>
      <c r="M533" s="146"/>
      <c r="N533" s="149"/>
      <c r="O533" s="143"/>
      <c r="P533" s="146"/>
      <c r="Q533" s="149"/>
      <c r="R533" s="143"/>
      <c r="S533" s="146"/>
      <c r="T533" s="149"/>
      <c r="U533" s="143"/>
      <c r="V533" s="146"/>
      <c r="W533" s="149"/>
      <c r="X533" s="143"/>
      <c r="Y533" s="146"/>
      <c r="Z533" s="149"/>
      <c r="AA533" s="143"/>
      <c r="AB533" s="146"/>
      <c r="AC533" s="149"/>
      <c r="AD533" s="143"/>
      <c r="AE533" s="146"/>
      <c r="AF533" s="149"/>
      <c r="AG533" s="143"/>
      <c r="AH533" s="146"/>
      <c r="AI533" s="149"/>
      <c r="AJ533" s="143"/>
      <c r="AK533" s="146"/>
      <c r="AL533" s="149"/>
      <c r="AM533" s="143"/>
      <c r="AN533" s="146"/>
      <c r="AO533" s="149"/>
      <c r="AP533" s="143"/>
      <c r="AQ533" s="146"/>
      <c r="AR533" s="149"/>
      <c r="AS533" s="143"/>
      <c r="AT533" s="146"/>
      <c r="AU533" s="149"/>
      <c r="AV533" s="149"/>
    </row>
    <row r="534" spans="1:48" s="34" customFormat="1" ht="12.75">
      <c r="A534" s="36"/>
      <c r="B534" s="36"/>
      <c r="C534" s="36"/>
      <c r="D534" s="36"/>
      <c r="E534" s="35"/>
      <c r="F534" s="143"/>
      <c r="G534" s="146"/>
      <c r="H534" s="149"/>
      <c r="I534" s="143"/>
      <c r="J534" s="146"/>
      <c r="K534" s="149"/>
      <c r="L534" s="143"/>
      <c r="M534" s="146"/>
      <c r="N534" s="149"/>
      <c r="O534" s="143"/>
      <c r="P534" s="146"/>
      <c r="Q534" s="149"/>
      <c r="R534" s="143"/>
      <c r="S534" s="146"/>
      <c r="T534" s="149"/>
      <c r="U534" s="143"/>
      <c r="V534" s="146"/>
      <c r="W534" s="149"/>
      <c r="X534" s="143"/>
      <c r="Y534" s="146"/>
      <c r="Z534" s="149"/>
      <c r="AA534" s="143"/>
      <c r="AB534" s="146"/>
      <c r="AC534" s="149"/>
      <c r="AD534" s="143"/>
      <c r="AE534" s="146"/>
      <c r="AF534" s="149"/>
      <c r="AG534" s="143"/>
      <c r="AH534" s="146"/>
      <c r="AI534" s="149"/>
      <c r="AJ534" s="143"/>
      <c r="AK534" s="146"/>
      <c r="AL534" s="149"/>
      <c r="AM534" s="143"/>
      <c r="AN534" s="146"/>
      <c r="AO534" s="149"/>
      <c r="AP534" s="143"/>
      <c r="AQ534" s="146"/>
      <c r="AR534" s="149"/>
      <c r="AS534" s="143"/>
      <c r="AT534" s="146"/>
      <c r="AU534" s="149"/>
      <c r="AV534" s="149"/>
    </row>
    <row r="535" spans="1:48" s="34" customFormat="1" ht="12.75">
      <c r="A535" s="36"/>
      <c r="B535" s="36"/>
      <c r="C535" s="36"/>
      <c r="D535" s="36"/>
      <c r="E535" s="35"/>
      <c r="F535" s="143"/>
      <c r="G535" s="146"/>
      <c r="H535" s="149"/>
      <c r="I535" s="143"/>
      <c r="J535" s="146"/>
      <c r="K535" s="149"/>
      <c r="L535" s="143"/>
      <c r="M535" s="146"/>
      <c r="N535" s="149"/>
      <c r="O535" s="143"/>
      <c r="P535" s="146"/>
      <c r="Q535" s="149"/>
      <c r="R535" s="143"/>
      <c r="S535" s="146"/>
      <c r="T535" s="149"/>
      <c r="U535" s="143"/>
      <c r="V535" s="146"/>
      <c r="W535" s="149"/>
      <c r="X535" s="143"/>
      <c r="Y535" s="146"/>
      <c r="Z535" s="149"/>
      <c r="AA535" s="143"/>
      <c r="AB535" s="146"/>
      <c r="AC535" s="149"/>
      <c r="AD535" s="143"/>
      <c r="AE535" s="146"/>
      <c r="AF535" s="149"/>
      <c r="AG535" s="143"/>
      <c r="AH535" s="146"/>
      <c r="AI535" s="149"/>
      <c r="AJ535" s="143"/>
      <c r="AK535" s="146"/>
      <c r="AL535" s="149"/>
      <c r="AM535" s="143"/>
      <c r="AN535" s="146"/>
      <c r="AO535" s="149"/>
      <c r="AP535" s="143"/>
      <c r="AQ535" s="146"/>
      <c r="AR535" s="149"/>
      <c r="AS535" s="143"/>
      <c r="AT535" s="146"/>
      <c r="AU535" s="149"/>
      <c r="AV535" s="149"/>
    </row>
    <row r="536" spans="1:48" s="34" customFormat="1" ht="12.75">
      <c r="A536" s="36"/>
      <c r="B536" s="36"/>
      <c r="C536" s="36"/>
      <c r="D536" s="36"/>
      <c r="E536" s="35"/>
      <c r="F536" s="143"/>
      <c r="G536" s="146"/>
      <c r="H536" s="149"/>
      <c r="I536" s="143"/>
      <c r="J536" s="146"/>
      <c r="K536" s="149"/>
      <c r="L536" s="143"/>
      <c r="M536" s="146"/>
      <c r="N536" s="149"/>
      <c r="O536" s="143"/>
      <c r="P536" s="146"/>
      <c r="Q536" s="149"/>
      <c r="R536" s="143"/>
      <c r="S536" s="146"/>
      <c r="T536" s="149"/>
      <c r="U536" s="143"/>
      <c r="V536" s="146"/>
      <c r="W536" s="149"/>
      <c r="X536" s="143"/>
      <c r="Y536" s="146"/>
      <c r="Z536" s="149"/>
      <c r="AA536" s="143"/>
      <c r="AB536" s="146"/>
      <c r="AC536" s="149"/>
      <c r="AD536" s="143"/>
      <c r="AE536" s="146"/>
      <c r="AF536" s="149"/>
      <c r="AG536" s="143"/>
      <c r="AH536" s="146"/>
      <c r="AI536" s="149"/>
      <c r="AJ536" s="143"/>
      <c r="AK536" s="146"/>
      <c r="AL536" s="149"/>
      <c r="AM536" s="143"/>
      <c r="AN536" s="146"/>
      <c r="AO536" s="149"/>
      <c r="AP536" s="143"/>
      <c r="AQ536" s="146"/>
      <c r="AR536" s="149"/>
      <c r="AS536" s="143"/>
      <c r="AT536" s="146"/>
      <c r="AU536" s="149"/>
      <c r="AV536" s="149"/>
    </row>
    <row r="537" spans="1:48" s="34" customFormat="1" ht="12.75">
      <c r="A537" s="36"/>
      <c r="B537" s="36"/>
      <c r="C537" s="36"/>
      <c r="D537" s="36"/>
      <c r="E537" s="35"/>
      <c r="F537" s="143"/>
      <c r="G537" s="146"/>
      <c r="H537" s="149"/>
      <c r="I537" s="143"/>
      <c r="J537" s="146"/>
      <c r="K537" s="149"/>
      <c r="L537" s="143"/>
      <c r="M537" s="146"/>
      <c r="N537" s="149"/>
      <c r="O537" s="143"/>
      <c r="P537" s="146"/>
      <c r="Q537" s="149"/>
      <c r="R537" s="143"/>
      <c r="S537" s="146"/>
      <c r="T537" s="149"/>
      <c r="U537" s="143"/>
      <c r="V537" s="146"/>
      <c r="W537" s="149"/>
      <c r="X537" s="143"/>
      <c r="Y537" s="146"/>
      <c r="Z537" s="149"/>
      <c r="AA537" s="143"/>
      <c r="AB537" s="146"/>
      <c r="AC537" s="149"/>
      <c r="AD537" s="143"/>
      <c r="AE537" s="146"/>
      <c r="AF537" s="149"/>
      <c r="AG537" s="143"/>
      <c r="AH537" s="146"/>
      <c r="AI537" s="149"/>
      <c r="AJ537" s="143"/>
      <c r="AK537" s="146"/>
      <c r="AL537" s="149"/>
      <c r="AM537" s="143"/>
      <c r="AN537" s="146"/>
      <c r="AO537" s="149"/>
      <c r="AP537" s="143"/>
      <c r="AQ537" s="146"/>
      <c r="AR537" s="149"/>
      <c r="AS537" s="143"/>
      <c r="AT537" s="146"/>
      <c r="AU537" s="149"/>
      <c r="AV537" s="149"/>
    </row>
    <row r="538" spans="1:48" s="34" customFormat="1" ht="12.75">
      <c r="A538" s="36"/>
      <c r="B538" s="36"/>
      <c r="C538" s="36"/>
      <c r="D538" s="36"/>
      <c r="E538" s="35"/>
      <c r="F538" s="143"/>
      <c r="G538" s="146"/>
      <c r="H538" s="149"/>
      <c r="I538" s="143"/>
      <c r="J538" s="146"/>
      <c r="K538" s="149"/>
      <c r="L538" s="143"/>
      <c r="M538" s="146"/>
      <c r="N538" s="149"/>
      <c r="O538" s="143"/>
      <c r="P538" s="146"/>
      <c r="Q538" s="149"/>
      <c r="R538" s="143"/>
      <c r="S538" s="146"/>
      <c r="T538" s="149"/>
      <c r="U538" s="143"/>
      <c r="V538" s="146"/>
      <c r="W538" s="149"/>
      <c r="X538" s="143"/>
      <c r="Y538" s="146"/>
      <c r="Z538" s="149"/>
      <c r="AA538" s="143"/>
      <c r="AB538" s="146"/>
      <c r="AC538" s="149"/>
      <c r="AD538" s="143"/>
      <c r="AE538" s="146"/>
      <c r="AF538" s="149"/>
      <c r="AG538" s="143"/>
      <c r="AH538" s="146"/>
      <c r="AI538" s="149"/>
      <c r="AJ538" s="143"/>
      <c r="AK538" s="146"/>
      <c r="AL538" s="149"/>
      <c r="AM538" s="143"/>
      <c r="AN538" s="146"/>
      <c r="AO538" s="149"/>
      <c r="AP538" s="143"/>
      <c r="AQ538" s="146"/>
      <c r="AR538" s="149"/>
      <c r="AS538" s="143"/>
      <c r="AT538" s="146"/>
      <c r="AU538" s="149"/>
      <c r="AV538" s="149"/>
    </row>
    <row r="539" spans="1:48" s="34" customFormat="1" ht="12.75">
      <c r="A539" s="36"/>
      <c r="B539" s="36"/>
      <c r="C539" s="36"/>
      <c r="D539" s="36"/>
      <c r="E539" s="35"/>
      <c r="F539" s="143"/>
      <c r="G539" s="146"/>
      <c r="H539" s="149"/>
      <c r="I539" s="143"/>
      <c r="J539" s="146"/>
      <c r="K539" s="149"/>
      <c r="L539" s="143"/>
      <c r="M539" s="146"/>
      <c r="N539" s="149"/>
      <c r="O539" s="143"/>
      <c r="P539" s="146"/>
      <c r="Q539" s="149"/>
      <c r="R539" s="143"/>
      <c r="S539" s="146"/>
      <c r="T539" s="149"/>
      <c r="U539" s="143"/>
      <c r="V539" s="146"/>
      <c r="W539" s="149"/>
      <c r="X539" s="143"/>
      <c r="Y539" s="146"/>
      <c r="Z539" s="149"/>
      <c r="AA539" s="143"/>
      <c r="AB539" s="146"/>
      <c r="AC539" s="149"/>
      <c r="AD539" s="143"/>
      <c r="AE539" s="146"/>
      <c r="AF539" s="149"/>
      <c r="AG539" s="143"/>
      <c r="AH539" s="146"/>
      <c r="AI539" s="149"/>
      <c r="AJ539" s="143"/>
      <c r="AK539" s="146"/>
      <c r="AL539" s="149"/>
      <c r="AM539" s="143"/>
      <c r="AN539" s="146"/>
      <c r="AO539" s="149"/>
      <c r="AP539" s="143"/>
      <c r="AQ539" s="146"/>
      <c r="AR539" s="149"/>
      <c r="AS539" s="143"/>
      <c r="AT539" s="146"/>
      <c r="AU539" s="149"/>
      <c r="AV539" s="149"/>
    </row>
    <row r="540" spans="1:48" s="34" customFormat="1" ht="12.75">
      <c r="A540" s="36"/>
      <c r="B540" s="36"/>
      <c r="C540" s="36"/>
      <c r="D540" s="36"/>
      <c r="E540" s="35"/>
      <c r="F540" s="143"/>
      <c r="G540" s="146"/>
      <c r="H540" s="149"/>
      <c r="I540" s="143"/>
      <c r="J540" s="146"/>
      <c r="K540" s="149"/>
      <c r="L540" s="143"/>
      <c r="M540" s="146"/>
      <c r="N540" s="149"/>
      <c r="O540" s="143"/>
      <c r="P540" s="146"/>
      <c r="Q540" s="149"/>
      <c r="R540" s="143"/>
      <c r="S540" s="146"/>
      <c r="T540" s="149"/>
      <c r="U540" s="143"/>
      <c r="V540" s="146"/>
      <c r="W540" s="149"/>
      <c r="X540" s="143"/>
      <c r="Y540" s="146"/>
      <c r="Z540" s="149"/>
      <c r="AA540" s="143"/>
      <c r="AB540" s="146"/>
      <c r="AC540" s="149"/>
      <c r="AD540" s="143"/>
      <c r="AE540" s="146"/>
      <c r="AF540" s="149"/>
      <c r="AG540" s="143"/>
      <c r="AH540" s="146"/>
      <c r="AI540" s="149"/>
      <c r="AJ540" s="143"/>
      <c r="AK540" s="146"/>
      <c r="AL540" s="149"/>
      <c r="AM540" s="143"/>
      <c r="AN540" s="146"/>
      <c r="AO540" s="149"/>
      <c r="AP540" s="143"/>
      <c r="AQ540" s="146"/>
      <c r="AR540" s="149"/>
      <c r="AS540" s="143"/>
      <c r="AT540" s="146"/>
      <c r="AU540" s="149"/>
      <c r="AV540" s="149"/>
    </row>
    <row r="541" spans="1:48" s="34" customFormat="1" ht="12.75">
      <c r="A541" s="36"/>
      <c r="B541" s="36"/>
      <c r="C541" s="36"/>
      <c r="D541" s="36"/>
      <c r="E541" s="35"/>
      <c r="F541" s="143"/>
      <c r="G541" s="146"/>
      <c r="H541" s="149"/>
      <c r="I541" s="143"/>
      <c r="J541" s="146"/>
      <c r="K541" s="149"/>
      <c r="L541" s="143"/>
      <c r="M541" s="146"/>
      <c r="N541" s="149"/>
      <c r="O541" s="143"/>
      <c r="P541" s="146"/>
      <c r="Q541" s="149"/>
      <c r="R541" s="143"/>
      <c r="S541" s="146"/>
      <c r="T541" s="149"/>
      <c r="U541" s="143"/>
      <c r="V541" s="146"/>
      <c r="W541" s="149"/>
      <c r="X541" s="143"/>
      <c r="Y541" s="146"/>
      <c r="Z541" s="149"/>
      <c r="AA541" s="143"/>
      <c r="AB541" s="146"/>
      <c r="AC541" s="149"/>
      <c r="AD541" s="143"/>
      <c r="AE541" s="146"/>
      <c r="AF541" s="149"/>
      <c r="AG541" s="143"/>
      <c r="AH541" s="146"/>
      <c r="AI541" s="149"/>
      <c r="AJ541" s="143"/>
      <c r="AK541" s="146"/>
      <c r="AL541" s="149"/>
      <c r="AM541" s="143"/>
      <c r="AN541" s="146"/>
      <c r="AO541" s="149"/>
      <c r="AP541" s="143"/>
      <c r="AQ541" s="146"/>
      <c r="AR541" s="149"/>
      <c r="AS541" s="143"/>
      <c r="AT541" s="146"/>
      <c r="AU541" s="149"/>
      <c r="AV541" s="149"/>
    </row>
    <row r="542" spans="1:48" s="34" customFormat="1" ht="12.75">
      <c r="A542" s="36"/>
      <c r="B542" s="36"/>
      <c r="C542" s="36"/>
      <c r="D542" s="36"/>
      <c r="E542" s="35"/>
      <c r="F542" s="143"/>
      <c r="G542" s="146"/>
      <c r="H542" s="149"/>
      <c r="I542" s="143"/>
      <c r="J542" s="146"/>
      <c r="K542" s="149"/>
      <c r="L542" s="143"/>
      <c r="M542" s="146"/>
      <c r="N542" s="149"/>
      <c r="O542" s="143"/>
      <c r="P542" s="146"/>
      <c r="Q542" s="149"/>
      <c r="R542" s="143"/>
      <c r="S542" s="146"/>
      <c r="T542" s="149"/>
      <c r="U542" s="143"/>
      <c r="V542" s="146"/>
      <c r="W542" s="149"/>
      <c r="X542" s="143"/>
      <c r="Y542" s="146"/>
      <c r="Z542" s="149"/>
      <c r="AA542" s="143"/>
      <c r="AB542" s="146"/>
      <c r="AC542" s="149"/>
      <c r="AD542" s="143"/>
      <c r="AE542" s="146"/>
      <c r="AF542" s="149"/>
      <c r="AG542" s="143"/>
      <c r="AH542" s="146"/>
      <c r="AI542" s="149"/>
      <c r="AJ542" s="143"/>
      <c r="AK542" s="146"/>
      <c r="AL542" s="149"/>
      <c r="AM542" s="143"/>
      <c r="AN542" s="146"/>
      <c r="AO542" s="149"/>
      <c r="AP542" s="143"/>
      <c r="AQ542" s="146"/>
      <c r="AR542" s="149"/>
      <c r="AS542" s="143"/>
      <c r="AT542" s="146"/>
      <c r="AU542" s="149"/>
      <c r="AV542" s="149"/>
    </row>
    <row r="543" spans="1:48" s="34" customFormat="1" ht="12.75">
      <c r="A543" s="36"/>
      <c r="B543" s="36"/>
      <c r="C543" s="36"/>
      <c r="D543" s="36"/>
      <c r="E543" s="35"/>
      <c r="F543" s="143"/>
      <c r="G543" s="146"/>
      <c r="H543" s="149"/>
      <c r="I543" s="143"/>
      <c r="J543" s="146"/>
      <c r="K543" s="149"/>
      <c r="L543" s="143"/>
      <c r="M543" s="146"/>
      <c r="N543" s="149"/>
      <c r="O543" s="143"/>
      <c r="P543" s="146"/>
      <c r="Q543" s="149"/>
      <c r="R543" s="143"/>
      <c r="S543" s="146"/>
      <c r="T543" s="149"/>
      <c r="U543" s="143"/>
      <c r="V543" s="146"/>
      <c r="W543" s="149"/>
      <c r="X543" s="143"/>
      <c r="Y543" s="146"/>
      <c r="Z543" s="149"/>
      <c r="AA543" s="143"/>
      <c r="AB543" s="146"/>
      <c r="AC543" s="149"/>
      <c r="AD543" s="143"/>
      <c r="AE543" s="146"/>
      <c r="AF543" s="149"/>
      <c r="AG543" s="143"/>
      <c r="AH543" s="146"/>
      <c r="AI543" s="149"/>
      <c r="AJ543" s="143"/>
      <c r="AK543" s="146"/>
      <c r="AL543" s="149"/>
      <c r="AM543" s="143"/>
      <c r="AN543" s="146"/>
      <c r="AO543" s="149"/>
      <c r="AP543" s="143"/>
      <c r="AQ543" s="146"/>
      <c r="AR543" s="149"/>
      <c r="AS543" s="143"/>
      <c r="AT543" s="146"/>
      <c r="AU543" s="149"/>
      <c r="AV543" s="149"/>
    </row>
    <row r="544" spans="1:48" s="34" customFormat="1" ht="12.75">
      <c r="A544" s="36"/>
      <c r="B544" s="36"/>
      <c r="C544" s="36"/>
      <c r="D544" s="36"/>
      <c r="E544" s="35"/>
      <c r="F544" s="143"/>
      <c r="G544" s="146"/>
      <c r="H544" s="149"/>
      <c r="I544" s="143"/>
      <c r="J544" s="146"/>
      <c r="K544" s="149"/>
      <c r="L544" s="143"/>
      <c r="M544" s="146"/>
      <c r="N544" s="149"/>
      <c r="O544" s="143"/>
      <c r="P544" s="146"/>
      <c r="Q544" s="149"/>
      <c r="R544" s="143"/>
      <c r="S544" s="146"/>
      <c r="T544" s="149"/>
      <c r="U544" s="143"/>
      <c r="V544" s="146"/>
      <c r="W544" s="149"/>
      <c r="X544" s="143"/>
      <c r="Y544" s="146"/>
      <c r="Z544" s="149"/>
      <c r="AA544" s="143"/>
      <c r="AB544" s="146"/>
      <c r="AC544" s="149"/>
      <c r="AD544" s="143"/>
      <c r="AE544" s="146"/>
      <c r="AF544" s="149"/>
      <c r="AG544" s="143"/>
      <c r="AH544" s="146"/>
      <c r="AI544" s="149"/>
      <c r="AJ544" s="143"/>
      <c r="AK544" s="146"/>
      <c r="AL544" s="149"/>
      <c r="AM544" s="143"/>
      <c r="AN544" s="146"/>
      <c r="AO544" s="149"/>
      <c r="AP544" s="143"/>
      <c r="AQ544" s="146"/>
      <c r="AR544" s="149"/>
      <c r="AS544" s="143"/>
      <c r="AT544" s="146"/>
      <c r="AU544" s="149"/>
      <c r="AV544" s="149"/>
    </row>
    <row r="545" spans="1:48" s="34" customFormat="1" ht="12.75">
      <c r="A545" s="36"/>
      <c r="B545" s="36"/>
      <c r="C545" s="36"/>
      <c r="D545" s="36"/>
      <c r="E545" s="35"/>
      <c r="F545" s="143"/>
      <c r="G545" s="146"/>
      <c r="H545" s="149"/>
      <c r="I545" s="143"/>
      <c r="J545" s="146"/>
      <c r="K545" s="149"/>
      <c r="L545" s="143"/>
      <c r="M545" s="146"/>
      <c r="N545" s="149"/>
      <c r="O545" s="143"/>
      <c r="P545" s="146"/>
      <c r="Q545" s="149"/>
      <c r="R545" s="143"/>
      <c r="S545" s="146"/>
      <c r="T545" s="149"/>
      <c r="U545" s="143"/>
      <c r="V545" s="146"/>
      <c r="W545" s="149"/>
      <c r="X545" s="143"/>
      <c r="Y545" s="146"/>
      <c r="Z545" s="149"/>
      <c r="AA545" s="143"/>
      <c r="AB545" s="146"/>
      <c r="AC545" s="149"/>
      <c r="AD545" s="143"/>
      <c r="AE545" s="146"/>
      <c r="AF545" s="149"/>
      <c r="AG545" s="143"/>
      <c r="AH545" s="146"/>
      <c r="AI545" s="149"/>
      <c r="AJ545" s="143"/>
      <c r="AK545" s="146"/>
      <c r="AL545" s="149"/>
      <c r="AM545" s="143"/>
      <c r="AN545" s="146"/>
      <c r="AO545" s="149"/>
      <c r="AP545" s="143"/>
      <c r="AQ545" s="146"/>
      <c r="AR545" s="149"/>
      <c r="AS545" s="143"/>
      <c r="AT545" s="146"/>
      <c r="AU545" s="149"/>
      <c r="AV545" s="149"/>
    </row>
    <row r="546" spans="1:48" s="34" customFormat="1" ht="12.75">
      <c r="A546" s="36"/>
      <c r="B546" s="36"/>
      <c r="C546" s="36"/>
      <c r="D546" s="36"/>
      <c r="E546" s="35"/>
      <c r="F546" s="143"/>
      <c r="G546" s="146"/>
      <c r="H546" s="149"/>
      <c r="I546" s="143"/>
      <c r="J546" s="146"/>
      <c r="K546" s="149"/>
      <c r="L546" s="143"/>
      <c r="M546" s="146"/>
      <c r="N546" s="149"/>
      <c r="O546" s="143"/>
      <c r="P546" s="146"/>
      <c r="Q546" s="149"/>
      <c r="R546" s="143"/>
      <c r="S546" s="146"/>
      <c r="T546" s="149"/>
      <c r="U546" s="143"/>
      <c r="V546" s="146"/>
      <c r="W546" s="149"/>
      <c r="X546" s="143"/>
      <c r="Y546" s="146"/>
      <c r="Z546" s="149"/>
      <c r="AA546" s="143"/>
      <c r="AB546" s="146"/>
      <c r="AC546" s="149"/>
      <c r="AD546" s="143"/>
      <c r="AE546" s="146"/>
      <c r="AF546" s="149"/>
      <c r="AG546" s="143"/>
      <c r="AH546" s="146"/>
      <c r="AI546" s="149"/>
      <c r="AJ546" s="143"/>
      <c r="AK546" s="146"/>
      <c r="AL546" s="149"/>
      <c r="AM546" s="143"/>
      <c r="AN546" s="146"/>
      <c r="AO546" s="149"/>
      <c r="AP546" s="143"/>
      <c r="AQ546" s="146"/>
      <c r="AR546" s="149"/>
      <c r="AS546" s="143"/>
      <c r="AT546" s="146"/>
      <c r="AU546" s="149"/>
      <c r="AV546" s="149"/>
    </row>
    <row r="547" spans="1:48" s="34" customFormat="1" ht="12.75">
      <c r="A547" s="36"/>
      <c r="B547" s="36"/>
      <c r="C547" s="36"/>
      <c r="D547" s="36"/>
      <c r="E547" s="35"/>
      <c r="F547" s="143"/>
      <c r="G547" s="146"/>
      <c r="H547" s="149"/>
      <c r="I547" s="143"/>
      <c r="J547" s="146"/>
      <c r="K547" s="149"/>
      <c r="L547" s="143"/>
      <c r="M547" s="146"/>
      <c r="N547" s="149"/>
      <c r="O547" s="143"/>
      <c r="P547" s="146"/>
      <c r="Q547" s="149"/>
      <c r="R547" s="143"/>
      <c r="S547" s="146"/>
      <c r="T547" s="149"/>
      <c r="U547" s="143"/>
      <c r="V547" s="146"/>
      <c r="W547" s="149"/>
      <c r="X547" s="143"/>
      <c r="Y547" s="146"/>
      <c r="Z547" s="149"/>
      <c r="AA547" s="143"/>
      <c r="AB547" s="146"/>
      <c r="AC547" s="149"/>
      <c r="AD547" s="143"/>
      <c r="AE547" s="146"/>
      <c r="AF547" s="149"/>
      <c r="AG547" s="143"/>
      <c r="AH547" s="146"/>
      <c r="AI547" s="149"/>
      <c r="AJ547" s="143"/>
      <c r="AK547" s="146"/>
      <c r="AL547" s="149"/>
      <c r="AM547" s="143"/>
      <c r="AN547" s="146"/>
      <c r="AO547" s="149"/>
      <c r="AP547" s="143"/>
      <c r="AQ547" s="146"/>
      <c r="AR547" s="149"/>
      <c r="AS547" s="143"/>
      <c r="AT547" s="146"/>
      <c r="AU547" s="149"/>
      <c r="AV547" s="149"/>
    </row>
    <row r="548" spans="1:48" s="34" customFormat="1" ht="12.75">
      <c r="A548" s="36"/>
      <c r="B548" s="36"/>
      <c r="C548" s="36"/>
      <c r="D548" s="36"/>
      <c r="E548" s="35"/>
      <c r="F548" s="143"/>
      <c r="G548" s="146"/>
      <c r="H548" s="149"/>
      <c r="I548" s="143"/>
      <c r="J548" s="146"/>
      <c r="K548" s="149"/>
      <c r="L548" s="143"/>
      <c r="M548" s="146"/>
      <c r="N548" s="149"/>
      <c r="O548" s="143"/>
      <c r="P548" s="146"/>
      <c r="Q548" s="149"/>
      <c r="R548" s="143"/>
      <c r="S548" s="146"/>
      <c r="T548" s="149"/>
      <c r="U548" s="143"/>
      <c r="V548" s="146"/>
      <c r="W548" s="149"/>
      <c r="X548" s="143"/>
      <c r="Y548" s="146"/>
      <c r="Z548" s="149"/>
      <c r="AA548" s="143"/>
      <c r="AB548" s="146"/>
      <c r="AC548" s="149"/>
      <c r="AD548" s="143"/>
      <c r="AE548" s="146"/>
      <c r="AF548" s="149"/>
      <c r="AG548" s="143"/>
      <c r="AH548" s="146"/>
      <c r="AI548" s="149"/>
      <c r="AJ548" s="143"/>
      <c r="AK548" s="146"/>
      <c r="AL548" s="149"/>
      <c r="AM548" s="143"/>
      <c r="AN548" s="146"/>
      <c r="AO548" s="149"/>
      <c r="AP548" s="143"/>
      <c r="AQ548" s="146"/>
      <c r="AR548" s="149"/>
      <c r="AS548" s="143"/>
      <c r="AT548" s="146"/>
      <c r="AU548" s="149"/>
      <c r="AV548" s="149"/>
    </row>
    <row r="549" spans="1:48" s="34" customFormat="1" ht="12.75">
      <c r="A549" s="36"/>
      <c r="B549" s="36"/>
      <c r="C549" s="36"/>
      <c r="D549" s="36"/>
      <c r="E549" s="35"/>
      <c r="F549" s="143"/>
      <c r="G549" s="146"/>
      <c r="H549" s="149"/>
      <c r="I549" s="143"/>
      <c r="J549" s="146"/>
      <c r="K549" s="149"/>
      <c r="L549" s="143"/>
      <c r="M549" s="146"/>
      <c r="N549" s="149"/>
      <c r="O549" s="143"/>
      <c r="P549" s="146"/>
      <c r="Q549" s="149"/>
      <c r="R549" s="143"/>
      <c r="S549" s="146"/>
      <c r="T549" s="149"/>
      <c r="U549" s="143"/>
      <c r="V549" s="146"/>
      <c r="W549" s="149"/>
      <c r="X549" s="143"/>
      <c r="Y549" s="146"/>
      <c r="Z549" s="149"/>
      <c r="AA549" s="143"/>
      <c r="AB549" s="146"/>
      <c r="AC549" s="149"/>
      <c r="AD549" s="143"/>
      <c r="AE549" s="146"/>
      <c r="AF549" s="149"/>
      <c r="AG549" s="143"/>
      <c r="AH549" s="146"/>
      <c r="AI549" s="149"/>
      <c r="AJ549" s="143"/>
      <c r="AK549" s="146"/>
      <c r="AL549" s="149"/>
      <c r="AM549" s="143"/>
      <c r="AN549" s="146"/>
      <c r="AO549" s="149"/>
      <c r="AP549" s="143"/>
      <c r="AQ549" s="146"/>
      <c r="AR549" s="149"/>
      <c r="AS549" s="143"/>
      <c r="AT549" s="146"/>
      <c r="AU549" s="149"/>
      <c r="AV549" s="149"/>
    </row>
    <row r="550" spans="1:48" s="34" customFormat="1" ht="12.75">
      <c r="A550" s="36"/>
      <c r="B550" s="36"/>
      <c r="C550" s="36"/>
      <c r="D550" s="36"/>
      <c r="E550" s="35"/>
      <c r="F550" s="143"/>
      <c r="G550" s="146"/>
      <c r="H550" s="149"/>
      <c r="I550" s="143"/>
      <c r="J550" s="146"/>
      <c r="K550" s="149"/>
      <c r="L550" s="143"/>
      <c r="M550" s="146"/>
      <c r="N550" s="149"/>
      <c r="O550" s="143"/>
      <c r="P550" s="146"/>
      <c r="Q550" s="149"/>
      <c r="R550" s="143"/>
      <c r="S550" s="146"/>
      <c r="T550" s="149"/>
      <c r="U550" s="143"/>
      <c r="V550" s="146"/>
      <c r="W550" s="149"/>
      <c r="X550" s="143"/>
      <c r="Y550" s="146"/>
      <c r="Z550" s="149"/>
      <c r="AA550" s="143"/>
      <c r="AB550" s="146"/>
      <c r="AC550" s="149"/>
      <c r="AD550" s="143"/>
      <c r="AE550" s="146"/>
      <c r="AF550" s="149"/>
      <c r="AG550" s="143"/>
      <c r="AH550" s="146"/>
      <c r="AI550" s="149"/>
      <c r="AJ550" s="143"/>
      <c r="AK550" s="146"/>
      <c r="AL550" s="149"/>
      <c r="AM550" s="143"/>
      <c r="AN550" s="146"/>
      <c r="AO550" s="149"/>
      <c r="AP550" s="143"/>
      <c r="AQ550" s="146"/>
      <c r="AR550" s="149"/>
      <c r="AS550" s="143"/>
      <c r="AT550" s="146"/>
      <c r="AU550" s="149"/>
      <c r="AV550" s="149"/>
    </row>
    <row r="551" spans="1:48" s="34" customFormat="1" ht="12.75">
      <c r="A551" s="36"/>
      <c r="B551" s="36"/>
      <c r="C551" s="36"/>
      <c r="D551" s="36"/>
      <c r="E551" s="35"/>
      <c r="F551" s="143"/>
      <c r="G551" s="146"/>
      <c r="H551" s="149"/>
      <c r="I551" s="143"/>
      <c r="J551" s="146"/>
      <c r="K551" s="149"/>
      <c r="L551" s="143"/>
      <c r="M551" s="146"/>
      <c r="N551" s="149"/>
      <c r="O551" s="143"/>
      <c r="P551" s="146"/>
      <c r="Q551" s="149"/>
      <c r="R551" s="143"/>
      <c r="S551" s="146"/>
      <c r="T551" s="149"/>
      <c r="U551" s="143"/>
      <c r="V551" s="146"/>
      <c r="W551" s="149"/>
      <c r="X551" s="143"/>
      <c r="Y551" s="146"/>
      <c r="Z551" s="149"/>
      <c r="AA551" s="143"/>
      <c r="AB551" s="146"/>
      <c r="AC551" s="149"/>
      <c r="AD551" s="143"/>
      <c r="AE551" s="146"/>
      <c r="AF551" s="149"/>
      <c r="AG551" s="143"/>
      <c r="AH551" s="146"/>
      <c r="AI551" s="149"/>
      <c r="AJ551" s="143"/>
      <c r="AK551" s="146"/>
      <c r="AL551" s="149"/>
      <c r="AM551" s="143"/>
      <c r="AN551" s="146"/>
      <c r="AO551" s="149"/>
      <c r="AP551" s="143"/>
      <c r="AQ551" s="146"/>
      <c r="AR551" s="149"/>
      <c r="AS551" s="143"/>
      <c r="AT551" s="146"/>
      <c r="AU551" s="149"/>
      <c r="AV551" s="149"/>
    </row>
    <row r="552" spans="1:48" s="34" customFormat="1" ht="12.75">
      <c r="A552" s="36"/>
      <c r="B552" s="36"/>
      <c r="C552" s="36"/>
      <c r="D552" s="36"/>
      <c r="E552" s="35"/>
      <c r="F552" s="143"/>
      <c r="G552" s="146"/>
      <c r="H552" s="149"/>
      <c r="I552" s="143"/>
      <c r="J552" s="146"/>
      <c r="K552" s="149"/>
      <c r="L552" s="143"/>
      <c r="M552" s="146"/>
      <c r="N552" s="149"/>
      <c r="O552" s="143"/>
      <c r="P552" s="146"/>
      <c r="Q552" s="149"/>
      <c r="R552" s="143"/>
      <c r="S552" s="146"/>
      <c r="T552" s="149"/>
      <c r="U552" s="143"/>
      <c r="V552" s="146"/>
      <c r="W552" s="149"/>
      <c r="X552" s="143"/>
      <c r="Y552" s="146"/>
      <c r="Z552" s="149"/>
      <c r="AA552" s="143"/>
      <c r="AB552" s="146"/>
      <c r="AC552" s="149"/>
      <c r="AD552" s="143"/>
      <c r="AE552" s="146"/>
      <c r="AF552" s="149"/>
      <c r="AG552" s="143"/>
      <c r="AH552" s="146"/>
      <c r="AI552" s="149"/>
      <c r="AJ552" s="143"/>
      <c r="AK552" s="146"/>
      <c r="AL552" s="149"/>
      <c r="AM552" s="143"/>
      <c r="AN552" s="146"/>
      <c r="AO552" s="149"/>
      <c r="AP552" s="143"/>
      <c r="AQ552" s="146"/>
      <c r="AR552" s="149"/>
      <c r="AS552" s="143"/>
      <c r="AT552" s="146"/>
      <c r="AU552" s="149"/>
      <c r="AV552" s="149"/>
    </row>
    <row r="553" spans="1:48" s="34" customFormat="1" ht="12.75">
      <c r="A553" s="36"/>
      <c r="B553" s="36"/>
      <c r="C553" s="36"/>
      <c r="D553" s="36"/>
      <c r="E553" s="35"/>
      <c r="F553" s="143"/>
      <c r="G553" s="146"/>
      <c r="H553" s="149"/>
      <c r="I553" s="143"/>
      <c r="J553" s="146"/>
      <c r="K553" s="149"/>
      <c r="L553" s="143"/>
      <c r="M553" s="146"/>
      <c r="N553" s="149"/>
      <c r="O553" s="143"/>
      <c r="P553" s="146"/>
      <c r="Q553" s="149"/>
      <c r="R553" s="143"/>
      <c r="S553" s="146"/>
      <c r="T553" s="149"/>
      <c r="U553" s="143"/>
      <c r="V553" s="146"/>
      <c r="W553" s="149"/>
      <c r="X553" s="143"/>
      <c r="Y553" s="146"/>
      <c r="Z553" s="149"/>
      <c r="AA553" s="143"/>
      <c r="AB553" s="146"/>
      <c r="AC553" s="149"/>
      <c r="AD553" s="143"/>
      <c r="AE553" s="146"/>
      <c r="AF553" s="149"/>
      <c r="AG553" s="143"/>
      <c r="AH553" s="146"/>
      <c r="AI553" s="149"/>
      <c r="AJ553" s="143"/>
      <c r="AK553" s="146"/>
      <c r="AL553" s="149"/>
      <c r="AM553" s="143"/>
      <c r="AN553" s="146"/>
      <c r="AO553" s="149"/>
      <c r="AP553" s="143"/>
      <c r="AQ553" s="146"/>
      <c r="AR553" s="149"/>
      <c r="AS553" s="143"/>
      <c r="AT553" s="146"/>
      <c r="AU553" s="149"/>
      <c r="AV553" s="149"/>
    </row>
    <row r="554" spans="1:48" s="34" customFormat="1" ht="12.75">
      <c r="A554" s="36"/>
      <c r="B554" s="36"/>
      <c r="C554" s="36"/>
      <c r="D554" s="36"/>
      <c r="E554" s="35"/>
      <c r="F554" s="143"/>
      <c r="G554" s="146"/>
      <c r="H554" s="149"/>
      <c r="I554" s="143"/>
      <c r="J554" s="146"/>
      <c r="K554" s="149"/>
      <c r="L554" s="143"/>
      <c r="M554" s="146"/>
      <c r="N554" s="149"/>
      <c r="O554" s="143"/>
      <c r="P554" s="146"/>
      <c r="Q554" s="149"/>
      <c r="R554" s="143"/>
      <c r="S554" s="146"/>
      <c r="T554" s="149"/>
      <c r="U554" s="143"/>
      <c r="V554" s="146"/>
      <c r="W554" s="149"/>
      <c r="X554" s="143"/>
      <c r="Y554" s="146"/>
      <c r="Z554" s="149"/>
      <c r="AA554" s="143"/>
      <c r="AB554" s="146"/>
      <c r="AC554" s="149"/>
      <c r="AD554" s="143"/>
      <c r="AE554" s="146"/>
      <c r="AF554" s="149"/>
      <c r="AG554" s="143"/>
      <c r="AH554" s="146"/>
      <c r="AI554" s="149"/>
      <c r="AJ554" s="143"/>
      <c r="AK554" s="146"/>
      <c r="AL554" s="149"/>
      <c r="AM554" s="143"/>
      <c r="AN554" s="146"/>
      <c r="AO554" s="149"/>
      <c r="AP554" s="143"/>
      <c r="AQ554" s="146"/>
      <c r="AR554" s="149"/>
      <c r="AS554" s="143"/>
      <c r="AT554" s="146"/>
      <c r="AU554" s="149"/>
      <c r="AV554" s="149"/>
    </row>
    <row r="555" spans="1:48" s="34" customFormat="1" ht="12.75">
      <c r="A555" s="36"/>
      <c r="B555" s="36"/>
      <c r="C555" s="36"/>
      <c r="D555" s="36"/>
      <c r="E555" s="35"/>
      <c r="F555" s="143"/>
      <c r="G555" s="146"/>
      <c r="H555" s="149"/>
      <c r="I555" s="143"/>
      <c r="J555" s="146"/>
      <c r="K555" s="149"/>
      <c r="L555" s="143"/>
      <c r="M555" s="146"/>
      <c r="N555" s="149"/>
      <c r="O555" s="143"/>
      <c r="P555" s="146"/>
      <c r="Q555" s="149"/>
      <c r="R555" s="143"/>
      <c r="S555" s="146"/>
      <c r="T555" s="149"/>
      <c r="U555" s="143"/>
      <c r="V555" s="146"/>
      <c r="W555" s="149"/>
      <c r="X555" s="143"/>
      <c r="Y555" s="146"/>
      <c r="Z555" s="149"/>
      <c r="AA555" s="143"/>
      <c r="AB555" s="146"/>
      <c r="AC555" s="149"/>
      <c r="AD555" s="143"/>
      <c r="AE555" s="146"/>
      <c r="AF555" s="149"/>
      <c r="AG555" s="143"/>
      <c r="AH555" s="146"/>
      <c r="AI555" s="149"/>
      <c r="AJ555" s="143"/>
      <c r="AK555" s="146"/>
      <c r="AL555" s="149"/>
      <c r="AM555" s="143"/>
      <c r="AN555" s="146"/>
      <c r="AO555" s="149"/>
      <c r="AP555" s="143"/>
      <c r="AQ555" s="146"/>
      <c r="AR555" s="149"/>
      <c r="AS555" s="143"/>
      <c r="AT555" s="146"/>
      <c r="AU555" s="149"/>
      <c r="AV555" s="149"/>
    </row>
    <row r="556" spans="1:48" s="34" customFormat="1" ht="12.75">
      <c r="A556" s="36"/>
      <c r="B556" s="36"/>
      <c r="C556" s="36"/>
      <c r="D556" s="36"/>
      <c r="E556" s="35"/>
      <c r="F556" s="143"/>
      <c r="G556" s="146"/>
      <c r="H556" s="149"/>
      <c r="I556" s="143"/>
      <c r="J556" s="146"/>
      <c r="K556" s="149"/>
      <c r="L556" s="143"/>
      <c r="M556" s="146"/>
      <c r="N556" s="149"/>
      <c r="O556" s="143"/>
      <c r="P556" s="146"/>
      <c r="Q556" s="149"/>
      <c r="R556" s="143"/>
      <c r="S556" s="146"/>
      <c r="T556" s="149"/>
      <c r="U556" s="143"/>
      <c r="V556" s="146"/>
      <c r="W556" s="149"/>
      <c r="X556" s="143"/>
      <c r="Y556" s="146"/>
      <c r="Z556" s="149"/>
      <c r="AA556" s="143"/>
      <c r="AB556" s="146"/>
      <c r="AC556" s="149"/>
      <c r="AD556" s="143"/>
      <c r="AE556" s="146"/>
      <c r="AF556" s="149"/>
      <c r="AG556" s="143"/>
      <c r="AH556" s="146"/>
      <c r="AI556" s="149"/>
      <c r="AJ556" s="143"/>
      <c r="AK556" s="146"/>
      <c r="AL556" s="149"/>
      <c r="AM556" s="143"/>
      <c r="AN556" s="146"/>
      <c r="AO556" s="149"/>
      <c r="AP556" s="143"/>
      <c r="AQ556" s="146"/>
      <c r="AR556" s="149"/>
      <c r="AS556" s="143"/>
      <c r="AT556" s="146"/>
      <c r="AU556" s="149"/>
      <c r="AV556" s="149"/>
    </row>
    <row r="557" spans="1:48" s="34" customFormat="1" ht="12.75">
      <c r="A557" s="36"/>
      <c r="B557" s="36"/>
      <c r="C557" s="36"/>
      <c r="D557" s="36"/>
      <c r="E557" s="35"/>
      <c r="F557" s="143"/>
      <c r="G557" s="146"/>
      <c r="H557" s="149"/>
      <c r="I557" s="143"/>
      <c r="J557" s="146"/>
      <c r="K557" s="149"/>
      <c r="L557" s="143"/>
      <c r="M557" s="146"/>
      <c r="N557" s="149"/>
      <c r="O557" s="143"/>
      <c r="P557" s="146"/>
      <c r="Q557" s="149"/>
      <c r="R557" s="143"/>
      <c r="S557" s="146"/>
      <c r="T557" s="149"/>
      <c r="U557" s="143"/>
      <c r="V557" s="146"/>
      <c r="W557" s="149"/>
      <c r="X557" s="143"/>
      <c r="Y557" s="146"/>
      <c r="Z557" s="149"/>
      <c r="AA557" s="143"/>
      <c r="AB557" s="146"/>
      <c r="AC557" s="149"/>
      <c r="AD557" s="143"/>
      <c r="AE557" s="146"/>
      <c r="AF557" s="149"/>
      <c r="AG557" s="143"/>
      <c r="AH557" s="146"/>
      <c r="AI557" s="149"/>
      <c r="AJ557" s="143"/>
      <c r="AK557" s="146"/>
      <c r="AL557" s="149"/>
      <c r="AM557" s="143"/>
      <c r="AN557" s="146"/>
      <c r="AO557" s="149"/>
      <c r="AP557" s="143"/>
      <c r="AQ557" s="146"/>
      <c r="AR557" s="149"/>
      <c r="AS557" s="143"/>
      <c r="AT557" s="146"/>
      <c r="AU557" s="149"/>
      <c r="AV557" s="149"/>
    </row>
    <row r="558" spans="1:48" s="34" customFormat="1" ht="12.75">
      <c r="A558" s="36"/>
      <c r="B558" s="36"/>
      <c r="C558" s="36"/>
      <c r="D558" s="36"/>
      <c r="E558" s="35"/>
      <c r="F558" s="143"/>
      <c r="G558" s="146"/>
      <c r="H558" s="149"/>
      <c r="I558" s="143"/>
      <c r="J558" s="146"/>
      <c r="K558" s="149"/>
      <c r="L558" s="143"/>
      <c r="M558" s="146"/>
      <c r="N558" s="149"/>
      <c r="O558" s="143"/>
      <c r="P558" s="146"/>
      <c r="Q558" s="149"/>
      <c r="R558" s="143"/>
      <c r="S558" s="146"/>
      <c r="T558" s="149"/>
      <c r="U558" s="143"/>
      <c r="V558" s="146"/>
      <c r="W558" s="149"/>
      <c r="X558" s="143"/>
      <c r="Y558" s="146"/>
      <c r="Z558" s="149"/>
      <c r="AA558" s="143"/>
      <c r="AB558" s="146"/>
      <c r="AC558" s="149"/>
      <c r="AD558" s="143"/>
      <c r="AE558" s="146"/>
      <c r="AF558" s="149"/>
      <c r="AG558" s="143"/>
      <c r="AH558" s="146"/>
      <c r="AI558" s="149"/>
      <c r="AJ558" s="143"/>
      <c r="AK558" s="146"/>
      <c r="AL558" s="149"/>
      <c r="AM558" s="143"/>
      <c r="AN558" s="146"/>
      <c r="AO558" s="149"/>
      <c r="AP558" s="143"/>
      <c r="AQ558" s="146"/>
      <c r="AR558" s="149"/>
      <c r="AS558" s="143"/>
      <c r="AT558" s="146"/>
      <c r="AU558" s="149"/>
      <c r="AV558" s="149"/>
    </row>
    <row r="559" spans="1:48" s="34" customFormat="1" ht="12.75">
      <c r="A559" s="36"/>
      <c r="B559" s="36"/>
      <c r="C559" s="36"/>
      <c r="D559" s="36"/>
      <c r="E559" s="35"/>
      <c r="F559" s="143"/>
      <c r="G559" s="146"/>
      <c r="H559" s="149"/>
      <c r="I559" s="143"/>
      <c r="J559" s="146"/>
      <c r="K559" s="149"/>
      <c r="L559" s="143"/>
      <c r="M559" s="146"/>
      <c r="N559" s="149"/>
      <c r="O559" s="143"/>
      <c r="P559" s="146"/>
      <c r="Q559" s="149"/>
      <c r="R559" s="143"/>
      <c r="S559" s="146"/>
      <c r="T559" s="149"/>
      <c r="U559" s="143"/>
      <c r="V559" s="146"/>
      <c r="W559" s="149"/>
      <c r="X559" s="143"/>
      <c r="Y559" s="146"/>
      <c r="Z559" s="149"/>
      <c r="AA559" s="143"/>
      <c r="AB559" s="146"/>
      <c r="AC559" s="149"/>
      <c r="AD559" s="143"/>
      <c r="AE559" s="146"/>
      <c r="AF559" s="149"/>
      <c r="AG559" s="143"/>
      <c r="AH559" s="146"/>
      <c r="AI559" s="149"/>
      <c r="AJ559" s="143"/>
      <c r="AK559" s="146"/>
      <c r="AL559" s="149"/>
      <c r="AM559" s="143"/>
      <c r="AN559" s="146"/>
      <c r="AO559" s="149"/>
      <c r="AP559" s="143"/>
      <c r="AQ559" s="146"/>
      <c r="AR559" s="149"/>
      <c r="AS559" s="143"/>
      <c r="AT559" s="146"/>
      <c r="AU559" s="149"/>
      <c r="AV559" s="149"/>
    </row>
    <row r="560" spans="1:48" s="34" customFormat="1" ht="12.75">
      <c r="A560" s="36"/>
      <c r="B560" s="36"/>
      <c r="C560" s="36"/>
      <c r="D560" s="36"/>
      <c r="E560" s="35"/>
      <c r="F560" s="143"/>
      <c r="G560" s="146"/>
      <c r="H560" s="149"/>
      <c r="I560" s="143"/>
      <c r="J560" s="146"/>
      <c r="K560" s="149"/>
      <c r="L560" s="143"/>
      <c r="M560" s="146"/>
      <c r="N560" s="149"/>
      <c r="O560" s="143"/>
      <c r="P560" s="146"/>
      <c r="Q560" s="149"/>
      <c r="R560" s="143"/>
      <c r="S560" s="146"/>
      <c r="T560" s="149"/>
      <c r="U560" s="143"/>
      <c r="V560" s="146"/>
      <c r="W560" s="149"/>
      <c r="X560" s="143"/>
      <c r="Y560" s="146"/>
      <c r="Z560" s="149"/>
      <c r="AA560" s="143"/>
      <c r="AB560" s="146"/>
      <c r="AC560" s="149"/>
      <c r="AD560" s="143"/>
      <c r="AE560" s="146"/>
      <c r="AF560" s="149"/>
      <c r="AG560" s="143"/>
      <c r="AH560" s="146"/>
      <c r="AI560" s="149"/>
      <c r="AJ560" s="143"/>
      <c r="AK560" s="146"/>
      <c r="AL560" s="149"/>
      <c r="AM560" s="143"/>
      <c r="AN560" s="146"/>
      <c r="AO560" s="149"/>
      <c r="AP560" s="143"/>
      <c r="AQ560" s="146"/>
      <c r="AR560" s="149"/>
      <c r="AS560" s="143"/>
      <c r="AT560" s="146"/>
      <c r="AU560" s="149"/>
      <c r="AV560" s="149"/>
    </row>
    <row r="561" spans="1:48" s="34" customFormat="1" ht="12.75">
      <c r="A561" s="36"/>
      <c r="B561" s="36"/>
      <c r="C561" s="36"/>
      <c r="D561" s="36"/>
      <c r="E561" s="35"/>
      <c r="F561" s="143"/>
      <c r="G561" s="146"/>
      <c r="H561" s="149"/>
      <c r="I561" s="143"/>
      <c r="J561" s="146"/>
      <c r="K561" s="149"/>
      <c r="L561" s="143"/>
      <c r="M561" s="146"/>
      <c r="N561" s="149"/>
      <c r="O561" s="143"/>
      <c r="P561" s="146"/>
      <c r="Q561" s="149"/>
      <c r="R561" s="143"/>
      <c r="S561" s="146"/>
      <c r="T561" s="149"/>
      <c r="U561" s="143"/>
      <c r="V561" s="146"/>
      <c r="W561" s="149"/>
      <c r="X561" s="143"/>
      <c r="Y561" s="146"/>
      <c r="Z561" s="149"/>
      <c r="AA561" s="143"/>
      <c r="AB561" s="146"/>
      <c r="AC561" s="149"/>
      <c r="AD561" s="143"/>
      <c r="AE561" s="146"/>
      <c r="AF561" s="149"/>
      <c r="AG561" s="143"/>
      <c r="AH561" s="146"/>
      <c r="AI561" s="149"/>
      <c r="AJ561" s="143"/>
      <c r="AK561" s="146"/>
      <c r="AL561" s="149"/>
      <c r="AM561" s="143"/>
      <c r="AN561" s="146"/>
      <c r="AO561" s="149"/>
      <c r="AP561" s="143"/>
      <c r="AQ561" s="146"/>
      <c r="AR561" s="149"/>
      <c r="AS561" s="143"/>
      <c r="AT561" s="146"/>
      <c r="AU561" s="149"/>
      <c r="AV561" s="149"/>
    </row>
    <row r="562" spans="1:48" s="34" customFormat="1" ht="12.75">
      <c r="A562" s="36"/>
      <c r="B562" s="36"/>
      <c r="C562" s="36"/>
      <c r="D562" s="36"/>
      <c r="E562" s="35"/>
      <c r="F562" s="143"/>
      <c r="G562" s="146"/>
      <c r="H562" s="149"/>
      <c r="I562" s="143"/>
      <c r="J562" s="146"/>
      <c r="K562" s="149"/>
      <c r="L562" s="143"/>
      <c r="M562" s="146"/>
      <c r="N562" s="149"/>
      <c r="O562" s="143"/>
      <c r="P562" s="146"/>
      <c r="Q562" s="149"/>
      <c r="R562" s="143"/>
      <c r="S562" s="146"/>
      <c r="T562" s="149"/>
      <c r="U562" s="143"/>
      <c r="V562" s="146"/>
      <c r="W562" s="149"/>
      <c r="X562" s="143"/>
      <c r="Y562" s="146"/>
      <c r="Z562" s="149"/>
      <c r="AA562" s="143"/>
      <c r="AB562" s="146"/>
      <c r="AC562" s="149"/>
      <c r="AD562" s="143"/>
      <c r="AE562" s="146"/>
      <c r="AF562" s="149"/>
      <c r="AG562" s="143"/>
      <c r="AH562" s="146"/>
      <c r="AI562" s="149"/>
      <c r="AJ562" s="143"/>
      <c r="AK562" s="146"/>
      <c r="AL562" s="149"/>
      <c r="AM562" s="143"/>
      <c r="AN562" s="146"/>
      <c r="AO562" s="149"/>
      <c r="AP562" s="143"/>
      <c r="AQ562" s="146"/>
      <c r="AR562" s="149"/>
      <c r="AS562" s="143"/>
      <c r="AT562" s="146"/>
      <c r="AU562" s="149"/>
      <c r="AV562" s="149"/>
    </row>
    <row r="563" spans="1:48" s="34" customFormat="1" ht="12.75">
      <c r="A563" s="36"/>
      <c r="B563" s="36"/>
      <c r="C563" s="36"/>
      <c r="D563" s="36"/>
      <c r="E563" s="35"/>
      <c r="F563" s="143"/>
      <c r="G563" s="146"/>
      <c r="H563" s="149"/>
      <c r="I563" s="143"/>
      <c r="J563" s="146"/>
      <c r="K563" s="149"/>
      <c r="L563" s="143"/>
      <c r="M563" s="146"/>
      <c r="N563" s="149"/>
      <c r="O563" s="143"/>
      <c r="P563" s="146"/>
      <c r="Q563" s="149"/>
      <c r="R563" s="143"/>
      <c r="S563" s="146"/>
      <c r="T563" s="149"/>
      <c r="U563" s="143"/>
      <c r="V563" s="146"/>
      <c r="W563" s="149"/>
      <c r="X563" s="143"/>
      <c r="Y563" s="146"/>
      <c r="Z563" s="149"/>
      <c r="AA563" s="143"/>
      <c r="AB563" s="146"/>
      <c r="AC563" s="149"/>
      <c r="AD563" s="143"/>
      <c r="AE563" s="146"/>
      <c r="AF563" s="149"/>
      <c r="AG563" s="143"/>
      <c r="AH563" s="146"/>
      <c r="AI563" s="149"/>
      <c r="AJ563" s="143"/>
      <c r="AK563" s="146"/>
      <c r="AL563" s="149"/>
      <c r="AM563" s="143"/>
      <c r="AN563" s="146"/>
      <c r="AO563" s="149"/>
      <c r="AP563" s="143"/>
      <c r="AQ563" s="146"/>
      <c r="AR563" s="149"/>
      <c r="AS563" s="143"/>
      <c r="AT563" s="146"/>
      <c r="AU563" s="149"/>
      <c r="AV563" s="149"/>
    </row>
    <row r="564" spans="1:48" s="34" customFormat="1" ht="12.75">
      <c r="A564" s="36"/>
      <c r="B564" s="36"/>
      <c r="C564" s="36"/>
      <c r="D564" s="36"/>
      <c r="E564" s="35"/>
      <c r="F564" s="143"/>
      <c r="G564" s="146"/>
      <c r="H564" s="149"/>
      <c r="I564" s="143"/>
      <c r="J564" s="146"/>
      <c r="K564" s="149"/>
      <c r="L564" s="143"/>
      <c r="M564" s="146"/>
      <c r="N564" s="149"/>
      <c r="O564" s="143"/>
      <c r="P564" s="146"/>
      <c r="Q564" s="149"/>
      <c r="R564" s="143"/>
      <c r="S564" s="146"/>
      <c r="T564" s="149"/>
      <c r="U564" s="143"/>
      <c r="V564" s="146"/>
      <c r="W564" s="149"/>
      <c r="X564" s="143"/>
      <c r="Y564" s="146"/>
      <c r="Z564" s="149"/>
      <c r="AA564" s="143"/>
      <c r="AB564" s="146"/>
      <c r="AC564" s="149"/>
      <c r="AD564" s="143"/>
      <c r="AE564" s="146"/>
      <c r="AF564" s="149"/>
      <c r="AG564" s="143"/>
      <c r="AH564" s="146"/>
      <c r="AI564" s="149"/>
      <c r="AJ564" s="143"/>
      <c r="AK564" s="146"/>
      <c r="AL564" s="149"/>
      <c r="AM564" s="143"/>
      <c r="AN564" s="146"/>
      <c r="AO564" s="149"/>
      <c r="AP564" s="143"/>
      <c r="AQ564" s="146"/>
      <c r="AR564" s="149"/>
      <c r="AS564" s="143"/>
      <c r="AT564" s="146"/>
      <c r="AU564" s="149"/>
      <c r="AV564" s="149"/>
    </row>
    <row r="565" spans="1:48" s="34" customFormat="1" ht="12.75">
      <c r="A565" s="36"/>
      <c r="B565" s="36"/>
      <c r="C565" s="36"/>
      <c r="D565" s="36"/>
      <c r="E565" s="35"/>
      <c r="F565" s="143"/>
      <c r="G565" s="146"/>
      <c r="H565" s="149"/>
      <c r="I565" s="143"/>
      <c r="J565" s="146"/>
      <c r="K565" s="149"/>
      <c r="L565" s="143"/>
      <c r="M565" s="146"/>
      <c r="N565" s="149"/>
      <c r="O565" s="143"/>
      <c r="P565" s="146"/>
      <c r="Q565" s="149"/>
      <c r="R565" s="143"/>
      <c r="S565" s="146"/>
      <c r="T565" s="149"/>
      <c r="U565" s="143"/>
      <c r="V565" s="146"/>
      <c r="W565" s="149"/>
      <c r="X565" s="143"/>
      <c r="Y565" s="146"/>
      <c r="Z565" s="149"/>
      <c r="AA565" s="143"/>
      <c r="AB565" s="146"/>
      <c r="AC565" s="149"/>
      <c r="AD565" s="143"/>
      <c r="AE565" s="146"/>
      <c r="AF565" s="149"/>
      <c r="AG565" s="143"/>
      <c r="AH565" s="146"/>
      <c r="AI565" s="149"/>
      <c r="AJ565" s="143"/>
      <c r="AK565" s="146"/>
      <c r="AL565" s="149"/>
      <c r="AM565" s="143"/>
      <c r="AN565" s="146"/>
      <c r="AO565" s="149"/>
      <c r="AP565" s="143"/>
      <c r="AQ565" s="146"/>
      <c r="AR565" s="149"/>
      <c r="AS565" s="143"/>
      <c r="AT565" s="146"/>
      <c r="AU565" s="149"/>
      <c r="AV565" s="149"/>
    </row>
    <row r="566" spans="1:48" s="34" customFormat="1" ht="12.75">
      <c r="A566" s="36"/>
      <c r="B566" s="36"/>
      <c r="C566" s="36"/>
      <c r="D566" s="36"/>
      <c r="E566" s="35"/>
      <c r="F566" s="143"/>
      <c r="G566" s="146"/>
      <c r="H566" s="149"/>
      <c r="I566" s="143"/>
      <c r="J566" s="146"/>
      <c r="K566" s="149"/>
      <c r="L566" s="143"/>
      <c r="M566" s="146"/>
      <c r="N566" s="149"/>
      <c r="O566" s="143"/>
      <c r="P566" s="146"/>
      <c r="Q566" s="149"/>
      <c r="R566" s="143"/>
      <c r="S566" s="146"/>
      <c r="T566" s="149"/>
      <c r="U566" s="143"/>
      <c r="V566" s="146"/>
      <c r="W566" s="149"/>
      <c r="X566" s="143"/>
      <c r="Y566" s="146"/>
      <c r="Z566" s="149"/>
      <c r="AA566" s="143"/>
      <c r="AB566" s="146"/>
      <c r="AC566" s="149"/>
      <c r="AD566" s="143"/>
      <c r="AE566" s="146"/>
      <c r="AF566" s="149"/>
      <c r="AG566" s="143"/>
      <c r="AH566" s="146"/>
      <c r="AI566" s="149"/>
      <c r="AJ566" s="143"/>
      <c r="AK566" s="146"/>
      <c r="AL566" s="149"/>
      <c r="AM566" s="143"/>
      <c r="AN566" s="146"/>
      <c r="AO566" s="149"/>
      <c r="AP566" s="143"/>
      <c r="AQ566" s="146"/>
      <c r="AR566" s="149"/>
      <c r="AS566" s="143"/>
      <c r="AT566" s="146"/>
      <c r="AU566" s="149"/>
      <c r="AV566" s="149"/>
    </row>
    <row r="567" spans="1:48" s="34" customFormat="1" ht="12.75">
      <c r="A567" s="36"/>
      <c r="B567" s="36"/>
      <c r="C567" s="36"/>
      <c r="D567" s="36"/>
      <c r="E567" s="35"/>
      <c r="F567" s="143"/>
      <c r="G567" s="146"/>
      <c r="H567" s="149"/>
      <c r="I567" s="143"/>
      <c r="J567" s="146"/>
      <c r="K567" s="149"/>
      <c r="L567" s="143"/>
      <c r="M567" s="146"/>
      <c r="N567" s="149"/>
      <c r="O567" s="143"/>
      <c r="P567" s="146"/>
      <c r="Q567" s="149"/>
      <c r="R567" s="143"/>
      <c r="S567" s="146"/>
      <c r="T567" s="149"/>
      <c r="U567" s="143"/>
      <c r="V567" s="146"/>
      <c r="W567" s="149"/>
      <c r="X567" s="143"/>
      <c r="Y567" s="146"/>
      <c r="Z567" s="149"/>
      <c r="AA567" s="143"/>
      <c r="AB567" s="146"/>
      <c r="AC567" s="149"/>
      <c r="AD567" s="143"/>
      <c r="AE567" s="146"/>
      <c r="AF567" s="149"/>
      <c r="AG567" s="143"/>
      <c r="AH567" s="146"/>
      <c r="AI567" s="149"/>
      <c r="AJ567" s="143"/>
      <c r="AK567" s="146"/>
      <c r="AL567" s="149"/>
      <c r="AM567" s="143"/>
      <c r="AN567" s="146"/>
      <c r="AO567" s="149"/>
      <c r="AP567" s="143"/>
      <c r="AQ567" s="146"/>
      <c r="AR567" s="149"/>
      <c r="AS567" s="143"/>
      <c r="AT567" s="146"/>
      <c r="AU567" s="149"/>
      <c r="AV567" s="149"/>
    </row>
    <row r="568" spans="1:48" s="34" customFormat="1" ht="12.75">
      <c r="A568" s="36"/>
      <c r="B568" s="36"/>
      <c r="C568" s="36"/>
      <c r="D568" s="36"/>
      <c r="E568" s="35"/>
      <c r="F568" s="143"/>
      <c r="G568" s="146"/>
      <c r="H568" s="149"/>
      <c r="I568" s="143"/>
      <c r="J568" s="146"/>
      <c r="K568" s="149"/>
      <c r="L568" s="143"/>
      <c r="M568" s="146"/>
      <c r="N568" s="149"/>
      <c r="O568" s="143"/>
      <c r="P568" s="146"/>
      <c r="Q568" s="149"/>
      <c r="R568" s="143"/>
      <c r="S568" s="146"/>
      <c r="T568" s="149"/>
      <c r="U568" s="143"/>
      <c r="V568" s="146"/>
      <c r="W568" s="149"/>
      <c r="X568" s="143"/>
      <c r="Y568" s="146"/>
      <c r="Z568" s="149"/>
      <c r="AA568" s="143"/>
      <c r="AB568" s="146"/>
      <c r="AC568" s="149"/>
      <c r="AD568" s="143"/>
      <c r="AE568" s="146"/>
      <c r="AF568" s="149"/>
      <c r="AG568" s="143"/>
      <c r="AH568" s="146"/>
      <c r="AI568" s="149"/>
      <c r="AJ568" s="143"/>
      <c r="AK568" s="146"/>
      <c r="AL568" s="149"/>
      <c r="AM568" s="143"/>
      <c r="AN568" s="146"/>
      <c r="AO568" s="149"/>
      <c r="AP568" s="143"/>
      <c r="AQ568" s="146"/>
      <c r="AR568" s="149"/>
      <c r="AS568" s="143"/>
      <c r="AT568" s="146"/>
      <c r="AU568" s="149"/>
      <c r="AV568" s="149"/>
    </row>
    <row r="569" spans="1:48" s="34" customFormat="1" ht="12.75">
      <c r="A569" s="36"/>
      <c r="B569" s="36"/>
      <c r="C569" s="36"/>
      <c r="D569" s="36"/>
      <c r="E569" s="35"/>
      <c r="F569" s="143"/>
      <c r="G569" s="146"/>
      <c r="H569" s="149"/>
      <c r="I569" s="143"/>
      <c r="J569" s="146"/>
      <c r="K569" s="149"/>
      <c r="L569" s="143"/>
      <c r="M569" s="146"/>
      <c r="N569" s="149"/>
      <c r="O569" s="143"/>
      <c r="P569" s="146"/>
      <c r="Q569" s="149"/>
      <c r="R569" s="143"/>
      <c r="S569" s="146"/>
      <c r="T569" s="149"/>
      <c r="U569" s="143"/>
      <c r="V569" s="146"/>
      <c r="W569" s="149"/>
      <c r="X569" s="143"/>
      <c r="Y569" s="146"/>
      <c r="Z569" s="149"/>
      <c r="AA569" s="143"/>
      <c r="AB569" s="146"/>
      <c r="AC569" s="149"/>
      <c r="AD569" s="143"/>
      <c r="AE569" s="146"/>
      <c r="AF569" s="149"/>
      <c r="AG569" s="143"/>
      <c r="AH569" s="146"/>
      <c r="AI569" s="149"/>
      <c r="AJ569" s="143"/>
      <c r="AK569" s="146"/>
      <c r="AL569" s="149"/>
      <c r="AM569" s="143"/>
      <c r="AN569" s="146"/>
      <c r="AO569" s="149"/>
      <c r="AP569" s="143"/>
      <c r="AQ569" s="146"/>
      <c r="AR569" s="149"/>
      <c r="AS569" s="143"/>
      <c r="AT569" s="146"/>
      <c r="AU569" s="149"/>
      <c r="AV569" s="149"/>
    </row>
    <row r="570" spans="1:48" s="34" customFormat="1" ht="12.75">
      <c r="A570" s="36"/>
      <c r="B570" s="36"/>
      <c r="C570" s="36"/>
      <c r="D570" s="36"/>
      <c r="E570" s="35"/>
      <c r="F570" s="143"/>
      <c r="G570" s="146"/>
      <c r="H570" s="149"/>
      <c r="I570" s="143"/>
      <c r="J570" s="146"/>
      <c r="K570" s="149"/>
      <c r="L570" s="143"/>
      <c r="M570" s="146"/>
      <c r="N570" s="149"/>
      <c r="O570" s="143"/>
      <c r="P570" s="146"/>
      <c r="Q570" s="149"/>
      <c r="R570" s="143"/>
      <c r="S570" s="146"/>
      <c r="T570" s="149"/>
      <c r="U570" s="143"/>
      <c r="V570" s="146"/>
      <c r="W570" s="149"/>
      <c r="X570" s="143"/>
      <c r="Y570" s="146"/>
      <c r="Z570" s="149"/>
      <c r="AA570" s="143"/>
      <c r="AB570" s="146"/>
      <c r="AC570" s="149"/>
      <c r="AD570" s="143"/>
      <c r="AE570" s="146"/>
      <c r="AF570" s="149"/>
      <c r="AG570" s="143"/>
      <c r="AH570" s="146"/>
      <c r="AI570" s="149"/>
      <c r="AJ570" s="143"/>
      <c r="AK570" s="146"/>
      <c r="AL570" s="149"/>
      <c r="AM570" s="143"/>
      <c r="AN570" s="146"/>
      <c r="AO570" s="149"/>
      <c r="AP570" s="143"/>
      <c r="AQ570" s="146"/>
      <c r="AR570" s="149"/>
      <c r="AS570" s="143"/>
      <c r="AT570" s="146"/>
      <c r="AU570" s="149"/>
      <c r="AV570" s="149"/>
    </row>
    <row r="571" spans="1:48" s="34" customFormat="1" ht="12.75">
      <c r="A571" s="36"/>
      <c r="B571" s="36"/>
      <c r="C571" s="36"/>
      <c r="D571" s="36"/>
      <c r="E571" s="35"/>
      <c r="F571" s="143"/>
      <c r="G571" s="146"/>
      <c r="H571" s="149"/>
      <c r="I571" s="143"/>
      <c r="J571" s="146"/>
      <c r="K571" s="149"/>
      <c r="L571" s="143"/>
      <c r="M571" s="146"/>
      <c r="N571" s="149"/>
      <c r="O571" s="143"/>
      <c r="P571" s="146"/>
      <c r="Q571" s="149"/>
      <c r="R571" s="143"/>
      <c r="S571" s="146"/>
      <c r="T571" s="149"/>
      <c r="U571" s="143"/>
      <c r="V571" s="146"/>
      <c r="W571" s="149"/>
      <c r="X571" s="143"/>
      <c r="Y571" s="146"/>
      <c r="Z571" s="149"/>
      <c r="AA571" s="143"/>
      <c r="AB571" s="146"/>
      <c r="AC571" s="149"/>
      <c r="AD571" s="143"/>
      <c r="AE571" s="146"/>
      <c r="AF571" s="149"/>
      <c r="AG571" s="143"/>
      <c r="AH571" s="146"/>
      <c r="AI571" s="149"/>
      <c r="AJ571" s="143"/>
      <c r="AK571" s="146"/>
      <c r="AL571" s="149"/>
      <c r="AM571" s="143"/>
      <c r="AN571" s="146"/>
      <c r="AO571" s="149"/>
      <c r="AP571" s="143"/>
      <c r="AQ571" s="146"/>
      <c r="AR571" s="149"/>
      <c r="AS571" s="143"/>
      <c r="AT571" s="146"/>
      <c r="AU571" s="149"/>
      <c r="AV571" s="149"/>
    </row>
    <row r="572" spans="1:48" s="34" customFormat="1" ht="12.75">
      <c r="A572" s="36"/>
      <c r="B572" s="36"/>
      <c r="C572" s="36"/>
      <c r="D572" s="36"/>
      <c r="E572" s="35"/>
      <c r="F572" s="143"/>
      <c r="G572" s="146"/>
      <c r="H572" s="149"/>
      <c r="I572" s="143"/>
      <c r="J572" s="146"/>
      <c r="K572" s="149"/>
      <c r="L572" s="143"/>
      <c r="M572" s="146"/>
      <c r="N572" s="149"/>
      <c r="O572" s="143"/>
      <c r="P572" s="146"/>
      <c r="Q572" s="149"/>
      <c r="R572" s="143"/>
      <c r="S572" s="146"/>
      <c r="T572" s="149"/>
      <c r="U572" s="143"/>
      <c r="V572" s="146"/>
      <c r="W572" s="149"/>
      <c r="X572" s="143"/>
      <c r="Y572" s="146"/>
      <c r="Z572" s="149"/>
      <c r="AA572" s="143"/>
      <c r="AB572" s="146"/>
      <c r="AC572" s="149"/>
      <c r="AD572" s="143"/>
      <c r="AE572" s="146"/>
      <c r="AF572" s="149"/>
      <c r="AG572" s="143"/>
      <c r="AH572" s="146"/>
      <c r="AI572" s="149"/>
      <c r="AJ572" s="143"/>
      <c r="AK572" s="146"/>
      <c r="AL572" s="149"/>
      <c r="AM572" s="143"/>
      <c r="AN572" s="146"/>
      <c r="AO572" s="149"/>
      <c r="AP572" s="143"/>
      <c r="AQ572" s="146"/>
      <c r="AR572" s="149"/>
      <c r="AS572" s="143"/>
      <c r="AT572" s="146"/>
      <c r="AU572" s="149"/>
      <c r="AV572" s="149"/>
    </row>
    <row r="573" spans="1:48" s="34" customFormat="1" ht="12.75">
      <c r="A573" s="36"/>
      <c r="B573" s="36"/>
      <c r="C573" s="36"/>
      <c r="D573" s="36"/>
      <c r="E573" s="35"/>
      <c r="F573" s="143"/>
      <c r="G573" s="146"/>
      <c r="H573" s="149"/>
      <c r="I573" s="143"/>
      <c r="J573" s="146"/>
      <c r="K573" s="149"/>
      <c r="L573" s="143"/>
      <c r="M573" s="146"/>
      <c r="N573" s="149"/>
      <c r="O573" s="143"/>
      <c r="P573" s="146"/>
      <c r="Q573" s="149"/>
      <c r="R573" s="143"/>
      <c r="S573" s="146"/>
      <c r="T573" s="149"/>
      <c r="U573" s="143"/>
      <c r="V573" s="146"/>
      <c r="W573" s="149"/>
      <c r="X573" s="143"/>
      <c r="Y573" s="146"/>
      <c r="Z573" s="149"/>
      <c r="AA573" s="143"/>
      <c r="AB573" s="146"/>
      <c r="AC573" s="149"/>
      <c r="AD573" s="143"/>
      <c r="AE573" s="146"/>
      <c r="AF573" s="149"/>
      <c r="AG573" s="143"/>
      <c r="AH573" s="146"/>
      <c r="AI573" s="149"/>
      <c r="AJ573" s="143"/>
      <c r="AK573" s="146"/>
      <c r="AL573" s="149"/>
      <c r="AM573" s="143"/>
      <c r="AN573" s="146"/>
      <c r="AO573" s="149"/>
      <c r="AP573" s="143"/>
      <c r="AQ573" s="146"/>
      <c r="AR573" s="149"/>
      <c r="AS573" s="143"/>
      <c r="AT573" s="146"/>
      <c r="AU573" s="149"/>
      <c r="AV573" s="149"/>
    </row>
    <row r="574" spans="1:48" s="34" customFormat="1" ht="12.75">
      <c r="A574" s="36"/>
      <c r="B574" s="36"/>
      <c r="C574" s="36"/>
      <c r="D574" s="36"/>
      <c r="E574" s="35"/>
      <c r="F574" s="143"/>
      <c r="G574" s="146"/>
      <c r="H574" s="149"/>
      <c r="I574" s="143"/>
      <c r="J574" s="146"/>
      <c r="K574" s="149"/>
      <c r="L574" s="143"/>
      <c r="M574" s="146"/>
      <c r="N574" s="149"/>
      <c r="O574" s="143"/>
      <c r="P574" s="146"/>
      <c r="Q574" s="149"/>
      <c r="R574" s="143"/>
      <c r="S574" s="146"/>
      <c r="T574" s="149"/>
      <c r="U574" s="143"/>
      <c r="V574" s="146"/>
      <c r="W574" s="149"/>
      <c r="X574" s="143"/>
      <c r="Y574" s="146"/>
      <c r="Z574" s="149"/>
      <c r="AA574" s="143"/>
      <c r="AB574" s="146"/>
      <c r="AC574" s="149"/>
      <c r="AD574" s="143"/>
      <c r="AE574" s="146"/>
      <c r="AF574" s="149"/>
      <c r="AG574" s="143"/>
      <c r="AH574" s="146"/>
      <c r="AI574" s="149"/>
      <c r="AJ574" s="143"/>
      <c r="AK574" s="146"/>
      <c r="AL574" s="149"/>
      <c r="AM574" s="143"/>
      <c r="AN574" s="146"/>
      <c r="AO574" s="149"/>
      <c r="AP574" s="143"/>
      <c r="AQ574" s="146"/>
      <c r="AR574" s="149"/>
      <c r="AS574" s="143"/>
      <c r="AT574" s="146"/>
      <c r="AU574" s="149"/>
      <c r="AV574" s="149"/>
    </row>
    <row r="575" spans="1:48" s="34" customFormat="1" ht="12.75">
      <c r="A575" s="36"/>
      <c r="B575" s="36"/>
      <c r="C575" s="36"/>
      <c r="D575" s="36"/>
      <c r="E575" s="35"/>
      <c r="F575" s="143"/>
      <c r="G575" s="146"/>
      <c r="H575" s="149"/>
      <c r="I575" s="143"/>
      <c r="J575" s="146"/>
      <c r="K575" s="149"/>
      <c r="L575" s="143"/>
      <c r="M575" s="146"/>
      <c r="N575" s="149"/>
      <c r="O575" s="143"/>
      <c r="P575" s="146"/>
      <c r="Q575" s="149"/>
      <c r="R575" s="143"/>
      <c r="S575" s="146"/>
      <c r="T575" s="149"/>
      <c r="U575" s="143"/>
      <c r="V575" s="146"/>
      <c r="W575" s="149"/>
      <c r="X575" s="143"/>
      <c r="Y575" s="146"/>
      <c r="Z575" s="149"/>
      <c r="AA575" s="143"/>
      <c r="AB575" s="146"/>
      <c r="AC575" s="149"/>
      <c r="AD575" s="143"/>
      <c r="AE575" s="146"/>
      <c r="AF575" s="149"/>
      <c r="AG575" s="143"/>
      <c r="AH575" s="146"/>
      <c r="AI575" s="149"/>
      <c r="AJ575" s="143"/>
      <c r="AK575" s="146"/>
      <c r="AL575" s="149"/>
      <c r="AM575" s="143"/>
      <c r="AN575" s="146"/>
      <c r="AO575" s="149"/>
      <c r="AP575" s="143"/>
      <c r="AQ575" s="146"/>
      <c r="AR575" s="149"/>
      <c r="AS575" s="143"/>
      <c r="AT575" s="146"/>
      <c r="AU575" s="149"/>
      <c r="AV575" s="149"/>
    </row>
    <row r="576" spans="1:48" s="34" customFormat="1" ht="12.75">
      <c r="A576" s="36"/>
      <c r="B576" s="36"/>
      <c r="C576" s="36"/>
      <c r="D576" s="36"/>
      <c r="E576" s="35"/>
      <c r="F576" s="143"/>
      <c r="G576" s="146"/>
      <c r="H576" s="149"/>
      <c r="I576" s="143"/>
      <c r="J576" s="146"/>
      <c r="K576" s="149"/>
      <c r="L576" s="143"/>
      <c r="M576" s="146"/>
      <c r="N576" s="149"/>
      <c r="O576" s="143"/>
      <c r="P576" s="146"/>
      <c r="Q576" s="149"/>
      <c r="R576" s="143"/>
      <c r="S576" s="146"/>
      <c r="T576" s="149"/>
      <c r="U576" s="143"/>
      <c r="V576" s="146"/>
      <c r="W576" s="149"/>
      <c r="X576" s="143"/>
      <c r="Y576" s="146"/>
      <c r="Z576" s="149"/>
      <c r="AA576" s="143"/>
      <c r="AB576" s="146"/>
      <c r="AC576" s="149"/>
      <c r="AD576" s="143"/>
      <c r="AE576" s="146"/>
      <c r="AF576" s="149"/>
      <c r="AG576" s="143"/>
      <c r="AH576" s="146"/>
      <c r="AI576" s="149"/>
      <c r="AJ576" s="143"/>
      <c r="AK576" s="146"/>
      <c r="AL576" s="149"/>
      <c r="AM576" s="143"/>
      <c r="AN576" s="146"/>
      <c r="AO576" s="149"/>
      <c r="AP576" s="143"/>
      <c r="AQ576" s="146"/>
      <c r="AR576" s="149"/>
      <c r="AS576" s="143"/>
      <c r="AT576" s="146"/>
      <c r="AU576" s="149"/>
      <c r="AV576" s="149"/>
    </row>
    <row r="577" spans="1:48" s="34" customFormat="1" ht="12.75">
      <c r="A577" s="36"/>
      <c r="B577" s="36"/>
      <c r="C577" s="36"/>
      <c r="D577" s="36"/>
      <c r="E577" s="35"/>
      <c r="F577" s="143"/>
      <c r="G577" s="146"/>
      <c r="H577" s="149"/>
      <c r="I577" s="143"/>
      <c r="J577" s="146"/>
      <c r="K577" s="149"/>
      <c r="L577" s="143"/>
      <c r="M577" s="146"/>
      <c r="N577" s="149"/>
      <c r="O577" s="143"/>
      <c r="P577" s="146"/>
      <c r="Q577" s="149"/>
      <c r="R577" s="143"/>
      <c r="S577" s="146"/>
      <c r="T577" s="149"/>
      <c r="U577" s="143"/>
      <c r="V577" s="146"/>
      <c r="W577" s="149"/>
      <c r="X577" s="143"/>
      <c r="Y577" s="146"/>
      <c r="Z577" s="149"/>
      <c r="AA577" s="143"/>
      <c r="AB577" s="146"/>
      <c r="AC577" s="149"/>
      <c r="AD577" s="143"/>
      <c r="AE577" s="146"/>
      <c r="AF577" s="149"/>
      <c r="AG577" s="143"/>
      <c r="AH577" s="146"/>
      <c r="AI577" s="149"/>
      <c r="AJ577" s="143"/>
      <c r="AK577" s="146"/>
      <c r="AL577" s="149"/>
      <c r="AM577" s="143"/>
      <c r="AN577" s="146"/>
      <c r="AO577" s="149"/>
      <c r="AP577" s="143"/>
      <c r="AQ577" s="146"/>
      <c r="AR577" s="149"/>
      <c r="AS577" s="143"/>
      <c r="AT577" s="146"/>
      <c r="AU577" s="149"/>
      <c r="AV577" s="149"/>
    </row>
    <row r="578" spans="1:48" s="34" customFormat="1" ht="12.75">
      <c r="A578" s="36"/>
      <c r="B578" s="36"/>
      <c r="C578" s="36"/>
      <c r="D578" s="36"/>
      <c r="E578" s="35"/>
      <c r="F578" s="143"/>
      <c r="G578" s="146"/>
      <c r="H578" s="149"/>
      <c r="I578" s="143"/>
      <c r="J578" s="146"/>
      <c r="K578" s="149"/>
      <c r="L578" s="143"/>
      <c r="M578" s="146"/>
      <c r="N578" s="149"/>
      <c r="O578" s="143"/>
      <c r="P578" s="146"/>
      <c r="Q578" s="149"/>
      <c r="R578" s="143"/>
      <c r="S578" s="146"/>
      <c r="T578" s="149"/>
      <c r="U578" s="143"/>
      <c r="V578" s="146"/>
      <c r="W578" s="149"/>
      <c r="X578" s="143"/>
      <c r="Y578" s="146"/>
      <c r="Z578" s="149"/>
      <c r="AA578" s="143"/>
      <c r="AB578" s="146"/>
      <c r="AC578" s="149"/>
      <c r="AD578" s="143"/>
      <c r="AE578" s="146"/>
      <c r="AF578" s="149"/>
      <c r="AG578" s="143"/>
      <c r="AH578" s="146"/>
      <c r="AI578" s="149"/>
      <c r="AJ578" s="143"/>
      <c r="AK578" s="146"/>
      <c r="AL578" s="149"/>
      <c r="AM578" s="143"/>
      <c r="AN578" s="146"/>
      <c r="AO578" s="149"/>
      <c r="AP578" s="143"/>
      <c r="AQ578" s="146"/>
      <c r="AR578" s="149"/>
      <c r="AS578" s="143"/>
      <c r="AT578" s="146"/>
      <c r="AU578" s="149"/>
      <c r="AV578" s="149"/>
    </row>
    <row r="579" spans="1:48" s="34" customFormat="1" ht="12.75">
      <c r="A579" s="36"/>
      <c r="B579" s="36"/>
      <c r="C579" s="36"/>
      <c r="D579" s="36"/>
      <c r="E579" s="35"/>
      <c r="F579" s="143"/>
      <c r="G579" s="146"/>
      <c r="H579" s="149"/>
      <c r="I579" s="143"/>
      <c r="J579" s="146"/>
      <c r="K579" s="149"/>
      <c r="L579" s="143"/>
      <c r="M579" s="146"/>
      <c r="N579" s="149"/>
      <c r="O579" s="143"/>
      <c r="P579" s="146"/>
      <c r="Q579" s="149"/>
      <c r="R579" s="143"/>
      <c r="S579" s="146"/>
      <c r="T579" s="149"/>
      <c r="U579" s="143"/>
      <c r="V579" s="146"/>
      <c r="W579" s="149"/>
      <c r="X579" s="143"/>
      <c r="Y579" s="146"/>
      <c r="Z579" s="149"/>
      <c r="AA579" s="143"/>
      <c r="AB579" s="146"/>
      <c r="AC579" s="149"/>
      <c r="AD579" s="143"/>
      <c r="AE579" s="146"/>
      <c r="AF579" s="149"/>
      <c r="AG579" s="143"/>
      <c r="AH579" s="146"/>
      <c r="AI579" s="149"/>
      <c r="AJ579" s="143"/>
      <c r="AK579" s="146"/>
      <c r="AL579" s="149"/>
      <c r="AM579" s="143"/>
      <c r="AN579" s="146"/>
      <c r="AO579" s="149"/>
      <c r="AP579" s="143"/>
      <c r="AQ579" s="146"/>
      <c r="AR579" s="149"/>
      <c r="AS579" s="143"/>
      <c r="AT579" s="146"/>
      <c r="AU579" s="149"/>
      <c r="AV579" s="149"/>
    </row>
    <row r="580" spans="1:48" s="34" customFormat="1" ht="12.75">
      <c r="A580" s="36"/>
      <c r="B580" s="36"/>
      <c r="C580" s="36"/>
      <c r="D580" s="36"/>
      <c r="E580" s="35"/>
      <c r="F580" s="143"/>
      <c r="G580" s="146"/>
      <c r="H580" s="149"/>
      <c r="I580" s="143"/>
      <c r="J580" s="146"/>
      <c r="K580" s="149"/>
      <c r="L580" s="143"/>
      <c r="M580" s="146"/>
      <c r="N580" s="149"/>
      <c r="O580" s="143"/>
      <c r="P580" s="146"/>
      <c r="Q580" s="149"/>
      <c r="R580" s="143"/>
      <c r="S580" s="146"/>
      <c r="T580" s="149"/>
      <c r="U580" s="143"/>
      <c r="V580" s="146"/>
      <c r="W580" s="149"/>
      <c r="X580" s="143"/>
      <c r="Y580" s="146"/>
      <c r="Z580" s="149"/>
      <c r="AA580" s="143"/>
      <c r="AB580" s="146"/>
      <c r="AC580" s="149"/>
      <c r="AD580" s="143"/>
      <c r="AE580" s="146"/>
      <c r="AF580" s="149"/>
      <c r="AG580" s="143"/>
      <c r="AH580" s="146"/>
      <c r="AI580" s="149"/>
      <c r="AJ580" s="143"/>
      <c r="AK580" s="146"/>
      <c r="AL580" s="149"/>
      <c r="AM580" s="143"/>
      <c r="AN580" s="146"/>
      <c r="AO580" s="149"/>
      <c r="AP580" s="143"/>
      <c r="AQ580" s="146"/>
      <c r="AR580" s="149"/>
      <c r="AS580" s="143"/>
      <c r="AT580" s="146"/>
      <c r="AU580" s="149"/>
      <c r="AV580" s="149"/>
    </row>
    <row r="581" spans="1:48" s="34" customFormat="1" ht="12.75">
      <c r="A581" s="36"/>
      <c r="B581" s="36"/>
      <c r="C581" s="36"/>
      <c r="D581" s="36"/>
      <c r="E581" s="35"/>
      <c r="F581" s="143"/>
      <c r="G581" s="146"/>
      <c r="H581" s="149"/>
      <c r="I581" s="143"/>
      <c r="J581" s="146"/>
      <c r="K581" s="149"/>
      <c r="L581" s="143"/>
      <c r="M581" s="146"/>
      <c r="N581" s="149"/>
      <c r="O581" s="143"/>
      <c r="P581" s="146"/>
      <c r="Q581" s="149"/>
      <c r="R581" s="143"/>
      <c r="S581" s="146"/>
      <c r="T581" s="149"/>
      <c r="U581" s="143"/>
      <c r="V581" s="146"/>
      <c r="W581" s="149"/>
      <c r="X581" s="143"/>
      <c r="Y581" s="146"/>
      <c r="Z581" s="149"/>
      <c r="AA581" s="143"/>
      <c r="AB581" s="146"/>
      <c r="AC581" s="149"/>
      <c r="AD581" s="143"/>
      <c r="AE581" s="146"/>
      <c r="AF581" s="149"/>
      <c r="AG581" s="143"/>
      <c r="AH581" s="146"/>
      <c r="AI581" s="149"/>
      <c r="AJ581" s="143"/>
      <c r="AK581" s="146"/>
      <c r="AL581" s="149"/>
      <c r="AM581" s="143"/>
      <c r="AN581" s="146"/>
      <c r="AO581" s="149"/>
      <c r="AP581" s="143"/>
      <c r="AQ581" s="146"/>
      <c r="AR581" s="149"/>
      <c r="AS581" s="143"/>
      <c r="AT581" s="146"/>
      <c r="AU581" s="149"/>
      <c r="AV581" s="149"/>
    </row>
    <row r="582" spans="1:48" s="34" customFormat="1" ht="12.75">
      <c r="A582" s="36"/>
      <c r="B582" s="36"/>
      <c r="C582" s="36"/>
      <c r="D582" s="36"/>
      <c r="E582" s="35"/>
      <c r="F582" s="143"/>
      <c r="G582" s="146"/>
      <c r="H582" s="149"/>
      <c r="I582" s="143"/>
      <c r="J582" s="146"/>
      <c r="K582" s="149"/>
      <c r="L582" s="143"/>
      <c r="M582" s="146"/>
      <c r="N582" s="149"/>
      <c r="O582" s="143"/>
      <c r="P582" s="146"/>
      <c r="Q582" s="149"/>
      <c r="R582" s="143"/>
      <c r="S582" s="146"/>
      <c r="T582" s="149"/>
      <c r="U582" s="143"/>
      <c r="V582" s="146"/>
      <c r="W582" s="149"/>
      <c r="X582" s="143"/>
      <c r="Y582" s="146"/>
      <c r="Z582" s="149"/>
      <c r="AA582" s="143"/>
      <c r="AB582" s="146"/>
      <c r="AC582" s="149"/>
      <c r="AD582" s="143"/>
      <c r="AE582" s="146"/>
      <c r="AF582" s="149"/>
      <c r="AG582" s="143"/>
      <c r="AH582" s="146"/>
      <c r="AI582" s="149"/>
      <c r="AJ582" s="143"/>
      <c r="AK582" s="146"/>
      <c r="AL582" s="149"/>
      <c r="AM582" s="143"/>
      <c r="AN582" s="146"/>
      <c r="AO582" s="149"/>
      <c r="AP582" s="143"/>
      <c r="AQ582" s="146"/>
      <c r="AR582" s="149"/>
      <c r="AS582" s="143"/>
      <c r="AT582" s="146"/>
      <c r="AU582" s="149"/>
      <c r="AV582" s="149"/>
    </row>
    <row r="583" spans="1:48" s="34" customFormat="1" ht="12.75">
      <c r="A583" s="36"/>
      <c r="B583" s="36"/>
      <c r="C583" s="36"/>
      <c r="D583" s="36"/>
      <c r="E583" s="35"/>
      <c r="F583" s="143"/>
      <c r="G583" s="146"/>
      <c r="H583" s="149"/>
      <c r="I583" s="143"/>
      <c r="J583" s="146"/>
      <c r="K583" s="149"/>
      <c r="L583" s="143"/>
      <c r="M583" s="146"/>
      <c r="N583" s="149"/>
      <c r="O583" s="143"/>
      <c r="P583" s="146"/>
      <c r="Q583" s="149"/>
      <c r="R583" s="143"/>
      <c r="S583" s="146"/>
      <c r="T583" s="149"/>
      <c r="U583" s="143"/>
      <c r="V583" s="146"/>
      <c r="W583" s="149"/>
      <c r="X583" s="143"/>
      <c r="Y583" s="146"/>
      <c r="Z583" s="149"/>
      <c r="AA583" s="143"/>
      <c r="AB583" s="146"/>
      <c r="AC583" s="149"/>
      <c r="AD583" s="143"/>
      <c r="AE583" s="146"/>
      <c r="AF583" s="149"/>
      <c r="AG583" s="143"/>
      <c r="AH583" s="146"/>
      <c r="AI583" s="149"/>
      <c r="AJ583" s="143"/>
      <c r="AK583" s="146"/>
      <c r="AL583" s="149"/>
      <c r="AM583" s="143"/>
      <c r="AN583" s="146"/>
      <c r="AO583" s="149"/>
      <c r="AP583" s="143"/>
      <c r="AQ583" s="146"/>
      <c r="AR583" s="149"/>
      <c r="AS583" s="143"/>
      <c r="AT583" s="146"/>
      <c r="AU583" s="149"/>
      <c r="AV583" s="149"/>
    </row>
    <row r="584" spans="1:48" s="34" customFormat="1" ht="12.75">
      <c r="A584" s="36"/>
      <c r="B584" s="36"/>
      <c r="C584" s="36"/>
      <c r="D584" s="36"/>
      <c r="E584" s="35"/>
      <c r="F584" s="143"/>
      <c r="G584" s="146"/>
      <c r="H584" s="149"/>
      <c r="I584" s="143"/>
      <c r="J584" s="146"/>
      <c r="K584" s="149"/>
      <c r="L584" s="143"/>
      <c r="M584" s="146"/>
      <c r="N584" s="149"/>
      <c r="O584" s="143"/>
      <c r="P584" s="146"/>
      <c r="Q584" s="149"/>
      <c r="R584" s="143"/>
      <c r="S584" s="146"/>
      <c r="T584" s="149"/>
      <c r="U584" s="143"/>
      <c r="V584" s="146"/>
      <c r="W584" s="149"/>
      <c r="X584" s="143"/>
      <c r="Y584" s="146"/>
      <c r="Z584" s="149"/>
      <c r="AA584" s="143"/>
      <c r="AB584" s="146"/>
      <c r="AC584" s="149"/>
      <c r="AD584" s="143"/>
      <c r="AE584" s="146"/>
      <c r="AF584" s="149"/>
      <c r="AG584" s="143"/>
      <c r="AH584" s="146"/>
      <c r="AI584" s="149"/>
      <c r="AJ584" s="143"/>
      <c r="AK584" s="146"/>
      <c r="AL584" s="149"/>
      <c r="AM584" s="143"/>
      <c r="AN584" s="146"/>
      <c r="AO584" s="149"/>
      <c r="AP584" s="143"/>
      <c r="AQ584" s="146"/>
      <c r="AR584" s="149"/>
      <c r="AS584" s="143"/>
      <c r="AT584" s="146"/>
      <c r="AU584" s="149"/>
      <c r="AV584" s="149"/>
    </row>
    <row r="585" spans="1:48" s="34" customFormat="1" ht="12.75">
      <c r="A585" s="36"/>
      <c r="B585" s="36"/>
      <c r="C585" s="36"/>
      <c r="D585" s="36"/>
      <c r="E585" s="35"/>
      <c r="F585" s="143"/>
      <c r="G585" s="146"/>
      <c r="H585" s="149"/>
      <c r="I585" s="143"/>
      <c r="J585" s="146"/>
      <c r="K585" s="149"/>
      <c r="L585" s="143"/>
      <c r="M585" s="146"/>
      <c r="N585" s="149"/>
      <c r="O585" s="143"/>
      <c r="P585" s="146"/>
      <c r="Q585" s="149"/>
      <c r="R585" s="143"/>
      <c r="S585" s="146"/>
      <c r="T585" s="149"/>
      <c r="U585" s="143"/>
      <c r="V585" s="146"/>
      <c r="W585" s="149"/>
      <c r="X585" s="143"/>
      <c r="Y585" s="146"/>
      <c r="Z585" s="149"/>
      <c r="AA585" s="143"/>
      <c r="AB585" s="146"/>
      <c r="AC585" s="149"/>
      <c r="AD585" s="143"/>
      <c r="AE585" s="146"/>
      <c r="AF585" s="149"/>
      <c r="AG585" s="143"/>
      <c r="AH585" s="146"/>
      <c r="AI585" s="149"/>
      <c r="AJ585" s="143"/>
      <c r="AK585" s="146"/>
      <c r="AL585" s="149"/>
      <c r="AM585" s="143"/>
      <c r="AN585" s="146"/>
      <c r="AO585" s="149"/>
      <c r="AP585" s="143"/>
      <c r="AQ585" s="146"/>
      <c r="AR585" s="149"/>
      <c r="AS585" s="143"/>
      <c r="AT585" s="146"/>
      <c r="AU585" s="149"/>
      <c r="AV585" s="149"/>
    </row>
    <row r="586" spans="1:48" s="34" customFormat="1" ht="12.75">
      <c r="A586" s="36"/>
      <c r="B586" s="36"/>
      <c r="C586" s="36"/>
      <c r="D586" s="36"/>
      <c r="E586" s="35"/>
      <c r="F586" s="143"/>
      <c r="G586" s="146"/>
      <c r="H586" s="149"/>
      <c r="I586" s="143"/>
      <c r="J586" s="146"/>
      <c r="K586" s="149"/>
      <c r="L586" s="143"/>
      <c r="M586" s="146"/>
      <c r="N586" s="149"/>
      <c r="O586" s="143"/>
      <c r="P586" s="146"/>
      <c r="Q586" s="149"/>
      <c r="R586" s="143"/>
      <c r="S586" s="146"/>
      <c r="T586" s="149"/>
      <c r="U586" s="143"/>
      <c r="V586" s="146"/>
      <c r="W586" s="149"/>
      <c r="X586" s="143"/>
      <c r="Y586" s="146"/>
      <c r="Z586" s="149"/>
      <c r="AA586" s="143"/>
      <c r="AB586" s="146"/>
      <c r="AC586" s="149"/>
      <c r="AD586" s="143"/>
      <c r="AE586" s="146"/>
      <c r="AF586" s="149"/>
      <c r="AG586" s="143"/>
      <c r="AH586" s="146"/>
      <c r="AI586" s="149"/>
      <c r="AJ586" s="143"/>
      <c r="AK586" s="146"/>
      <c r="AL586" s="149"/>
      <c r="AM586" s="143"/>
      <c r="AN586" s="146"/>
      <c r="AO586" s="149"/>
      <c r="AP586" s="143"/>
      <c r="AQ586" s="146"/>
      <c r="AR586" s="149"/>
      <c r="AS586" s="143"/>
      <c r="AT586" s="146"/>
      <c r="AU586" s="149"/>
      <c r="AV586" s="149"/>
    </row>
    <row r="587" spans="1:48" s="34" customFormat="1" ht="12.75">
      <c r="A587" s="36"/>
      <c r="B587" s="36"/>
      <c r="C587" s="36"/>
      <c r="D587" s="36"/>
      <c r="E587" s="35"/>
      <c r="F587" s="143"/>
      <c r="G587" s="146"/>
      <c r="H587" s="149"/>
      <c r="I587" s="143"/>
      <c r="J587" s="146"/>
      <c r="K587" s="149"/>
      <c r="L587" s="143"/>
      <c r="M587" s="146"/>
      <c r="N587" s="149"/>
      <c r="O587" s="143"/>
      <c r="P587" s="146"/>
      <c r="Q587" s="149"/>
      <c r="R587" s="143"/>
      <c r="S587" s="146"/>
      <c r="T587" s="149"/>
      <c r="U587" s="143"/>
      <c r="V587" s="146"/>
      <c r="W587" s="149"/>
      <c r="X587" s="143"/>
      <c r="Y587" s="146"/>
      <c r="Z587" s="149"/>
      <c r="AA587" s="143"/>
      <c r="AB587" s="146"/>
      <c r="AC587" s="149"/>
      <c r="AD587" s="143"/>
      <c r="AE587" s="146"/>
      <c r="AF587" s="149"/>
      <c r="AG587" s="143"/>
      <c r="AH587" s="146"/>
      <c r="AI587" s="149"/>
      <c r="AJ587" s="143"/>
      <c r="AK587" s="146"/>
      <c r="AL587" s="149"/>
      <c r="AM587" s="143"/>
      <c r="AN587" s="146"/>
      <c r="AO587" s="149"/>
      <c r="AP587" s="143"/>
      <c r="AQ587" s="146"/>
      <c r="AR587" s="149"/>
      <c r="AS587" s="143"/>
      <c r="AT587" s="146"/>
      <c r="AU587" s="149"/>
      <c r="AV587" s="149"/>
    </row>
    <row r="588" spans="1:48" s="34" customFormat="1" ht="12.75">
      <c r="A588" s="36"/>
      <c r="B588" s="36"/>
      <c r="C588" s="36"/>
      <c r="D588" s="36"/>
      <c r="E588" s="35"/>
      <c r="F588" s="143"/>
      <c r="G588" s="146"/>
      <c r="H588" s="149"/>
      <c r="I588" s="143"/>
      <c r="J588" s="146"/>
      <c r="K588" s="149"/>
      <c r="L588" s="143"/>
      <c r="M588" s="146"/>
      <c r="N588" s="149"/>
      <c r="O588" s="143"/>
      <c r="P588" s="146"/>
      <c r="Q588" s="149"/>
      <c r="R588" s="143"/>
      <c r="S588" s="146"/>
      <c r="T588" s="149"/>
      <c r="U588" s="143"/>
      <c r="V588" s="146"/>
      <c r="W588" s="149"/>
      <c r="X588" s="143"/>
      <c r="Y588" s="146"/>
      <c r="Z588" s="149"/>
      <c r="AA588" s="143"/>
      <c r="AB588" s="146"/>
      <c r="AC588" s="149"/>
      <c r="AD588" s="143"/>
      <c r="AE588" s="146"/>
      <c r="AF588" s="149"/>
      <c r="AG588" s="143"/>
      <c r="AH588" s="146"/>
      <c r="AI588" s="149"/>
      <c r="AJ588" s="143"/>
      <c r="AK588" s="146"/>
      <c r="AL588" s="149"/>
      <c r="AM588" s="143"/>
      <c r="AN588" s="146"/>
      <c r="AO588" s="149"/>
      <c r="AP588" s="143"/>
      <c r="AQ588" s="146"/>
      <c r="AR588" s="149"/>
      <c r="AS588" s="143"/>
      <c r="AT588" s="146"/>
      <c r="AU588" s="149"/>
      <c r="AV588" s="149"/>
    </row>
    <row r="589" spans="1:48" s="34" customFormat="1" ht="12.75">
      <c r="A589" s="36"/>
      <c r="B589" s="36"/>
      <c r="C589" s="36"/>
      <c r="D589" s="36"/>
      <c r="E589" s="35"/>
      <c r="F589" s="143"/>
      <c r="G589" s="146"/>
      <c r="H589" s="149"/>
      <c r="I589" s="143"/>
      <c r="J589" s="146"/>
      <c r="K589" s="149"/>
      <c r="L589" s="143"/>
      <c r="M589" s="146"/>
      <c r="N589" s="149"/>
      <c r="O589" s="143"/>
      <c r="P589" s="146"/>
      <c r="Q589" s="149"/>
      <c r="R589" s="143"/>
      <c r="S589" s="146"/>
      <c r="T589" s="149"/>
      <c r="U589" s="143"/>
      <c r="V589" s="146"/>
      <c r="W589" s="149"/>
      <c r="X589" s="143"/>
      <c r="Y589" s="146"/>
      <c r="Z589" s="149"/>
      <c r="AA589" s="143"/>
      <c r="AB589" s="146"/>
      <c r="AC589" s="149"/>
      <c r="AD589" s="143"/>
      <c r="AE589" s="146"/>
      <c r="AF589" s="149"/>
      <c r="AG589" s="143"/>
      <c r="AH589" s="146"/>
      <c r="AI589" s="149"/>
      <c r="AJ589" s="143"/>
      <c r="AK589" s="146"/>
      <c r="AL589" s="149"/>
      <c r="AM589" s="143"/>
      <c r="AN589" s="146"/>
      <c r="AO589" s="149"/>
      <c r="AP589" s="143"/>
      <c r="AQ589" s="146"/>
      <c r="AR589" s="149"/>
      <c r="AS589" s="143"/>
      <c r="AT589" s="146"/>
      <c r="AU589" s="149"/>
      <c r="AV589" s="149"/>
    </row>
    <row r="590" spans="1:48" s="34" customFormat="1" ht="12.75">
      <c r="A590" s="36"/>
      <c r="B590" s="36"/>
      <c r="C590" s="36"/>
      <c r="D590" s="36"/>
      <c r="E590" s="35"/>
      <c r="F590" s="143"/>
      <c r="G590" s="146"/>
      <c r="H590" s="149"/>
      <c r="I590" s="143"/>
      <c r="J590" s="146"/>
      <c r="K590" s="149"/>
      <c r="L590" s="143"/>
      <c r="M590" s="146"/>
      <c r="N590" s="149"/>
      <c r="O590" s="143"/>
      <c r="P590" s="146"/>
      <c r="Q590" s="149"/>
      <c r="R590" s="143"/>
      <c r="S590" s="146"/>
      <c r="T590" s="149"/>
      <c r="U590" s="143"/>
      <c r="V590" s="146"/>
      <c r="W590" s="149"/>
      <c r="X590" s="143"/>
      <c r="Y590" s="146"/>
      <c r="Z590" s="149"/>
      <c r="AA590" s="143"/>
      <c r="AB590" s="146"/>
      <c r="AC590" s="149"/>
      <c r="AD590" s="143"/>
      <c r="AE590" s="146"/>
      <c r="AF590" s="149"/>
      <c r="AG590" s="143"/>
      <c r="AH590" s="146"/>
      <c r="AI590" s="149"/>
      <c r="AJ590" s="143"/>
      <c r="AK590" s="146"/>
      <c r="AL590" s="149"/>
      <c r="AM590" s="143"/>
      <c r="AN590" s="146"/>
      <c r="AO590" s="149"/>
      <c r="AP590" s="143"/>
      <c r="AQ590" s="146"/>
      <c r="AR590" s="149"/>
      <c r="AS590" s="143"/>
      <c r="AT590" s="146"/>
      <c r="AU590" s="149"/>
      <c r="AV590" s="149"/>
    </row>
    <row r="591" spans="1:48" s="34" customFormat="1" ht="12.75">
      <c r="A591" s="36"/>
      <c r="B591" s="36"/>
      <c r="C591" s="36"/>
      <c r="D591" s="36"/>
      <c r="E591" s="35"/>
      <c r="F591" s="143"/>
      <c r="G591" s="146"/>
      <c r="H591" s="149"/>
      <c r="I591" s="143"/>
      <c r="J591" s="146"/>
      <c r="K591" s="149"/>
      <c r="L591" s="143"/>
      <c r="M591" s="146"/>
      <c r="N591" s="149"/>
      <c r="O591" s="143"/>
      <c r="P591" s="146"/>
      <c r="Q591" s="149"/>
      <c r="R591" s="143"/>
      <c r="S591" s="146"/>
      <c r="T591" s="149"/>
      <c r="U591" s="143"/>
      <c r="V591" s="146"/>
      <c r="W591" s="149"/>
      <c r="X591" s="143"/>
      <c r="Y591" s="146"/>
      <c r="Z591" s="149"/>
      <c r="AA591" s="143"/>
      <c r="AB591" s="146"/>
      <c r="AC591" s="149"/>
      <c r="AD591" s="143"/>
      <c r="AE591" s="146"/>
      <c r="AF591" s="149"/>
      <c r="AG591" s="143"/>
      <c r="AH591" s="146"/>
      <c r="AI591" s="149"/>
      <c r="AJ591" s="143"/>
      <c r="AK591" s="146"/>
      <c r="AL591" s="149"/>
      <c r="AM591" s="143"/>
      <c r="AN591" s="146"/>
      <c r="AO591" s="149"/>
      <c r="AP591" s="143"/>
      <c r="AQ591" s="146"/>
      <c r="AR591" s="149"/>
      <c r="AS591" s="143"/>
      <c r="AT591" s="146"/>
      <c r="AU591" s="149"/>
      <c r="AV591" s="149"/>
    </row>
    <row r="592" spans="1:48" s="34" customFormat="1" ht="12.75">
      <c r="A592" s="36"/>
      <c r="B592" s="36"/>
      <c r="C592" s="36"/>
      <c r="D592" s="36"/>
      <c r="E592" s="35"/>
      <c r="F592" s="143"/>
      <c r="G592" s="146"/>
      <c r="H592" s="149"/>
      <c r="I592" s="143"/>
      <c r="J592" s="146"/>
      <c r="K592" s="149"/>
      <c r="L592" s="143"/>
      <c r="M592" s="146"/>
      <c r="N592" s="149"/>
      <c r="O592" s="143"/>
      <c r="P592" s="146"/>
      <c r="Q592" s="149"/>
      <c r="R592" s="143"/>
      <c r="S592" s="146"/>
      <c r="T592" s="149"/>
      <c r="U592" s="143"/>
      <c r="V592" s="146"/>
      <c r="W592" s="149"/>
      <c r="X592" s="143"/>
      <c r="Y592" s="146"/>
      <c r="Z592" s="149"/>
      <c r="AA592" s="143"/>
      <c r="AB592" s="146"/>
      <c r="AC592" s="149"/>
      <c r="AD592" s="143"/>
      <c r="AE592" s="146"/>
      <c r="AF592" s="149"/>
      <c r="AG592" s="143"/>
      <c r="AH592" s="146"/>
      <c r="AI592" s="149"/>
      <c r="AJ592" s="143"/>
      <c r="AK592" s="146"/>
      <c r="AL592" s="149"/>
      <c r="AM592" s="143"/>
      <c r="AN592" s="146"/>
      <c r="AO592" s="149"/>
      <c r="AP592" s="143"/>
      <c r="AQ592" s="146"/>
      <c r="AR592" s="149"/>
      <c r="AS592" s="143"/>
      <c r="AT592" s="146"/>
      <c r="AU592" s="149"/>
      <c r="AV592" s="149"/>
    </row>
    <row r="593" spans="1:48" s="34" customFormat="1" ht="12.75">
      <c r="A593" s="36"/>
      <c r="B593" s="36"/>
      <c r="C593" s="36"/>
      <c r="D593" s="36"/>
      <c r="E593" s="35"/>
      <c r="F593" s="143"/>
      <c r="G593" s="146"/>
      <c r="H593" s="149"/>
      <c r="I593" s="143"/>
      <c r="J593" s="146"/>
      <c r="K593" s="149"/>
      <c r="L593" s="143"/>
      <c r="M593" s="146"/>
      <c r="N593" s="149"/>
      <c r="O593" s="143"/>
      <c r="P593" s="146"/>
      <c r="Q593" s="149"/>
      <c r="R593" s="143"/>
      <c r="S593" s="146"/>
      <c r="T593" s="149"/>
      <c r="U593" s="143"/>
      <c r="V593" s="146"/>
      <c r="W593" s="149"/>
      <c r="X593" s="143"/>
      <c r="Y593" s="146"/>
      <c r="Z593" s="149"/>
      <c r="AA593" s="143"/>
      <c r="AB593" s="146"/>
      <c r="AC593" s="149"/>
      <c r="AD593" s="143"/>
      <c r="AE593" s="146"/>
      <c r="AF593" s="149"/>
      <c r="AG593" s="143"/>
      <c r="AH593" s="146"/>
      <c r="AI593" s="149"/>
      <c r="AJ593" s="143"/>
      <c r="AK593" s="146"/>
      <c r="AL593" s="149"/>
      <c r="AM593" s="143"/>
      <c r="AN593" s="146"/>
      <c r="AO593" s="149"/>
      <c r="AP593" s="143"/>
      <c r="AQ593" s="146"/>
      <c r="AR593" s="149"/>
      <c r="AS593" s="143"/>
      <c r="AT593" s="146"/>
      <c r="AU593" s="149"/>
      <c r="AV593" s="149"/>
    </row>
    <row r="594" spans="1:48" s="34" customFormat="1" ht="12.75">
      <c r="A594" s="36"/>
      <c r="B594" s="36"/>
      <c r="C594" s="36"/>
      <c r="D594" s="36"/>
      <c r="E594" s="35"/>
      <c r="F594" s="143"/>
      <c r="G594" s="146"/>
      <c r="H594" s="149"/>
      <c r="I594" s="143"/>
      <c r="J594" s="146"/>
      <c r="K594" s="149"/>
      <c r="L594" s="143"/>
      <c r="M594" s="146"/>
      <c r="N594" s="149"/>
      <c r="O594" s="143"/>
      <c r="P594" s="146"/>
      <c r="Q594" s="149"/>
      <c r="R594" s="143"/>
      <c r="S594" s="146"/>
      <c r="T594" s="149"/>
      <c r="U594" s="143"/>
      <c r="V594" s="146"/>
      <c r="W594" s="149"/>
      <c r="X594" s="143"/>
      <c r="Y594" s="146"/>
      <c r="Z594" s="149"/>
      <c r="AA594" s="143"/>
      <c r="AB594" s="146"/>
      <c r="AC594" s="149"/>
      <c r="AD594" s="143"/>
      <c r="AE594" s="146"/>
      <c r="AF594" s="149"/>
      <c r="AG594" s="143"/>
      <c r="AH594" s="146"/>
      <c r="AI594" s="149"/>
      <c r="AJ594" s="143"/>
      <c r="AK594" s="146"/>
      <c r="AL594" s="149"/>
      <c r="AM594" s="143"/>
      <c r="AN594" s="146"/>
      <c r="AO594" s="149"/>
      <c r="AP594" s="143"/>
      <c r="AQ594" s="146"/>
      <c r="AR594" s="149"/>
      <c r="AS594" s="143"/>
      <c r="AT594" s="146"/>
      <c r="AU594" s="149"/>
      <c r="AV594" s="149"/>
    </row>
    <row r="595" spans="1:48" s="34" customFormat="1" ht="12.75">
      <c r="A595" s="36"/>
      <c r="B595" s="36"/>
      <c r="C595" s="36"/>
      <c r="D595" s="36"/>
      <c r="E595" s="35"/>
      <c r="F595" s="143"/>
      <c r="G595" s="146"/>
      <c r="H595" s="149"/>
      <c r="I595" s="143"/>
      <c r="J595" s="146"/>
      <c r="K595" s="149"/>
      <c r="L595" s="143"/>
      <c r="M595" s="146"/>
      <c r="N595" s="149"/>
      <c r="O595" s="143"/>
      <c r="P595" s="146"/>
      <c r="Q595" s="149"/>
      <c r="R595" s="143"/>
      <c r="S595" s="146"/>
      <c r="T595" s="149"/>
      <c r="U595" s="143"/>
      <c r="V595" s="146"/>
      <c r="W595" s="149"/>
      <c r="X595" s="143"/>
      <c r="Y595" s="146"/>
      <c r="Z595" s="149"/>
      <c r="AA595" s="143"/>
      <c r="AB595" s="146"/>
      <c r="AC595" s="149"/>
      <c r="AD595" s="143"/>
      <c r="AE595" s="146"/>
      <c r="AF595" s="149"/>
      <c r="AG595" s="143"/>
      <c r="AH595" s="146"/>
      <c r="AI595" s="149"/>
      <c r="AJ595" s="143"/>
      <c r="AK595" s="146"/>
      <c r="AL595" s="149"/>
      <c r="AM595" s="143"/>
      <c r="AN595" s="146"/>
      <c r="AO595" s="149"/>
      <c r="AP595" s="143"/>
      <c r="AQ595" s="146"/>
      <c r="AR595" s="149"/>
      <c r="AS595" s="143"/>
      <c r="AT595" s="146"/>
      <c r="AU595" s="149"/>
      <c r="AV595" s="149"/>
    </row>
    <row r="596" spans="1:48" s="34" customFormat="1" ht="12.75">
      <c r="A596" s="36"/>
      <c r="B596" s="36"/>
      <c r="C596" s="36"/>
      <c r="D596" s="36"/>
      <c r="E596" s="35"/>
      <c r="F596" s="143"/>
      <c r="G596" s="146"/>
      <c r="H596" s="149"/>
      <c r="I596" s="143"/>
      <c r="J596" s="146"/>
      <c r="K596" s="149"/>
      <c r="L596" s="143"/>
      <c r="M596" s="146"/>
      <c r="N596" s="149"/>
      <c r="O596" s="143"/>
      <c r="P596" s="146"/>
      <c r="Q596" s="149"/>
      <c r="R596" s="143"/>
      <c r="S596" s="146"/>
      <c r="T596" s="149"/>
      <c r="U596" s="143"/>
      <c r="V596" s="146"/>
      <c r="W596" s="149"/>
      <c r="X596" s="143"/>
      <c r="Y596" s="146"/>
      <c r="Z596" s="149"/>
      <c r="AA596" s="143"/>
      <c r="AB596" s="146"/>
      <c r="AC596" s="149"/>
      <c r="AD596" s="143"/>
      <c r="AE596" s="146"/>
      <c r="AF596" s="149"/>
      <c r="AG596" s="143"/>
      <c r="AH596" s="146"/>
      <c r="AI596" s="149"/>
      <c r="AJ596" s="143"/>
      <c r="AK596" s="146"/>
      <c r="AL596" s="149"/>
      <c r="AM596" s="143"/>
      <c r="AN596" s="146"/>
      <c r="AO596" s="149"/>
      <c r="AP596" s="143"/>
      <c r="AQ596" s="146"/>
      <c r="AR596" s="149"/>
      <c r="AS596" s="143"/>
      <c r="AT596" s="146"/>
      <c r="AU596" s="149"/>
      <c r="AV596" s="149"/>
    </row>
    <row r="597" spans="1:48" s="34" customFormat="1" ht="12.75">
      <c r="A597" s="36"/>
      <c r="B597" s="36"/>
      <c r="C597" s="36"/>
      <c r="D597" s="36"/>
      <c r="E597" s="35"/>
      <c r="F597" s="143"/>
      <c r="G597" s="146"/>
      <c r="H597" s="149"/>
      <c r="I597" s="143"/>
      <c r="J597" s="146"/>
      <c r="K597" s="149"/>
      <c r="L597" s="143"/>
      <c r="M597" s="146"/>
      <c r="N597" s="149"/>
      <c r="O597" s="143"/>
      <c r="P597" s="146"/>
      <c r="Q597" s="149"/>
      <c r="R597" s="143"/>
      <c r="S597" s="146"/>
      <c r="T597" s="149"/>
      <c r="U597" s="143"/>
      <c r="V597" s="146"/>
      <c r="W597" s="149"/>
      <c r="X597" s="143"/>
      <c r="Y597" s="146"/>
      <c r="Z597" s="149"/>
      <c r="AA597" s="143"/>
      <c r="AB597" s="146"/>
      <c r="AC597" s="149"/>
      <c r="AD597" s="143"/>
      <c r="AE597" s="146"/>
      <c r="AF597" s="149"/>
      <c r="AG597" s="143"/>
      <c r="AH597" s="146"/>
      <c r="AI597" s="149"/>
      <c r="AJ597" s="143"/>
      <c r="AK597" s="146"/>
      <c r="AL597" s="149"/>
      <c r="AM597" s="143"/>
      <c r="AN597" s="146"/>
      <c r="AO597" s="149"/>
      <c r="AP597" s="143"/>
      <c r="AQ597" s="146"/>
      <c r="AR597" s="149"/>
      <c r="AS597" s="143"/>
      <c r="AT597" s="146"/>
      <c r="AU597" s="149"/>
      <c r="AV597" s="149"/>
    </row>
    <row r="598" spans="1:48" s="34" customFormat="1" ht="12.75">
      <c r="A598" s="36"/>
      <c r="B598" s="36"/>
      <c r="C598" s="36"/>
      <c r="D598" s="36"/>
      <c r="E598" s="35"/>
      <c r="F598" s="143"/>
      <c r="G598" s="146"/>
      <c r="H598" s="149"/>
      <c r="I598" s="143"/>
      <c r="J598" s="146"/>
      <c r="K598" s="149"/>
      <c r="L598" s="143"/>
      <c r="M598" s="146"/>
      <c r="N598" s="149"/>
      <c r="O598" s="143"/>
      <c r="P598" s="146"/>
      <c r="Q598" s="149"/>
      <c r="R598" s="143"/>
      <c r="S598" s="146"/>
      <c r="T598" s="149"/>
      <c r="U598" s="143"/>
      <c r="V598" s="146"/>
      <c r="W598" s="149"/>
      <c r="X598" s="143"/>
      <c r="Y598" s="146"/>
      <c r="Z598" s="149"/>
      <c r="AA598" s="143"/>
      <c r="AB598" s="146"/>
      <c r="AC598" s="149"/>
      <c r="AD598" s="143"/>
      <c r="AE598" s="146"/>
      <c r="AF598" s="149"/>
      <c r="AG598" s="143"/>
      <c r="AH598" s="146"/>
      <c r="AI598" s="149"/>
      <c r="AJ598" s="143"/>
      <c r="AK598" s="146"/>
      <c r="AL598" s="149"/>
      <c r="AM598" s="143"/>
      <c r="AN598" s="146"/>
      <c r="AO598" s="149"/>
      <c r="AP598" s="143"/>
      <c r="AQ598" s="146"/>
      <c r="AR598" s="149"/>
      <c r="AS598" s="143"/>
      <c r="AT598" s="146"/>
      <c r="AU598" s="149"/>
      <c r="AV598" s="149"/>
    </row>
    <row r="599" spans="1:48" s="34" customFormat="1" ht="12.75">
      <c r="A599" s="36"/>
      <c r="B599" s="36"/>
      <c r="C599" s="36"/>
      <c r="D599" s="36"/>
      <c r="E599" s="35"/>
      <c r="F599" s="143"/>
      <c r="G599" s="146"/>
      <c r="H599" s="149"/>
      <c r="I599" s="143"/>
      <c r="J599" s="146"/>
      <c r="K599" s="149"/>
      <c r="L599" s="143"/>
      <c r="M599" s="146"/>
      <c r="N599" s="149"/>
      <c r="O599" s="143"/>
      <c r="P599" s="146"/>
      <c r="Q599" s="149"/>
      <c r="R599" s="143"/>
      <c r="S599" s="146"/>
      <c r="T599" s="149"/>
      <c r="U599" s="143"/>
      <c r="V599" s="146"/>
      <c r="W599" s="149"/>
      <c r="X599" s="143"/>
      <c r="Y599" s="146"/>
      <c r="Z599" s="149"/>
      <c r="AA599" s="143"/>
      <c r="AB599" s="146"/>
      <c r="AC599" s="149"/>
      <c r="AD599" s="143"/>
      <c r="AE599" s="146"/>
      <c r="AF599" s="149"/>
      <c r="AG599" s="143"/>
      <c r="AH599" s="146"/>
      <c r="AI599" s="149"/>
      <c r="AJ599" s="143"/>
      <c r="AK599" s="146"/>
      <c r="AL599" s="149"/>
      <c r="AM599" s="143"/>
      <c r="AN599" s="146"/>
      <c r="AO599" s="149"/>
      <c r="AP599" s="143"/>
      <c r="AQ599" s="146"/>
      <c r="AR599" s="149"/>
      <c r="AS599" s="143"/>
      <c r="AT599" s="146"/>
      <c r="AU599" s="149"/>
      <c r="AV599" s="149"/>
    </row>
    <row r="600" spans="1:48" s="34" customFormat="1" ht="12.75">
      <c r="A600" s="36"/>
      <c r="B600" s="36"/>
      <c r="C600" s="36"/>
      <c r="D600" s="36"/>
      <c r="E600" s="35"/>
      <c r="F600" s="143"/>
      <c r="G600" s="146"/>
      <c r="H600" s="149"/>
      <c r="I600" s="143"/>
      <c r="J600" s="146"/>
      <c r="K600" s="149"/>
      <c r="L600" s="143"/>
      <c r="M600" s="146"/>
      <c r="N600" s="149"/>
      <c r="O600" s="143"/>
      <c r="P600" s="146"/>
      <c r="Q600" s="149"/>
      <c r="R600" s="143"/>
      <c r="S600" s="146"/>
      <c r="T600" s="149"/>
      <c r="U600" s="143"/>
      <c r="V600" s="146"/>
      <c r="W600" s="149"/>
      <c r="X600" s="143"/>
      <c r="Y600" s="146"/>
      <c r="Z600" s="149"/>
      <c r="AA600" s="143"/>
      <c r="AB600" s="146"/>
      <c r="AC600" s="149"/>
      <c r="AD600" s="143"/>
      <c r="AE600" s="146"/>
      <c r="AF600" s="149"/>
      <c r="AG600" s="143"/>
      <c r="AH600" s="146"/>
      <c r="AI600" s="149"/>
      <c r="AJ600" s="143"/>
      <c r="AK600" s="146"/>
      <c r="AL600" s="149"/>
      <c r="AM600" s="143"/>
      <c r="AN600" s="146"/>
      <c r="AO600" s="149"/>
      <c r="AP600" s="143"/>
      <c r="AQ600" s="146"/>
      <c r="AR600" s="149"/>
      <c r="AS600" s="143"/>
      <c r="AT600" s="146"/>
      <c r="AU600" s="149"/>
      <c r="AV600" s="149"/>
    </row>
    <row r="601" spans="1:48" s="34" customFormat="1" ht="12.75">
      <c r="A601" s="36"/>
      <c r="B601" s="36"/>
      <c r="C601" s="36"/>
      <c r="D601" s="36"/>
      <c r="E601" s="35"/>
      <c r="F601" s="143"/>
      <c r="G601" s="146"/>
      <c r="H601" s="149"/>
      <c r="I601" s="143"/>
      <c r="J601" s="146"/>
      <c r="K601" s="149"/>
      <c r="L601" s="143"/>
      <c r="M601" s="146"/>
      <c r="N601" s="149"/>
      <c r="O601" s="143"/>
      <c r="P601" s="146"/>
      <c r="Q601" s="149"/>
      <c r="R601" s="143"/>
      <c r="S601" s="146"/>
      <c r="T601" s="149"/>
      <c r="U601" s="143"/>
      <c r="V601" s="146"/>
      <c r="W601" s="149"/>
      <c r="X601" s="143"/>
      <c r="Y601" s="146"/>
      <c r="Z601" s="149"/>
      <c r="AA601" s="143"/>
      <c r="AB601" s="146"/>
      <c r="AC601" s="149"/>
      <c r="AD601" s="143"/>
      <c r="AE601" s="146"/>
      <c r="AF601" s="149"/>
      <c r="AG601" s="143"/>
      <c r="AH601" s="146"/>
      <c r="AI601" s="149"/>
      <c r="AJ601" s="143"/>
      <c r="AK601" s="146"/>
      <c r="AL601" s="149"/>
      <c r="AM601" s="143"/>
      <c r="AN601" s="146"/>
      <c r="AO601" s="149"/>
      <c r="AP601" s="143"/>
      <c r="AQ601" s="146"/>
      <c r="AR601" s="149"/>
      <c r="AS601" s="143"/>
      <c r="AT601" s="146"/>
      <c r="AU601" s="149"/>
      <c r="AV601" s="149"/>
    </row>
    <row r="602" spans="1:48" s="34" customFormat="1" ht="12.75">
      <c r="A602" s="36"/>
      <c r="B602" s="36"/>
      <c r="C602" s="36"/>
      <c r="D602" s="36"/>
      <c r="E602" s="35"/>
      <c r="F602" s="143"/>
      <c r="G602" s="146"/>
      <c r="H602" s="149"/>
      <c r="I602" s="143"/>
      <c r="J602" s="146"/>
      <c r="K602" s="149"/>
      <c r="L602" s="143"/>
      <c r="M602" s="146"/>
      <c r="N602" s="149"/>
      <c r="O602" s="143"/>
      <c r="P602" s="146"/>
      <c r="Q602" s="149"/>
      <c r="R602" s="143"/>
      <c r="S602" s="146"/>
      <c r="T602" s="149"/>
      <c r="U602" s="143"/>
      <c r="V602" s="146"/>
      <c r="W602" s="149"/>
      <c r="X602" s="143"/>
      <c r="Y602" s="146"/>
      <c r="Z602" s="149"/>
      <c r="AA602" s="143"/>
      <c r="AB602" s="146"/>
      <c r="AC602" s="149"/>
      <c r="AD602" s="143"/>
      <c r="AE602" s="146"/>
      <c r="AF602" s="149"/>
      <c r="AG602" s="143"/>
      <c r="AH602" s="146"/>
      <c r="AI602" s="149"/>
      <c r="AJ602" s="143"/>
      <c r="AK602" s="146"/>
      <c r="AL602" s="149"/>
      <c r="AM602" s="143"/>
      <c r="AN602" s="146"/>
      <c r="AO602" s="149"/>
      <c r="AP602" s="143"/>
      <c r="AQ602" s="146"/>
      <c r="AR602" s="149"/>
      <c r="AS602" s="143"/>
      <c r="AT602" s="146"/>
      <c r="AU602" s="149"/>
      <c r="AV602" s="149"/>
    </row>
    <row r="603" spans="1:48" s="34" customFormat="1" ht="12.75">
      <c r="A603" s="36"/>
      <c r="B603" s="36"/>
      <c r="C603" s="36"/>
      <c r="D603" s="36"/>
      <c r="E603" s="35"/>
      <c r="F603" s="143"/>
      <c r="G603" s="146"/>
      <c r="H603" s="149"/>
      <c r="I603" s="143"/>
      <c r="J603" s="146"/>
      <c r="K603" s="149"/>
      <c r="L603" s="143"/>
      <c r="M603" s="146"/>
      <c r="N603" s="149"/>
      <c r="O603" s="143"/>
      <c r="P603" s="146"/>
      <c r="Q603" s="149"/>
      <c r="R603" s="143"/>
      <c r="S603" s="146"/>
      <c r="T603" s="149"/>
      <c r="U603" s="143"/>
      <c r="V603" s="146"/>
      <c r="W603" s="149"/>
      <c r="X603" s="143"/>
      <c r="Y603" s="146"/>
      <c r="Z603" s="149"/>
      <c r="AA603" s="143"/>
      <c r="AB603" s="146"/>
      <c r="AC603" s="149"/>
      <c r="AD603" s="143"/>
      <c r="AE603" s="146"/>
      <c r="AF603" s="149"/>
      <c r="AG603" s="143"/>
      <c r="AH603" s="146"/>
      <c r="AI603" s="149"/>
      <c r="AJ603" s="143"/>
      <c r="AK603" s="146"/>
      <c r="AL603" s="149"/>
      <c r="AM603" s="143"/>
      <c r="AN603" s="146"/>
      <c r="AO603" s="149"/>
      <c r="AP603" s="143"/>
      <c r="AQ603" s="146"/>
      <c r="AR603" s="149"/>
      <c r="AS603" s="143"/>
      <c r="AT603" s="146"/>
      <c r="AU603" s="149"/>
      <c r="AV603" s="149"/>
    </row>
    <row r="604" spans="1:48" s="34" customFormat="1" ht="12.75">
      <c r="A604" s="36"/>
      <c r="B604" s="36"/>
      <c r="C604" s="36"/>
      <c r="D604" s="36"/>
      <c r="E604" s="35"/>
      <c r="F604" s="143"/>
      <c r="G604" s="146"/>
      <c r="H604" s="149"/>
      <c r="I604" s="143"/>
      <c r="J604" s="146"/>
      <c r="K604" s="149"/>
      <c r="L604" s="143"/>
      <c r="M604" s="146"/>
      <c r="N604" s="149"/>
      <c r="O604" s="143"/>
      <c r="P604" s="146"/>
      <c r="Q604" s="149"/>
      <c r="R604" s="143"/>
      <c r="S604" s="146"/>
      <c r="T604" s="149"/>
      <c r="U604" s="143"/>
      <c r="V604" s="146"/>
      <c r="W604" s="149"/>
      <c r="X604" s="143"/>
      <c r="Y604" s="146"/>
      <c r="Z604" s="149"/>
      <c r="AA604" s="143"/>
      <c r="AB604" s="146"/>
      <c r="AC604" s="149"/>
      <c r="AD604" s="143"/>
      <c r="AE604" s="146"/>
      <c r="AF604" s="149"/>
      <c r="AG604" s="143"/>
      <c r="AH604" s="146"/>
      <c r="AI604" s="149"/>
      <c r="AJ604" s="143"/>
      <c r="AK604" s="146"/>
      <c r="AL604" s="149"/>
      <c r="AM604" s="143"/>
      <c r="AN604" s="146"/>
      <c r="AO604" s="149"/>
      <c r="AP604" s="143"/>
      <c r="AQ604" s="146"/>
      <c r="AR604" s="149"/>
      <c r="AS604" s="143"/>
      <c r="AT604" s="146"/>
      <c r="AU604" s="149"/>
      <c r="AV604" s="149"/>
    </row>
    <row r="605" spans="1:48" s="34" customFormat="1" ht="12.75">
      <c r="A605" s="36"/>
      <c r="B605" s="36"/>
      <c r="C605" s="36"/>
      <c r="D605" s="36"/>
      <c r="E605" s="35"/>
      <c r="F605" s="143"/>
      <c r="G605" s="146"/>
      <c r="H605" s="149"/>
      <c r="I605" s="143"/>
      <c r="J605" s="146"/>
      <c r="K605" s="149"/>
      <c r="L605" s="143"/>
      <c r="M605" s="146"/>
      <c r="N605" s="149"/>
      <c r="O605" s="143"/>
      <c r="P605" s="146"/>
      <c r="Q605" s="149"/>
      <c r="R605" s="143"/>
      <c r="S605" s="146"/>
      <c r="T605" s="149"/>
      <c r="U605" s="143"/>
      <c r="V605" s="146"/>
      <c r="W605" s="149"/>
      <c r="X605" s="143"/>
      <c r="Y605" s="146"/>
      <c r="Z605" s="149"/>
      <c r="AA605" s="143"/>
      <c r="AB605" s="146"/>
      <c r="AC605" s="149"/>
      <c r="AD605" s="143"/>
      <c r="AE605" s="146"/>
      <c r="AF605" s="149"/>
      <c r="AG605" s="143"/>
      <c r="AH605" s="146"/>
      <c r="AI605" s="149"/>
      <c r="AJ605" s="143"/>
      <c r="AK605" s="146"/>
      <c r="AL605" s="149"/>
      <c r="AM605" s="143"/>
      <c r="AN605" s="146"/>
      <c r="AO605" s="149"/>
      <c r="AP605" s="143"/>
      <c r="AQ605" s="146"/>
      <c r="AR605" s="149"/>
      <c r="AS605" s="143"/>
      <c r="AT605" s="146"/>
      <c r="AU605" s="149"/>
      <c r="AV605" s="149"/>
    </row>
    <row r="606" spans="1:48" s="34" customFormat="1" ht="12.75">
      <c r="A606" s="36"/>
      <c r="B606" s="36"/>
      <c r="C606" s="36"/>
      <c r="D606" s="36"/>
      <c r="E606" s="35"/>
      <c r="F606" s="143"/>
      <c r="G606" s="146"/>
      <c r="H606" s="149"/>
      <c r="I606" s="143"/>
      <c r="J606" s="146"/>
      <c r="K606" s="149"/>
      <c r="L606" s="143"/>
      <c r="M606" s="146"/>
      <c r="N606" s="149"/>
      <c r="O606" s="143"/>
      <c r="P606" s="146"/>
      <c r="Q606" s="149"/>
      <c r="R606" s="143"/>
      <c r="S606" s="146"/>
      <c r="T606" s="149"/>
      <c r="U606" s="143"/>
      <c r="V606" s="146"/>
      <c r="W606" s="149"/>
      <c r="X606" s="143"/>
      <c r="Y606" s="146"/>
      <c r="Z606" s="149"/>
      <c r="AA606" s="143"/>
      <c r="AB606" s="146"/>
      <c r="AC606" s="149"/>
      <c r="AD606" s="143"/>
      <c r="AE606" s="146"/>
      <c r="AF606" s="149"/>
      <c r="AG606" s="143"/>
      <c r="AH606" s="146"/>
      <c r="AI606" s="149"/>
      <c r="AJ606" s="143"/>
      <c r="AK606" s="146"/>
      <c r="AL606" s="149"/>
      <c r="AM606" s="143"/>
      <c r="AN606" s="146"/>
      <c r="AO606" s="149"/>
      <c r="AP606" s="143"/>
      <c r="AQ606" s="146"/>
      <c r="AR606" s="149"/>
      <c r="AS606" s="143"/>
      <c r="AT606" s="146"/>
      <c r="AU606" s="149"/>
      <c r="AV606" s="149"/>
    </row>
    <row r="607" spans="1:48" s="34" customFormat="1" ht="12.75">
      <c r="A607" s="36"/>
      <c r="B607" s="36"/>
      <c r="C607" s="36"/>
      <c r="D607" s="36"/>
      <c r="E607" s="35"/>
      <c r="F607" s="143"/>
      <c r="G607" s="146"/>
      <c r="H607" s="149"/>
      <c r="I607" s="143"/>
      <c r="J607" s="146"/>
      <c r="K607" s="149"/>
      <c r="L607" s="143"/>
      <c r="M607" s="146"/>
      <c r="N607" s="149"/>
      <c r="O607" s="143"/>
      <c r="P607" s="146"/>
      <c r="Q607" s="149"/>
      <c r="R607" s="143"/>
      <c r="S607" s="146"/>
      <c r="T607" s="149"/>
      <c r="U607" s="143"/>
      <c r="V607" s="146"/>
      <c r="W607" s="149"/>
      <c r="X607" s="143"/>
      <c r="Y607" s="146"/>
      <c r="Z607" s="149"/>
      <c r="AA607" s="143"/>
      <c r="AB607" s="146"/>
      <c r="AC607" s="149"/>
      <c r="AD607" s="143"/>
      <c r="AE607" s="146"/>
      <c r="AF607" s="149"/>
      <c r="AG607" s="143"/>
      <c r="AH607" s="146"/>
      <c r="AI607" s="149"/>
      <c r="AJ607" s="143"/>
      <c r="AK607" s="146"/>
      <c r="AL607" s="149"/>
      <c r="AM607" s="143"/>
      <c r="AN607" s="146"/>
      <c r="AO607" s="149"/>
      <c r="AP607" s="143"/>
      <c r="AQ607" s="146"/>
      <c r="AR607" s="149"/>
      <c r="AS607" s="143"/>
      <c r="AT607" s="146"/>
      <c r="AU607" s="149"/>
      <c r="AV607" s="149"/>
    </row>
    <row r="608" spans="1:48" s="34" customFormat="1" ht="12.75">
      <c r="A608" s="36"/>
      <c r="B608" s="36"/>
      <c r="C608" s="36"/>
      <c r="D608" s="36"/>
      <c r="E608" s="35"/>
      <c r="F608" s="143"/>
      <c r="G608" s="146"/>
      <c r="H608" s="149"/>
      <c r="I608" s="143"/>
      <c r="J608" s="146"/>
      <c r="K608" s="149"/>
      <c r="L608" s="143"/>
      <c r="M608" s="146"/>
      <c r="N608" s="149"/>
      <c r="O608" s="143"/>
      <c r="P608" s="146"/>
      <c r="Q608" s="149"/>
      <c r="R608" s="143"/>
      <c r="S608" s="146"/>
      <c r="T608" s="149"/>
      <c r="U608" s="143"/>
      <c r="V608" s="146"/>
      <c r="W608" s="149"/>
      <c r="X608" s="143"/>
      <c r="Y608" s="146"/>
      <c r="Z608" s="149"/>
      <c r="AA608" s="143"/>
      <c r="AB608" s="146"/>
      <c r="AC608" s="149"/>
      <c r="AD608" s="143"/>
      <c r="AE608" s="146"/>
      <c r="AF608" s="149"/>
      <c r="AG608" s="143"/>
      <c r="AH608" s="146"/>
      <c r="AI608" s="149"/>
      <c r="AJ608" s="143"/>
      <c r="AK608" s="146"/>
      <c r="AL608" s="149"/>
      <c r="AM608" s="143"/>
      <c r="AN608" s="146"/>
      <c r="AO608" s="149"/>
      <c r="AP608" s="143"/>
      <c r="AQ608" s="146"/>
      <c r="AR608" s="149"/>
      <c r="AS608" s="143"/>
      <c r="AT608" s="146"/>
      <c r="AU608" s="149"/>
      <c r="AV608" s="149"/>
    </row>
    <row r="609" spans="1:48" s="34" customFormat="1" ht="12.75">
      <c r="A609" s="36"/>
      <c r="B609" s="36"/>
      <c r="C609" s="36"/>
      <c r="D609" s="36"/>
      <c r="E609" s="35"/>
      <c r="F609" s="143"/>
      <c r="G609" s="146"/>
      <c r="H609" s="149"/>
      <c r="I609" s="143"/>
      <c r="J609" s="146"/>
      <c r="K609" s="149"/>
      <c r="L609" s="143"/>
      <c r="M609" s="146"/>
      <c r="N609" s="149"/>
      <c r="O609" s="143"/>
      <c r="P609" s="146"/>
      <c r="Q609" s="149"/>
      <c r="R609" s="143"/>
      <c r="S609" s="146"/>
      <c r="T609" s="149"/>
      <c r="U609" s="143"/>
      <c r="V609" s="146"/>
      <c r="W609" s="149"/>
      <c r="X609" s="143"/>
      <c r="Y609" s="146"/>
      <c r="Z609" s="149"/>
      <c r="AA609" s="143"/>
      <c r="AB609" s="146"/>
      <c r="AC609" s="149"/>
      <c r="AD609" s="143"/>
      <c r="AE609" s="146"/>
      <c r="AF609" s="149"/>
      <c r="AG609" s="143"/>
      <c r="AH609" s="146"/>
      <c r="AI609" s="149"/>
      <c r="AJ609" s="143"/>
      <c r="AK609" s="146"/>
      <c r="AL609" s="149"/>
      <c r="AM609" s="143"/>
      <c r="AN609" s="146"/>
      <c r="AO609" s="149"/>
      <c r="AP609" s="143"/>
      <c r="AQ609" s="146"/>
      <c r="AR609" s="149"/>
      <c r="AS609" s="143"/>
      <c r="AT609" s="146"/>
      <c r="AU609" s="149"/>
      <c r="AV609" s="149"/>
    </row>
    <row r="610" spans="1:48" s="34" customFormat="1" ht="12.75">
      <c r="A610" s="36"/>
      <c r="B610" s="36"/>
      <c r="C610" s="36"/>
      <c r="D610" s="36"/>
      <c r="E610" s="35"/>
      <c r="F610" s="143"/>
      <c r="G610" s="146"/>
      <c r="H610" s="149"/>
      <c r="I610" s="143"/>
      <c r="J610" s="146"/>
      <c r="K610" s="149"/>
      <c r="L610" s="143"/>
      <c r="M610" s="146"/>
      <c r="N610" s="149"/>
      <c r="O610" s="143"/>
      <c r="P610" s="146"/>
      <c r="Q610" s="149"/>
      <c r="R610" s="143"/>
      <c r="S610" s="146"/>
      <c r="T610" s="149"/>
      <c r="U610" s="143"/>
      <c r="V610" s="146"/>
      <c r="W610" s="149"/>
      <c r="X610" s="143"/>
      <c r="Y610" s="146"/>
      <c r="Z610" s="149"/>
      <c r="AA610" s="143"/>
      <c r="AB610" s="146"/>
      <c r="AC610" s="149"/>
      <c r="AD610" s="143"/>
      <c r="AE610" s="146"/>
      <c r="AF610" s="149"/>
      <c r="AG610" s="143"/>
      <c r="AH610" s="146"/>
      <c r="AI610" s="149"/>
      <c r="AJ610" s="143"/>
      <c r="AK610" s="146"/>
      <c r="AL610" s="149"/>
      <c r="AM610" s="143"/>
      <c r="AN610" s="146"/>
      <c r="AO610" s="149"/>
      <c r="AP610" s="143"/>
      <c r="AQ610" s="146"/>
      <c r="AR610" s="149"/>
      <c r="AS610" s="143"/>
      <c r="AT610" s="146"/>
      <c r="AU610" s="149"/>
      <c r="AV610" s="149"/>
    </row>
    <row r="611" spans="1:48" s="34" customFormat="1" ht="12.75">
      <c r="A611" s="36"/>
      <c r="B611" s="36"/>
      <c r="C611" s="36"/>
      <c r="D611" s="36"/>
      <c r="E611" s="35"/>
      <c r="F611" s="143"/>
      <c r="G611" s="146"/>
      <c r="H611" s="149"/>
      <c r="I611" s="143"/>
      <c r="J611" s="146"/>
      <c r="K611" s="149"/>
      <c r="L611" s="143"/>
      <c r="M611" s="146"/>
      <c r="N611" s="149"/>
      <c r="O611" s="143"/>
      <c r="P611" s="146"/>
      <c r="Q611" s="149"/>
      <c r="R611" s="143"/>
      <c r="S611" s="146"/>
      <c r="T611" s="149"/>
      <c r="U611" s="143"/>
      <c r="V611" s="146"/>
      <c r="W611" s="149"/>
      <c r="X611" s="143"/>
      <c r="Y611" s="146"/>
      <c r="Z611" s="149"/>
      <c r="AA611" s="143"/>
      <c r="AB611" s="146"/>
      <c r="AC611" s="149"/>
      <c r="AD611" s="143"/>
      <c r="AE611" s="146"/>
      <c r="AF611" s="149"/>
      <c r="AG611" s="143"/>
      <c r="AH611" s="146"/>
      <c r="AI611" s="149"/>
      <c r="AJ611" s="143"/>
      <c r="AK611" s="146"/>
      <c r="AL611" s="149"/>
      <c r="AM611" s="143"/>
      <c r="AN611" s="146"/>
      <c r="AO611" s="149"/>
      <c r="AP611" s="143"/>
      <c r="AQ611" s="146"/>
      <c r="AR611" s="149"/>
      <c r="AS611" s="143"/>
      <c r="AT611" s="146"/>
      <c r="AU611" s="149"/>
      <c r="AV611" s="149"/>
    </row>
    <row r="612" spans="1:48" s="34" customFormat="1" ht="12.75">
      <c r="A612" s="36"/>
      <c r="B612" s="36"/>
      <c r="C612" s="36"/>
      <c r="D612" s="36"/>
      <c r="E612" s="35"/>
      <c r="F612" s="143"/>
      <c r="G612" s="146"/>
      <c r="H612" s="149"/>
      <c r="I612" s="143"/>
      <c r="J612" s="146"/>
      <c r="K612" s="149"/>
      <c r="L612" s="143"/>
      <c r="M612" s="146"/>
      <c r="N612" s="149"/>
      <c r="O612" s="143"/>
      <c r="P612" s="146"/>
      <c r="Q612" s="149"/>
      <c r="R612" s="143"/>
      <c r="S612" s="146"/>
      <c r="T612" s="149"/>
      <c r="U612" s="143"/>
      <c r="V612" s="146"/>
      <c r="W612" s="149"/>
      <c r="X612" s="143"/>
      <c r="Y612" s="146"/>
      <c r="Z612" s="149"/>
      <c r="AA612" s="143"/>
      <c r="AB612" s="146"/>
      <c r="AC612" s="149"/>
      <c r="AD612" s="143"/>
      <c r="AE612" s="146"/>
      <c r="AF612" s="149"/>
      <c r="AG612" s="143"/>
      <c r="AH612" s="146"/>
      <c r="AI612" s="149"/>
      <c r="AJ612" s="143"/>
      <c r="AK612" s="146"/>
      <c r="AL612" s="149"/>
      <c r="AM612" s="143"/>
      <c r="AN612" s="146"/>
      <c r="AO612" s="149"/>
      <c r="AP612" s="143"/>
      <c r="AQ612" s="146"/>
      <c r="AR612" s="149"/>
      <c r="AS612" s="143"/>
      <c r="AT612" s="146"/>
      <c r="AU612" s="149"/>
      <c r="AV612" s="149"/>
    </row>
    <row r="613" spans="1:48" s="34" customFormat="1" ht="12.75">
      <c r="A613" s="36"/>
      <c r="B613" s="36"/>
      <c r="C613" s="36"/>
      <c r="D613" s="36"/>
      <c r="E613" s="35"/>
      <c r="F613" s="143"/>
      <c r="G613" s="146"/>
      <c r="H613" s="149"/>
      <c r="I613" s="143"/>
      <c r="J613" s="146"/>
      <c r="K613" s="149"/>
      <c r="L613" s="143"/>
      <c r="M613" s="146"/>
      <c r="N613" s="149"/>
      <c r="O613" s="143"/>
      <c r="P613" s="146"/>
      <c r="Q613" s="149"/>
      <c r="R613" s="143"/>
      <c r="S613" s="146"/>
      <c r="T613" s="149"/>
      <c r="U613" s="143"/>
      <c r="V613" s="146"/>
      <c r="W613" s="149"/>
      <c r="X613" s="143"/>
      <c r="Y613" s="146"/>
      <c r="Z613" s="149"/>
      <c r="AA613" s="143"/>
      <c r="AB613" s="146"/>
      <c r="AC613" s="149"/>
      <c r="AD613" s="143"/>
      <c r="AE613" s="146"/>
      <c r="AF613" s="149"/>
      <c r="AG613" s="143"/>
      <c r="AH613" s="146"/>
      <c r="AI613" s="149"/>
      <c r="AJ613" s="143"/>
      <c r="AK613" s="146"/>
      <c r="AL613" s="149"/>
      <c r="AM613" s="143"/>
      <c r="AN613" s="146"/>
      <c r="AO613" s="149"/>
      <c r="AP613" s="143"/>
      <c r="AQ613" s="146"/>
      <c r="AR613" s="149"/>
      <c r="AS613" s="143"/>
      <c r="AT613" s="146"/>
      <c r="AU613" s="149"/>
      <c r="AV613" s="149"/>
    </row>
    <row r="614" spans="1:48" s="34" customFormat="1" ht="12.75">
      <c r="A614" s="36"/>
      <c r="B614" s="36"/>
      <c r="C614" s="36"/>
      <c r="D614" s="36"/>
      <c r="E614" s="35"/>
      <c r="F614" s="143"/>
      <c r="G614" s="146"/>
      <c r="H614" s="149"/>
      <c r="I614" s="143"/>
      <c r="J614" s="146"/>
      <c r="K614" s="149"/>
      <c r="L614" s="143"/>
      <c r="M614" s="146"/>
      <c r="N614" s="149"/>
      <c r="O614" s="143"/>
      <c r="P614" s="146"/>
      <c r="Q614" s="149"/>
      <c r="R614" s="143"/>
      <c r="S614" s="146"/>
      <c r="T614" s="149"/>
      <c r="U614" s="143"/>
      <c r="V614" s="146"/>
      <c r="W614" s="149"/>
      <c r="X614" s="143"/>
      <c r="Y614" s="146"/>
      <c r="Z614" s="149"/>
      <c r="AA614" s="143"/>
      <c r="AB614" s="146"/>
      <c r="AC614" s="149"/>
      <c r="AD614" s="143"/>
      <c r="AE614" s="146"/>
      <c r="AF614" s="149"/>
      <c r="AG614" s="143"/>
      <c r="AH614" s="146"/>
      <c r="AI614" s="149"/>
      <c r="AJ614" s="143"/>
      <c r="AK614" s="146"/>
      <c r="AL614" s="149"/>
      <c r="AM614" s="143"/>
      <c r="AN614" s="146"/>
      <c r="AO614" s="149"/>
      <c r="AP614" s="143"/>
      <c r="AQ614" s="146"/>
      <c r="AR614" s="149"/>
      <c r="AS614" s="143"/>
      <c r="AT614" s="146"/>
      <c r="AU614" s="149"/>
      <c r="AV614" s="149"/>
    </row>
    <row r="615" spans="1:48" s="34" customFormat="1" ht="12.75">
      <c r="A615" s="36"/>
      <c r="B615" s="36"/>
      <c r="C615" s="36"/>
      <c r="D615" s="36"/>
      <c r="E615" s="35"/>
      <c r="F615" s="143"/>
      <c r="G615" s="146"/>
      <c r="H615" s="149"/>
      <c r="I615" s="143"/>
      <c r="J615" s="146"/>
      <c r="K615" s="149"/>
      <c r="L615" s="143"/>
      <c r="M615" s="146"/>
      <c r="N615" s="149"/>
      <c r="O615" s="143"/>
      <c r="P615" s="146"/>
      <c r="Q615" s="149"/>
      <c r="R615" s="143"/>
      <c r="S615" s="146"/>
      <c r="T615" s="149"/>
      <c r="U615" s="143"/>
      <c r="V615" s="146"/>
      <c r="W615" s="149"/>
      <c r="X615" s="143"/>
      <c r="Y615" s="146"/>
      <c r="Z615" s="149"/>
      <c r="AA615" s="143"/>
      <c r="AB615" s="146"/>
      <c r="AC615" s="149"/>
      <c r="AD615" s="143"/>
      <c r="AE615" s="146"/>
      <c r="AF615" s="149"/>
      <c r="AG615" s="143"/>
      <c r="AH615" s="146"/>
      <c r="AI615" s="149"/>
      <c r="AJ615" s="143"/>
      <c r="AK615" s="146"/>
      <c r="AL615" s="149"/>
      <c r="AM615" s="143"/>
      <c r="AN615" s="146"/>
      <c r="AO615" s="149"/>
      <c r="AP615" s="143"/>
      <c r="AQ615" s="146"/>
      <c r="AR615" s="149"/>
      <c r="AS615" s="143"/>
      <c r="AT615" s="146"/>
      <c r="AU615" s="149"/>
      <c r="AV615" s="149"/>
    </row>
    <row r="616" spans="1:48" s="34" customFormat="1" ht="12.75">
      <c r="A616" s="36"/>
      <c r="B616" s="36"/>
      <c r="C616" s="36"/>
      <c r="D616" s="36"/>
      <c r="E616" s="35"/>
      <c r="F616" s="143"/>
      <c r="G616" s="146"/>
      <c r="H616" s="149"/>
      <c r="I616" s="143"/>
      <c r="J616" s="146"/>
      <c r="K616" s="149"/>
      <c r="L616" s="143"/>
      <c r="M616" s="146"/>
      <c r="N616" s="149"/>
      <c r="O616" s="143"/>
      <c r="P616" s="146"/>
      <c r="Q616" s="149"/>
      <c r="R616" s="143"/>
      <c r="S616" s="146"/>
      <c r="T616" s="149"/>
      <c r="U616" s="143"/>
      <c r="V616" s="146"/>
      <c r="W616" s="149"/>
      <c r="X616" s="143"/>
      <c r="Y616" s="146"/>
      <c r="Z616" s="149"/>
      <c r="AA616" s="143"/>
      <c r="AB616" s="146"/>
      <c r="AC616" s="149"/>
      <c r="AD616" s="143"/>
      <c r="AE616" s="146"/>
      <c r="AF616" s="149"/>
      <c r="AG616" s="143"/>
      <c r="AH616" s="146"/>
      <c r="AI616" s="149"/>
      <c r="AJ616" s="143"/>
      <c r="AK616" s="146"/>
      <c r="AL616" s="149"/>
      <c r="AM616" s="143"/>
      <c r="AN616" s="146"/>
      <c r="AO616" s="149"/>
      <c r="AP616" s="143"/>
      <c r="AQ616" s="146"/>
      <c r="AR616" s="149"/>
      <c r="AS616" s="143"/>
      <c r="AT616" s="146"/>
      <c r="AU616" s="149"/>
      <c r="AV616" s="149"/>
    </row>
    <row r="617" spans="1:48" s="34" customFormat="1" ht="12.75">
      <c r="A617" s="36"/>
      <c r="B617" s="36"/>
      <c r="C617" s="36"/>
      <c r="D617" s="36"/>
      <c r="E617" s="35"/>
      <c r="F617" s="143"/>
      <c r="G617" s="146"/>
      <c r="H617" s="149"/>
      <c r="I617" s="143"/>
      <c r="J617" s="146"/>
      <c r="K617" s="149"/>
      <c r="L617" s="143"/>
      <c r="M617" s="146"/>
      <c r="N617" s="149"/>
      <c r="O617" s="143"/>
      <c r="P617" s="146"/>
      <c r="Q617" s="149"/>
      <c r="R617" s="143"/>
      <c r="S617" s="146"/>
      <c r="T617" s="149"/>
      <c r="U617" s="143"/>
      <c r="V617" s="146"/>
      <c r="W617" s="149"/>
      <c r="X617" s="143"/>
      <c r="Y617" s="146"/>
      <c r="Z617" s="149"/>
      <c r="AA617" s="143"/>
      <c r="AB617" s="146"/>
      <c r="AC617" s="149"/>
      <c r="AD617" s="143"/>
      <c r="AE617" s="146"/>
      <c r="AF617" s="149"/>
      <c r="AG617" s="143"/>
      <c r="AH617" s="146"/>
      <c r="AI617" s="149"/>
      <c r="AJ617" s="143"/>
      <c r="AK617" s="146"/>
      <c r="AL617" s="149"/>
      <c r="AM617" s="143"/>
      <c r="AN617" s="146"/>
      <c r="AO617" s="149"/>
      <c r="AP617" s="143"/>
      <c r="AQ617" s="146"/>
      <c r="AR617" s="149"/>
      <c r="AS617" s="143"/>
      <c r="AT617" s="146"/>
      <c r="AU617" s="149"/>
      <c r="AV617" s="149"/>
    </row>
    <row r="618" spans="1:48" s="34" customFormat="1" ht="12.75">
      <c r="A618" s="36"/>
      <c r="B618" s="36"/>
      <c r="C618" s="36"/>
      <c r="D618" s="36"/>
      <c r="E618" s="35"/>
      <c r="F618" s="143"/>
      <c r="G618" s="146"/>
      <c r="H618" s="149"/>
      <c r="I618" s="143"/>
      <c r="J618" s="146"/>
      <c r="K618" s="149"/>
      <c r="L618" s="143"/>
      <c r="M618" s="146"/>
      <c r="N618" s="149"/>
      <c r="O618" s="143"/>
      <c r="P618" s="146"/>
      <c r="Q618" s="149"/>
      <c r="R618" s="143"/>
      <c r="S618" s="146"/>
      <c r="T618" s="149"/>
      <c r="U618" s="143"/>
      <c r="V618" s="146"/>
      <c r="W618" s="149"/>
      <c r="X618" s="143"/>
      <c r="Y618" s="146"/>
      <c r="Z618" s="149"/>
      <c r="AA618" s="143"/>
      <c r="AB618" s="146"/>
      <c r="AC618" s="149"/>
      <c r="AD618" s="143"/>
      <c r="AE618" s="146"/>
      <c r="AF618" s="149"/>
      <c r="AG618" s="143"/>
      <c r="AH618" s="146"/>
      <c r="AI618" s="149"/>
      <c r="AJ618" s="143"/>
      <c r="AK618" s="146"/>
      <c r="AL618" s="149"/>
      <c r="AM618" s="143"/>
      <c r="AN618" s="146"/>
      <c r="AO618" s="149"/>
      <c r="AP618" s="143"/>
      <c r="AQ618" s="146"/>
      <c r="AR618" s="149"/>
      <c r="AS618" s="143"/>
      <c r="AT618" s="146"/>
      <c r="AU618" s="149"/>
      <c r="AV618" s="149"/>
    </row>
    <row r="619" spans="1:48" s="34" customFormat="1" ht="12.75">
      <c r="A619" s="36"/>
      <c r="B619" s="36"/>
      <c r="C619" s="36"/>
      <c r="D619" s="36"/>
      <c r="E619" s="35"/>
      <c r="F619" s="143"/>
      <c r="G619" s="146"/>
      <c r="H619" s="149"/>
      <c r="I619" s="143"/>
      <c r="J619" s="146"/>
      <c r="K619" s="149"/>
      <c r="L619" s="143"/>
      <c r="M619" s="146"/>
      <c r="N619" s="149"/>
      <c r="O619" s="143"/>
      <c r="P619" s="146"/>
      <c r="Q619" s="149"/>
      <c r="R619" s="143"/>
      <c r="S619" s="146"/>
      <c r="T619" s="149"/>
      <c r="U619" s="143"/>
      <c r="V619" s="146"/>
      <c r="W619" s="149"/>
      <c r="X619" s="143"/>
      <c r="Y619" s="146"/>
      <c r="Z619" s="149"/>
      <c r="AA619" s="143"/>
      <c r="AB619" s="146"/>
      <c r="AC619" s="149"/>
      <c r="AD619" s="143"/>
      <c r="AE619" s="146"/>
      <c r="AF619" s="149"/>
      <c r="AG619" s="143"/>
      <c r="AH619" s="146"/>
      <c r="AI619" s="149"/>
      <c r="AJ619" s="143"/>
      <c r="AK619" s="146"/>
      <c r="AL619" s="149"/>
      <c r="AM619" s="143"/>
      <c r="AN619" s="146"/>
      <c r="AO619" s="149"/>
      <c r="AP619" s="143"/>
      <c r="AQ619" s="146"/>
      <c r="AR619" s="149"/>
      <c r="AS619" s="143"/>
      <c r="AT619" s="146"/>
      <c r="AU619" s="149"/>
      <c r="AV619" s="149"/>
    </row>
    <row r="620" spans="1:48" s="34" customFormat="1" ht="12.75">
      <c r="A620" s="36"/>
      <c r="B620" s="36"/>
      <c r="C620" s="36"/>
      <c r="D620" s="36"/>
      <c r="E620" s="35"/>
      <c r="F620" s="143"/>
      <c r="G620" s="146"/>
      <c r="H620" s="149"/>
      <c r="I620" s="143"/>
      <c r="J620" s="146"/>
      <c r="K620" s="149"/>
      <c r="L620" s="143"/>
      <c r="M620" s="146"/>
      <c r="N620" s="149"/>
      <c r="O620" s="143"/>
      <c r="P620" s="146"/>
      <c r="Q620" s="149"/>
      <c r="R620" s="143"/>
      <c r="S620" s="146"/>
      <c r="T620" s="149"/>
      <c r="U620" s="143"/>
      <c r="V620" s="146"/>
      <c r="W620" s="149"/>
      <c r="X620" s="143"/>
      <c r="Y620" s="146"/>
      <c r="Z620" s="149"/>
      <c r="AA620" s="143"/>
      <c r="AB620" s="146"/>
      <c r="AC620" s="149"/>
      <c r="AD620" s="143"/>
      <c r="AE620" s="146"/>
      <c r="AF620" s="149"/>
      <c r="AG620" s="143"/>
      <c r="AH620" s="146"/>
      <c r="AI620" s="149"/>
      <c r="AJ620" s="143"/>
      <c r="AK620" s="146"/>
      <c r="AL620" s="149"/>
      <c r="AM620" s="143"/>
      <c r="AN620" s="146"/>
      <c r="AO620" s="149"/>
      <c r="AP620" s="143"/>
      <c r="AQ620" s="146"/>
      <c r="AR620" s="149"/>
      <c r="AS620" s="143"/>
      <c r="AT620" s="146"/>
      <c r="AU620" s="149"/>
      <c r="AV620" s="149"/>
    </row>
    <row r="621" spans="1:48" s="34" customFormat="1" ht="12.75">
      <c r="A621" s="36"/>
      <c r="B621" s="36"/>
      <c r="C621" s="36"/>
      <c r="D621" s="36"/>
      <c r="E621" s="35"/>
      <c r="F621" s="143"/>
      <c r="G621" s="146"/>
      <c r="H621" s="149"/>
      <c r="I621" s="143"/>
      <c r="J621" s="146"/>
      <c r="K621" s="149"/>
      <c r="L621" s="143"/>
      <c r="M621" s="146"/>
      <c r="N621" s="149"/>
      <c r="O621" s="143"/>
      <c r="P621" s="146"/>
      <c r="Q621" s="149"/>
      <c r="R621" s="143"/>
      <c r="S621" s="146"/>
      <c r="T621" s="149"/>
      <c r="U621" s="143"/>
      <c r="V621" s="146"/>
      <c r="W621" s="149"/>
      <c r="X621" s="143"/>
      <c r="Y621" s="146"/>
      <c r="Z621" s="149"/>
      <c r="AA621" s="143"/>
      <c r="AB621" s="146"/>
      <c r="AC621" s="149"/>
      <c r="AD621" s="143"/>
      <c r="AE621" s="146"/>
      <c r="AF621" s="149"/>
      <c r="AG621" s="143"/>
      <c r="AH621" s="146"/>
      <c r="AI621" s="149"/>
      <c r="AJ621" s="143"/>
      <c r="AK621" s="146"/>
      <c r="AL621" s="149"/>
      <c r="AM621" s="143"/>
      <c r="AN621" s="146"/>
      <c r="AO621" s="149"/>
      <c r="AP621" s="143"/>
      <c r="AQ621" s="146"/>
      <c r="AR621" s="149"/>
      <c r="AS621" s="143"/>
      <c r="AT621" s="146"/>
      <c r="AU621" s="149"/>
      <c r="AV621" s="149"/>
    </row>
    <row r="622" spans="1:48" s="34" customFormat="1" ht="12.75">
      <c r="A622" s="36"/>
      <c r="B622" s="36"/>
      <c r="C622" s="36"/>
      <c r="D622" s="36"/>
      <c r="E622" s="35"/>
      <c r="F622" s="143"/>
      <c r="G622" s="146"/>
      <c r="H622" s="149"/>
      <c r="I622" s="143"/>
      <c r="J622" s="146"/>
      <c r="K622" s="149"/>
      <c r="L622" s="143"/>
      <c r="M622" s="146"/>
      <c r="N622" s="149"/>
      <c r="O622" s="143"/>
      <c r="P622" s="146"/>
      <c r="Q622" s="149"/>
      <c r="R622" s="143"/>
      <c r="S622" s="146"/>
      <c r="T622" s="149"/>
      <c r="U622" s="143"/>
      <c r="V622" s="146"/>
      <c r="W622" s="149"/>
      <c r="X622" s="143"/>
      <c r="Y622" s="146"/>
      <c r="Z622" s="149"/>
      <c r="AA622" s="143"/>
      <c r="AB622" s="146"/>
      <c r="AC622" s="149"/>
      <c r="AD622" s="143"/>
      <c r="AE622" s="146"/>
      <c r="AF622" s="149"/>
      <c r="AG622" s="143"/>
      <c r="AH622" s="146"/>
      <c r="AI622" s="149"/>
      <c r="AJ622" s="143"/>
      <c r="AK622" s="146"/>
      <c r="AL622" s="149"/>
      <c r="AM622" s="143"/>
      <c r="AN622" s="146"/>
      <c r="AO622" s="149"/>
      <c r="AP622" s="143"/>
      <c r="AQ622" s="146"/>
      <c r="AR622" s="149"/>
      <c r="AS622" s="143"/>
      <c r="AT622" s="146"/>
      <c r="AU622" s="149"/>
      <c r="AV622" s="149"/>
    </row>
    <row r="623" spans="1:48" s="34" customFormat="1" ht="12.75">
      <c r="A623" s="36"/>
      <c r="B623" s="36"/>
      <c r="C623" s="36"/>
      <c r="D623" s="36"/>
      <c r="E623" s="35"/>
      <c r="F623" s="143"/>
      <c r="G623" s="146"/>
      <c r="H623" s="149"/>
      <c r="I623" s="143"/>
      <c r="J623" s="146"/>
      <c r="K623" s="149"/>
      <c r="L623" s="143"/>
      <c r="M623" s="146"/>
      <c r="N623" s="149"/>
      <c r="O623" s="143"/>
      <c r="P623" s="146"/>
      <c r="Q623" s="149"/>
      <c r="R623" s="143"/>
      <c r="S623" s="146"/>
      <c r="T623" s="149"/>
      <c r="U623" s="143"/>
      <c r="V623" s="146"/>
      <c r="W623" s="149"/>
      <c r="X623" s="143"/>
      <c r="Y623" s="146"/>
      <c r="Z623" s="149"/>
      <c r="AA623" s="143"/>
      <c r="AB623" s="146"/>
      <c r="AC623" s="149"/>
      <c r="AD623" s="143"/>
      <c r="AE623" s="146"/>
      <c r="AF623" s="149"/>
      <c r="AG623" s="143"/>
      <c r="AH623" s="146"/>
      <c r="AI623" s="149"/>
      <c r="AJ623" s="143"/>
      <c r="AK623" s="146"/>
      <c r="AL623" s="149"/>
      <c r="AM623" s="143"/>
      <c r="AN623" s="146"/>
      <c r="AO623" s="149"/>
      <c r="AP623" s="143"/>
      <c r="AQ623" s="146"/>
      <c r="AR623" s="149"/>
      <c r="AS623" s="143"/>
      <c r="AT623" s="146"/>
      <c r="AU623" s="149"/>
      <c r="AV623" s="149"/>
    </row>
    <row r="624" spans="1:48" s="34" customFormat="1" ht="12.75">
      <c r="A624" s="36"/>
      <c r="B624" s="36"/>
      <c r="C624" s="36"/>
      <c r="D624" s="36"/>
      <c r="E624" s="35"/>
      <c r="F624" s="143"/>
      <c r="G624" s="146"/>
      <c r="H624" s="149"/>
      <c r="I624" s="143"/>
      <c r="J624" s="146"/>
      <c r="K624" s="149"/>
      <c r="L624" s="143"/>
      <c r="M624" s="146"/>
      <c r="N624" s="149"/>
      <c r="O624" s="143"/>
      <c r="P624" s="146"/>
      <c r="Q624" s="149"/>
      <c r="R624" s="143"/>
      <c r="S624" s="146"/>
      <c r="T624" s="149"/>
      <c r="U624" s="143"/>
      <c r="V624" s="146"/>
      <c r="W624" s="149"/>
      <c r="X624" s="143"/>
      <c r="Y624" s="146"/>
      <c r="Z624" s="149"/>
      <c r="AA624" s="143"/>
      <c r="AB624" s="146"/>
      <c r="AC624" s="149"/>
      <c r="AD624" s="143"/>
      <c r="AE624" s="146"/>
      <c r="AF624" s="149"/>
      <c r="AG624" s="143"/>
      <c r="AH624" s="146"/>
      <c r="AI624" s="149"/>
      <c r="AJ624" s="143"/>
      <c r="AK624" s="146"/>
      <c r="AL624" s="149"/>
      <c r="AM624" s="143"/>
      <c r="AN624" s="146"/>
      <c r="AO624" s="149"/>
      <c r="AP624" s="143"/>
      <c r="AQ624" s="146"/>
      <c r="AR624" s="149"/>
      <c r="AS624" s="143"/>
      <c r="AT624" s="146"/>
      <c r="AU624" s="149"/>
      <c r="AV624" s="149"/>
    </row>
    <row r="625" spans="1:48" s="34" customFormat="1" ht="12.75">
      <c r="A625" s="36"/>
      <c r="B625" s="36"/>
      <c r="C625" s="36"/>
      <c r="D625" s="36"/>
      <c r="E625" s="35"/>
      <c r="F625" s="143"/>
      <c r="G625" s="146"/>
      <c r="H625" s="149"/>
      <c r="I625" s="143"/>
      <c r="J625" s="146"/>
      <c r="K625" s="149"/>
      <c r="L625" s="143"/>
      <c r="M625" s="146"/>
      <c r="N625" s="149"/>
      <c r="O625" s="143"/>
      <c r="P625" s="146"/>
      <c r="Q625" s="149"/>
      <c r="R625" s="143"/>
      <c r="S625" s="146"/>
      <c r="T625" s="149"/>
      <c r="U625" s="143"/>
      <c r="V625" s="146"/>
      <c r="W625" s="149"/>
      <c r="X625" s="143"/>
      <c r="Y625" s="146"/>
      <c r="Z625" s="149"/>
      <c r="AA625" s="143"/>
      <c r="AB625" s="146"/>
      <c r="AC625" s="149"/>
      <c r="AD625" s="143"/>
      <c r="AE625" s="146"/>
      <c r="AF625" s="149"/>
      <c r="AG625" s="143"/>
      <c r="AH625" s="146"/>
      <c r="AI625" s="149"/>
      <c r="AJ625" s="143"/>
      <c r="AK625" s="146"/>
      <c r="AL625" s="149"/>
      <c r="AM625" s="143"/>
      <c r="AN625" s="146"/>
      <c r="AO625" s="149"/>
      <c r="AP625" s="143"/>
      <c r="AQ625" s="146"/>
      <c r="AR625" s="149"/>
      <c r="AS625" s="143"/>
      <c r="AT625" s="146"/>
      <c r="AU625" s="149"/>
      <c r="AV625" s="149"/>
    </row>
    <row r="626" spans="1:48" s="34" customFormat="1" ht="12.75">
      <c r="A626" s="36"/>
      <c r="B626" s="36"/>
      <c r="C626" s="36"/>
      <c r="D626" s="36"/>
      <c r="E626" s="35"/>
      <c r="F626" s="143"/>
      <c r="G626" s="146"/>
      <c r="H626" s="149"/>
      <c r="I626" s="143"/>
      <c r="J626" s="146"/>
      <c r="K626" s="149"/>
      <c r="L626" s="143"/>
      <c r="M626" s="146"/>
      <c r="N626" s="149"/>
      <c r="O626" s="143"/>
      <c r="P626" s="146"/>
      <c r="Q626" s="149"/>
      <c r="R626" s="143"/>
      <c r="S626" s="146"/>
      <c r="T626" s="149"/>
      <c r="U626" s="143"/>
      <c r="V626" s="146"/>
      <c r="W626" s="149"/>
      <c r="X626" s="143"/>
      <c r="Y626" s="146"/>
      <c r="Z626" s="149"/>
      <c r="AA626" s="143"/>
      <c r="AB626" s="146"/>
      <c r="AC626" s="149"/>
      <c r="AD626" s="143"/>
      <c r="AE626" s="146"/>
      <c r="AF626" s="149"/>
      <c r="AG626" s="143"/>
      <c r="AH626" s="146"/>
      <c r="AI626" s="149"/>
      <c r="AJ626" s="143"/>
      <c r="AK626" s="146"/>
      <c r="AL626" s="149"/>
      <c r="AM626" s="143"/>
      <c r="AN626" s="146"/>
      <c r="AO626" s="149"/>
      <c r="AP626" s="143"/>
      <c r="AQ626" s="146"/>
      <c r="AR626" s="149"/>
      <c r="AS626" s="143"/>
      <c r="AT626" s="146"/>
      <c r="AU626" s="149"/>
      <c r="AV626" s="149"/>
    </row>
    <row r="627" spans="1:48" s="34" customFormat="1" ht="12.75">
      <c r="A627" s="36"/>
      <c r="B627" s="36"/>
      <c r="C627" s="36"/>
      <c r="D627" s="36"/>
      <c r="E627" s="35"/>
      <c r="F627" s="143"/>
      <c r="G627" s="146"/>
      <c r="H627" s="149"/>
      <c r="I627" s="143"/>
      <c r="J627" s="146"/>
      <c r="K627" s="149"/>
      <c r="L627" s="143"/>
      <c r="M627" s="146"/>
      <c r="N627" s="149"/>
      <c r="O627" s="143"/>
      <c r="P627" s="146"/>
      <c r="Q627" s="149"/>
      <c r="R627" s="143"/>
      <c r="S627" s="146"/>
      <c r="T627" s="149"/>
      <c r="U627" s="143"/>
      <c r="V627" s="146"/>
      <c r="W627" s="149"/>
      <c r="X627" s="143"/>
      <c r="Y627" s="146"/>
      <c r="Z627" s="149"/>
      <c r="AA627" s="143"/>
      <c r="AB627" s="146"/>
      <c r="AC627" s="149"/>
      <c r="AD627" s="143"/>
      <c r="AE627" s="146"/>
      <c r="AF627" s="149"/>
      <c r="AG627" s="143"/>
      <c r="AH627" s="146"/>
      <c r="AI627" s="149"/>
      <c r="AJ627" s="143"/>
      <c r="AK627" s="146"/>
      <c r="AL627" s="149"/>
      <c r="AM627" s="143"/>
      <c r="AN627" s="146"/>
      <c r="AO627" s="149"/>
      <c r="AP627" s="143"/>
      <c r="AQ627" s="146"/>
      <c r="AR627" s="149"/>
      <c r="AS627" s="143"/>
      <c r="AT627" s="146"/>
      <c r="AU627" s="149"/>
      <c r="AV627" s="149"/>
    </row>
    <row r="628" spans="1:48" s="34" customFormat="1" ht="12.75">
      <c r="A628" s="36"/>
      <c r="B628" s="36"/>
      <c r="C628" s="36"/>
      <c r="D628" s="36"/>
      <c r="E628" s="35"/>
      <c r="F628" s="143"/>
      <c r="G628" s="146"/>
      <c r="H628" s="149"/>
      <c r="I628" s="143"/>
      <c r="J628" s="146"/>
      <c r="K628" s="149"/>
      <c r="L628" s="143"/>
      <c r="M628" s="146"/>
      <c r="N628" s="149"/>
      <c r="O628" s="143"/>
      <c r="P628" s="146"/>
      <c r="Q628" s="149"/>
      <c r="R628" s="143"/>
      <c r="S628" s="146"/>
      <c r="T628" s="149"/>
      <c r="U628" s="143"/>
      <c r="V628" s="146"/>
      <c r="W628" s="149"/>
      <c r="X628" s="143"/>
      <c r="Y628" s="146"/>
      <c r="Z628" s="149"/>
      <c r="AA628" s="143"/>
      <c r="AB628" s="146"/>
      <c r="AC628" s="149"/>
      <c r="AD628" s="143"/>
      <c r="AE628" s="146"/>
      <c r="AF628" s="149"/>
      <c r="AG628" s="143"/>
      <c r="AH628" s="146"/>
      <c r="AI628" s="149"/>
      <c r="AJ628" s="143"/>
      <c r="AK628" s="146"/>
      <c r="AL628" s="149"/>
      <c r="AM628" s="143"/>
      <c r="AN628" s="146"/>
      <c r="AO628" s="149"/>
      <c r="AP628" s="143"/>
      <c r="AQ628" s="146"/>
      <c r="AR628" s="149"/>
      <c r="AS628" s="143"/>
      <c r="AT628" s="146"/>
      <c r="AU628" s="149"/>
      <c r="AV628" s="149"/>
    </row>
    <row r="629" spans="1:48" s="34" customFormat="1" ht="12.75">
      <c r="A629" s="36"/>
      <c r="B629" s="36"/>
      <c r="C629" s="36"/>
      <c r="D629" s="36"/>
      <c r="E629" s="35"/>
      <c r="F629" s="143"/>
      <c r="G629" s="146"/>
      <c r="H629" s="149"/>
      <c r="I629" s="143"/>
      <c r="J629" s="146"/>
      <c r="K629" s="149"/>
      <c r="L629" s="143"/>
      <c r="M629" s="146"/>
      <c r="N629" s="149"/>
      <c r="O629" s="143"/>
      <c r="P629" s="146"/>
      <c r="Q629" s="149"/>
      <c r="R629" s="143"/>
      <c r="S629" s="146"/>
      <c r="T629" s="149"/>
      <c r="U629" s="143"/>
      <c r="V629" s="146"/>
      <c r="W629" s="149"/>
      <c r="X629" s="143"/>
      <c r="Y629" s="146"/>
      <c r="Z629" s="149"/>
      <c r="AA629" s="143"/>
      <c r="AB629" s="146"/>
      <c r="AC629" s="149"/>
      <c r="AD629" s="143"/>
      <c r="AE629" s="146"/>
      <c r="AF629" s="149"/>
      <c r="AG629" s="143"/>
      <c r="AH629" s="146"/>
      <c r="AI629" s="149"/>
      <c r="AJ629" s="143"/>
      <c r="AK629" s="146"/>
      <c r="AL629" s="149"/>
      <c r="AM629" s="143"/>
      <c r="AN629" s="146"/>
      <c r="AO629" s="149"/>
      <c r="AP629" s="143"/>
      <c r="AQ629" s="146"/>
      <c r="AR629" s="149"/>
      <c r="AS629" s="143"/>
      <c r="AT629" s="146"/>
      <c r="AU629" s="149"/>
      <c r="AV629" s="149"/>
    </row>
    <row r="630" spans="1:48" s="34" customFormat="1" ht="12.75">
      <c r="A630" s="36"/>
      <c r="B630" s="36"/>
      <c r="C630" s="36"/>
      <c r="D630" s="36"/>
      <c r="E630" s="35"/>
      <c r="F630" s="143"/>
      <c r="G630" s="146"/>
      <c r="H630" s="149"/>
      <c r="I630" s="143"/>
      <c r="J630" s="146"/>
      <c r="K630" s="149"/>
      <c r="L630" s="143"/>
      <c r="M630" s="146"/>
      <c r="N630" s="149"/>
      <c r="O630" s="143"/>
      <c r="P630" s="146"/>
      <c r="Q630" s="149"/>
      <c r="R630" s="143"/>
      <c r="S630" s="146"/>
      <c r="T630" s="149"/>
      <c r="U630" s="143"/>
      <c r="V630" s="146"/>
      <c r="W630" s="149"/>
      <c r="X630" s="143"/>
      <c r="Y630" s="146"/>
      <c r="Z630" s="149"/>
      <c r="AA630" s="143"/>
      <c r="AB630" s="146"/>
      <c r="AC630" s="149"/>
      <c r="AD630" s="143"/>
      <c r="AE630" s="146"/>
      <c r="AF630" s="149"/>
      <c r="AG630" s="143"/>
      <c r="AH630" s="146"/>
      <c r="AI630" s="149"/>
      <c r="AJ630" s="143"/>
      <c r="AK630" s="146"/>
      <c r="AL630" s="149"/>
      <c r="AM630" s="143"/>
      <c r="AN630" s="146"/>
      <c r="AO630" s="149"/>
      <c r="AP630" s="143"/>
      <c r="AQ630" s="146"/>
      <c r="AR630" s="149"/>
      <c r="AS630" s="143"/>
      <c r="AT630" s="146"/>
      <c r="AU630" s="149"/>
      <c r="AV630" s="149"/>
    </row>
    <row r="631" spans="1:48" s="34" customFormat="1" ht="12.75">
      <c r="A631" s="36"/>
      <c r="B631" s="36"/>
      <c r="C631" s="36"/>
      <c r="D631" s="36"/>
      <c r="E631" s="35"/>
      <c r="F631" s="143"/>
      <c r="G631" s="146"/>
      <c r="H631" s="149"/>
      <c r="I631" s="143"/>
      <c r="J631" s="146"/>
      <c r="K631" s="149"/>
      <c r="L631" s="143"/>
      <c r="M631" s="146"/>
      <c r="N631" s="149"/>
      <c r="O631" s="143"/>
      <c r="P631" s="146"/>
      <c r="Q631" s="149"/>
      <c r="R631" s="143"/>
      <c r="S631" s="146"/>
      <c r="T631" s="149"/>
      <c r="U631" s="143"/>
      <c r="V631" s="146"/>
      <c r="W631" s="149"/>
      <c r="X631" s="143"/>
      <c r="Y631" s="146"/>
      <c r="Z631" s="149"/>
      <c r="AA631" s="143"/>
      <c r="AB631" s="146"/>
      <c r="AC631" s="149"/>
      <c r="AD631" s="143"/>
      <c r="AE631" s="146"/>
      <c r="AF631" s="149"/>
      <c r="AG631" s="143"/>
      <c r="AH631" s="146"/>
      <c r="AI631" s="149"/>
      <c r="AJ631" s="143"/>
      <c r="AK631" s="146"/>
      <c r="AL631" s="149"/>
      <c r="AM631" s="143"/>
      <c r="AN631" s="146"/>
      <c r="AO631" s="149"/>
      <c r="AP631" s="143"/>
      <c r="AQ631" s="146"/>
      <c r="AR631" s="149"/>
      <c r="AS631" s="143"/>
      <c r="AT631" s="146"/>
      <c r="AU631" s="149"/>
      <c r="AV631" s="149"/>
    </row>
    <row r="632" spans="1:48" s="34" customFormat="1" ht="12.75">
      <c r="A632" s="36"/>
      <c r="B632" s="36"/>
      <c r="C632" s="36"/>
      <c r="D632" s="36"/>
      <c r="E632" s="35"/>
      <c r="F632" s="143"/>
      <c r="G632" s="146"/>
      <c r="H632" s="149"/>
      <c r="I632" s="143"/>
      <c r="J632" s="146"/>
      <c r="K632" s="149"/>
      <c r="L632" s="143"/>
      <c r="M632" s="146"/>
      <c r="N632" s="149"/>
      <c r="O632" s="143"/>
      <c r="P632" s="146"/>
      <c r="Q632" s="149"/>
      <c r="R632" s="143"/>
      <c r="S632" s="146"/>
      <c r="T632" s="149"/>
      <c r="U632" s="143"/>
      <c r="V632" s="146"/>
      <c r="W632" s="149"/>
      <c r="X632" s="143"/>
      <c r="Y632" s="146"/>
      <c r="Z632" s="149"/>
      <c r="AA632" s="143"/>
      <c r="AB632" s="146"/>
      <c r="AC632" s="149"/>
      <c r="AD632" s="143"/>
      <c r="AE632" s="146"/>
      <c r="AF632" s="149"/>
      <c r="AG632" s="143"/>
      <c r="AH632" s="146"/>
      <c r="AI632" s="149"/>
      <c r="AJ632" s="143"/>
      <c r="AK632" s="146"/>
      <c r="AL632" s="149"/>
      <c r="AM632" s="143"/>
      <c r="AN632" s="146"/>
      <c r="AO632" s="149"/>
      <c r="AP632" s="143"/>
      <c r="AQ632" s="146"/>
      <c r="AR632" s="149"/>
      <c r="AS632" s="143"/>
      <c r="AT632" s="146"/>
      <c r="AU632" s="149"/>
      <c r="AV632" s="149"/>
    </row>
    <row r="633" spans="1:48" s="34" customFormat="1" ht="12.75">
      <c r="A633" s="36"/>
      <c r="B633" s="36"/>
      <c r="C633" s="36"/>
      <c r="D633" s="36"/>
      <c r="E633" s="35"/>
      <c r="F633" s="143"/>
      <c r="G633" s="146"/>
      <c r="H633" s="149"/>
      <c r="I633" s="143"/>
      <c r="J633" s="146"/>
      <c r="K633" s="149"/>
      <c r="L633" s="143"/>
      <c r="M633" s="146"/>
      <c r="N633" s="149"/>
      <c r="O633" s="143"/>
      <c r="P633" s="146"/>
      <c r="Q633" s="149"/>
      <c r="R633" s="143"/>
      <c r="S633" s="146"/>
      <c r="T633" s="149"/>
      <c r="U633" s="143"/>
      <c r="V633" s="146"/>
      <c r="W633" s="149"/>
      <c r="X633" s="143"/>
      <c r="Y633" s="146"/>
      <c r="Z633" s="149"/>
      <c r="AA633" s="143"/>
      <c r="AB633" s="146"/>
      <c r="AC633" s="149"/>
      <c r="AD633" s="143"/>
      <c r="AE633" s="146"/>
      <c r="AF633" s="149"/>
      <c r="AG633" s="143"/>
      <c r="AH633" s="146"/>
      <c r="AI633" s="149"/>
      <c r="AJ633" s="143"/>
      <c r="AK633" s="146"/>
      <c r="AL633" s="149"/>
      <c r="AM633" s="143"/>
      <c r="AN633" s="146"/>
      <c r="AO633" s="149"/>
      <c r="AP633" s="143"/>
      <c r="AQ633" s="146"/>
      <c r="AR633" s="149"/>
      <c r="AS633" s="143"/>
      <c r="AT633" s="146"/>
      <c r="AU633" s="149"/>
      <c r="AV633" s="149"/>
    </row>
    <row r="634" spans="1:48" s="34" customFormat="1" ht="12.75">
      <c r="A634" s="36"/>
      <c r="B634" s="36"/>
      <c r="C634" s="36"/>
      <c r="D634" s="36"/>
      <c r="E634" s="35"/>
      <c r="F634" s="143"/>
      <c r="G634" s="146"/>
      <c r="H634" s="149"/>
      <c r="I634" s="143"/>
      <c r="J634" s="146"/>
      <c r="K634" s="149"/>
      <c r="L634" s="143"/>
      <c r="M634" s="146"/>
      <c r="N634" s="149"/>
      <c r="O634" s="143"/>
      <c r="P634" s="146"/>
      <c r="Q634" s="149"/>
      <c r="R634" s="143"/>
      <c r="S634" s="146"/>
      <c r="T634" s="149"/>
      <c r="U634" s="143"/>
      <c r="V634" s="146"/>
      <c r="W634" s="149"/>
      <c r="X634" s="143"/>
      <c r="Y634" s="146"/>
      <c r="Z634" s="149"/>
      <c r="AA634" s="143"/>
      <c r="AB634" s="146"/>
      <c r="AC634" s="149"/>
      <c r="AD634" s="143"/>
      <c r="AE634" s="146"/>
      <c r="AF634" s="149"/>
      <c r="AG634" s="143"/>
      <c r="AH634" s="146"/>
      <c r="AI634" s="149"/>
      <c r="AJ634" s="143"/>
      <c r="AK634" s="146"/>
      <c r="AL634" s="149"/>
      <c r="AM634" s="143"/>
      <c r="AN634" s="146"/>
      <c r="AO634" s="149"/>
      <c r="AP634" s="143"/>
      <c r="AQ634" s="146"/>
      <c r="AR634" s="149"/>
      <c r="AS634" s="143"/>
      <c r="AT634" s="146"/>
      <c r="AU634" s="149"/>
      <c r="AV634" s="149"/>
    </row>
    <row r="635" spans="1:48" s="34" customFormat="1" ht="12.75">
      <c r="A635" s="36"/>
      <c r="B635" s="36"/>
      <c r="C635" s="36"/>
      <c r="D635" s="36"/>
      <c r="E635" s="35"/>
      <c r="F635" s="143"/>
      <c r="G635" s="146"/>
      <c r="H635" s="149"/>
      <c r="I635" s="143"/>
      <c r="J635" s="146"/>
      <c r="K635" s="149"/>
      <c r="L635" s="143"/>
      <c r="M635" s="146"/>
      <c r="N635" s="149"/>
      <c r="O635" s="143"/>
      <c r="P635" s="146"/>
      <c r="Q635" s="149"/>
      <c r="R635" s="143"/>
      <c r="S635" s="146"/>
      <c r="T635" s="149"/>
      <c r="U635" s="143"/>
      <c r="V635" s="146"/>
      <c r="W635" s="149"/>
      <c r="X635" s="143"/>
      <c r="Y635" s="146"/>
      <c r="Z635" s="149"/>
      <c r="AA635" s="143"/>
      <c r="AB635" s="146"/>
      <c r="AC635" s="149"/>
      <c r="AD635" s="143"/>
      <c r="AE635" s="146"/>
      <c r="AF635" s="149"/>
      <c r="AG635" s="143"/>
      <c r="AH635" s="146"/>
      <c r="AI635" s="149"/>
      <c r="AJ635" s="143"/>
      <c r="AK635" s="146"/>
      <c r="AL635" s="149"/>
      <c r="AM635" s="143"/>
      <c r="AN635" s="146"/>
      <c r="AO635" s="149"/>
      <c r="AP635" s="143"/>
      <c r="AQ635" s="146"/>
      <c r="AR635" s="149"/>
      <c r="AS635" s="143"/>
      <c r="AT635" s="146"/>
      <c r="AU635" s="149"/>
      <c r="AV635" s="149"/>
    </row>
    <row r="636" spans="1:48" s="34" customFormat="1" ht="12.75">
      <c r="A636" s="36"/>
      <c r="B636" s="36"/>
      <c r="C636" s="36"/>
      <c r="D636" s="36"/>
      <c r="E636" s="35"/>
      <c r="F636" s="143"/>
      <c r="G636" s="146"/>
      <c r="H636" s="149"/>
      <c r="I636" s="143"/>
      <c r="J636" s="146"/>
      <c r="K636" s="149"/>
      <c r="L636" s="143"/>
      <c r="M636" s="146"/>
      <c r="N636" s="149"/>
      <c r="O636" s="143"/>
      <c r="P636" s="146"/>
      <c r="Q636" s="149"/>
      <c r="R636" s="143"/>
      <c r="S636" s="146"/>
      <c r="T636" s="149"/>
      <c r="U636" s="143"/>
      <c r="V636" s="146"/>
      <c r="W636" s="149"/>
      <c r="X636" s="143"/>
      <c r="Y636" s="146"/>
      <c r="Z636" s="149"/>
      <c r="AA636" s="143"/>
      <c r="AB636" s="146"/>
      <c r="AC636" s="149"/>
      <c r="AD636" s="143"/>
      <c r="AE636" s="146"/>
      <c r="AF636" s="149"/>
      <c r="AG636" s="143"/>
      <c r="AH636" s="146"/>
      <c r="AI636" s="149"/>
      <c r="AJ636" s="143"/>
      <c r="AK636" s="146"/>
      <c r="AL636" s="149"/>
      <c r="AM636" s="143"/>
      <c r="AN636" s="146"/>
      <c r="AO636" s="149"/>
      <c r="AP636" s="143"/>
      <c r="AQ636" s="146"/>
      <c r="AR636" s="149"/>
      <c r="AS636" s="143"/>
      <c r="AT636" s="146"/>
      <c r="AU636" s="149"/>
      <c r="AV636" s="149"/>
    </row>
    <row r="637" spans="1:48" s="34" customFormat="1" ht="12.75">
      <c r="A637" s="36"/>
      <c r="B637" s="36"/>
      <c r="C637" s="36"/>
      <c r="D637" s="36"/>
      <c r="E637" s="35"/>
      <c r="F637" s="143"/>
      <c r="G637" s="146"/>
      <c r="H637" s="149"/>
      <c r="I637" s="143"/>
      <c r="J637" s="146"/>
      <c r="K637" s="149"/>
      <c r="L637" s="143"/>
      <c r="M637" s="146"/>
      <c r="N637" s="149"/>
      <c r="O637" s="143"/>
      <c r="P637" s="146"/>
      <c r="Q637" s="149"/>
      <c r="R637" s="143"/>
      <c r="S637" s="146"/>
      <c r="T637" s="149"/>
      <c r="U637" s="143"/>
      <c r="V637" s="146"/>
      <c r="W637" s="149"/>
      <c r="X637" s="143"/>
      <c r="Y637" s="146"/>
      <c r="Z637" s="149"/>
      <c r="AA637" s="143"/>
      <c r="AB637" s="146"/>
      <c r="AC637" s="149"/>
      <c r="AD637" s="143"/>
      <c r="AE637" s="146"/>
      <c r="AF637" s="149"/>
      <c r="AG637" s="143"/>
      <c r="AH637" s="146"/>
      <c r="AI637" s="149"/>
      <c r="AJ637" s="143"/>
      <c r="AK637" s="146"/>
      <c r="AL637" s="149"/>
      <c r="AM637" s="143"/>
      <c r="AN637" s="146"/>
      <c r="AO637" s="149"/>
      <c r="AP637" s="143"/>
      <c r="AQ637" s="146"/>
      <c r="AR637" s="149"/>
      <c r="AS637" s="143"/>
      <c r="AT637" s="146"/>
      <c r="AU637" s="149"/>
      <c r="AV637" s="149"/>
    </row>
    <row r="638" spans="1:48" s="34" customFormat="1" ht="12.75">
      <c r="A638" s="36"/>
      <c r="B638" s="36"/>
      <c r="C638" s="36"/>
      <c r="D638" s="36"/>
      <c r="E638" s="35"/>
      <c r="F638" s="143"/>
      <c r="G638" s="146"/>
      <c r="H638" s="149"/>
      <c r="I638" s="143"/>
      <c r="J638" s="146"/>
      <c r="K638" s="149"/>
      <c r="L638" s="143"/>
      <c r="M638" s="146"/>
      <c r="N638" s="149"/>
      <c r="O638" s="143"/>
      <c r="P638" s="146"/>
      <c r="Q638" s="149"/>
      <c r="R638" s="143"/>
      <c r="S638" s="146"/>
      <c r="T638" s="149"/>
      <c r="U638" s="143"/>
      <c r="V638" s="146"/>
      <c r="W638" s="149"/>
      <c r="X638" s="143"/>
      <c r="Y638" s="146"/>
      <c r="Z638" s="149"/>
      <c r="AA638" s="143"/>
      <c r="AB638" s="146"/>
      <c r="AC638" s="149"/>
      <c r="AD638" s="143"/>
      <c r="AE638" s="146"/>
      <c r="AF638" s="149"/>
      <c r="AG638" s="143"/>
      <c r="AH638" s="146"/>
      <c r="AI638" s="149"/>
      <c r="AJ638" s="143"/>
      <c r="AK638" s="146"/>
      <c r="AL638" s="149"/>
      <c r="AM638" s="143"/>
      <c r="AN638" s="146"/>
      <c r="AO638" s="149"/>
      <c r="AP638" s="143"/>
      <c r="AQ638" s="146"/>
      <c r="AR638" s="149"/>
      <c r="AS638" s="143"/>
      <c r="AT638" s="146"/>
      <c r="AU638" s="149"/>
      <c r="AV638" s="149"/>
    </row>
    <row r="639" spans="1:48" s="34" customFormat="1" ht="12.75">
      <c r="A639" s="36"/>
      <c r="B639" s="36"/>
      <c r="C639" s="36"/>
      <c r="D639" s="36"/>
      <c r="E639" s="35"/>
      <c r="F639" s="143"/>
      <c r="G639" s="146"/>
      <c r="H639" s="149"/>
      <c r="I639" s="143"/>
      <c r="J639" s="146"/>
      <c r="K639" s="149"/>
      <c r="L639" s="143"/>
      <c r="M639" s="146"/>
      <c r="N639" s="149"/>
      <c r="O639" s="143"/>
      <c r="P639" s="146"/>
      <c r="Q639" s="149"/>
      <c r="R639" s="143"/>
      <c r="S639" s="146"/>
      <c r="T639" s="149"/>
      <c r="U639" s="143"/>
      <c r="V639" s="146"/>
      <c r="W639" s="149"/>
      <c r="X639" s="143"/>
      <c r="Y639" s="146"/>
      <c r="Z639" s="149"/>
      <c r="AA639" s="143"/>
      <c r="AB639" s="146"/>
      <c r="AC639" s="149"/>
      <c r="AD639" s="143"/>
      <c r="AE639" s="146"/>
      <c r="AF639" s="149"/>
      <c r="AG639" s="143"/>
      <c r="AH639" s="146"/>
      <c r="AI639" s="149"/>
      <c r="AJ639" s="143"/>
      <c r="AK639" s="146"/>
      <c r="AL639" s="149"/>
      <c r="AM639" s="143"/>
      <c r="AN639" s="146"/>
      <c r="AO639" s="149"/>
      <c r="AP639" s="143"/>
      <c r="AQ639" s="146"/>
      <c r="AR639" s="149"/>
      <c r="AS639" s="143"/>
      <c r="AT639" s="146"/>
      <c r="AU639" s="149"/>
      <c r="AV639" s="149"/>
    </row>
    <row r="640" spans="1:48" s="34" customFormat="1" ht="12.75">
      <c r="A640" s="36"/>
      <c r="B640" s="36"/>
      <c r="C640" s="36"/>
      <c r="D640" s="36"/>
      <c r="E640" s="35"/>
      <c r="F640" s="143"/>
      <c r="G640" s="146"/>
      <c r="H640" s="149"/>
      <c r="I640" s="143"/>
      <c r="J640" s="146"/>
      <c r="K640" s="149"/>
      <c r="L640" s="143"/>
      <c r="M640" s="146"/>
      <c r="N640" s="149"/>
      <c r="O640" s="143"/>
      <c r="P640" s="146"/>
      <c r="Q640" s="149"/>
      <c r="R640" s="143"/>
      <c r="S640" s="146"/>
      <c r="T640" s="149"/>
      <c r="U640" s="143"/>
      <c r="V640" s="146"/>
      <c r="W640" s="149"/>
      <c r="X640" s="143"/>
      <c r="Y640" s="146"/>
      <c r="Z640" s="149"/>
      <c r="AA640" s="143"/>
      <c r="AB640" s="146"/>
      <c r="AC640" s="149"/>
      <c r="AD640" s="143"/>
      <c r="AE640" s="146"/>
      <c r="AF640" s="149"/>
      <c r="AG640" s="143"/>
      <c r="AH640" s="146"/>
      <c r="AI640" s="149"/>
      <c r="AJ640" s="143"/>
      <c r="AK640" s="146"/>
      <c r="AL640" s="149"/>
      <c r="AM640" s="143"/>
      <c r="AN640" s="146"/>
      <c r="AO640" s="149"/>
      <c r="AP640" s="143"/>
      <c r="AQ640" s="146"/>
      <c r="AR640" s="149"/>
      <c r="AS640" s="143"/>
      <c r="AT640" s="146"/>
      <c r="AU640" s="149"/>
      <c r="AV640" s="149"/>
    </row>
    <row r="641" spans="1:48" s="34" customFormat="1" ht="12.75">
      <c r="A641" s="36"/>
      <c r="B641" s="36"/>
      <c r="C641" s="36"/>
      <c r="D641" s="36"/>
      <c r="E641" s="35"/>
      <c r="F641" s="143"/>
      <c r="G641" s="146"/>
      <c r="H641" s="149"/>
      <c r="I641" s="143"/>
      <c r="J641" s="146"/>
      <c r="K641" s="149"/>
      <c r="L641" s="143"/>
      <c r="M641" s="146"/>
      <c r="N641" s="149"/>
      <c r="O641" s="143"/>
      <c r="P641" s="146"/>
      <c r="Q641" s="149"/>
      <c r="R641" s="143"/>
      <c r="S641" s="146"/>
      <c r="T641" s="149"/>
      <c r="U641" s="143"/>
      <c r="V641" s="146"/>
      <c r="W641" s="149"/>
      <c r="X641" s="143"/>
      <c r="Y641" s="146"/>
      <c r="Z641" s="149"/>
      <c r="AA641" s="143"/>
      <c r="AB641" s="146"/>
      <c r="AC641" s="149"/>
      <c r="AD641" s="143"/>
      <c r="AE641" s="146"/>
      <c r="AF641" s="149"/>
      <c r="AG641" s="143"/>
      <c r="AH641" s="146"/>
      <c r="AI641" s="149"/>
      <c r="AJ641" s="143"/>
      <c r="AK641" s="146"/>
      <c r="AL641" s="149"/>
      <c r="AM641" s="143"/>
      <c r="AN641" s="146"/>
      <c r="AO641" s="149"/>
      <c r="AP641" s="143"/>
      <c r="AQ641" s="146"/>
      <c r="AR641" s="149"/>
      <c r="AS641" s="143"/>
      <c r="AT641" s="146"/>
      <c r="AU641" s="149"/>
      <c r="AV641" s="149"/>
    </row>
    <row r="642" spans="1:48" s="34" customFormat="1" ht="12.75">
      <c r="A642" s="36"/>
      <c r="B642" s="36"/>
      <c r="C642" s="36"/>
      <c r="D642" s="36"/>
      <c r="E642" s="35"/>
      <c r="F642" s="143"/>
      <c r="G642" s="146"/>
      <c r="H642" s="149"/>
      <c r="I642" s="143"/>
      <c r="J642" s="146"/>
      <c r="K642" s="149"/>
      <c r="L642" s="143"/>
      <c r="M642" s="146"/>
      <c r="N642" s="149"/>
      <c r="O642" s="143"/>
      <c r="P642" s="146"/>
      <c r="Q642" s="149"/>
      <c r="R642" s="143"/>
      <c r="S642" s="146"/>
      <c r="T642" s="149"/>
      <c r="U642" s="143"/>
      <c r="V642" s="146"/>
      <c r="W642" s="149"/>
      <c r="X642" s="143"/>
      <c r="Y642" s="146"/>
      <c r="Z642" s="149"/>
      <c r="AA642" s="143"/>
      <c r="AB642" s="146"/>
      <c r="AC642" s="149"/>
      <c r="AD642" s="143"/>
      <c r="AE642" s="146"/>
      <c r="AF642" s="149"/>
      <c r="AG642" s="143"/>
      <c r="AH642" s="146"/>
      <c r="AI642" s="149"/>
      <c r="AJ642" s="143"/>
      <c r="AK642" s="146"/>
      <c r="AL642" s="149"/>
      <c r="AM642" s="143"/>
      <c r="AN642" s="146"/>
      <c r="AO642" s="149"/>
      <c r="AP642" s="143"/>
      <c r="AQ642" s="146"/>
      <c r="AR642" s="149"/>
      <c r="AS642" s="143"/>
      <c r="AT642" s="146"/>
      <c r="AU642" s="149"/>
      <c r="AV642" s="149"/>
    </row>
    <row r="643" spans="1:48" s="34" customFormat="1" ht="12.75">
      <c r="A643" s="36"/>
      <c r="B643" s="36"/>
      <c r="C643" s="36"/>
      <c r="D643" s="36"/>
      <c r="E643" s="35"/>
      <c r="F643" s="143"/>
      <c r="G643" s="146"/>
      <c r="H643" s="149"/>
      <c r="I643" s="143"/>
      <c r="J643" s="146"/>
      <c r="K643" s="149"/>
      <c r="L643" s="143"/>
      <c r="M643" s="146"/>
      <c r="N643" s="149"/>
      <c r="O643" s="143"/>
      <c r="P643" s="146"/>
      <c r="Q643" s="149"/>
      <c r="R643" s="143"/>
      <c r="S643" s="146"/>
      <c r="T643" s="149"/>
      <c r="U643" s="143"/>
      <c r="V643" s="146"/>
      <c r="W643" s="149"/>
      <c r="X643" s="143"/>
      <c r="Y643" s="146"/>
      <c r="Z643" s="149"/>
      <c r="AA643" s="143"/>
      <c r="AB643" s="146"/>
      <c r="AC643" s="149"/>
      <c r="AD643" s="143"/>
      <c r="AE643" s="146"/>
      <c r="AF643" s="149"/>
      <c r="AG643" s="143"/>
      <c r="AH643" s="146"/>
      <c r="AI643" s="149"/>
      <c r="AJ643" s="143"/>
      <c r="AK643" s="146"/>
      <c r="AL643" s="149"/>
      <c r="AM643" s="143"/>
      <c r="AN643" s="146"/>
      <c r="AO643" s="149"/>
      <c r="AP643" s="143"/>
      <c r="AQ643" s="146"/>
      <c r="AR643" s="149"/>
      <c r="AS643" s="143"/>
      <c r="AT643" s="146"/>
      <c r="AU643" s="149"/>
      <c r="AV643" s="149"/>
    </row>
    <row r="644" spans="1:48" s="34" customFormat="1" ht="12.75">
      <c r="A644" s="36"/>
      <c r="B644" s="36"/>
      <c r="C644" s="36"/>
      <c r="D644" s="36"/>
      <c r="E644" s="35"/>
      <c r="F644" s="143"/>
      <c r="G644" s="146"/>
      <c r="H644" s="149"/>
      <c r="I644" s="143"/>
      <c r="J644" s="146"/>
      <c r="K644" s="149"/>
      <c r="L644" s="143"/>
      <c r="M644" s="146"/>
      <c r="N644" s="149"/>
      <c r="O644" s="143"/>
      <c r="P644" s="146"/>
      <c r="Q644" s="149"/>
      <c r="R644" s="143"/>
      <c r="S644" s="146"/>
      <c r="T644" s="149"/>
      <c r="U644" s="143"/>
      <c r="V644" s="146"/>
      <c r="W644" s="149"/>
      <c r="X644" s="143"/>
      <c r="Y644" s="146"/>
      <c r="Z644" s="149"/>
      <c r="AA644" s="143"/>
      <c r="AB644" s="146"/>
      <c r="AC644" s="149"/>
      <c r="AD644" s="143"/>
      <c r="AE644" s="146"/>
      <c r="AF644" s="149"/>
      <c r="AG644" s="143"/>
      <c r="AH644" s="146"/>
      <c r="AI644" s="149"/>
      <c r="AJ644" s="143"/>
      <c r="AK644" s="146"/>
      <c r="AL644" s="149"/>
      <c r="AM644" s="143"/>
      <c r="AN644" s="146"/>
      <c r="AO644" s="149"/>
      <c r="AP644" s="143"/>
      <c r="AQ644" s="146"/>
      <c r="AR644" s="149"/>
      <c r="AS644" s="143"/>
      <c r="AT644" s="146"/>
      <c r="AU644" s="149"/>
      <c r="AV644" s="149"/>
    </row>
    <row r="645" spans="1:48" s="34" customFormat="1" ht="12.75">
      <c r="A645" s="36"/>
      <c r="B645" s="36"/>
      <c r="C645" s="36"/>
      <c r="D645" s="36"/>
      <c r="E645" s="35"/>
      <c r="F645" s="143"/>
      <c r="G645" s="146"/>
      <c r="H645" s="149"/>
      <c r="I645" s="143"/>
      <c r="J645" s="146"/>
      <c r="K645" s="149"/>
      <c r="L645" s="143"/>
      <c r="M645" s="146"/>
      <c r="N645" s="149"/>
      <c r="O645" s="143"/>
      <c r="P645" s="146"/>
      <c r="Q645" s="149"/>
      <c r="R645" s="143"/>
      <c r="S645" s="146"/>
      <c r="T645" s="149"/>
      <c r="U645" s="143"/>
      <c r="V645" s="146"/>
      <c r="W645" s="149"/>
      <c r="X645" s="143"/>
      <c r="Y645" s="146"/>
      <c r="Z645" s="149"/>
      <c r="AA645" s="143"/>
      <c r="AB645" s="146"/>
      <c r="AC645" s="149"/>
      <c r="AD645" s="143"/>
      <c r="AE645" s="146"/>
      <c r="AF645" s="149"/>
      <c r="AG645" s="143"/>
      <c r="AH645" s="146"/>
      <c r="AI645" s="149"/>
      <c r="AJ645" s="143"/>
      <c r="AK645" s="146"/>
      <c r="AL645" s="149"/>
      <c r="AM645" s="143"/>
      <c r="AN645" s="146"/>
      <c r="AO645" s="149"/>
      <c r="AP645" s="143"/>
      <c r="AQ645" s="146"/>
      <c r="AR645" s="149"/>
      <c r="AS645" s="143"/>
      <c r="AT645" s="146"/>
      <c r="AU645" s="149"/>
      <c r="AV645" s="149"/>
    </row>
    <row r="646" spans="1:48" s="34" customFormat="1" ht="12.75">
      <c r="A646" s="36"/>
      <c r="B646" s="36"/>
      <c r="C646" s="36"/>
      <c r="D646" s="36"/>
      <c r="E646" s="35"/>
      <c r="F646" s="143"/>
      <c r="G646" s="146"/>
      <c r="H646" s="149"/>
      <c r="I646" s="143"/>
      <c r="J646" s="146"/>
      <c r="K646" s="149"/>
      <c r="L646" s="143"/>
      <c r="M646" s="146"/>
      <c r="N646" s="149"/>
      <c r="O646" s="143"/>
      <c r="P646" s="146"/>
      <c r="Q646" s="149"/>
      <c r="R646" s="143"/>
      <c r="S646" s="146"/>
      <c r="T646" s="149"/>
      <c r="U646" s="143"/>
      <c r="V646" s="146"/>
      <c r="W646" s="149"/>
      <c r="X646" s="143"/>
      <c r="Y646" s="146"/>
      <c r="Z646" s="149"/>
      <c r="AA646" s="143"/>
      <c r="AB646" s="146"/>
      <c r="AC646" s="149"/>
      <c r="AD646" s="143"/>
      <c r="AE646" s="146"/>
      <c r="AF646" s="149"/>
      <c r="AG646" s="143"/>
      <c r="AH646" s="146"/>
      <c r="AI646" s="149"/>
      <c r="AJ646" s="143"/>
      <c r="AK646" s="146"/>
      <c r="AL646" s="149"/>
      <c r="AM646" s="143"/>
      <c r="AN646" s="146"/>
      <c r="AO646" s="149"/>
      <c r="AP646" s="143"/>
      <c r="AQ646" s="146"/>
      <c r="AR646" s="149"/>
      <c r="AS646" s="143"/>
      <c r="AT646" s="146"/>
      <c r="AU646" s="149"/>
      <c r="AV646" s="149"/>
    </row>
    <row r="647" spans="1:48" s="34" customFormat="1" ht="12.75">
      <c r="A647" s="36"/>
      <c r="B647" s="36"/>
      <c r="C647" s="36"/>
      <c r="D647" s="36"/>
      <c r="E647" s="35"/>
      <c r="F647" s="143"/>
      <c r="G647" s="146"/>
      <c r="H647" s="149"/>
      <c r="I647" s="143"/>
      <c r="J647" s="146"/>
      <c r="K647" s="149"/>
      <c r="L647" s="143"/>
      <c r="M647" s="146"/>
      <c r="N647" s="149"/>
      <c r="O647" s="143"/>
      <c r="P647" s="146"/>
      <c r="Q647" s="149"/>
      <c r="R647" s="143"/>
      <c r="S647" s="146"/>
      <c r="T647" s="149"/>
      <c r="U647" s="143"/>
      <c r="V647" s="146"/>
      <c r="W647" s="149"/>
      <c r="X647" s="143"/>
      <c r="Y647" s="146"/>
      <c r="Z647" s="149"/>
      <c r="AA647" s="143"/>
      <c r="AB647" s="146"/>
      <c r="AC647" s="149"/>
      <c r="AD647" s="143"/>
      <c r="AE647" s="146"/>
      <c r="AF647" s="149"/>
      <c r="AG647" s="143"/>
      <c r="AH647" s="146"/>
      <c r="AI647" s="149"/>
      <c r="AJ647" s="143"/>
      <c r="AK647" s="146"/>
      <c r="AL647" s="149"/>
      <c r="AM647" s="143"/>
      <c r="AN647" s="146"/>
      <c r="AO647" s="149"/>
      <c r="AP647" s="143"/>
      <c r="AQ647" s="146"/>
      <c r="AR647" s="149"/>
      <c r="AS647" s="143"/>
      <c r="AT647" s="146"/>
      <c r="AU647" s="149"/>
      <c r="AV647" s="149"/>
    </row>
    <row r="648" spans="1:48" s="34" customFormat="1" ht="12.75">
      <c r="A648" s="36"/>
      <c r="B648" s="36"/>
      <c r="C648" s="36"/>
      <c r="D648" s="36"/>
      <c r="E648" s="35"/>
      <c r="F648" s="143"/>
      <c r="G648" s="146"/>
      <c r="H648" s="149"/>
      <c r="I648" s="143"/>
      <c r="J648" s="146"/>
      <c r="K648" s="149"/>
      <c r="L648" s="143"/>
      <c r="M648" s="146"/>
      <c r="N648" s="149"/>
      <c r="O648" s="143"/>
      <c r="P648" s="146"/>
      <c r="Q648" s="149"/>
      <c r="R648" s="143"/>
      <c r="S648" s="146"/>
      <c r="T648" s="149"/>
      <c r="U648" s="143"/>
      <c r="V648" s="146"/>
      <c r="W648" s="149"/>
      <c r="X648" s="143"/>
      <c r="Y648" s="146"/>
      <c r="Z648" s="149"/>
      <c r="AA648" s="143"/>
      <c r="AB648" s="146"/>
      <c r="AC648" s="149"/>
      <c r="AD648" s="143"/>
      <c r="AE648" s="146"/>
      <c r="AF648" s="149"/>
      <c r="AG648" s="143"/>
      <c r="AH648" s="146"/>
      <c r="AI648" s="149"/>
      <c r="AJ648" s="143"/>
      <c r="AK648" s="146"/>
      <c r="AL648" s="149"/>
      <c r="AM648" s="143"/>
      <c r="AN648" s="146"/>
      <c r="AO648" s="149"/>
      <c r="AP648" s="143"/>
      <c r="AQ648" s="146"/>
      <c r="AR648" s="149"/>
      <c r="AS648" s="143"/>
      <c r="AT648" s="146"/>
      <c r="AU648" s="149"/>
      <c r="AV648" s="149"/>
    </row>
    <row r="649" spans="1:48" s="34" customFormat="1" ht="12.75">
      <c r="A649" s="36"/>
      <c r="B649" s="36"/>
      <c r="C649" s="36"/>
      <c r="D649" s="36"/>
      <c r="E649" s="35"/>
      <c r="F649" s="143"/>
      <c r="G649" s="146"/>
      <c r="H649" s="149"/>
      <c r="I649" s="143"/>
      <c r="J649" s="146"/>
      <c r="K649" s="149"/>
      <c r="L649" s="143"/>
      <c r="M649" s="146"/>
      <c r="N649" s="149"/>
      <c r="O649" s="143"/>
      <c r="P649" s="146"/>
      <c r="Q649" s="149"/>
      <c r="R649" s="143"/>
      <c r="S649" s="146"/>
      <c r="T649" s="149"/>
      <c r="U649" s="143"/>
      <c r="V649" s="146"/>
      <c r="W649" s="149"/>
      <c r="X649" s="143"/>
      <c r="Y649" s="146"/>
      <c r="Z649" s="149"/>
      <c r="AA649" s="143"/>
      <c r="AB649" s="146"/>
      <c r="AC649" s="149"/>
      <c r="AD649" s="143"/>
      <c r="AE649" s="146"/>
      <c r="AF649" s="149"/>
      <c r="AG649" s="143"/>
      <c r="AH649" s="146"/>
      <c r="AI649" s="149"/>
      <c r="AJ649" s="143"/>
      <c r="AK649" s="146"/>
      <c r="AL649" s="149"/>
      <c r="AM649" s="143"/>
      <c r="AN649" s="146"/>
      <c r="AO649" s="149"/>
      <c r="AP649" s="143"/>
      <c r="AQ649" s="146"/>
      <c r="AR649" s="149"/>
      <c r="AS649" s="143"/>
      <c r="AT649" s="146"/>
      <c r="AU649" s="149"/>
      <c r="AV649" s="149"/>
    </row>
    <row r="650" spans="1:48" s="34" customFormat="1" ht="12.75">
      <c r="A650" s="36"/>
      <c r="B650" s="36"/>
      <c r="C650" s="36"/>
      <c r="D650" s="36"/>
      <c r="E650" s="35"/>
      <c r="F650" s="143"/>
      <c r="G650" s="146"/>
      <c r="H650" s="149"/>
      <c r="I650" s="143"/>
      <c r="J650" s="146"/>
      <c r="K650" s="149"/>
      <c r="L650" s="143"/>
      <c r="M650" s="146"/>
      <c r="N650" s="149"/>
      <c r="O650" s="143"/>
      <c r="P650" s="146"/>
      <c r="Q650" s="149"/>
      <c r="R650" s="143"/>
      <c r="S650" s="146"/>
      <c r="T650" s="149"/>
      <c r="U650" s="143"/>
      <c r="V650" s="146"/>
      <c r="W650" s="149"/>
      <c r="X650" s="143"/>
      <c r="Y650" s="146"/>
      <c r="Z650" s="149"/>
      <c r="AA650" s="143"/>
      <c r="AB650" s="146"/>
      <c r="AC650" s="149"/>
      <c r="AD650" s="143"/>
      <c r="AE650" s="146"/>
      <c r="AF650" s="149"/>
      <c r="AG650" s="143"/>
      <c r="AH650" s="146"/>
      <c r="AI650" s="149"/>
      <c r="AJ650" s="143"/>
      <c r="AK650" s="146"/>
      <c r="AL650" s="149"/>
      <c r="AM650" s="143"/>
      <c r="AN650" s="146"/>
      <c r="AO650" s="149"/>
      <c r="AP650" s="143"/>
      <c r="AQ650" s="146"/>
      <c r="AR650" s="149"/>
      <c r="AS650" s="143"/>
      <c r="AT650" s="146"/>
      <c r="AU650" s="149"/>
      <c r="AV650" s="149"/>
    </row>
    <row r="651" spans="1:48" s="34" customFormat="1" ht="12.75">
      <c r="A651" s="36"/>
      <c r="B651" s="36"/>
      <c r="C651" s="36"/>
      <c r="D651" s="36"/>
      <c r="E651" s="35"/>
      <c r="F651" s="143"/>
      <c r="G651" s="146"/>
      <c r="H651" s="149"/>
      <c r="I651" s="143"/>
      <c r="J651" s="146"/>
      <c r="K651" s="149"/>
      <c r="L651" s="143"/>
      <c r="M651" s="146"/>
      <c r="N651" s="149"/>
      <c r="O651" s="143"/>
      <c r="P651" s="146"/>
      <c r="Q651" s="149"/>
      <c r="R651" s="143"/>
      <c r="S651" s="146"/>
      <c r="T651" s="149"/>
      <c r="U651" s="143"/>
      <c r="V651" s="146"/>
      <c r="W651" s="149"/>
      <c r="X651" s="143"/>
      <c r="Y651" s="146"/>
      <c r="Z651" s="149"/>
      <c r="AA651" s="143"/>
      <c r="AB651" s="146"/>
      <c r="AC651" s="149"/>
      <c r="AD651" s="143"/>
      <c r="AE651" s="146"/>
      <c r="AF651" s="149"/>
      <c r="AG651" s="143"/>
      <c r="AH651" s="146"/>
      <c r="AI651" s="149"/>
      <c r="AJ651" s="143"/>
      <c r="AK651" s="146"/>
      <c r="AL651" s="149"/>
      <c r="AM651" s="143"/>
      <c r="AN651" s="146"/>
      <c r="AO651" s="149"/>
      <c r="AP651" s="143"/>
      <c r="AQ651" s="146"/>
      <c r="AR651" s="149"/>
      <c r="AS651" s="143"/>
      <c r="AT651" s="146"/>
      <c r="AU651" s="149"/>
      <c r="AV651" s="149"/>
    </row>
    <row r="652" spans="1:48" s="34" customFormat="1" ht="12.75">
      <c r="A652" s="36"/>
      <c r="B652" s="36"/>
      <c r="C652" s="36"/>
      <c r="D652" s="36"/>
      <c r="E652" s="35"/>
      <c r="F652" s="143"/>
      <c r="G652" s="146"/>
      <c r="H652" s="149"/>
      <c r="I652" s="143"/>
      <c r="J652" s="146"/>
      <c r="K652" s="149"/>
      <c r="L652" s="143"/>
      <c r="M652" s="146"/>
      <c r="N652" s="149"/>
      <c r="O652" s="143"/>
      <c r="P652" s="146"/>
      <c r="Q652" s="149"/>
      <c r="R652" s="143"/>
      <c r="S652" s="146"/>
      <c r="T652" s="149"/>
      <c r="U652" s="143"/>
      <c r="V652" s="146"/>
      <c r="W652" s="149"/>
      <c r="X652" s="143"/>
      <c r="Y652" s="146"/>
      <c r="Z652" s="149"/>
      <c r="AA652" s="143"/>
      <c r="AB652" s="146"/>
      <c r="AC652" s="149"/>
      <c r="AD652" s="143"/>
      <c r="AE652" s="146"/>
      <c r="AF652" s="149"/>
      <c r="AG652" s="143"/>
      <c r="AH652" s="146"/>
      <c r="AI652" s="149"/>
      <c r="AJ652" s="143"/>
      <c r="AK652" s="146"/>
      <c r="AL652" s="149"/>
      <c r="AM652" s="143"/>
      <c r="AN652" s="146"/>
      <c r="AO652" s="149"/>
      <c r="AP652" s="143"/>
      <c r="AQ652" s="146"/>
      <c r="AR652" s="149"/>
      <c r="AS652" s="143"/>
      <c r="AT652" s="146"/>
      <c r="AU652" s="149"/>
      <c r="AV652" s="149"/>
    </row>
    <row r="653" spans="1:48" s="34" customFormat="1" ht="12.75">
      <c r="A653" s="36"/>
      <c r="B653" s="36"/>
      <c r="C653" s="36"/>
      <c r="D653" s="36"/>
      <c r="E653" s="35"/>
      <c r="F653" s="143"/>
      <c r="G653" s="146"/>
      <c r="H653" s="149"/>
      <c r="I653" s="143"/>
      <c r="J653" s="146"/>
      <c r="K653" s="149"/>
      <c r="L653" s="143"/>
      <c r="M653" s="146"/>
      <c r="N653" s="149"/>
      <c r="O653" s="143"/>
      <c r="P653" s="146"/>
      <c r="Q653" s="149"/>
      <c r="R653" s="143"/>
      <c r="S653" s="146"/>
      <c r="T653" s="149"/>
      <c r="U653" s="143"/>
      <c r="V653" s="146"/>
      <c r="W653" s="149"/>
      <c r="X653" s="143"/>
      <c r="Y653" s="146"/>
      <c r="Z653" s="149"/>
      <c r="AA653" s="143"/>
      <c r="AB653" s="146"/>
      <c r="AC653" s="149"/>
      <c r="AD653" s="143"/>
      <c r="AE653" s="146"/>
      <c r="AF653" s="149"/>
      <c r="AG653" s="143"/>
      <c r="AH653" s="146"/>
      <c r="AI653" s="149"/>
      <c r="AJ653" s="143"/>
      <c r="AK653" s="146"/>
      <c r="AL653" s="149"/>
      <c r="AM653" s="143"/>
      <c r="AN653" s="146"/>
      <c r="AO653" s="149"/>
      <c r="AP653" s="143"/>
      <c r="AQ653" s="146"/>
      <c r="AR653" s="149"/>
      <c r="AS653" s="143"/>
      <c r="AT653" s="146"/>
      <c r="AU653" s="149"/>
      <c r="AV653" s="149"/>
    </row>
    <row r="654" spans="1:48" s="34" customFormat="1" ht="12.75">
      <c r="A654" s="36"/>
      <c r="B654" s="36"/>
      <c r="C654" s="36"/>
      <c r="D654" s="36"/>
      <c r="E654" s="35"/>
      <c r="F654" s="143"/>
      <c r="G654" s="146"/>
      <c r="H654" s="149"/>
      <c r="I654" s="143"/>
      <c r="J654" s="146"/>
      <c r="K654" s="149"/>
      <c r="L654" s="143"/>
      <c r="M654" s="146"/>
      <c r="N654" s="149"/>
      <c r="O654" s="143"/>
      <c r="P654" s="146"/>
      <c r="Q654" s="149"/>
      <c r="R654" s="143"/>
      <c r="S654" s="146"/>
      <c r="T654" s="149"/>
      <c r="U654" s="143"/>
      <c r="V654" s="146"/>
      <c r="W654" s="149"/>
      <c r="X654" s="143"/>
      <c r="Y654" s="146"/>
      <c r="Z654" s="149"/>
      <c r="AA654" s="143"/>
      <c r="AB654" s="146"/>
      <c r="AC654" s="149"/>
      <c r="AD654" s="143"/>
      <c r="AE654" s="146"/>
      <c r="AF654" s="149"/>
      <c r="AG654" s="143"/>
      <c r="AH654" s="146"/>
      <c r="AI654" s="149"/>
      <c r="AJ654" s="143"/>
      <c r="AK654" s="146"/>
      <c r="AL654" s="149"/>
      <c r="AM654" s="143"/>
      <c r="AN654" s="146"/>
      <c r="AO654" s="149"/>
      <c r="AP654" s="143"/>
      <c r="AQ654" s="146"/>
      <c r="AR654" s="149"/>
      <c r="AS654" s="143"/>
      <c r="AT654" s="146"/>
      <c r="AU654" s="149"/>
      <c r="AV654" s="149"/>
    </row>
    <row r="655" spans="1:48" s="34" customFormat="1" ht="12.75">
      <c r="A655" s="36"/>
      <c r="B655" s="36"/>
      <c r="C655" s="36"/>
      <c r="D655" s="36"/>
      <c r="E655" s="35"/>
      <c r="F655" s="143"/>
      <c r="G655" s="146"/>
      <c r="H655" s="149"/>
      <c r="I655" s="143"/>
      <c r="J655" s="146"/>
      <c r="K655" s="149"/>
      <c r="L655" s="143"/>
      <c r="M655" s="146"/>
      <c r="N655" s="149"/>
      <c r="O655" s="143"/>
      <c r="P655" s="146"/>
      <c r="Q655" s="149"/>
      <c r="R655" s="143"/>
      <c r="S655" s="146"/>
      <c r="T655" s="149"/>
      <c r="U655" s="143"/>
      <c r="V655" s="146"/>
      <c r="W655" s="149"/>
      <c r="X655" s="143"/>
      <c r="Y655" s="146"/>
      <c r="Z655" s="149"/>
      <c r="AA655" s="143"/>
      <c r="AB655" s="146"/>
      <c r="AC655" s="149"/>
      <c r="AD655" s="143"/>
      <c r="AE655" s="146"/>
      <c r="AF655" s="149"/>
      <c r="AG655" s="143"/>
      <c r="AH655" s="146"/>
      <c r="AI655" s="149"/>
      <c r="AJ655" s="143"/>
      <c r="AK655" s="146"/>
      <c r="AL655" s="149"/>
      <c r="AM655" s="143"/>
      <c r="AN655" s="146"/>
      <c r="AO655" s="149"/>
      <c r="AP655" s="143"/>
      <c r="AQ655" s="146"/>
      <c r="AR655" s="149"/>
      <c r="AS655" s="143"/>
      <c r="AT655" s="146"/>
      <c r="AU655" s="149"/>
      <c r="AV655" s="149"/>
    </row>
    <row r="656" spans="1:48" s="34" customFormat="1" ht="12.75">
      <c r="A656" s="36"/>
      <c r="B656" s="36"/>
      <c r="C656" s="36"/>
      <c r="D656" s="36"/>
      <c r="E656" s="35"/>
      <c r="F656" s="143"/>
      <c r="G656" s="146"/>
      <c r="H656" s="149"/>
      <c r="I656" s="143"/>
      <c r="J656" s="146"/>
      <c r="K656" s="149"/>
      <c r="L656" s="143"/>
      <c r="M656" s="146"/>
      <c r="N656" s="149"/>
      <c r="O656" s="143"/>
      <c r="P656" s="146"/>
      <c r="Q656" s="149"/>
      <c r="R656" s="143"/>
      <c r="S656" s="146"/>
      <c r="T656" s="149"/>
      <c r="U656" s="143"/>
      <c r="V656" s="146"/>
      <c r="W656" s="149"/>
      <c r="X656" s="143"/>
      <c r="Y656" s="146"/>
      <c r="Z656" s="149"/>
      <c r="AA656" s="143"/>
      <c r="AB656" s="146"/>
      <c r="AC656" s="149"/>
      <c r="AD656" s="143"/>
      <c r="AE656" s="146"/>
      <c r="AF656" s="149"/>
      <c r="AG656" s="143"/>
      <c r="AH656" s="146"/>
      <c r="AI656" s="149"/>
      <c r="AJ656" s="143"/>
      <c r="AK656" s="146"/>
      <c r="AL656" s="149"/>
      <c r="AM656" s="143"/>
      <c r="AN656" s="146"/>
      <c r="AO656" s="149"/>
      <c r="AP656" s="143"/>
      <c r="AQ656" s="146"/>
      <c r="AR656" s="149"/>
      <c r="AS656" s="143"/>
      <c r="AT656" s="146"/>
      <c r="AU656" s="149"/>
      <c r="AV656" s="149"/>
    </row>
    <row r="657" spans="1:48" s="34" customFormat="1" ht="12.75">
      <c r="A657" s="36"/>
      <c r="B657" s="36"/>
      <c r="C657" s="36"/>
      <c r="D657" s="36"/>
      <c r="E657" s="35"/>
      <c r="F657" s="143"/>
      <c r="G657" s="146"/>
      <c r="H657" s="149"/>
      <c r="I657" s="143"/>
      <c r="J657" s="146"/>
      <c r="K657" s="149"/>
      <c r="L657" s="143"/>
      <c r="M657" s="146"/>
      <c r="N657" s="149"/>
      <c r="O657" s="143"/>
      <c r="P657" s="146"/>
      <c r="Q657" s="149"/>
      <c r="R657" s="143"/>
      <c r="S657" s="146"/>
      <c r="T657" s="149"/>
      <c r="U657" s="143"/>
      <c r="V657" s="146"/>
      <c r="W657" s="149"/>
      <c r="X657" s="143"/>
      <c r="Y657" s="146"/>
      <c r="Z657" s="149"/>
      <c r="AA657" s="143"/>
      <c r="AB657" s="146"/>
      <c r="AC657" s="149"/>
      <c r="AD657" s="143"/>
      <c r="AE657" s="146"/>
      <c r="AF657" s="149"/>
      <c r="AG657" s="143"/>
      <c r="AH657" s="146"/>
      <c r="AI657" s="149"/>
      <c r="AJ657" s="143"/>
      <c r="AK657" s="146"/>
      <c r="AL657" s="149"/>
      <c r="AM657" s="143"/>
      <c r="AN657" s="146"/>
      <c r="AO657" s="149"/>
      <c r="AP657" s="143"/>
      <c r="AQ657" s="146"/>
      <c r="AR657" s="149"/>
      <c r="AS657" s="143"/>
      <c r="AT657" s="146"/>
      <c r="AU657" s="149"/>
      <c r="AV657" s="149"/>
    </row>
    <row r="658" spans="1:48" s="34" customFormat="1" ht="12.75">
      <c r="A658" s="36"/>
      <c r="B658" s="36"/>
      <c r="C658" s="36"/>
      <c r="D658" s="36"/>
      <c r="E658" s="35"/>
      <c r="F658" s="143"/>
      <c r="G658" s="146"/>
      <c r="H658" s="149"/>
      <c r="I658" s="143"/>
      <c r="J658" s="146"/>
      <c r="K658" s="149"/>
      <c r="L658" s="143"/>
      <c r="M658" s="146"/>
      <c r="N658" s="149"/>
      <c r="O658" s="143"/>
      <c r="P658" s="146"/>
      <c r="Q658" s="149"/>
      <c r="R658" s="143"/>
      <c r="S658" s="146"/>
      <c r="T658" s="149"/>
      <c r="U658" s="143"/>
      <c r="V658" s="146"/>
      <c r="W658" s="149"/>
      <c r="X658" s="143"/>
      <c r="Y658" s="146"/>
      <c r="Z658" s="149"/>
      <c r="AA658" s="143"/>
      <c r="AB658" s="146"/>
      <c r="AC658" s="149"/>
      <c r="AD658" s="143"/>
      <c r="AE658" s="146"/>
      <c r="AF658" s="149"/>
      <c r="AG658" s="143"/>
      <c r="AH658" s="146"/>
      <c r="AI658" s="149"/>
      <c r="AJ658" s="143"/>
      <c r="AK658" s="146"/>
      <c r="AL658" s="149"/>
      <c r="AM658" s="143"/>
      <c r="AN658" s="146"/>
      <c r="AO658" s="149"/>
      <c r="AP658" s="143"/>
      <c r="AQ658" s="146"/>
      <c r="AR658" s="149"/>
      <c r="AS658" s="143"/>
      <c r="AT658" s="146"/>
      <c r="AU658" s="149"/>
      <c r="AV658" s="149"/>
    </row>
    <row r="659" spans="1:48" s="34" customFormat="1" ht="12.75">
      <c r="A659" s="36"/>
      <c r="B659" s="36"/>
      <c r="C659" s="36"/>
      <c r="D659" s="36"/>
      <c r="E659" s="35"/>
      <c r="F659" s="143"/>
      <c r="G659" s="146"/>
      <c r="H659" s="149"/>
      <c r="I659" s="143"/>
      <c r="J659" s="146"/>
      <c r="K659" s="149"/>
      <c r="L659" s="143"/>
      <c r="M659" s="146"/>
      <c r="N659" s="149"/>
      <c r="O659" s="143"/>
      <c r="P659" s="146"/>
      <c r="Q659" s="149"/>
      <c r="R659" s="143"/>
      <c r="S659" s="146"/>
      <c r="T659" s="149"/>
      <c r="U659" s="143"/>
      <c r="V659" s="146"/>
      <c r="W659" s="149"/>
      <c r="X659" s="143"/>
      <c r="Y659" s="146"/>
      <c r="Z659" s="149"/>
      <c r="AA659" s="143"/>
      <c r="AB659" s="146"/>
      <c r="AC659" s="149"/>
      <c r="AD659" s="143"/>
      <c r="AE659" s="146"/>
      <c r="AF659" s="149"/>
      <c r="AG659" s="143"/>
      <c r="AH659" s="146"/>
      <c r="AI659" s="149"/>
      <c r="AJ659" s="143"/>
      <c r="AK659" s="146"/>
      <c r="AL659" s="149"/>
      <c r="AM659" s="143"/>
      <c r="AN659" s="146"/>
      <c r="AO659" s="149"/>
      <c r="AP659" s="143"/>
      <c r="AQ659" s="146"/>
      <c r="AR659" s="149"/>
      <c r="AS659" s="143"/>
      <c r="AT659" s="146"/>
      <c r="AU659" s="149"/>
      <c r="AV659" s="149"/>
    </row>
    <row r="660" spans="1:48" s="34" customFormat="1" ht="12.75">
      <c r="A660" s="36"/>
      <c r="B660" s="36"/>
      <c r="C660" s="36"/>
      <c r="D660" s="36"/>
      <c r="E660" s="35"/>
      <c r="F660" s="143"/>
      <c r="G660" s="146"/>
      <c r="H660" s="149"/>
      <c r="I660" s="143"/>
      <c r="J660" s="146"/>
      <c r="K660" s="149"/>
      <c r="L660" s="143"/>
      <c r="M660" s="146"/>
      <c r="N660" s="149"/>
      <c r="O660" s="143"/>
      <c r="P660" s="146"/>
      <c r="Q660" s="149"/>
      <c r="R660" s="143"/>
      <c r="S660" s="146"/>
      <c r="T660" s="149"/>
      <c r="U660" s="143"/>
      <c r="V660" s="146"/>
      <c r="W660" s="149"/>
      <c r="X660" s="143"/>
      <c r="Y660" s="146"/>
      <c r="Z660" s="149"/>
      <c r="AA660" s="143"/>
      <c r="AB660" s="146"/>
      <c r="AC660" s="149"/>
      <c r="AD660" s="143"/>
      <c r="AE660" s="146"/>
      <c r="AF660" s="149"/>
      <c r="AG660" s="143"/>
      <c r="AH660" s="146"/>
      <c r="AI660" s="149"/>
      <c r="AJ660" s="143"/>
      <c r="AK660" s="146"/>
      <c r="AL660" s="149"/>
      <c r="AM660" s="143"/>
      <c r="AN660" s="146"/>
      <c r="AO660" s="149"/>
      <c r="AP660" s="143"/>
      <c r="AQ660" s="146"/>
      <c r="AR660" s="149"/>
      <c r="AS660" s="143"/>
      <c r="AT660" s="146"/>
      <c r="AU660" s="149"/>
      <c r="AV660" s="149"/>
    </row>
    <row r="661" spans="1:48" s="34" customFormat="1" ht="12.75">
      <c r="A661" s="36"/>
      <c r="B661" s="36"/>
      <c r="C661" s="36"/>
      <c r="D661" s="36"/>
      <c r="E661" s="35"/>
      <c r="F661" s="143"/>
      <c r="G661" s="146"/>
      <c r="H661" s="149"/>
      <c r="I661" s="143"/>
      <c r="J661" s="146"/>
      <c r="K661" s="149"/>
      <c r="L661" s="143"/>
      <c r="M661" s="146"/>
      <c r="N661" s="149"/>
      <c r="O661" s="143"/>
      <c r="P661" s="146"/>
      <c r="Q661" s="149"/>
      <c r="R661" s="143"/>
      <c r="S661" s="146"/>
      <c r="T661" s="149"/>
      <c r="U661" s="143"/>
      <c r="V661" s="146"/>
      <c r="W661" s="149"/>
      <c r="X661" s="143"/>
      <c r="Y661" s="146"/>
      <c r="Z661" s="149"/>
      <c r="AA661" s="143"/>
      <c r="AB661" s="146"/>
      <c r="AC661" s="149"/>
      <c r="AD661" s="143"/>
      <c r="AE661" s="146"/>
      <c r="AF661" s="149"/>
      <c r="AG661" s="143"/>
      <c r="AH661" s="146"/>
      <c r="AI661" s="149"/>
      <c r="AJ661" s="143"/>
      <c r="AK661" s="146"/>
      <c r="AL661" s="149"/>
      <c r="AM661" s="143"/>
      <c r="AN661" s="146"/>
      <c r="AO661" s="149"/>
      <c r="AP661" s="143"/>
      <c r="AQ661" s="146"/>
      <c r="AR661" s="149"/>
      <c r="AS661" s="143"/>
      <c r="AT661" s="146"/>
      <c r="AU661" s="149"/>
      <c r="AV661" s="149"/>
    </row>
    <row r="662" spans="1:48" s="34" customFormat="1" ht="12.75">
      <c r="A662" s="36"/>
      <c r="B662" s="36"/>
      <c r="C662" s="36"/>
      <c r="D662" s="36"/>
      <c r="E662" s="35"/>
      <c r="F662" s="143"/>
      <c r="G662" s="146"/>
      <c r="H662" s="149"/>
      <c r="I662" s="143"/>
      <c r="J662" s="146"/>
      <c r="K662" s="149"/>
      <c r="L662" s="143"/>
      <c r="M662" s="146"/>
      <c r="N662" s="149"/>
      <c r="O662" s="143"/>
      <c r="P662" s="146"/>
      <c r="Q662" s="149"/>
      <c r="R662" s="143"/>
      <c r="S662" s="146"/>
      <c r="T662" s="149"/>
      <c r="U662" s="143"/>
      <c r="V662" s="146"/>
      <c r="W662" s="149"/>
      <c r="X662" s="143"/>
      <c r="Y662" s="146"/>
      <c r="Z662" s="149"/>
      <c r="AA662" s="143"/>
      <c r="AB662" s="146"/>
      <c r="AC662" s="149"/>
      <c r="AD662" s="143"/>
      <c r="AE662" s="146"/>
      <c r="AF662" s="149"/>
      <c r="AG662" s="143"/>
      <c r="AH662" s="146"/>
      <c r="AI662" s="149"/>
      <c r="AJ662" s="143"/>
      <c r="AK662" s="146"/>
      <c r="AL662" s="149"/>
      <c r="AM662" s="143"/>
      <c r="AN662" s="146"/>
      <c r="AO662" s="149"/>
      <c r="AP662" s="143"/>
      <c r="AQ662" s="146"/>
      <c r="AR662" s="149"/>
      <c r="AS662" s="143"/>
      <c r="AT662" s="146"/>
      <c r="AU662" s="149"/>
      <c r="AV662" s="149"/>
    </row>
    <row r="663" spans="1:48" s="34" customFormat="1" ht="12.75">
      <c r="A663" s="36"/>
      <c r="B663" s="36"/>
      <c r="C663" s="36"/>
      <c r="D663" s="36"/>
      <c r="E663" s="35"/>
      <c r="F663" s="143"/>
      <c r="G663" s="146"/>
      <c r="H663" s="149"/>
      <c r="I663" s="143"/>
      <c r="J663" s="146"/>
      <c r="K663" s="149"/>
      <c r="L663" s="143"/>
      <c r="M663" s="146"/>
      <c r="N663" s="149"/>
      <c r="O663" s="143"/>
      <c r="P663" s="146"/>
      <c r="Q663" s="149"/>
      <c r="R663" s="143"/>
      <c r="S663" s="146"/>
      <c r="T663" s="149"/>
      <c r="U663" s="143"/>
      <c r="V663" s="146"/>
      <c r="W663" s="149"/>
      <c r="X663" s="143"/>
      <c r="Y663" s="146"/>
      <c r="Z663" s="149"/>
      <c r="AA663" s="143"/>
      <c r="AB663" s="146"/>
      <c r="AC663" s="149"/>
      <c r="AD663" s="143"/>
      <c r="AE663" s="146"/>
      <c r="AF663" s="149"/>
      <c r="AG663" s="143"/>
      <c r="AH663" s="146"/>
      <c r="AI663" s="149"/>
      <c r="AJ663" s="143"/>
      <c r="AK663" s="146"/>
      <c r="AL663" s="149"/>
      <c r="AM663" s="143"/>
      <c r="AN663" s="146"/>
      <c r="AO663" s="149"/>
      <c r="AP663" s="143"/>
      <c r="AQ663" s="146"/>
      <c r="AR663" s="149"/>
      <c r="AS663" s="143"/>
      <c r="AT663" s="146"/>
      <c r="AU663" s="149"/>
      <c r="AV663" s="149"/>
    </row>
    <row r="664" spans="1:48" s="34" customFormat="1" ht="12.75">
      <c r="A664" s="36"/>
      <c r="B664" s="36"/>
      <c r="C664" s="36"/>
      <c r="D664" s="36"/>
      <c r="E664" s="35"/>
      <c r="F664" s="143"/>
      <c r="G664" s="146"/>
      <c r="H664" s="149"/>
      <c r="I664" s="143"/>
      <c r="J664" s="146"/>
      <c r="K664" s="149"/>
      <c r="L664" s="143"/>
      <c r="M664" s="146"/>
      <c r="N664" s="149"/>
      <c r="O664" s="143"/>
      <c r="P664" s="146"/>
      <c r="Q664" s="149"/>
      <c r="R664" s="143"/>
      <c r="S664" s="146"/>
      <c r="T664" s="149"/>
      <c r="U664" s="143"/>
      <c r="V664" s="146"/>
      <c r="W664" s="149"/>
      <c r="X664" s="143"/>
      <c r="Y664" s="146"/>
      <c r="Z664" s="149"/>
      <c r="AA664" s="143"/>
      <c r="AB664" s="146"/>
      <c r="AC664" s="149"/>
      <c r="AD664" s="143"/>
      <c r="AE664" s="146"/>
      <c r="AF664" s="149"/>
      <c r="AG664" s="143"/>
      <c r="AH664" s="146"/>
      <c r="AI664" s="149"/>
      <c r="AJ664" s="143"/>
      <c r="AK664" s="146"/>
      <c r="AL664" s="149"/>
      <c r="AM664" s="143"/>
      <c r="AN664" s="146"/>
      <c r="AO664" s="149"/>
      <c r="AP664" s="143"/>
      <c r="AQ664" s="146"/>
      <c r="AR664" s="149"/>
      <c r="AS664" s="143"/>
      <c r="AT664" s="146"/>
      <c r="AU664" s="149"/>
      <c r="AV664" s="149"/>
    </row>
    <row r="665" spans="1:48" s="34" customFormat="1" ht="12.75">
      <c r="A665" s="36"/>
      <c r="B665" s="36"/>
      <c r="C665" s="36"/>
      <c r="D665" s="36"/>
      <c r="E665" s="35"/>
      <c r="F665" s="143"/>
      <c r="G665" s="146"/>
      <c r="H665" s="149"/>
      <c r="I665" s="143"/>
      <c r="J665" s="146"/>
      <c r="K665" s="149"/>
      <c r="L665" s="143"/>
      <c r="M665" s="146"/>
      <c r="N665" s="149"/>
      <c r="O665" s="143"/>
      <c r="P665" s="146"/>
      <c r="Q665" s="149"/>
      <c r="R665" s="143"/>
      <c r="S665" s="146"/>
      <c r="T665" s="149"/>
      <c r="U665" s="143"/>
      <c r="V665" s="146"/>
      <c r="W665" s="149"/>
      <c r="X665" s="143"/>
      <c r="Y665" s="146"/>
      <c r="Z665" s="149"/>
      <c r="AA665" s="143"/>
      <c r="AB665" s="146"/>
      <c r="AC665" s="149"/>
      <c r="AD665" s="143"/>
      <c r="AE665" s="146"/>
      <c r="AF665" s="149"/>
      <c r="AG665" s="143"/>
      <c r="AH665" s="146"/>
      <c r="AI665" s="149"/>
      <c r="AJ665" s="143"/>
      <c r="AK665" s="146"/>
      <c r="AL665" s="149"/>
      <c r="AM665" s="143"/>
      <c r="AN665" s="146"/>
      <c r="AO665" s="149"/>
      <c r="AP665" s="143"/>
      <c r="AQ665" s="146"/>
      <c r="AR665" s="149"/>
      <c r="AS665" s="143"/>
      <c r="AT665" s="146"/>
      <c r="AU665" s="149"/>
      <c r="AV665" s="149"/>
    </row>
    <row r="666" spans="1:48" s="34" customFormat="1" ht="12.75">
      <c r="A666" s="36"/>
      <c r="B666" s="36"/>
      <c r="C666" s="36"/>
      <c r="D666" s="36"/>
      <c r="E666" s="35"/>
      <c r="F666" s="143"/>
      <c r="G666" s="146"/>
      <c r="H666" s="149"/>
      <c r="I666" s="143"/>
      <c r="J666" s="146"/>
      <c r="K666" s="149"/>
      <c r="L666" s="143"/>
      <c r="M666" s="146"/>
      <c r="N666" s="149"/>
      <c r="O666" s="143"/>
      <c r="P666" s="146"/>
      <c r="Q666" s="149"/>
      <c r="R666" s="143"/>
      <c r="S666" s="146"/>
      <c r="T666" s="149"/>
      <c r="U666" s="143"/>
      <c r="V666" s="146"/>
      <c r="W666" s="149"/>
      <c r="X666" s="143"/>
      <c r="Y666" s="146"/>
      <c r="Z666" s="149"/>
      <c r="AA666" s="143"/>
      <c r="AB666" s="146"/>
      <c r="AC666" s="149"/>
      <c r="AD666" s="143"/>
      <c r="AE666" s="146"/>
      <c r="AF666" s="149"/>
      <c r="AG666" s="143"/>
      <c r="AH666" s="146"/>
      <c r="AI666" s="149"/>
      <c r="AJ666" s="143"/>
      <c r="AK666" s="146"/>
      <c r="AL666" s="149"/>
      <c r="AM666" s="143"/>
      <c r="AN666" s="146"/>
      <c r="AO666" s="149"/>
      <c r="AP666" s="143"/>
      <c r="AQ666" s="146"/>
      <c r="AR666" s="149"/>
      <c r="AS666" s="143"/>
      <c r="AT666" s="146"/>
      <c r="AU666" s="149"/>
      <c r="AV666" s="149"/>
    </row>
    <row r="667" spans="1:48" s="34" customFormat="1" ht="12.75">
      <c r="A667" s="36"/>
      <c r="B667" s="36"/>
      <c r="C667" s="36"/>
      <c r="D667" s="36"/>
      <c r="E667" s="35"/>
      <c r="F667" s="143"/>
      <c r="G667" s="146"/>
      <c r="H667" s="149"/>
      <c r="I667" s="143"/>
      <c r="J667" s="146"/>
      <c r="K667" s="149"/>
      <c r="L667" s="143"/>
      <c r="M667" s="146"/>
      <c r="N667" s="149"/>
      <c r="O667" s="143"/>
      <c r="P667" s="146"/>
      <c r="Q667" s="149"/>
      <c r="R667" s="143"/>
      <c r="S667" s="146"/>
      <c r="T667" s="149"/>
      <c r="U667" s="143"/>
      <c r="V667" s="146"/>
      <c r="W667" s="149"/>
      <c r="X667" s="143"/>
      <c r="Y667" s="146"/>
      <c r="Z667" s="149"/>
      <c r="AA667" s="143"/>
      <c r="AB667" s="146"/>
      <c r="AC667" s="149"/>
      <c r="AD667" s="143"/>
      <c r="AE667" s="146"/>
      <c r="AF667" s="149"/>
      <c r="AG667" s="143"/>
      <c r="AH667" s="146"/>
      <c r="AI667" s="149"/>
      <c r="AJ667" s="143"/>
      <c r="AK667" s="146"/>
      <c r="AL667" s="149"/>
      <c r="AM667" s="143"/>
      <c r="AN667" s="146"/>
      <c r="AO667" s="149"/>
      <c r="AP667" s="143"/>
      <c r="AQ667" s="146"/>
      <c r="AR667" s="149"/>
      <c r="AS667" s="143"/>
      <c r="AT667" s="146"/>
      <c r="AU667" s="149"/>
      <c r="AV667" s="149"/>
    </row>
    <row r="668" spans="1:48" s="34" customFormat="1" ht="12.75">
      <c r="A668" s="36"/>
      <c r="B668" s="36"/>
      <c r="C668" s="36"/>
      <c r="D668" s="36"/>
      <c r="E668" s="35"/>
      <c r="F668" s="143"/>
      <c r="G668" s="146"/>
      <c r="H668" s="149"/>
      <c r="I668" s="143"/>
      <c r="J668" s="146"/>
      <c r="K668" s="149"/>
      <c r="L668" s="143"/>
      <c r="M668" s="146"/>
      <c r="N668" s="149"/>
      <c r="O668" s="143"/>
      <c r="P668" s="146"/>
      <c r="Q668" s="149"/>
      <c r="R668" s="143"/>
      <c r="S668" s="146"/>
      <c r="T668" s="149"/>
      <c r="U668" s="143"/>
      <c r="V668" s="146"/>
      <c r="W668" s="149"/>
      <c r="X668" s="143"/>
      <c r="Y668" s="146"/>
      <c r="Z668" s="149"/>
      <c r="AA668" s="143"/>
      <c r="AB668" s="146"/>
      <c r="AC668" s="149"/>
      <c r="AD668" s="143"/>
      <c r="AE668" s="146"/>
      <c r="AF668" s="149"/>
      <c r="AG668" s="143"/>
      <c r="AH668" s="146"/>
      <c r="AI668" s="149"/>
      <c r="AJ668" s="143"/>
      <c r="AK668" s="146"/>
      <c r="AL668" s="149"/>
      <c r="AM668" s="143"/>
      <c r="AN668" s="146"/>
      <c r="AO668" s="149"/>
      <c r="AP668" s="143"/>
      <c r="AQ668" s="146"/>
      <c r="AR668" s="149"/>
      <c r="AS668" s="143"/>
      <c r="AT668" s="146"/>
      <c r="AU668" s="149"/>
      <c r="AV668" s="149"/>
    </row>
    <row r="669" spans="1:48" s="34" customFormat="1" ht="12.75">
      <c r="A669" s="36"/>
      <c r="B669" s="36"/>
      <c r="C669" s="36"/>
      <c r="D669" s="36"/>
      <c r="E669" s="35"/>
      <c r="F669" s="143"/>
      <c r="G669" s="146"/>
      <c r="H669" s="149"/>
      <c r="I669" s="143"/>
      <c r="J669" s="146"/>
      <c r="K669" s="149"/>
      <c r="L669" s="143"/>
      <c r="M669" s="146"/>
      <c r="N669" s="149"/>
      <c r="O669" s="143"/>
      <c r="P669" s="146"/>
      <c r="Q669" s="149"/>
      <c r="R669" s="143"/>
      <c r="S669" s="146"/>
      <c r="T669" s="149"/>
      <c r="U669" s="143"/>
      <c r="V669" s="146"/>
      <c r="W669" s="149"/>
      <c r="X669" s="143"/>
      <c r="Y669" s="146"/>
      <c r="Z669" s="149"/>
      <c r="AA669" s="143"/>
      <c r="AB669" s="146"/>
      <c r="AC669" s="149"/>
      <c r="AD669" s="143"/>
      <c r="AE669" s="146"/>
      <c r="AF669" s="149"/>
      <c r="AG669" s="143"/>
      <c r="AH669" s="146"/>
      <c r="AI669" s="149"/>
      <c r="AJ669" s="143"/>
      <c r="AK669" s="146"/>
      <c r="AL669" s="149"/>
      <c r="AM669" s="143"/>
      <c r="AN669" s="146"/>
      <c r="AO669" s="149"/>
      <c r="AP669" s="143"/>
      <c r="AQ669" s="146"/>
      <c r="AR669" s="149"/>
      <c r="AS669" s="143"/>
      <c r="AT669" s="146"/>
      <c r="AU669" s="149"/>
      <c r="AV669" s="149"/>
    </row>
    <row r="670" spans="1:48" s="34" customFormat="1" ht="12.75">
      <c r="A670" s="36"/>
      <c r="B670" s="36"/>
      <c r="C670" s="36"/>
      <c r="D670" s="36"/>
      <c r="E670" s="35"/>
      <c r="F670" s="143"/>
      <c r="G670" s="146"/>
      <c r="H670" s="149"/>
      <c r="I670" s="143"/>
      <c r="J670" s="146"/>
      <c r="K670" s="149"/>
      <c r="L670" s="143"/>
      <c r="M670" s="146"/>
      <c r="N670" s="149"/>
      <c r="O670" s="143"/>
      <c r="P670" s="146"/>
      <c r="Q670" s="149"/>
      <c r="R670" s="143"/>
      <c r="S670" s="146"/>
      <c r="T670" s="149"/>
      <c r="U670" s="143"/>
      <c r="V670" s="146"/>
      <c r="W670" s="149"/>
      <c r="X670" s="143"/>
      <c r="Y670" s="146"/>
      <c r="Z670" s="149"/>
      <c r="AA670" s="143"/>
      <c r="AB670" s="146"/>
      <c r="AC670" s="149"/>
      <c r="AD670" s="143"/>
      <c r="AE670" s="146"/>
      <c r="AF670" s="149"/>
      <c r="AG670" s="143"/>
      <c r="AH670" s="146"/>
      <c r="AI670" s="149"/>
      <c r="AJ670" s="143"/>
      <c r="AK670" s="146"/>
      <c r="AL670" s="149"/>
      <c r="AM670" s="143"/>
      <c r="AN670" s="146"/>
      <c r="AO670" s="149"/>
      <c r="AP670" s="143"/>
      <c r="AQ670" s="146"/>
      <c r="AR670" s="149"/>
      <c r="AS670" s="143"/>
      <c r="AT670" s="146"/>
      <c r="AU670" s="149"/>
      <c r="AV670" s="149"/>
    </row>
    <row r="671" spans="1:48" s="34" customFormat="1" ht="12.75">
      <c r="A671" s="36"/>
      <c r="B671" s="36"/>
      <c r="C671" s="36"/>
      <c r="D671" s="36"/>
      <c r="E671" s="35"/>
      <c r="F671" s="143"/>
      <c r="G671" s="146"/>
      <c r="H671" s="149"/>
      <c r="I671" s="143"/>
      <c r="J671" s="146"/>
      <c r="K671" s="149"/>
      <c r="L671" s="143"/>
      <c r="M671" s="146"/>
      <c r="N671" s="149"/>
      <c r="O671" s="143"/>
      <c r="P671" s="146"/>
      <c r="Q671" s="149"/>
      <c r="R671" s="143"/>
      <c r="S671" s="146"/>
      <c r="T671" s="149"/>
      <c r="U671" s="143"/>
      <c r="V671" s="146"/>
      <c r="W671" s="149"/>
      <c r="X671" s="143"/>
      <c r="Y671" s="146"/>
      <c r="Z671" s="149"/>
      <c r="AA671" s="143"/>
      <c r="AB671" s="146"/>
      <c r="AC671" s="149"/>
      <c r="AD671" s="143"/>
      <c r="AE671" s="146"/>
      <c r="AF671" s="149"/>
      <c r="AG671" s="143"/>
      <c r="AH671" s="146"/>
      <c r="AI671" s="149"/>
      <c r="AJ671" s="143"/>
      <c r="AK671" s="146"/>
      <c r="AL671" s="149"/>
      <c r="AM671" s="143"/>
      <c r="AN671" s="146"/>
      <c r="AO671" s="149"/>
      <c r="AP671" s="143"/>
      <c r="AQ671" s="146"/>
      <c r="AR671" s="149"/>
      <c r="AS671" s="143"/>
      <c r="AT671" s="146"/>
      <c r="AU671" s="149"/>
      <c r="AV671" s="149"/>
    </row>
    <row r="672" spans="1:48" s="34" customFormat="1" ht="12.75">
      <c r="A672" s="36"/>
      <c r="B672" s="36"/>
      <c r="C672" s="36"/>
      <c r="D672" s="36"/>
      <c r="E672" s="35"/>
      <c r="F672" s="143"/>
      <c r="G672" s="146"/>
      <c r="H672" s="149"/>
      <c r="I672" s="143"/>
      <c r="J672" s="146"/>
      <c r="K672" s="149"/>
      <c r="L672" s="143"/>
      <c r="M672" s="146"/>
      <c r="N672" s="149"/>
      <c r="O672" s="143"/>
      <c r="P672" s="146"/>
      <c r="Q672" s="149"/>
      <c r="R672" s="143"/>
      <c r="S672" s="146"/>
      <c r="T672" s="149"/>
      <c r="U672" s="143"/>
      <c r="V672" s="146"/>
      <c r="W672" s="149"/>
      <c r="X672" s="143"/>
      <c r="Y672" s="146"/>
      <c r="Z672" s="149"/>
      <c r="AA672" s="143"/>
      <c r="AB672" s="146"/>
      <c r="AC672" s="149"/>
      <c r="AD672" s="143"/>
      <c r="AE672" s="146"/>
      <c r="AF672" s="149"/>
      <c r="AG672" s="143"/>
      <c r="AH672" s="146"/>
      <c r="AI672" s="149"/>
      <c r="AJ672" s="143"/>
      <c r="AK672" s="146"/>
      <c r="AL672" s="149"/>
      <c r="AM672" s="143"/>
      <c r="AN672" s="146"/>
      <c r="AO672" s="149"/>
      <c r="AP672" s="143"/>
      <c r="AQ672" s="146"/>
      <c r="AR672" s="149"/>
      <c r="AS672" s="143"/>
      <c r="AT672" s="146"/>
      <c r="AU672" s="149"/>
      <c r="AV672" s="149"/>
    </row>
    <row r="673" spans="1:48" s="34" customFormat="1" ht="12.75">
      <c r="A673" s="36"/>
      <c r="B673" s="36"/>
      <c r="C673" s="36"/>
      <c r="D673" s="36"/>
      <c r="E673" s="35"/>
      <c r="F673" s="143"/>
      <c r="G673" s="146"/>
      <c r="H673" s="149"/>
      <c r="I673" s="143"/>
      <c r="J673" s="146"/>
      <c r="K673" s="149"/>
      <c r="L673" s="143"/>
      <c r="M673" s="146"/>
      <c r="N673" s="149"/>
      <c r="O673" s="143"/>
      <c r="P673" s="146"/>
      <c r="Q673" s="149"/>
      <c r="R673" s="143"/>
      <c r="S673" s="146"/>
      <c r="T673" s="149"/>
      <c r="U673" s="143"/>
      <c r="V673" s="146"/>
      <c r="W673" s="149"/>
      <c r="X673" s="143"/>
      <c r="Y673" s="146"/>
      <c r="Z673" s="149"/>
      <c r="AA673" s="143"/>
      <c r="AB673" s="146"/>
      <c r="AC673" s="149"/>
      <c r="AD673" s="143"/>
      <c r="AE673" s="146"/>
      <c r="AF673" s="149"/>
      <c r="AG673" s="143"/>
      <c r="AH673" s="146"/>
      <c r="AI673" s="149"/>
      <c r="AJ673" s="143"/>
      <c r="AK673" s="146"/>
      <c r="AL673" s="149"/>
      <c r="AM673" s="143"/>
      <c r="AN673" s="146"/>
      <c r="AO673" s="149"/>
      <c r="AP673" s="143"/>
      <c r="AQ673" s="146"/>
      <c r="AR673" s="149"/>
      <c r="AS673" s="143"/>
      <c r="AT673" s="146"/>
      <c r="AU673" s="149"/>
      <c r="AV673" s="149"/>
    </row>
    <row r="674" spans="1:48" s="34" customFormat="1" ht="12.75">
      <c r="A674" s="36"/>
      <c r="B674" s="36"/>
      <c r="C674" s="36"/>
      <c r="D674" s="36"/>
      <c r="E674" s="35"/>
      <c r="F674" s="143"/>
      <c r="G674" s="146"/>
      <c r="H674" s="149"/>
      <c r="I674" s="143"/>
      <c r="J674" s="146"/>
      <c r="K674" s="149"/>
      <c r="L674" s="143"/>
      <c r="M674" s="146"/>
      <c r="N674" s="149"/>
      <c r="O674" s="143"/>
      <c r="P674" s="146"/>
      <c r="Q674" s="149"/>
      <c r="R674" s="143"/>
      <c r="S674" s="146"/>
      <c r="T674" s="149"/>
      <c r="U674" s="143"/>
      <c r="V674" s="146"/>
      <c r="W674" s="149"/>
      <c r="X674" s="143"/>
      <c r="Y674" s="146"/>
      <c r="Z674" s="149"/>
      <c r="AA674" s="143"/>
      <c r="AB674" s="146"/>
      <c r="AC674" s="149"/>
      <c r="AD674" s="143"/>
      <c r="AE674" s="146"/>
      <c r="AF674" s="149"/>
      <c r="AG674" s="143"/>
      <c r="AH674" s="146"/>
      <c r="AI674" s="149"/>
      <c r="AJ674" s="143"/>
      <c r="AK674" s="146"/>
      <c r="AL674" s="149"/>
      <c r="AM674" s="143"/>
      <c r="AN674" s="146"/>
      <c r="AO674" s="149"/>
      <c r="AP674" s="143"/>
      <c r="AQ674" s="146"/>
      <c r="AR674" s="149"/>
      <c r="AS674" s="143"/>
      <c r="AT674" s="146"/>
      <c r="AU674" s="149"/>
      <c r="AV674" s="149"/>
    </row>
    <row r="675" spans="1:48" s="34" customFormat="1" ht="12.75">
      <c r="A675" s="36"/>
      <c r="B675" s="36"/>
      <c r="C675" s="36"/>
      <c r="D675" s="36"/>
      <c r="E675" s="35"/>
      <c r="F675" s="143"/>
      <c r="G675" s="146"/>
      <c r="H675" s="149"/>
      <c r="I675" s="143"/>
      <c r="J675" s="146"/>
      <c r="K675" s="149"/>
      <c r="L675" s="143"/>
      <c r="M675" s="146"/>
      <c r="N675" s="149"/>
      <c r="O675" s="143"/>
      <c r="P675" s="146"/>
      <c r="Q675" s="149"/>
      <c r="R675" s="143"/>
      <c r="S675" s="146"/>
      <c r="T675" s="149"/>
      <c r="U675" s="143"/>
      <c r="V675" s="146"/>
      <c r="W675" s="149"/>
      <c r="X675" s="143"/>
      <c r="Y675" s="146"/>
      <c r="Z675" s="149"/>
      <c r="AA675" s="143"/>
      <c r="AB675" s="146"/>
      <c r="AC675" s="149"/>
      <c r="AD675" s="143"/>
      <c r="AE675" s="146"/>
      <c r="AF675" s="149"/>
      <c r="AG675" s="143"/>
      <c r="AH675" s="146"/>
      <c r="AI675" s="149"/>
      <c r="AJ675" s="143"/>
      <c r="AK675" s="146"/>
      <c r="AL675" s="149"/>
      <c r="AM675" s="143"/>
      <c r="AN675" s="146"/>
      <c r="AO675" s="149"/>
      <c r="AP675" s="143"/>
      <c r="AQ675" s="146"/>
      <c r="AR675" s="149"/>
      <c r="AS675" s="143"/>
      <c r="AT675" s="146"/>
      <c r="AU675" s="149"/>
      <c r="AV675" s="149"/>
    </row>
    <row r="676" spans="1:48" s="34" customFormat="1" ht="12.75">
      <c r="A676" s="36"/>
      <c r="B676" s="36"/>
      <c r="C676" s="36"/>
      <c r="D676" s="36"/>
      <c r="E676" s="35"/>
      <c r="F676" s="143"/>
      <c r="G676" s="146"/>
      <c r="H676" s="149"/>
      <c r="I676" s="143"/>
      <c r="J676" s="146"/>
      <c r="K676" s="149"/>
      <c r="L676" s="143"/>
      <c r="M676" s="146"/>
      <c r="N676" s="149"/>
      <c r="O676" s="143"/>
      <c r="P676" s="146"/>
      <c r="Q676" s="149"/>
      <c r="R676" s="143"/>
      <c r="S676" s="146"/>
      <c r="T676" s="149"/>
      <c r="U676" s="143"/>
      <c r="V676" s="146"/>
      <c r="W676" s="149"/>
      <c r="X676" s="143"/>
      <c r="Y676" s="146"/>
      <c r="Z676" s="149"/>
      <c r="AA676" s="143"/>
      <c r="AB676" s="146"/>
      <c r="AC676" s="149"/>
      <c r="AD676" s="143"/>
      <c r="AE676" s="146"/>
      <c r="AF676" s="149"/>
      <c r="AG676" s="143"/>
      <c r="AH676" s="146"/>
      <c r="AI676" s="149"/>
      <c r="AJ676" s="143"/>
      <c r="AK676" s="146"/>
      <c r="AL676" s="149"/>
      <c r="AM676" s="143"/>
      <c r="AN676" s="146"/>
      <c r="AO676" s="149"/>
      <c r="AP676" s="143"/>
      <c r="AQ676" s="146"/>
      <c r="AR676" s="149"/>
      <c r="AS676" s="143"/>
      <c r="AT676" s="146"/>
      <c r="AU676" s="149"/>
      <c r="AV676" s="149"/>
    </row>
    <row r="677" spans="1:48" s="34" customFormat="1" ht="12.75">
      <c r="A677" s="36"/>
      <c r="B677" s="36"/>
      <c r="C677" s="36"/>
      <c r="D677" s="36"/>
      <c r="E677" s="35"/>
      <c r="F677" s="143"/>
      <c r="G677" s="146"/>
      <c r="H677" s="149"/>
      <c r="I677" s="143"/>
      <c r="J677" s="146"/>
      <c r="K677" s="149"/>
      <c r="L677" s="143"/>
      <c r="M677" s="146"/>
      <c r="N677" s="149"/>
      <c r="O677" s="143"/>
      <c r="P677" s="146"/>
      <c r="Q677" s="149"/>
      <c r="R677" s="143"/>
      <c r="S677" s="146"/>
      <c r="T677" s="149"/>
      <c r="U677" s="143"/>
      <c r="V677" s="146"/>
      <c r="W677" s="149"/>
      <c r="X677" s="143"/>
      <c r="Y677" s="146"/>
      <c r="Z677" s="149"/>
      <c r="AA677" s="143"/>
      <c r="AB677" s="146"/>
      <c r="AC677" s="149"/>
      <c r="AD677" s="143"/>
      <c r="AE677" s="146"/>
      <c r="AF677" s="149"/>
      <c r="AG677" s="143"/>
      <c r="AH677" s="146"/>
      <c r="AI677" s="149"/>
      <c r="AJ677" s="143"/>
      <c r="AK677" s="146"/>
      <c r="AL677" s="149"/>
      <c r="AM677" s="143"/>
      <c r="AN677" s="146"/>
      <c r="AO677" s="149"/>
      <c r="AP677" s="143"/>
      <c r="AQ677" s="146"/>
      <c r="AR677" s="149"/>
      <c r="AS677" s="143"/>
      <c r="AT677" s="146"/>
      <c r="AU677" s="149"/>
      <c r="AV677" s="149"/>
    </row>
    <row r="678" spans="1:48" s="34" customFormat="1" ht="12.75">
      <c r="A678" s="36"/>
      <c r="B678" s="36"/>
      <c r="C678" s="36"/>
      <c r="D678" s="36"/>
      <c r="E678" s="35"/>
      <c r="F678" s="143"/>
      <c r="G678" s="146"/>
      <c r="H678" s="149"/>
      <c r="I678" s="143"/>
      <c r="J678" s="146"/>
      <c r="K678" s="149"/>
      <c r="L678" s="143"/>
      <c r="M678" s="146"/>
      <c r="N678" s="149"/>
      <c r="O678" s="143"/>
      <c r="P678" s="146"/>
      <c r="Q678" s="149"/>
      <c r="R678" s="143"/>
      <c r="S678" s="146"/>
      <c r="T678" s="149"/>
      <c r="U678" s="143"/>
      <c r="V678" s="146"/>
      <c r="W678" s="149"/>
      <c r="X678" s="143"/>
      <c r="Y678" s="146"/>
      <c r="Z678" s="149"/>
      <c r="AA678" s="143"/>
      <c r="AB678" s="146"/>
      <c r="AC678" s="149"/>
      <c r="AD678" s="143"/>
      <c r="AE678" s="146"/>
      <c r="AF678" s="149"/>
      <c r="AG678" s="143"/>
      <c r="AH678" s="146"/>
      <c r="AI678" s="149"/>
      <c r="AJ678" s="143"/>
      <c r="AK678" s="146"/>
      <c r="AL678" s="149"/>
      <c r="AM678" s="143"/>
      <c r="AN678" s="146"/>
      <c r="AO678" s="149"/>
      <c r="AP678" s="143"/>
      <c r="AQ678" s="146"/>
      <c r="AR678" s="149"/>
      <c r="AS678" s="143"/>
      <c r="AT678" s="146"/>
      <c r="AU678" s="149"/>
      <c r="AV678" s="149"/>
    </row>
    <row r="679" spans="1:48" s="34" customFormat="1" ht="12.75">
      <c r="A679" s="36"/>
      <c r="B679" s="36"/>
      <c r="C679" s="36"/>
      <c r="D679" s="36"/>
      <c r="E679" s="35"/>
      <c r="F679" s="143"/>
      <c r="G679" s="146"/>
      <c r="H679" s="149"/>
      <c r="I679" s="143"/>
      <c r="J679" s="146"/>
      <c r="K679" s="149"/>
      <c r="L679" s="143"/>
      <c r="M679" s="146"/>
      <c r="N679" s="149"/>
      <c r="O679" s="143"/>
      <c r="P679" s="146"/>
      <c r="Q679" s="149"/>
      <c r="R679" s="143"/>
      <c r="S679" s="146"/>
      <c r="T679" s="149"/>
      <c r="U679" s="143"/>
      <c r="V679" s="146"/>
      <c r="W679" s="149"/>
      <c r="X679" s="143"/>
      <c r="Y679" s="146"/>
      <c r="Z679" s="149"/>
      <c r="AA679" s="143"/>
      <c r="AB679" s="146"/>
      <c r="AC679" s="149"/>
      <c r="AD679" s="143"/>
      <c r="AE679" s="146"/>
      <c r="AF679" s="149"/>
      <c r="AG679" s="143"/>
      <c r="AH679" s="146"/>
      <c r="AI679" s="149"/>
      <c r="AJ679" s="143"/>
      <c r="AK679" s="146"/>
      <c r="AL679" s="149"/>
      <c r="AM679" s="143"/>
      <c r="AN679" s="146"/>
      <c r="AO679" s="149"/>
      <c r="AP679" s="143"/>
      <c r="AQ679" s="146"/>
      <c r="AR679" s="149"/>
      <c r="AS679" s="143"/>
      <c r="AT679" s="146"/>
      <c r="AU679" s="149"/>
      <c r="AV679" s="149"/>
    </row>
    <row r="680" spans="1:48" s="34" customFormat="1" ht="12.75">
      <c r="A680" s="36"/>
      <c r="B680" s="36"/>
      <c r="C680" s="36"/>
      <c r="D680" s="36"/>
      <c r="E680" s="35"/>
      <c r="F680" s="143"/>
      <c r="G680" s="146"/>
      <c r="H680" s="149"/>
      <c r="I680" s="143"/>
      <c r="J680" s="146"/>
      <c r="K680" s="149"/>
      <c r="L680" s="143"/>
      <c r="M680" s="146"/>
      <c r="N680" s="149"/>
      <c r="O680" s="143"/>
      <c r="P680" s="146"/>
      <c r="Q680" s="149"/>
      <c r="R680" s="143"/>
      <c r="S680" s="146"/>
      <c r="T680" s="149"/>
      <c r="U680" s="143"/>
      <c r="V680" s="146"/>
      <c r="W680" s="149"/>
      <c r="X680" s="143"/>
      <c r="Y680" s="146"/>
      <c r="Z680" s="149"/>
      <c r="AA680" s="143"/>
      <c r="AB680" s="146"/>
      <c r="AC680" s="149"/>
      <c r="AD680" s="143"/>
      <c r="AE680" s="146"/>
      <c r="AF680" s="149"/>
      <c r="AG680" s="143"/>
      <c r="AH680" s="146"/>
      <c r="AI680" s="149"/>
      <c r="AJ680" s="143"/>
      <c r="AK680" s="146"/>
      <c r="AL680" s="149"/>
      <c r="AM680" s="143"/>
      <c r="AN680" s="146"/>
      <c r="AO680" s="149"/>
      <c r="AP680" s="143"/>
      <c r="AQ680" s="146"/>
      <c r="AR680" s="149"/>
      <c r="AS680" s="143"/>
      <c r="AT680" s="146"/>
      <c r="AU680" s="149"/>
      <c r="AV680" s="149"/>
    </row>
    <row r="681" spans="1:48" s="34" customFormat="1" ht="12.75">
      <c r="A681" s="36"/>
      <c r="B681" s="36"/>
      <c r="C681" s="36"/>
      <c r="D681" s="36"/>
      <c r="E681" s="35"/>
      <c r="F681" s="143"/>
      <c r="G681" s="146"/>
      <c r="H681" s="149"/>
      <c r="I681" s="143"/>
      <c r="J681" s="146"/>
      <c r="K681" s="149"/>
      <c r="L681" s="143"/>
      <c r="M681" s="146"/>
      <c r="N681" s="149"/>
      <c r="O681" s="143"/>
      <c r="P681" s="146"/>
      <c r="Q681" s="149"/>
      <c r="R681" s="143"/>
      <c r="S681" s="146"/>
      <c r="T681" s="149"/>
      <c r="U681" s="143"/>
      <c r="V681" s="146"/>
      <c r="W681" s="149"/>
      <c r="X681" s="143"/>
      <c r="Y681" s="146"/>
      <c r="Z681" s="149"/>
      <c r="AA681" s="143"/>
      <c r="AB681" s="146"/>
      <c r="AC681" s="149"/>
      <c r="AD681" s="143"/>
      <c r="AE681" s="146"/>
      <c r="AF681" s="149"/>
      <c r="AG681" s="143"/>
      <c r="AH681" s="146"/>
      <c r="AI681" s="149"/>
      <c r="AJ681" s="143"/>
      <c r="AK681" s="146"/>
      <c r="AL681" s="149"/>
      <c r="AM681" s="143"/>
      <c r="AN681" s="146"/>
      <c r="AO681" s="149"/>
      <c r="AP681" s="143"/>
      <c r="AQ681" s="146"/>
      <c r="AR681" s="149"/>
      <c r="AS681" s="143"/>
      <c r="AT681" s="146"/>
      <c r="AU681" s="149"/>
      <c r="AV681" s="149"/>
    </row>
    <row r="682" spans="1:48" s="34" customFormat="1" ht="12.75">
      <c r="A682" s="36"/>
      <c r="B682" s="36"/>
      <c r="C682" s="36"/>
      <c r="D682" s="36"/>
      <c r="E682" s="35"/>
      <c r="F682" s="143"/>
      <c r="G682" s="146"/>
      <c r="H682" s="149"/>
      <c r="I682" s="143"/>
      <c r="J682" s="146"/>
      <c r="K682" s="149"/>
      <c r="L682" s="143"/>
      <c r="M682" s="146"/>
      <c r="N682" s="149"/>
      <c r="O682" s="143"/>
      <c r="P682" s="146"/>
      <c r="Q682" s="149"/>
      <c r="R682" s="143"/>
      <c r="S682" s="146"/>
      <c r="T682" s="149"/>
      <c r="U682" s="143"/>
      <c r="V682" s="146"/>
      <c r="W682" s="149"/>
      <c r="X682" s="143"/>
      <c r="Y682" s="146"/>
      <c r="Z682" s="149"/>
      <c r="AA682" s="143"/>
      <c r="AB682" s="146"/>
      <c r="AC682" s="149"/>
      <c r="AD682" s="143"/>
      <c r="AE682" s="146"/>
      <c r="AF682" s="149"/>
      <c r="AG682" s="143"/>
      <c r="AH682" s="146"/>
      <c r="AI682" s="149"/>
      <c r="AJ682" s="143"/>
      <c r="AK682" s="146"/>
      <c r="AL682" s="149"/>
      <c r="AM682" s="143"/>
      <c r="AN682" s="146"/>
      <c r="AO682" s="149"/>
      <c r="AP682" s="143"/>
      <c r="AQ682" s="146"/>
      <c r="AR682" s="149"/>
      <c r="AS682" s="143"/>
      <c r="AT682" s="146"/>
      <c r="AU682" s="149"/>
      <c r="AV682" s="149"/>
    </row>
    <row r="683" spans="1:48" s="34" customFormat="1" ht="12.75">
      <c r="A683" s="36"/>
      <c r="B683" s="36"/>
      <c r="C683" s="36"/>
      <c r="D683" s="36"/>
      <c r="E683" s="35"/>
      <c r="F683" s="143"/>
      <c r="G683" s="146"/>
      <c r="H683" s="149"/>
      <c r="I683" s="143"/>
      <c r="J683" s="146"/>
      <c r="K683" s="149"/>
      <c r="L683" s="143"/>
      <c r="M683" s="146"/>
      <c r="N683" s="149"/>
      <c r="O683" s="143"/>
      <c r="P683" s="146"/>
      <c r="Q683" s="149"/>
      <c r="R683" s="143"/>
      <c r="S683" s="146"/>
      <c r="T683" s="149"/>
      <c r="U683" s="143"/>
      <c r="V683" s="146"/>
      <c r="W683" s="149"/>
      <c r="X683" s="143"/>
      <c r="Y683" s="146"/>
      <c r="Z683" s="149"/>
      <c r="AA683" s="143"/>
      <c r="AB683" s="146"/>
      <c r="AC683" s="149"/>
      <c r="AD683" s="143"/>
      <c r="AE683" s="146"/>
      <c r="AF683" s="149"/>
      <c r="AG683" s="143"/>
      <c r="AH683" s="146"/>
      <c r="AI683" s="149"/>
      <c r="AJ683" s="143"/>
      <c r="AK683" s="146"/>
      <c r="AL683" s="149"/>
      <c r="AM683" s="143"/>
      <c r="AN683" s="146"/>
      <c r="AO683" s="149"/>
      <c r="AP683" s="143"/>
      <c r="AQ683" s="146"/>
      <c r="AR683" s="149"/>
      <c r="AS683" s="143"/>
      <c r="AT683" s="146"/>
      <c r="AU683" s="149"/>
      <c r="AV683" s="149"/>
    </row>
    <row r="684" spans="1:48" s="34" customFormat="1" ht="12.75">
      <c r="A684" s="36"/>
      <c r="B684" s="36"/>
      <c r="C684" s="36"/>
      <c r="D684" s="36"/>
      <c r="E684" s="35"/>
      <c r="F684" s="143"/>
      <c r="G684" s="146"/>
      <c r="H684" s="149"/>
      <c r="I684" s="143"/>
      <c r="J684" s="146"/>
      <c r="K684" s="149"/>
      <c r="L684" s="143"/>
      <c r="M684" s="146"/>
      <c r="N684" s="149"/>
      <c r="O684" s="143"/>
      <c r="P684" s="146"/>
      <c r="Q684" s="149"/>
      <c r="R684" s="143"/>
      <c r="S684" s="146"/>
      <c r="T684" s="149"/>
      <c r="U684" s="143"/>
      <c r="V684" s="146"/>
      <c r="W684" s="149"/>
      <c r="X684" s="143"/>
      <c r="Y684" s="146"/>
      <c r="Z684" s="149"/>
      <c r="AA684" s="143"/>
      <c r="AB684" s="146"/>
      <c r="AC684" s="149"/>
      <c r="AD684" s="143"/>
      <c r="AE684" s="146"/>
      <c r="AF684" s="149"/>
      <c r="AG684" s="143"/>
      <c r="AH684" s="146"/>
      <c r="AI684" s="149"/>
      <c r="AJ684" s="143"/>
      <c r="AK684" s="146"/>
      <c r="AL684" s="149"/>
      <c r="AM684" s="143"/>
      <c r="AN684" s="146"/>
      <c r="AO684" s="149"/>
      <c r="AP684" s="143"/>
      <c r="AQ684" s="146"/>
      <c r="AR684" s="149"/>
      <c r="AS684" s="143"/>
      <c r="AT684" s="146"/>
      <c r="AU684" s="149"/>
      <c r="AV684" s="149"/>
    </row>
    <row r="685" spans="1:48" s="34" customFormat="1" ht="12.75">
      <c r="A685" s="36"/>
      <c r="B685" s="36"/>
      <c r="C685" s="36"/>
      <c r="D685" s="36"/>
      <c r="E685" s="35"/>
      <c r="F685" s="143"/>
      <c r="G685" s="146"/>
      <c r="H685" s="149"/>
      <c r="I685" s="143"/>
      <c r="J685" s="146"/>
      <c r="K685" s="149"/>
      <c r="L685" s="143"/>
      <c r="M685" s="146"/>
      <c r="N685" s="149"/>
      <c r="O685" s="143"/>
      <c r="P685" s="146"/>
      <c r="Q685" s="149"/>
      <c r="R685" s="143"/>
      <c r="S685" s="146"/>
      <c r="T685" s="149"/>
      <c r="U685" s="143"/>
      <c r="V685" s="146"/>
      <c r="W685" s="149"/>
      <c r="X685" s="143"/>
      <c r="Y685" s="146"/>
      <c r="Z685" s="149"/>
      <c r="AA685" s="143"/>
      <c r="AB685" s="146"/>
      <c r="AC685" s="149"/>
      <c r="AD685" s="143"/>
      <c r="AE685" s="146"/>
      <c r="AF685" s="149"/>
      <c r="AG685" s="143"/>
      <c r="AH685" s="146"/>
      <c r="AI685" s="149"/>
      <c r="AJ685" s="143"/>
      <c r="AK685" s="146"/>
      <c r="AL685" s="149"/>
      <c r="AM685" s="143"/>
      <c r="AN685" s="146"/>
      <c r="AO685" s="149"/>
      <c r="AP685" s="143"/>
      <c r="AQ685" s="146"/>
      <c r="AR685" s="149"/>
      <c r="AS685" s="143"/>
      <c r="AT685" s="146"/>
      <c r="AU685" s="149"/>
      <c r="AV685" s="149"/>
    </row>
    <row r="686" spans="1:48" s="34" customFormat="1" ht="12.75">
      <c r="A686" s="36"/>
      <c r="B686" s="36"/>
      <c r="C686" s="36"/>
      <c r="D686" s="36"/>
      <c r="E686" s="35"/>
      <c r="F686" s="143"/>
      <c r="G686" s="146"/>
      <c r="H686" s="149"/>
      <c r="I686" s="143"/>
      <c r="J686" s="146"/>
      <c r="K686" s="149"/>
      <c r="L686" s="143"/>
      <c r="M686" s="146"/>
      <c r="N686" s="149"/>
      <c r="O686" s="143"/>
      <c r="P686" s="146"/>
      <c r="Q686" s="149"/>
      <c r="R686" s="143"/>
      <c r="S686" s="146"/>
      <c r="T686" s="149"/>
      <c r="U686" s="143"/>
      <c r="V686" s="146"/>
      <c r="W686" s="149"/>
      <c r="X686" s="143"/>
      <c r="Y686" s="146"/>
      <c r="Z686" s="149"/>
      <c r="AA686" s="143"/>
      <c r="AB686" s="146"/>
      <c r="AC686" s="149"/>
      <c r="AD686" s="143"/>
      <c r="AE686" s="146"/>
      <c r="AF686" s="149"/>
      <c r="AG686" s="143"/>
      <c r="AH686" s="146"/>
      <c r="AI686" s="149"/>
      <c r="AJ686" s="143"/>
      <c r="AK686" s="146"/>
      <c r="AL686" s="149"/>
      <c r="AM686" s="143"/>
      <c r="AN686" s="146"/>
      <c r="AO686" s="149"/>
      <c r="AP686" s="143"/>
      <c r="AQ686" s="146"/>
      <c r="AR686" s="149"/>
      <c r="AS686" s="143"/>
      <c r="AT686" s="146"/>
      <c r="AU686" s="149"/>
      <c r="AV686" s="149"/>
    </row>
    <row r="687" spans="1:48" s="34" customFormat="1" ht="12.75">
      <c r="A687" s="36"/>
      <c r="B687" s="36"/>
      <c r="C687" s="36"/>
      <c r="D687" s="36"/>
      <c r="E687" s="35"/>
      <c r="F687" s="143"/>
      <c r="G687" s="146"/>
      <c r="H687" s="149"/>
      <c r="I687" s="143"/>
      <c r="J687" s="146"/>
      <c r="K687" s="149"/>
      <c r="L687" s="143"/>
      <c r="M687" s="146"/>
      <c r="N687" s="149"/>
      <c r="O687" s="143"/>
      <c r="P687" s="146"/>
      <c r="Q687" s="149"/>
      <c r="R687" s="143"/>
      <c r="S687" s="146"/>
      <c r="T687" s="149"/>
      <c r="U687" s="143"/>
      <c r="V687" s="146"/>
      <c r="W687" s="149"/>
      <c r="X687" s="143"/>
      <c r="Y687" s="146"/>
      <c r="Z687" s="149"/>
      <c r="AA687" s="143"/>
      <c r="AB687" s="146"/>
      <c r="AC687" s="149"/>
      <c r="AD687" s="143"/>
      <c r="AE687" s="146"/>
      <c r="AF687" s="149"/>
      <c r="AG687" s="143"/>
      <c r="AH687" s="146"/>
      <c r="AI687" s="149"/>
      <c r="AJ687" s="143"/>
      <c r="AK687" s="146"/>
      <c r="AL687" s="149"/>
      <c r="AM687" s="143"/>
      <c r="AN687" s="146"/>
      <c r="AO687" s="149"/>
      <c r="AP687" s="143"/>
      <c r="AQ687" s="146"/>
      <c r="AR687" s="149"/>
      <c r="AS687" s="143"/>
      <c r="AT687" s="146"/>
      <c r="AU687" s="149"/>
      <c r="AV687" s="149"/>
    </row>
    <row r="688" spans="1:48" s="34" customFormat="1" ht="12.75">
      <c r="A688" s="36"/>
      <c r="B688" s="36"/>
      <c r="C688" s="36"/>
      <c r="D688" s="36"/>
      <c r="E688" s="35"/>
      <c r="F688" s="143"/>
      <c r="G688" s="146"/>
      <c r="H688" s="149"/>
      <c r="I688" s="143"/>
      <c r="J688" s="146"/>
      <c r="K688" s="149"/>
      <c r="L688" s="143"/>
      <c r="M688" s="146"/>
      <c r="N688" s="149"/>
      <c r="O688" s="143"/>
      <c r="P688" s="146"/>
      <c r="Q688" s="149"/>
      <c r="R688" s="143"/>
      <c r="S688" s="146"/>
      <c r="T688" s="149"/>
      <c r="U688" s="143"/>
      <c r="V688" s="146"/>
      <c r="W688" s="149"/>
      <c r="X688" s="143"/>
      <c r="Y688" s="146"/>
      <c r="Z688" s="149"/>
      <c r="AA688" s="143"/>
      <c r="AB688" s="146"/>
      <c r="AC688" s="149"/>
      <c r="AD688" s="143"/>
      <c r="AE688" s="146"/>
      <c r="AF688" s="149"/>
      <c r="AG688" s="143"/>
      <c r="AH688" s="146"/>
      <c r="AI688" s="149"/>
      <c r="AJ688" s="143"/>
      <c r="AK688" s="146"/>
      <c r="AL688" s="149"/>
      <c r="AM688" s="143"/>
      <c r="AN688" s="146"/>
      <c r="AO688" s="149"/>
      <c r="AP688" s="143"/>
      <c r="AQ688" s="146"/>
      <c r="AR688" s="149"/>
      <c r="AS688" s="143"/>
      <c r="AT688" s="146"/>
      <c r="AU688" s="149"/>
      <c r="AV688" s="149"/>
    </row>
    <row r="689" spans="1:48" s="34" customFormat="1" ht="12.75">
      <c r="A689" s="36"/>
      <c r="B689" s="36"/>
      <c r="C689" s="36"/>
      <c r="D689" s="36"/>
      <c r="E689" s="35"/>
      <c r="F689" s="143"/>
      <c r="G689" s="146"/>
      <c r="H689" s="149"/>
      <c r="I689" s="143"/>
      <c r="J689" s="146"/>
      <c r="K689" s="149"/>
      <c r="L689" s="143"/>
      <c r="M689" s="146"/>
      <c r="N689" s="149"/>
      <c r="O689" s="143"/>
      <c r="P689" s="146"/>
      <c r="Q689" s="149"/>
      <c r="R689" s="143"/>
      <c r="S689" s="146"/>
      <c r="T689" s="149"/>
      <c r="U689" s="143"/>
      <c r="V689" s="146"/>
      <c r="W689" s="149"/>
      <c r="X689" s="143"/>
      <c r="Y689" s="146"/>
      <c r="Z689" s="149"/>
      <c r="AA689" s="143"/>
      <c r="AB689" s="146"/>
      <c r="AC689" s="149"/>
      <c r="AD689" s="143"/>
      <c r="AE689" s="146"/>
      <c r="AF689" s="149"/>
      <c r="AG689" s="143"/>
      <c r="AH689" s="146"/>
      <c r="AI689" s="149"/>
      <c r="AJ689" s="143"/>
      <c r="AK689" s="146"/>
      <c r="AL689" s="149"/>
      <c r="AM689" s="143"/>
      <c r="AN689" s="146"/>
      <c r="AO689" s="149"/>
      <c r="AP689" s="143"/>
      <c r="AQ689" s="146"/>
      <c r="AR689" s="149"/>
      <c r="AS689" s="143"/>
      <c r="AT689" s="146"/>
      <c r="AU689" s="149"/>
      <c r="AV689" s="149"/>
    </row>
    <row r="690" spans="1:48" s="34" customFormat="1" ht="12.75">
      <c r="A690" s="36"/>
      <c r="B690" s="36"/>
      <c r="C690" s="36"/>
      <c r="D690" s="36"/>
      <c r="E690" s="35"/>
      <c r="F690" s="143"/>
      <c r="G690" s="146"/>
      <c r="H690" s="149"/>
      <c r="I690" s="143"/>
      <c r="J690" s="146"/>
      <c r="K690" s="149"/>
      <c r="L690" s="143"/>
      <c r="M690" s="146"/>
      <c r="N690" s="149"/>
      <c r="O690" s="143"/>
      <c r="P690" s="146"/>
      <c r="Q690" s="149"/>
      <c r="R690" s="143"/>
      <c r="S690" s="146"/>
      <c r="T690" s="149"/>
      <c r="U690" s="143"/>
      <c r="V690" s="146"/>
      <c r="W690" s="149"/>
      <c r="X690" s="143"/>
      <c r="Y690" s="146"/>
      <c r="Z690" s="149"/>
      <c r="AA690" s="143"/>
      <c r="AB690" s="146"/>
      <c r="AC690" s="149"/>
      <c r="AD690" s="143"/>
      <c r="AE690" s="146"/>
      <c r="AF690" s="149"/>
      <c r="AG690" s="143"/>
      <c r="AH690" s="146"/>
      <c r="AI690" s="149"/>
      <c r="AJ690" s="143"/>
      <c r="AK690" s="146"/>
      <c r="AL690" s="149"/>
      <c r="AM690" s="143"/>
      <c r="AN690" s="146"/>
      <c r="AO690" s="149"/>
      <c r="AP690" s="143"/>
      <c r="AQ690" s="146"/>
      <c r="AR690" s="149"/>
      <c r="AS690" s="143"/>
      <c r="AT690" s="146"/>
      <c r="AU690" s="149"/>
      <c r="AV690" s="149"/>
    </row>
  </sheetData>
  <sheetProtection/>
  <mergeCells count="1">
    <mergeCell ref="A5:D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zoomScalePageLayoutView="0" workbookViewId="0" topLeftCell="A1">
      <selection activeCell="A1" sqref="A1:AO66"/>
    </sheetView>
  </sheetViews>
  <sheetFormatPr defaultColWidth="9.00390625" defaultRowHeight="12.75"/>
  <cols>
    <col min="1" max="1" width="5.625" style="9" customWidth="1"/>
    <col min="2" max="2" width="7.25390625" style="9" bestFit="1" customWidth="1"/>
    <col min="3" max="3" width="5.00390625" style="9" bestFit="1" customWidth="1"/>
    <col min="4" max="4" width="27.375" style="9" customWidth="1"/>
    <col min="5" max="5" width="20.75390625" style="9" hidden="1" customWidth="1"/>
    <col min="6" max="7" width="11.75390625" style="76" hidden="1" customWidth="1"/>
    <col min="8" max="8" width="11.75390625" style="0" hidden="1" customWidth="1"/>
    <col min="9" max="9" width="35.00390625" style="76" hidden="1" customWidth="1"/>
    <col min="10" max="10" width="11.625" style="76" hidden="1" customWidth="1"/>
    <col min="11" max="11" width="11.75390625" style="0" hidden="1" customWidth="1"/>
    <col min="12" max="12" width="33.125" style="76" hidden="1" customWidth="1"/>
    <col min="13" max="13" width="11.625" style="76" hidden="1" customWidth="1"/>
    <col min="14" max="14" width="11.75390625" style="0" hidden="1" customWidth="1"/>
    <col min="15" max="15" width="7.125" style="76" hidden="1" customWidth="1"/>
    <col min="16" max="16" width="11.625" style="76" hidden="1" customWidth="1"/>
    <col min="17" max="17" width="1.00390625" style="0" hidden="1" customWidth="1"/>
    <col min="18" max="18" width="35.75390625" style="76" hidden="1" customWidth="1"/>
    <col min="19" max="19" width="11.625" style="76" hidden="1" customWidth="1"/>
    <col min="20" max="20" width="11.75390625" style="0" hidden="1" customWidth="1"/>
    <col min="21" max="21" width="35.25390625" style="76" hidden="1" customWidth="1"/>
    <col min="22" max="22" width="11.625" style="76" hidden="1" customWidth="1"/>
    <col min="23" max="23" width="12.625" style="0" hidden="1" customWidth="1"/>
    <col min="24" max="24" width="35.25390625" style="76" hidden="1" customWidth="1"/>
    <col min="25" max="25" width="11.625" style="76" hidden="1" customWidth="1"/>
    <col min="26" max="26" width="12.625" style="0" hidden="1" customWidth="1"/>
    <col min="27" max="27" width="32.00390625" style="76" hidden="1" customWidth="1"/>
    <col min="28" max="28" width="11.625" style="76" hidden="1" customWidth="1"/>
    <col min="29" max="29" width="11.75390625" style="0" hidden="1" customWidth="1"/>
    <col min="30" max="30" width="32.00390625" style="76" hidden="1" customWidth="1"/>
    <col min="31" max="31" width="11.625" style="76" hidden="1" customWidth="1"/>
    <col min="32" max="32" width="11.75390625" style="0" hidden="1" customWidth="1"/>
    <col min="33" max="33" width="32.00390625" style="76" hidden="1" customWidth="1"/>
    <col min="34" max="34" width="24.875" style="76" hidden="1" customWidth="1"/>
    <col min="35" max="35" width="12.75390625" style="0" hidden="1" customWidth="1"/>
    <col min="36" max="36" width="31.25390625" style="76" hidden="1" customWidth="1"/>
    <col min="37" max="37" width="11.625" style="76" hidden="1" customWidth="1"/>
    <col min="38" max="38" width="12.625" style="0" customWidth="1"/>
    <col min="39" max="40" width="11.75390625" style="76" customWidth="1"/>
    <col min="41" max="41" width="12.625" style="0" customWidth="1"/>
  </cols>
  <sheetData>
    <row r="1" spans="1:41" ht="12.75">
      <c r="A1" s="85"/>
      <c r="B1" s="85"/>
      <c r="C1" s="85"/>
      <c r="D1" s="85"/>
      <c r="E1" s="86" t="s">
        <v>241</v>
      </c>
      <c r="F1" s="86"/>
      <c r="G1" s="86"/>
      <c r="H1" s="86"/>
      <c r="I1" s="160" t="s">
        <v>425</v>
      </c>
      <c r="J1" s="86"/>
      <c r="K1" s="86"/>
      <c r="L1" s="160" t="s">
        <v>442</v>
      </c>
      <c r="M1" s="86"/>
      <c r="N1" s="86"/>
      <c r="O1" s="160" t="s">
        <v>506</v>
      </c>
      <c r="P1" s="86"/>
      <c r="Q1" s="86"/>
      <c r="R1" s="160" t="s">
        <v>537</v>
      </c>
      <c r="S1" s="86"/>
      <c r="T1" s="86"/>
      <c r="U1" s="160" t="s">
        <v>556</v>
      </c>
      <c r="V1" s="86"/>
      <c r="W1" s="86"/>
      <c r="X1" s="160" t="s">
        <v>585</v>
      </c>
      <c r="Y1" s="86"/>
      <c r="Z1" s="86"/>
      <c r="AA1" s="160" t="s">
        <v>600</v>
      </c>
      <c r="AB1" s="86"/>
      <c r="AC1" s="86"/>
      <c r="AD1" s="160" t="s">
        <v>654</v>
      </c>
      <c r="AE1" s="86"/>
      <c r="AF1" s="86"/>
      <c r="AG1" s="324" t="s">
        <v>679</v>
      </c>
      <c r="AH1" s="86"/>
      <c r="AI1" s="86"/>
      <c r="AJ1" s="324" t="s">
        <v>689</v>
      </c>
      <c r="AK1" s="86"/>
      <c r="AL1" s="86"/>
      <c r="AM1" s="324" t="s">
        <v>718</v>
      </c>
      <c r="AN1" s="86"/>
      <c r="AO1" s="86"/>
    </row>
    <row r="2" spans="1:41" ht="12.75">
      <c r="A2" s="85"/>
      <c r="B2" s="85"/>
      <c r="C2" s="85"/>
      <c r="D2" s="85"/>
      <c r="E2" s="86" t="s">
        <v>384</v>
      </c>
      <c r="F2" s="86"/>
      <c r="G2" s="86"/>
      <c r="H2" s="86"/>
      <c r="I2" s="160" t="s">
        <v>396</v>
      </c>
      <c r="J2" s="86"/>
      <c r="K2" s="86"/>
      <c r="L2" s="160" t="s">
        <v>441</v>
      </c>
      <c r="M2" s="86"/>
      <c r="N2" s="86"/>
      <c r="O2" s="160" t="s">
        <v>476</v>
      </c>
      <c r="P2" s="86"/>
      <c r="Q2" s="86"/>
      <c r="R2" s="160" t="s">
        <v>513</v>
      </c>
      <c r="S2" s="86"/>
      <c r="T2" s="86"/>
      <c r="U2" s="160" t="s">
        <v>551</v>
      </c>
      <c r="V2" s="86"/>
      <c r="W2" s="86"/>
      <c r="X2" s="160" t="s">
        <v>576</v>
      </c>
      <c r="Y2" s="86"/>
      <c r="Z2" s="86"/>
      <c r="AA2" s="160" t="s">
        <v>592</v>
      </c>
      <c r="AB2" s="86"/>
      <c r="AC2" s="86"/>
      <c r="AD2" s="160" t="s">
        <v>651</v>
      </c>
      <c r="AE2" s="86"/>
      <c r="AF2" s="86"/>
      <c r="AG2" s="160" t="s">
        <v>682</v>
      </c>
      <c r="AH2" s="86"/>
      <c r="AI2" s="86"/>
      <c r="AJ2" s="160" t="s">
        <v>688</v>
      </c>
      <c r="AK2" s="86"/>
      <c r="AL2" s="86"/>
      <c r="AM2" s="160" t="s">
        <v>695</v>
      </c>
      <c r="AN2" s="86"/>
      <c r="AO2" s="86"/>
    </row>
    <row r="3" spans="1:41" ht="12.75">
      <c r="A3" s="85"/>
      <c r="B3" s="85"/>
      <c r="C3" s="85"/>
      <c r="D3" s="85"/>
      <c r="E3" s="86" t="s">
        <v>184</v>
      </c>
      <c r="F3" s="86"/>
      <c r="G3" s="86"/>
      <c r="H3" s="86"/>
      <c r="I3" s="160" t="s">
        <v>397</v>
      </c>
      <c r="J3" s="86"/>
      <c r="K3" s="86"/>
      <c r="L3" s="160" t="s">
        <v>437</v>
      </c>
      <c r="M3" s="86"/>
      <c r="N3" s="86"/>
      <c r="O3" s="160" t="s">
        <v>442</v>
      </c>
      <c r="P3" s="86"/>
      <c r="Q3" s="86"/>
      <c r="R3" s="160" t="s">
        <v>506</v>
      </c>
      <c r="S3" s="86"/>
      <c r="T3" s="86"/>
      <c r="U3" s="160" t="s">
        <v>537</v>
      </c>
      <c r="V3" s="86"/>
      <c r="W3" s="86"/>
      <c r="X3" s="160" t="s">
        <v>556</v>
      </c>
      <c r="Y3" s="86"/>
      <c r="Z3" s="86"/>
      <c r="AA3" s="160" t="s">
        <v>585</v>
      </c>
      <c r="AB3" s="86"/>
      <c r="AC3" s="86"/>
      <c r="AD3" s="160" t="s">
        <v>600</v>
      </c>
      <c r="AE3" s="86"/>
      <c r="AF3" s="86"/>
      <c r="AG3" s="160" t="s">
        <v>654</v>
      </c>
      <c r="AH3" s="86"/>
      <c r="AI3" s="86"/>
      <c r="AJ3" s="324" t="s">
        <v>679</v>
      </c>
      <c r="AK3" s="86"/>
      <c r="AL3" s="86"/>
      <c r="AM3" s="324" t="s">
        <v>689</v>
      </c>
      <c r="AN3" s="86"/>
      <c r="AO3" s="86"/>
    </row>
    <row r="4" spans="1:41" ht="12.75">
      <c r="A4" s="85"/>
      <c r="B4" s="85"/>
      <c r="C4" s="85"/>
      <c r="D4" s="85"/>
      <c r="E4" s="86" t="s">
        <v>387</v>
      </c>
      <c r="F4" s="86"/>
      <c r="G4" s="86"/>
      <c r="H4" s="86"/>
      <c r="I4" s="160" t="s">
        <v>392</v>
      </c>
      <c r="J4" s="86"/>
      <c r="K4" s="86"/>
      <c r="L4" s="160" t="s">
        <v>432</v>
      </c>
      <c r="M4" s="86"/>
      <c r="N4" s="86"/>
      <c r="O4" s="160" t="s">
        <v>441</v>
      </c>
      <c r="P4" s="86"/>
      <c r="Q4" s="86"/>
      <c r="R4" s="160" t="s">
        <v>512</v>
      </c>
      <c r="S4" s="86"/>
      <c r="T4" s="86"/>
      <c r="U4" s="160" t="s">
        <v>543</v>
      </c>
      <c r="V4" s="86"/>
      <c r="W4" s="86"/>
      <c r="X4" s="160" t="s">
        <v>559</v>
      </c>
      <c r="Y4" s="86"/>
      <c r="Z4" s="86"/>
      <c r="AA4" s="160" t="s">
        <v>591</v>
      </c>
      <c r="AB4" s="86"/>
      <c r="AC4" s="86"/>
      <c r="AD4" s="160" t="s">
        <v>605</v>
      </c>
      <c r="AE4" s="86"/>
      <c r="AF4" s="86"/>
      <c r="AG4" s="160" t="s">
        <v>665</v>
      </c>
      <c r="AH4" s="86"/>
      <c r="AI4" s="86"/>
      <c r="AJ4" s="160" t="s">
        <v>684</v>
      </c>
      <c r="AK4" s="86"/>
      <c r="AL4" s="86"/>
      <c r="AM4" s="160" t="s">
        <v>696</v>
      </c>
      <c r="AN4" s="86"/>
      <c r="AO4" s="86"/>
    </row>
    <row r="5" spans="1:41" ht="12.75">
      <c r="A5" s="85"/>
      <c r="B5" s="85"/>
      <c r="C5" s="85"/>
      <c r="D5" s="85"/>
      <c r="E5" s="85"/>
      <c r="F5" s="179"/>
      <c r="G5" s="179"/>
      <c r="H5" s="178"/>
      <c r="I5" s="179"/>
      <c r="J5" s="179"/>
      <c r="K5" s="178"/>
      <c r="L5" s="179"/>
      <c r="M5" s="179"/>
      <c r="N5" s="178"/>
      <c r="O5" s="179"/>
      <c r="P5" s="179"/>
      <c r="Q5" s="178"/>
      <c r="R5" s="179"/>
      <c r="S5" s="179"/>
      <c r="T5" s="178"/>
      <c r="U5" s="179"/>
      <c r="V5" s="179"/>
      <c r="W5" s="178"/>
      <c r="X5" s="179"/>
      <c r="Y5" s="179"/>
      <c r="Z5" s="178"/>
      <c r="AA5" s="179"/>
      <c r="AB5" s="179"/>
      <c r="AC5" s="178"/>
      <c r="AD5" s="179"/>
      <c r="AE5" s="179"/>
      <c r="AF5" s="178"/>
      <c r="AG5" s="179"/>
      <c r="AH5" s="179"/>
      <c r="AI5" s="178"/>
      <c r="AJ5" s="179"/>
      <c r="AK5" s="179"/>
      <c r="AL5" s="178"/>
      <c r="AM5" s="179"/>
      <c r="AN5" s="179"/>
      <c r="AO5" s="178"/>
    </row>
    <row r="6" spans="1:41" ht="15.75">
      <c r="A6" s="349" t="s">
        <v>295</v>
      </c>
      <c r="B6" s="349"/>
      <c r="C6" s="349"/>
      <c r="D6" s="349"/>
      <c r="E6" s="177"/>
      <c r="F6" s="179"/>
      <c r="G6" s="179"/>
      <c r="H6" s="178"/>
      <c r="I6" s="179"/>
      <c r="J6" s="179"/>
      <c r="K6" s="178"/>
      <c r="L6" s="179"/>
      <c r="M6" s="179"/>
      <c r="N6" s="178"/>
      <c r="O6" s="179"/>
      <c r="P6" s="179"/>
      <c r="Q6" s="178"/>
      <c r="R6" s="179"/>
      <c r="S6" s="179"/>
      <c r="T6" s="178"/>
      <c r="U6" s="179"/>
      <c r="V6" s="179"/>
      <c r="W6" s="178"/>
      <c r="X6" s="179"/>
      <c r="Y6" s="179"/>
      <c r="Z6" s="178"/>
      <c r="AA6" s="179"/>
      <c r="AB6" s="179"/>
      <c r="AC6" s="178"/>
      <c r="AD6" s="179"/>
      <c r="AE6" s="179"/>
      <c r="AF6" s="178"/>
      <c r="AG6" s="179"/>
      <c r="AH6" s="179"/>
      <c r="AI6" s="178"/>
      <c r="AJ6" s="179"/>
      <c r="AK6" s="179"/>
      <c r="AL6" s="178"/>
      <c r="AM6" s="179"/>
      <c r="AN6" s="179"/>
      <c r="AO6" s="178"/>
    </row>
    <row r="7" spans="1:41" ht="16.5" customHeight="1">
      <c r="A7" s="350" t="s">
        <v>276</v>
      </c>
      <c r="B7" s="350"/>
      <c r="C7" s="350"/>
      <c r="D7" s="350"/>
      <c r="E7" s="177"/>
      <c r="F7" s="179"/>
      <c r="G7" s="179"/>
      <c r="H7" s="178"/>
      <c r="I7" s="179"/>
      <c r="J7" s="179"/>
      <c r="K7" s="178"/>
      <c r="L7" s="179"/>
      <c r="M7" s="179"/>
      <c r="N7" s="178"/>
      <c r="O7" s="179"/>
      <c r="P7" s="179"/>
      <c r="Q7" s="178"/>
      <c r="R7" s="179"/>
      <c r="S7" s="179"/>
      <c r="T7" s="178"/>
      <c r="U7" s="179"/>
      <c r="V7" s="179"/>
      <c r="W7" s="178"/>
      <c r="X7" s="179"/>
      <c r="Y7" s="179"/>
      <c r="Z7" s="178"/>
      <c r="AA7" s="179"/>
      <c r="AB7" s="179"/>
      <c r="AC7" s="178"/>
      <c r="AD7" s="179"/>
      <c r="AE7" s="179"/>
      <c r="AF7" s="178"/>
      <c r="AG7" s="179"/>
      <c r="AH7" s="179"/>
      <c r="AI7" s="178"/>
      <c r="AJ7" s="179"/>
      <c r="AK7" s="179"/>
      <c r="AL7" s="178"/>
      <c r="AM7" s="179"/>
      <c r="AN7" s="179"/>
      <c r="AO7" s="178"/>
    </row>
    <row r="8" spans="1:41" s="9" customFormat="1" ht="28.5" customHeight="1">
      <c r="A8" s="92" t="s">
        <v>4</v>
      </c>
      <c r="B8" s="92" t="s">
        <v>5</v>
      </c>
      <c r="C8" s="131" t="s">
        <v>6</v>
      </c>
      <c r="D8" s="92" t="s">
        <v>7</v>
      </c>
      <c r="E8" s="164" t="s">
        <v>166</v>
      </c>
      <c r="F8" s="29" t="s">
        <v>260</v>
      </c>
      <c r="G8" s="29" t="s">
        <v>261</v>
      </c>
      <c r="H8" s="163" t="s">
        <v>169</v>
      </c>
      <c r="I8" s="29" t="s">
        <v>260</v>
      </c>
      <c r="J8" s="29" t="s">
        <v>261</v>
      </c>
      <c r="K8" s="163" t="s">
        <v>169</v>
      </c>
      <c r="L8" s="29" t="s">
        <v>260</v>
      </c>
      <c r="M8" s="29" t="s">
        <v>261</v>
      </c>
      <c r="N8" s="163" t="s">
        <v>169</v>
      </c>
      <c r="O8" s="29" t="s">
        <v>260</v>
      </c>
      <c r="P8" s="29" t="s">
        <v>261</v>
      </c>
      <c r="Q8" s="163" t="s">
        <v>169</v>
      </c>
      <c r="R8" s="29" t="s">
        <v>260</v>
      </c>
      <c r="S8" s="29" t="s">
        <v>261</v>
      </c>
      <c r="T8" s="163" t="s">
        <v>169</v>
      </c>
      <c r="U8" s="29" t="s">
        <v>260</v>
      </c>
      <c r="V8" s="29" t="s">
        <v>261</v>
      </c>
      <c r="W8" s="163" t="s">
        <v>169</v>
      </c>
      <c r="X8" s="29" t="s">
        <v>260</v>
      </c>
      <c r="Y8" s="29" t="s">
        <v>261</v>
      </c>
      <c r="Z8" s="163" t="s">
        <v>169</v>
      </c>
      <c r="AA8" s="29" t="s">
        <v>260</v>
      </c>
      <c r="AB8" s="29" t="s">
        <v>261</v>
      </c>
      <c r="AC8" s="163" t="s">
        <v>169</v>
      </c>
      <c r="AD8" s="29" t="s">
        <v>260</v>
      </c>
      <c r="AE8" s="29" t="s">
        <v>261</v>
      </c>
      <c r="AF8" s="163" t="s">
        <v>169</v>
      </c>
      <c r="AG8" s="29" t="s">
        <v>260</v>
      </c>
      <c r="AH8" s="29" t="s">
        <v>261</v>
      </c>
      <c r="AI8" s="163" t="s">
        <v>169</v>
      </c>
      <c r="AJ8" s="29" t="s">
        <v>260</v>
      </c>
      <c r="AK8" s="29" t="s">
        <v>261</v>
      </c>
      <c r="AL8" s="163" t="s">
        <v>169</v>
      </c>
      <c r="AM8" s="29" t="s">
        <v>260</v>
      </c>
      <c r="AN8" s="29" t="s">
        <v>261</v>
      </c>
      <c r="AO8" s="163" t="s">
        <v>276</v>
      </c>
    </row>
    <row r="9" spans="1:41" s="9" customFormat="1" ht="28.5" customHeight="1">
      <c r="A9" s="51" t="s">
        <v>8</v>
      </c>
      <c r="B9" s="92"/>
      <c r="C9" s="131"/>
      <c r="D9" s="54" t="s">
        <v>9</v>
      </c>
      <c r="E9" s="164"/>
      <c r="F9" s="29"/>
      <c r="G9" s="29"/>
      <c r="H9" s="163"/>
      <c r="I9" s="29"/>
      <c r="J9" s="29"/>
      <c r="K9" s="163"/>
      <c r="L9" s="29"/>
      <c r="M9" s="29"/>
      <c r="N9" s="163"/>
      <c r="O9" s="29"/>
      <c r="P9" s="29"/>
      <c r="Q9" s="163"/>
      <c r="R9" s="29"/>
      <c r="S9" s="29"/>
      <c r="T9" s="163"/>
      <c r="U9" s="29"/>
      <c r="V9" s="29"/>
      <c r="W9" s="163"/>
      <c r="X9" s="29"/>
      <c r="Y9" s="29"/>
      <c r="Z9" s="163"/>
      <c r="AA9" s="29"/>
      <c r="AB9" s="29"/>
      <c r="AC9" s="242">
        <f aca="true" t="shared" si="0" ref="AC9:AO10">SUM(AC10)</f>
        <v>0</v>
      </c>
      <c r="AD9" s="242">
        <f t="shared" si="0"/>
        <v>65571</v>
      </c>
      <c r="AE9" s="242">
        <f t="shared" si="0"/>
        <v>0</v>
      </c>
      <c r="AF9" s="242">
        <f t="shared" si="0"/>
        <v>65571</v>
      </c>
      <c r="AG9" s="242">
        <f t="shared" si="0"/>
        <v>0</v>
      </c>
      <c r="AH9" s="242">
        <f t="shared" si="0"/>
        <v>0</v>
      </c>
      <c r="AI9" s="242">
        <f t="shared" si="0"/>
        <v>65571</v>
      </c>
      <c r="AJ9" s="242">
        <f t="shared" si="0"/>
        <v>0</v>
      </c>
      <c r="AK9" s="242">
        <f t="shared" si="0"/>
        <v>0</v>
      </c>
      <c r="AL9" s="242">
        <f t="shared" si="0"/>
        <v>65571</v>
      </c>
      <c r="AM9" s="242">
        <f t="shared" si="0"/>
        <v>0</v>
      </c>
      <c r="AN9" s="242">
        <f t="shared" si="0"/>
        <v>0</v>
      </c>
      <c r="AO9" s="242">
        <f t="shared" si="0"/>
        <v>65571</v>
      </c>
    </row>
    <row r="10" spans="1:41" s="37" customFormat="1" ht="28.5" customHeight="1">
      <c r="A10" s="101"/>
      <c r="B10" s="98" t="s">
        <v>661</v>
      </c>
      <c r="C10" s="320"/>
      <c r="D10" s="56" t="s">
        <v>10</v>
      </c>
      <c r="E10" s="321"/>
      <c r="F10" s="322"/>
      <c r="G10" s="322"/>
      <c r="H10" s="271"/>
      <c r="I10" s="322"/>
      <c r="J10" s="322"/>
      <c r="K10" s="271"/>
      <c r="L10" s="322"/>
      <c r="M10" s="322"/>
      <c r="N10" s="271"/>
      <c r="O10" s="322"/>
      <c r="P10" s="322"/>
      <c r="Q10" s="271"/>
      <c r="R10" s="322"/>
      <c r="S10" s="322"/>
      <c r="T10" s="271"/>
      <c r="U10" s="322"/>
      <c r="V10" s="322"/>
      <c r="W10" s="271"/>
      <c r="X10" s="322"/>
      <c r="Y10" s="322"/>
      <c r="Z10" s="271"/>
      <c r="AA10" s="322"/>
      <c r="AB10" s="322"/>
      <c r="AC10" s="225">
        <f t="shared" si="0"/>
        <v>0</v>
      </c>
      <c r="AD10" s="225">
        <f t="shared" si="0"/>
        <v>65571</v>
      </c>
      <c r="AE10" s="225">
        <f t="shared" si="0"/>
        <v>0</v>
      </c>
      <c r="AF10" s="225">
        <f t="shared" si="0"/>
        <v>65571</v>
      </c>
      <c r="AG10" s="225">
        <f t="shared" si="0"/>
        <v>0</v>
      </c>
      <c r="AH10" s="225">
        <f t="shared" si="0"/>
        <v>0</v>
      </c>
      <c r="AI10" s="225">
        <f t="shared" si="0"/>
        <v>65571</v>
      </c>
      <c r="AJ10" s="225">
        <f t="shared" si="0"/>
        <v>0</v>
      </c>
      <c r="AK10" s="225">
        <f t="shared" si="0"/>
        <v>0</v>
      </c>
      <c r="AL10" s="225">
        <f t="shared" si="0"/>
        <v>65571</v>
      </c>
      <c r="AM10" s="225">
        <f t="shared" si="0"/>
        <v>0</v>
      </c>
      <c r="AN10" s="225">
        <f t="shared" si="0"/>
        <v>0</v>
      </c>
      <c r="AO10" s="225">
        <f t="shared" si="0"/>
        <v>65571</v>
      </c>
    </row>
    <row r="11" spans="1:41" s="37" customFormat="1" ht="67.5">
      <c r="A11" s="101"/>
      <c r="B11" s="101"/>
      <c r="C11" s="320">
        <v>2010</v>
      </c>
      <c r="D11" s="56" t="s">
        <v>445</v>
      </c>
      <c r="E11" s="321"/>
      <c r="F11" s="322"/>
      <c r="G11" s="322"/>
      <c r="H11" s="271"/>
      <c r="I11" s="322"/>
      <c r="J11" s="322"/>
      <c r="K11" s="271"/>
      <c r="L11" s="322"/>
      <c r="M11" s="322"/>
      <c r="N11" s="271"/>
      <c r="O11" s="322"/>
      <c r="P11" s="322"/>
      <c r="Q11" s="271"/>
      <c r="R11" s="322"/>
      <c r="S11" s="322"/>
      <c r="T11" s="271"/>
      <c r="U11" s="322"/>
      <c r="V11" s="322"/>
      <c r="W11" s="271"/>
      <c r="X11" s="322"/>
      <c r="Y11" s="322"/>
      <c r="Z11" s="271"/>
      <c r="AA11" s="322"/>
      <c r="AB11" s="322"/>
      <c r="AC11" s="225">
        <v>0</v>
      </c>
      <c r="AD11" s="126">
        <v>65571</v>
      </c>
      <c r="AE11" s="126"/>
      <c r="AF11" s="225">
        <f>AC11+AD11-AE11</f>
        <v>65571</v>
      </c>
      <c r="AG11" s="126"/>
      <c r="AH11" s="126"/>
      <c r="AI11" s="225">
        <f>AF11+AG11-AH11</f>
        <v>65571</v>
      </c>
      <c r="AJ11" s="126"/>
      <c r="AK11" s="126"/>
      <c r="AL11" s="225">
        <f>AI11+AJ11-AK11</f>
        <v>65571</v>
      </c>
      <c r="AM11" s="126"/>
      <c r="AN11" s="126"/>
      <c r="AO11" s="225">
        <f>AL11+AM11-AN11</f>
        <v>65571</v>
      </c>
    </row>
    <row r="12" spans="1:41" s="9" customFormat="1" ht="24" customHeight="1">
      <c r="A12" s="51" t="s">
        <v>22</v>
      </c>
      <c r="B12" s="43"/>
      <c r="C12" s="84"/>
      <c r="D12" s="54" t="s">
        <v>23</v>
      </c>
      <c r="E12" s="94">
        <f aca="true" t="shared" si="1" ref="E12:AO12">SUM(E13)</f>
        <v>144800</v>
      </c>
      <c r="F12" s="166">
        <f t="shared" si="1"/>
        <v>0</v>
      </c>
      <c r="G12" s="166">
        <f t="shared" si="1"/>
        <v>0</v>
      </c>
      <c r="H12" s="94">
        <f t="shared" si="1"/>
        <v>144800</v>
      </c>
      <c r="I12" s="166">
        <f t="shared" si="1"/>
        <v>0</v>
      </c>
      <c r="J12" s="166">
        <f t="shared" si="1"/>
        <v>0</v>
      </c>
      <c r="K12" s="94">
        <f t="shared" si="1"/>
        <v>144800</v>
      </c>
      <c r="L12" s="166">
        <f t="shared" si="1"/>
        <v>0</v>
      </c>
      <c r="M12" s="166">
        <f t="shared" si="1"/>
        <v>0</v>
      </c>
      <c r="N12" s="94">
        <f t="shared" si="1"/>
        <v>144800</v>
      </c>
      <c r="O12" s="166">
        <f t="shared" si="1"/>
        <v>0</v>
      </c>
      <c r="P12" s="166">
        <f t="shared" si="1"/>
        <v>0</v>
      </c>
      <c r="Q12" s="94">
        <f t="shared" si="1"/>
        <v>144800</v>
      </c>
      <c r="R12" s="166">
        <f t="shared" si="1"/>
        <v>0</v>
      </c>
      <c r="S12" s="166">
        <f t="shared" si="1"/>
        <v>0</v>
      </c>
      <c r="T12" s="94">
        <f t="shared" si="1"/>
        <v>144800</v>
      </c>
      <c r="U12" s="166">
        <f t="shared" si="1"/>
        <v>0</v>
      </c>
      <c r="V12" s="166">
        <f t="shared" si="1"/>
        <v>0</v>
      </c>
      <c r="W12" s="94">
        <f t="shared" si="1"/>
        <v>144800</v>
      </c>
      <c r="X12" s="166">
        <f t="shared" si="1"/>
        <v>0</v>
      </c>
      <c r="Y12" s="166">
        <f t="shared" si="1"/>
        <v>0</v>
      </c>
      <c r="Z12" s="94">
        <f t="shared" si="1"/>
        <v>144800</v>
      </c>
      <c r="AA12" s="166">
        <f t="shared" si="1"/>
        <v>0</v>
      </c>
      <c r="AB12" s="166">
        <f t="shared" si="1"/>
        <v>0</v>
      </c>
      <c r="AC12" s="94">
        <f t="shared" si="1"/>
        <v>144800</v>
      </c>
      <c r="AD12" s="166">
        <f t="shared" si="1"/>
        <v>0</v>
      </c>
      <c r="AE12" s="166">
        <f t="shared" si="1"/>
        <v>0</v>
      </c>
      <c r="AF12" s="94">
        <f t="shared" si="1"/>
        <v>144800</v>
      </c>
      <c r="AG12" s="166">
        <f t="shared" si="1"/>
        <v>17166</v>
      </c>
      <c r="AH12" s="166">
        <f t="shared" si="1"/>
        <v>0</v>
      </c>
      <c r="AI12" s="94">
        <f t="shared" si="1"/>
        <v>161966</v>
      </c>
      <c r="AJ12" s="166">
        <f t="shared" si="1"/>
        <v>0</v>
      </c>
      <c r="AK12" s="166">
        <f t="shared" si="1"/>
        <v>0</v>
      </c>
      <c r="AL12" s="94">
        <f t="shared" si="1"/>
        <v>161966</v>
      </c>
      <c r="AM12" s="166">
        <f t="shared" si="1"/>
        <v>0</v>
      </c>
      <c r="AN12" s="166">
        <f t="shared" si="1"/>
        <v>0</v>
      </c>
      <c r="AO12" s="94">
        <f t="shared" si="1"/>
        <v>161966</v>
      </c>
    </row>
    <row r="13" spans="1:41" s="37" customFormat="1" ht="21.75" customHeight="1">
      <c r="A13" s="98"/>
      <c r="B13" s="98">
        <v>75011</v>
      </c>
      <c r="C13" s="99"/>
      <c r="D13" s="56" t="s">
        <v>24</v>
      </c>
      <c r="E13" s="127">
        <f aca="true" t="shared" si="2" ref="E13:AO13">E14</f>
        <v>144800</v>
      </c>
      <c r="F13" s="128">
        <f t="shared" si="2"/>
        <v>0</v>
      </c>
      <c r="G13" s="128">
        <f t="shared" si="2"/>
        <v>0</v>
      </c>
      <c r="H13" s="127">
        <f t="shared" si="2"/>
        <v>144800</v>
      </c>
      <c r="I13" s="128">
        <f t="shared" si="2"/>
        <v>0</v>
      </c>
      <c r="J13" s="128">
        <f t="shared" si="2"/>
        <v>0</v>
      </c>
      <c r="K13" s="127">
        <f t="shared" si="2"/>
        <v>144800</v>
      </c>
      <c r="L13" s="128">
        <f t="shared" si="2"/>
        <v>0</v>
      </c>
      <c r="M13" s="128">
        <f t="shared" si="2"/>
        <v>0</v>
      </c>
      <c r="N13" s="127">
        <f t="shared" si="2"/>
        <v>144800</v>
      </c>
      <c r="O13" s="128">
        <f t="shared" si="2"/>
        <v>0</v>
      </c>
      <c r="P13" s="128">
        <f t="shared" si="2"/>
        <v>0</v>
      </c>
      <c r="Q13" s="127">
        <f t="shared" si="2"/>
        <v>144800</v>
      </c>
      <c r="R13" s="128">
        <f t="shared" si="2"/>
        <v>0</v>
      </c>
      <c r="S13" s="128">
        <f t="shared" si="2"/>
        <v>0</v>
      </c>
      <c r="T13" s="127">
        <f t="shared" si="2"/>
        <v>144800</v>
      </c>
      <c r="U13" s="128">
        <f t="shared" si="2"/>
        <v>0</v>
      </c>
      <c r="V13" s="128">
        <f t="shared" si="2"/>
        <v>0</v>
      </c>
      <c r="W13" s="127">
        <f t="shared" si="2"/>
        <v>144800</v>
      </c>
      <c r="X13" s="128">
        <f t="shared" si="2"/>
        <v>0</v>
      </c>
      <c r="Y13" s="128">
        <f t="shared" si="2"/>
        <v>0</v>
      </c>
      <c r="Z13" s="127">
        <f t="shared" si="2"/>
        <v>144800</v>
      </c>
      <c r="AA13" s="128">
        <f t="shared" si="2"/>
        <v>0</v>
      </c>
      <c r="AB13" s="128">
        <f t="shared" si="2"/>
        <v>0</v>
      </c>
      <c r="AC13" s="127">
        <f t="shared" si="2"/>
        <v>144800</v>
      </c>
      <c r="AD13" s="128">
        <f t="shared" si="2"/>
        <v>0</v>
      </c>
      <c r="AE13" s="128">
        <f t="shared" si="2"/>
        <v>0</v>
      </c>
      <c r="AF13" s="127">
        <f t="shared" si="2"/>
        <v>144800</v>
      </c>
      <c r="AG13" s="128">
        <f t="shared" si="2"/>
        <v>17166</v>
      </c>
      <c r="AH13" s="128">
        <f t="shared" si="2"/>
        <v>0</v>
      </c>
      <c r="AI13" s="127">
        <f t="shared" si="2"/>
        <v>161966</v>
      </c>
      <c r="AJ13" s="128">
        <f t="shared" si="2"/>
        <v>0</v>
      </c>
      <c r="AK13" s="128">
        <f t="shared" si="2"/>
        <v>0</v>
      </c>
      <c r="AL13" s="127">
        <f t="shared" si="2"/>
        <v>161966</v>
      </c>
      <c r="AM13" s="128">
        <f t="shared" si="2"/>
        <v>0</v>
      </c>
      <c r="AN13" s="128">
        <f t="shared" si="2"/>
        <v>0</v>
      </c>
      <c r="AO13" s="127">
        <f t="shared" si="2"/>
        <v>161966</v>
      </c>
    </row>
    <row r="14" spans="1:41" s="37" customFormat="1" ht="67.5">
      <c r="A14" s="98"/>
      <c r="B14" s="120"/>
      <c r="C14" s="100" t="s">
        <v>224</v>
      </c>
      <c r="D14" s="56" t="s">
        <v>445</v>
      </c>
      <c r="E14" s="127">
        <v>144800</v>
      </c>
      <c r="F14" s="126"/>
      <c r="G14" s="126"/>
      <c r="H14" s="165">
        <f>SUM(E14+F14-G14)</f>
        <v>144800</v>
      </c>
      <c r="I14" s="126"/>
      <c r="J14" s="126"/>
      <c r="K14" s="165">
        <f>SUM(H14+I14-J14)</f>
        <v>144800</v>
      </c>
      <c r="L14" s="126"/>
      <c r="M14" s="126"/>
      <c r="N14" s="165">
        <f>SUM(K14+L14-M14)</f>
        <v>144800</v>
      </c>
      <c r="O14" s="126"/>
      <c r="P14" s="126"/>
      <c r="Q14" s="165">
        <f>SUM(N14+O14-P14)</f>
        <v>144800</v>
      </c>
      <c r="R14" s="126"/>
      <c r="S14" s="126"/>
      <c r="T14" s="165">
        <f>SUM(Q14+R14-S14)</f>
        <v>144800</v>
      </c>
      <c r="U14" s="126"/>
      <c r="V14" s="126"/>
      <c r="W14" s="165">
        <f>SUM(T14+U14-V14)</f>
        <v>144800</v>
      </c>
      <c r="X14" s="126"/>
      <c r="Y14" s="126"/>
      <c r="Z14" s="165">
        <f>SUM(W14+X14-Y14)</f>
        <v>144800</v>
      </c>
      <c r="AA14" s="126"/>
      <c r="AB14" s="126"/>
      <c r="AC14" s="165">
        <f>SUM(Z14+AA14-AB14)</f>
        <v>144800</v>
      </c>
      <c r="AD14" s="126"/>
      <c r="AE14" s="126"/>
      <c r="AF14" s="165">
        <f>SUM(AC14+AD14-AE14)</f>
        <v>144800</v>
      </c>
      <c r="AG14" s="126">
        <v>17166</v>
      </c>
      <c r="AH14" s="126"/>
      <c r="AI14" s="165">
        <f>SUM(AF14+AG14-AH14)</f>
        <v>161966</v>
      </c>
      <c r="AJ14" s="126"/>
      <c r="AK14" s="126"/>
      <c r="AL14" s="165">
        <f>SUM(AI14+AJ14-AK14)</f>
        <v>161966</v>
      </c>
      <c r="AM14" s="126"/>
      <c r="AN14" s="126"/>
      <c r="AO14" s="165">
        <f>SUM(AL14+AM14-AN14)</f>
        <v>161966</v>
      </c>
    </row>
    <row r="15" spans="1:41" s="9" customFormat="1" ht="48">
      <c r="A15" s="51">
        <v>751</v>
      </c>
      <c r="B15" s="53"/>
      <c r="C15" s="95"/>
      <c r="D15" s="54" t="s">
        <v>27</v>
      </c>
      <c r="E15" s="96">
        <f aca="true" t="shared" si="3" ref="E15:Y15">SUM(E16)</f>
        <v>3930</v>
      </c>
      <c r="F15" s="96">
        <f t="shared" si="3"/>
        <v>0</v>
      </c>
      <c r="G15" s="96">
        <f t="shared" si="3"/>
        <v>100</v>
      </c>
      <c r="H15" s="96">
        <f t="shared" si="3"/>
        <v>3830</v>
      </c>
      <c r="I15" s="96">
        <f t="shared" si="3"/>
        <v>0</v>
      </c>
      <c r="J15" s="96">
        <f t="shared" si="3"/>
        <v>0</v>
      </c>
      <c r="K15" s="96">
        <f t="shared" si="3"/>
        <v>3830</v>
      </c>
      <c r="L15" s="96">
        <f t="shared" si="3"/>
        <v>0</v>
      </c>
      <c r="M15" s="96">
        <f t="shared" si="3"/>
        <v>0</v>
      </c>
      <c r="N15" s="96">
        <f t="shared" si="3"/>
        <v>3830</v>
      </c>
      <c r="O15" s="96">
        <f t="shared" si="3"/>
        <v>0</v>
      </c>
      <c r="P15" s="96">
        <f t="shared" si="3"/>
        <v>0</v>
      </c>
      <c r="Q15" s="96">
        <f t="shared" si="3"/>
        <v>3830</v>
      </c>
      <c r="R15" s="96">
        <f t="shared" si="3"/>
        <v>0</v>
      </c>
      <c r="S15" s="96">
        <f t="shared" si="3"/>
        <v>0</v>
      </c>
      <c r="T15" s="96">
        <f t="shared" si="3"/>
        <v>3830</v>
      </c>
      <c r="U15" s="96">
        <f t="shared" si="3"/>
        <v>0</v>
      </c>
      <c r="V15" s="96">
        <f t="shared" si="3"/>
        <v>0</v>
      </c>
      <c r="W15" s="96">
        <f t="shared" si="3"/>
        <v>3830</v>
      </c>
      <c r="X15" s="96">
        <f t="shared" si="3"/>
        <v>0</v>
      </c>
      <c r="Y15" s="96">
        <f t="shared" si="3"/>
        <v>0</v>
      </c>
      <c r="Z15" s="96">
        <f aca="true" t="shared" si="4" ref="Z15:AF15">SUM(Z16,Z18)</f>
        <v>3830</v>
      </c>
      <c r="AA15" s="96">
        <f t="shared" si="4"/>
        <v>79240</v>
      </c>
      <c r="AB15" s="96">
        <f t="shared" si="4"/>
        <v>0</v>
      </c>
      <c r="AC15" s="96">
        <f t="shared" si="4"/>
        <v>83070</v>
      </c>
      <c r="AD15" s="96">
        <f t="shared" si="4"/>
        <v>0</v>
      </c>
      <c r="AE15" s="96">
        <f t="shared" si="4"/>
        <v>0</v>
      </c>
      <c r="AF15" s="96">
        <f t="shared" si="4"/>
        <v>83070</v>
      </c>
      <c r="AG15" s="96">
        <f aca="true" t="shared" si="5" ref="AG15:AL15">SUM(AG16,AG18)</f>
        <v>0</v>
      </c>
      <c r="AH15" s="96">
        <f t="shared" si="5"/>
        <v>0</v>
      </c>
      <c r="AI15" s="96">
        <f t="shared" si="5"/>
        <v>83070</v>
      </c>
      <c r="AJ15" s="96">
        <f t="shared" si="5"/>
        <v>0</v>
      </c>
      <c r="AK15" s="96">
        <f t="shared" si="5"/>
        <v>0</v>
      </c>
      <c r="AL15" s="96">
        <f t="shared" si="5"/>
        <v>83070</v>
      </c>
      <c r="AM15" s="96">
        <f>SUM(AM16,AM18)</f>
        <v>0</v>
      </c>
      <c r="AN15" s="96">
        <f>SUM(AN16,AN18)</f>
        <v>0</v>
      </c>
      <c r="AO15" s="96">
        <f>SUM(AO16,AO18)</f>
        <v>83070</v>
      </c>
    </row>
    <row r="16" spans="1:41" s="37" customFormat="1" ht="33.75">
      <c r="A16" s="120"/>
      <c r="B16" s="98">
        <v>75101</v>
      </c>
      <c r="C16" s="99"/>
      <c r="D16" s="56" t="s">
        <v>28</v>
      </c>
      <c r="E16" s="128">
        <f aca="true" t="shared" si="6" ref="E16:AO16">E17</f>
        <v>3930</v>
      </c>
      <c r="F16" s="128">
        <f t="shared" si="6"/>
        <v>0</v>
      </c>
      <c r="G16" s="128">
        <f t="shared" si="6"/>
        <v>100</v>
      </c>
      <c r="H16" s="128">
        <f t="shared" si="6"/>
        <v>3830</v>
      </c>
      <c r="I16" s="128">
        <f t="shared" si="6"/>
        <v>0</v>
      </c>
      <c r="J16" s="128">
        <f t="shared" si="6"/>
        <v>0</v>
      </c>
      <c r="K16" s="128">
        <f t="shared" si="6"/>
        <v>3830</v>
      </c>
      <c r="L16" s="128">
        <f t="shared" si="6"/>
        <v>0</v>
      </c>
      <c r="M16" s="128">
        <f t="shared" si="6"/>
        <v>0</v>
      </c>
      <c r="N16" s="128">
        <f t="shared" si="6"/>
        <v>3830</v>
      </c>
      <c r="O16" s="128">
        <f t="shared" si="6"/>
        <v>0</v>
      </c>
      <c r="P16" s="128">
        <f t="shared" si="6"/>
        <v>0</v>
      </c>
      <c r="Q16" s="128">
        <f t="shared" si="6"/>
        <v>3830</v>
      </c>
      <c r="R16" s="128">
        <f t="shared" si="6"/>
        <v>0</v>
      </c>
      <c r="S16" s="128">
        <f t="shared" si="6"/>
        <v>0</v>
      </c>
      <c r="T16" s="128">
        <f t="shared" si="6"/>
        <v>3830</v>
      </c>
      <c r="U16" s="128">
        <f t="shared" si="6"/>
        <v>0</v>
      </c>
      <c r="V16" s="128">
        <f t="shared" si="6"/>
        <v>0</v>
      </c>
      <c r="W16" s="128">
        <f t="shared" si="6"/>
        <v>3830</v>
      </c>
      <c r="X16" s="128">
        <f t="shared" si="6"/>
        <v>0</v>
      </c>
      <c r="Y16" s="128">
        <f t="shared" si="6"/>
        <v>0</v>
      </c>
      <c r="Z16" s="128">
        <f t="shared" si="6"/>
        <v>3830</v>
      </c>
      <c r="AA16" s="128">
        <f t="shared" si="6"/>
        <v>0</v>
      </c>
      <c r="AB16" s="128">
        <f t="shared" si="6"/>
        <v>0</v>
      </c>
      <c r="AC16" s="128">
        <f t="shared" si="6"/>
        <v>3830</v>
      </c>
      <c r="AD16" s="128">
        <f t="shared" si="6"/>
        <v>0</v>
      </c>
      <c r="AE16" s="128">
        <f t="shared" si="6"/>
        <v>0</v>
      </c>
      <c r="AF16" s="128">
        <f t="shared" si="6"/>
        <v>3830</v>
      </c>
      <c r="AG16" s="128">
        <f t="shared" si="6"/>
        <v>0</v>
      </c>
      <c r="AH16" s="128">
        <f t="shared" si="6"/>
        <v>0</v>
      </c>
      <c r="AI16" s="128">
        <f t="shared" si="6"/>
        <v>3830</v>
      </c>
      <c r="AJ16" s="128">
        <f t="shared" si="6"/>
        <v>0</v>
      </c>
      <c r="AK16" s="128">
        <f t="shared" si="6"/>
        <v>0</v>
      </c>
      <c r="AL16" s="128">
        <f t="shared" si="6"/>
        <v>3830</v>
      </c>
      <c r="AM16" s="128">
        <f t="shared" si="6"/>
        <v>0</v>
      </c>
      <c r="AN16" s="128">
        <f t="shared" si="6"/>
        <v>0</v>
      </c>
      <c r="AO16" s="128">
        <f t="shared" si="6"/>
        <v>3830</v>
      </c>
    </row>
    <row r="17" spans="1:41" s="37" customFormat="1" ht="67.5">
      <c r="A17" s="120"/>
      <c r="B17" s="98"/>
      <c r="C17" s="100" t="s">
        <v>224</v>
      </c>
      <c r="D17" s="56" t="s">
        <v>300</v>
      </c>
      <c r="E17" s="128">
        <v>3930</v>
      </c>
      <c r="F17" s="126"/>
      <c r="G17" s="126">
        <v>100</v>
      </c>
      <c r="H17" s="126">
        <f>SUM(E17+F17-G17)</f>
        <v>3830</v>
      </c>
      <c r="I17" s="126"/>
      <c r="J17" s="126"/>
      <c r="K17" s="126">
        <f>SUM(H17+I17-J17)</f>
        <v>3830</v>
      </c>
      <c r="L17" s="126"/>
      <c r="M17" s="126"/>
      <c r="N17" s="126">
        <f>SUM(K17+L17-M17)</f>
        <v>3830</v>
      </c>
      <c r="O17" s="126"/>
      <c r="P17" s="126"/>
      <c r="Q17" s="126">
        <f>SUM(N17+O17-P17)</f>
        <v>3830</v>
      </c>
      <c r="R17" s="126"/>
      <c r="S17" s="126"/>
      <c r="T17" s="126">
        <f>SUM(Q17+R17-S17)</f>
        <v>3830</v>
      </c>
      <c r="U17" s="126"/>
      <c r="V17" s="126"/>
      <c r="W17" s="126">
        <f>SUM(T17+U17-V17)</f>
        <v>3830</v>
      </c>
      <c r="X17" s="126"/>
      <c r="Y17" s="126"/>
      <c r="Z17" s="126">
        <f>SUM(W17+X17-Y17)</f>
        <v>3830</v>
      </c>
      <c r="AA17" s="126"/>
      <c r="AB17" s="126"/>
      <c r="AC17" s="126">
        <f>SUM(Z17+AA17-AB17)</f>
        <v>3830</v>
      </c>
      <c r="AD17" s="126"/>
      <c r="AE17" s="126"/>
      <c r="AF17" s="126">
        <f>SUM(AC17+AD17-AE17)</f>
        <v>3830</v>
      </c>
      <c r="AG17" s="126"/>
      <c r="AH17" s="126"/>
      <c r="AI17" s="126">
        <f>SUM(AF17+AG17-AH17)</f>
        <v>3830</v>
      </c>
      <c r="AJ17" s="126"/>
      <c r="AK17" s="126"/>
      <c r="AL17" s="126">
        <f>SUM(AI17+AJ17-AK17)</f>
        <v>3830</v>
      </c>
      <c r="AM17" s="126"/>
      <c r="AN17" s="126"/>
      <c r="AO17" s="126">
        <f>SUM(AL17+AM17-AN17)</f>
        <v>3830</v>
      </c>
    </row>
    <row r="18" spans="1:41" s="37" customFormat="1" ht="67.5">
      <c r="A18" s="120"/>
      <c r="B18" s="98">
        <v>75109</v>
      </c>
      <c r="C18" s="100"/>
      <c r="D18" s="56" t="s">
        <v>595</v>
      </c>
      <c r="E18" s="128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>
        <f aca="true" t="shared" si="7" ref="Z18:AO18">SUM(Z19)</f>
        <v>0</v>
      </c>
      <c r="AA18" s="126">
        <f t="shared" si="7"/>
        <v>79240</v>
      </c>
      <c r="AB18" s="126">
        <f t="shared" si="7"/>
        <v>0</v>
      </c>
      <c r="AC18" s="126">
        <f t="shared" si="7"/>
        <v>79240</v>
      </c>
      <c r="AD18" s="126">
        <f t="shared" si="7"/>
        <v>0</v>
      </c>
      <c r="AE18" s="126">
        <f t="shared" si="7"/>
        <v>0</v>
      </c>
      <c r="AF18" s="126">
        <f t="shared" si="7"/>
        <v>79240</v>
      </c>
      <c r="AG18" s="126">
        <f t="shared" si="7"/>
        <v>0</v>
      </c>
      <c r="AH18" s="126">
        <f t="shared" si="7"/>
        <v>0</v>
      </c>
      <c r="AI18" s="126">
        <f t="shared" si="7"/>
        <v>79240</v>
      </c>
      <c r="AJ18" s="126">
        <f t="shared" si="7"/>
        <v>0</v>
      </c>
      <c r="AK18" s="126">
        <f t="shared" si="7"/>
        <v>0</v>
      </c>
      <c r="AL18" s="126">
        <f t="shared" si="7"/>
        <v>79240</v>
      </c>
      <c r="AM18" s="126">
        <f t="shared" si="7"/>
        <v>0</v>
      </c>
      <c r="AN18" s="126">
        <f t="shared" si="7"/>
        <v>0</v>
      </c>
      <c r="AO18" s="126">
        <f t="shared" si="7"/>
        <v>79240</v>
      </c>
    </row>
    <row r="19" spans="1:41" s="37" customFormat="1" ht="67.5">
      <c r="A19" s="120"/>
      <c r="B19" s="98"/>
      <c r="C19" s="100">
        <v>2010</v>
      </c>
      <c r="D19" s="56" t="s">
        <v>598</v>
      </c>
      <c r="E19" s="128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>
        <v>0</v>
      </c>
      <c r="AA19" s="126">
        <v>79240</v>
      </c>
      <c r="AB19" s="126"/>
      <c r="AC19" s="126">
        <f>SUM(Z19+AA19-AB19)</f>
        <v>79240</v>
      </c>
      <c r="AD19" s="126"/>
      <c r="AE19" s="126"/>
      <c r="AF19" s="126">
        <f>SUM(AC19+AD19-AE19)</f>
        <v>79240</v>
      </c>
      <c r="AG19" s="126"/>
      <c r="AH19" s="126"/>
      <c r="AI19" s="126">
        <f>SUM(AF19+AG19-AH19)</f>
        <v>79240</v>
      </c>
      <c r="AJ19" s="126"/>
      <c r="AK19" s="126"/>
      <c r="AL19" s="126">
        <f>SUM(AI19+AJ19-AK19)</f>
        <v>79240</v>
      </c>
      <c r="AM19" s="126"/>
      <c r="AN19" s="126"/>
      <c r="AO19" s="126">
        <f>SUM(AL19+AM19-AN19)</f>
        <v>79240</v>
      </c>
    </row>
    <row r="20" spans="1:41" s="9" customFormat="1" ht="27.75" customHeight="1">
      <c r="A20" s="51" t="s">
        <v>29</v>
      </c>
      <c r="B20" s="43"/>
      <c r="C20" s="84"/>
      <c r="D20" s="54" t="s">
        <v>167</v>
      </c>
      <c r="E20" s="94">
        <f aca="true" t="shared" si="8" ref="E20:AO20">E21</f>
        <v>400</v>
      </c>
      <c r="F20" s="166">
        <f t="shared" si="8"/>
        <v>0</v>
      </c>
      <c r="G20" s="166">
        <f t="shared" si="8"/>
        <v>0</v>
      </c>
      <c r="H20" s="94">
        <f t="shared" si="8"/>
        <v>400</v>
      </c>
      <c r="I20" s="166">
        <f t="shared" si="8"/>
        <v>0</v>
      </c>
      <c r="J20" s="166">
        <f t="shared" si="8"/>
        <v>0</v>
      </c>
      <c r="K20" s="94">
        <f t="shared" si="8"/>
        <v>400</v>
      </c>
      <c r="L20" s="166">
        <f t="shared" si="8"/>
        <v>0</v>
      </c>
      <c r="M20" s="166">
        <f t="shared" si="8"/>
        <v>0</v>
      </c>
      <c r="N20" s="94">
        <f t="shared" si="8"/>
        <v>400</v>
      </c>
      <c r="O20" s="166">
        <f t="shared" si="8"/>
        <v>0</v>
      </c>
      <c r="P20" s="166">
        <f t="shared" si="8"/>
        <v>0</v>
      </c>
      <c r="Q20" s="94">
        <f t="shared" si="8"/>
        <v>400</v>
      </c>
      <c r="R20" s="166">
        <f t="shared" si="8"/>
        <v>0</v>
      </c>
      <c r="S20" s="166">
        <f t="shared" si="8"/>
        <v>0</v>
      </c>
      <c r="T20" s="94">
        <f t="shared" si="8"/>
        <v>400</v>
      </c>
      <c r="U20" s="166">
        <f t="shared" si="8"/>
        <v>0</v>
      </c>
      <c r="V20" s="166">
        <f t="shared" si="8"/>
        <v>0</v>
      </c>
      <c r="W20" s="94">
        <f t="shared" si="8"/>
        <v>400</v>
      </c>
      <c r="X20" s="166">
        <f t="shared" si="8"/>
        <v>0</v>
      </c>
      <c r="Y20" s="166">
        <f t="shared" si="8"/>
        <v>0</v>
      </c>
      <c r="Z20" s="94">
        <f t="shared" si="8"/>
        <v>400</v>
      </c>
      <c r="AA20" s="166">
        <f t="shared" si="8"/>
        <v>0</v>
      </c>
      <c r="AB20" s="166">
        <f t="shared" si="8"/>
        <v>0</v>
      </c>
      <c r="AC20" s="94">
        <f t="shared" si="8"/>
        <v>400</v>
      </c>
      <c r="AD20" s="166">
        <f t="shared" si="8"/>
        <v>0</v>
      </c>
      <c r="AE20" s="166">
        <f t="shared" si="8"/>
        <v>0</v>
      </c>
      <c r="AF20" s="94">
        <f t="shared" si="8"/>
        <v>400</v>
      </c>
      <c r="AG20" s="166">
        <f t="shared" si="8"/>
        <v>0</v>
      </c>
      <c r="AH20" s="166">
        <f t="shared" si="8"/>
        <v>0</v>
      </c>
      <c r="AI20" s="94">
        <f t="shared" si="8"/>
        <v>400</v>
      </c>
      <c r="AJ20" s="166">
        <f t="shared" si="8"/>
        <v>0</v>
      </c>
      <c r="AK20" s="166">
        <f t="shared" si="8"/>
        <v>0</v>
      </c>
      <c r="AL20" s="94">
        <f t="shared" si="8"/>
        <v>400</v>
      </c>
      <c r="AM20" s="166">
        <f t="shared" si="8"/>
        <v>0</v>
      </c>
      <c r="AN20" s="166">
        <f t="shared" si="8"/>
        <v>0</v>
      </c>
      <c r="AO20" s="94">
        <f t="shared" si="8"/>
        <v>400</v>
      </c>
    </row>
    <row r="21" spans="1:41" s="37" customFormat="1" ht="23.25" customHeight="1">
      <c r="A21" s="120"/>
      <c r="B21" s="98" t="s">
        <v>31</v>
      </c>
      <c r="C21" s="99"/>
      <c r="D21" s="56" t="s">
        <v>32</v>
      </c>
      <c r="E21" s="127">
        <f aca="true" t="shared" si="9" ref="E21:AO21">SUM(E22)</f>
        <v>400</v>
      </c>
      <c r="F21" s="128">
        <f t="shared" si="9"/>
        <v>0</v>
      </c>
      <c r="G21" s="128">
        <f t="shared" si="9"/>
        <v>0</v>
      </c>
      <c r="H21" s="127">
        <f t="shared" si="9"/>
        <v>400</v>
      </c>
      <c r="I21" s="128">
        <f t="shared" si="9"/>
        <v>0</v>
      </c>
      <c r="J21" s="128">
        <f t="shared" si="9"/>
        <v>0</v>
      </c>
      <c r="K21" s="127">
        <f t="shared" si="9"/>
        <v>400</v>
      </c>
      <c r="L21" s="128">
        <f t="shared" si="9"/>
        <v>0</v>
      </c>
      <c r="M21" s="128">
        <f t="shared" si="9"/>
        <v>0</v>
      </c>
      <c r="N21" s="127">
        <f t="shared" si="9"/>
        <v>400</v>
      </c>
      <c r="O21" s="128">
        <f t="shared" si="9"/>
        <v>0</v>
      </c>
      <c r="P21" s="128">
        <f t="shared" si="9"/>
        <v>0</v>
      </c>
      <c r="Q21" s="127">
        <f t="shared" si="9"/>
        <v>400</v>
      </c>
      <c r="R21" s="128">
        <f t="shared" si="9"/>
        <v>0</v>
      </c>
      <c r="S21" s="128">
        <f t="shared" si="9"/>
        <v>0</v>
      </c>
      <c r="T21" s="127">
        <f t="shared" si="9"/>
        <v>400</v>
      </c>
      <c r="U21" s="128">
        <f t="shared" si="9"/>
        <v>0</v>
      </c>
      <c r="V21" s="128">
        <f t="shared" si="9"/>
        <v>0</v>
      </c>
      <c r="W21" s="127">
        <f t="shared" si="9"/>
        <v>400</v>
      </c>
      <c r="X21" s="128">
        <f t="shared" si="9"/>
        <v>0</v>
      </c>
      <c r="Y21" s="128">
        <f t="shared" si="9"/>
        <v>0</v>
      </c>
      <c r="Z21" s="127">
        <f t="shared" si="9"/>
        <v>400</v>
      </c>
      <c r="AA21" s="128">
        <f t="shared" si="9"/>
        <v>0</v>
      </c>
      <c r="AB21" s="128">
        <f t="shared" si="9"/>
        <v>0</v>
      </c>
      <c r="AC21" s="127">
        <f t="shared" si="9"/>
        <v>400</v>
      </c>
      <c r="AD21" s="128">
        <f t="shared" si="9"/>
        <v>0</v>
      </c>
      <c r="AE21" s="128">
        <f t="shared" si="9"/>
        <v>0</v>
      </c>
      <c r="AF21" s="127">
        <f t="shared" si="9"/>
        <v>400</v>
      </c>
      <c r="AG21" s="128">
        <f t="shared" si="9"/>
        <v>0</v>
      </c>
      <c r="AH21" s="128">
        <f t="shared" si="9"/>
        <v>0</v>
      </c>
      <c r="AI21" s="127">
        <f t="shared" si="9"/>
        <v>400</v>
      </c>
      <c r="AJ21" s="128">
        <f t="shared" si="9"/>
        <v>0</v>
      </c>
      <c r="AK21" s="128">
        <f t="shared" si="9"/>
        <v>0</v>
      </c>
      <c r="AL21" s="127">
        <f t="shared" si="9"/>
        <v>400</v>
      </c>
      <c r="AM21" s="128">
        <f t="shared" si="9"/>
        <v>0</v>
      </c>
      <c r="AN21" s="128">
        <f t="shared" si="9"/>
        <v>0</v>
      </c>
      <c r="AO21" s="127">
        <f t="shared" si="9"/>
        <v>400</v>
      </c>
    </row>
    <row r="22" spans="1:41" s="37" customFormat="1" ht="67.5">
      <c r="A22" s="120"/>
      <c r="B22" s="98"/>
      <c r="C22" s="100" t="s">
        <v>224</v>
      </c>
      <c r="D22" s="56" t="s">
        <v>296</v>
      </c>
      <c r="E22" s="127">
        <v>400</v>
      </c>
      <c r="F22" s="126"/>
      <c r="G22" s="126"/>
      <c r="H22" s="165">
        <f>SUM(E22+F22-G22)</f>
        <v>400</v>
      </c>
      <c r="I22" s="126"/>
      <c r="J22" s="126"/>
      <c r="K22" s="165">
        <f>SUM(H22+I22-J22)</f>
        <v>400</v>
      </c>
      <c r="L22" s="126"/>
      <c r="M22" s="126"/>
      <c r="N22" s="165">
        <f>SUM(K22+L22-M22)</f>
        <v>400</v>
      </c>
      <c r="O22" s="126"/>
      <c r="P22" s="126"/>
      <c r="Q22" s="165">
        <f>SUM(N22+O22-P22)</f>
        <v>400</v>
      </c>
      <c r="R22" s="126"/>
      <c r="S22" s="126"/>
      <c r="T22" s="165">
        <f>SUM(Q22+R22-S22)</f>
        <v>400</v>
      </c>
      <c r="U22" s="126"/>
      <c r="V22" s="126"/>
      <c r="W22" s="165">
        <f>SUM(T22+U22-V22)</f>
        <v>400</v>
      </c>
      <c r="X22" s="126"/>
      <c r="Y22" s="126"/>
      <c r="Z22" s="165">
        <f>SUM(W22+X22-Y22)</f>
        <v>400</v>
      </c>
      <c r="AA22" s="126"/>
      <c r="AB22" s="126"/>
      <c r="AC22" s="165">
        <f>SUM(Z22+AA22-AB22)</f>
        <v>400</v>
      </c>
      <c r="AD22" s="126"/>
      <c r="AE22" s="126"/>
      <c r="AF22" s="165">
        <f>SUM(AC22+AD22-AE22)</f>
        <v>400</v>
      </c>
      <c r="AG22" s="126"/>
      <c r="AH22" s="126"/>
      <c r="AI22" s="165">
        <f>SUM(AF22+AG22-AH22)</f>
        <v>400</v>
      </c>
      <c r="AJ22" s="126"/>
      <c r="AK22" s="126"/>
      <c r="AL22" s="165">
        <f>SUM(AI22+AJ22-AK22)</f>
        <v>400</v>
      </c>
      <c r="AM22" s="126"/>
      <c r="AN22" s="126"/>
      <c r="AO22" s="165">
        <f>SUM(AL22+AM22-AN22)</f>
        <v>400</v>
      </c>
    </row>
    <row r="23" spans="1:41" s="59" customFormat="1" ht="84">
      <c r="A23" s="53">
        <v>756</v>
      </c>
      <c r="B23" s="51"/>
      <c r="C23" s="140"/>
      <c r="D23" s="148" t="s">
        <v>193</v>
      </c>
      <c r="E23" s="141">
        <f>SUM(E24)</f>
        <v>141510</v>
      </c>
      <c r="F23" s="96">
        <f aca="true" t="shared" si="10" ref="F23:U24">SUM(F24)</f>
        <v>143240</v>
      </c>
      <c r="G23" s="96">
        <f t="shared" si="10"/>
        <v>0</v>
      </c>
      <c r="H23" s="141">
        <f t="shared" si="10"/>
        <v>284750</v>
      </c>
      <c r="I23" s="96">
        <f t="shared" si="10"/>
        <v>0</v>
      </c>
      <c r="J23" s="96">
        <f t="shared" si="10"/>
        <v>0</v>
      </c>
      <c r="K23" s="141">
        <f t="shared" si="10"/>
        <v>284750</v>
      </c>
      <c r="L23" s="96">
        <f t="shared" si="10"/>
        <v>0</v>
      </c>
      <c r="M23" s="96">
        <f t="shared" si="10"/>
        <v>0</v>
      </c>
      <c r="N23" s="141">
        <f t="shared" si="10"/>
        <v>284750</v>
      </c>
      <c r="O23" s="96">
        <f t="shared" si="10"/>
        <v>0</v>
      </c>
      <c r="P23" s="96">
        <f t="shared" si="10"/>
        <v>0</v>
      </c>
      <c r="Q23" s="141">
        <f t="shared" si="10"/>
        <v>284750</v>
      </c>
      <c r="R23" s="96">
        <f t="shared" si="10"/>
        <v>0</v>
      </c>
      <c r="S23" s="96">
        <f t="shared" si="10"/>
        <v>0</v>
      </c>
      <c r="T23" s="141">
        <f t="shared" si="10"/>
        <v>284750</v>
      </c>
      <c r="U23" s="96">
        <f t="shared" si="10"/>
        <v>0</v>
      </c>
      <c r="V23" s="96">
        <f aca="true" t="shared" si="11" ref="U23:AJ24">SUM(V24)</f>
        <v>0</v>
      </c>
      <c r="W23" s="141">
        <f t="shared" si="11"/>
        <v>284750</v>
      </c>
      <c r="X23" s="96">
        <f t="shared" si="11"/>
        <v>0</v>
      </c>
      <c r="Y23" s="96">
        <f t="shared" si="11"/>
        <v>0</v>
      </c>
      <c r="Z23" s="141">
        <f t="shared" si="11"/>
        <v>284750</v>
      </c>
      <c r="AA23" s="96">
        <f t="shared" si="11"/>
        <v>0</v>
      </c>
      <c r="AB23" s="96">
        <f t="shared" si="11"/>
        <v>0</v>
      </c>
      <c r="AC23" s="141">
        <f t="shared" si="11"/>
        <v>284750</v>
      </c>
      <c r="AD23" s="96">
        <f t="shared" si="11"/>
        <v>0</v>
      </c>
      <c r="AE23" s="96">
        <f t="shared" si="11"/>
        <v>0</v>
      </c>
      <c r="AF23" s="141">
        <f t="shared" si="11"/>
        <v>284750</v>
      </c>
      <c r="AG23" s="96">
        <f t="shared" si="11"/>
        <v>0</v>
      </c>
      <c r="AH23" s="96">
        <f t="shared" si="11"/>
        <v>0</v>
      </c>
      <c r="AI23" s="141">
        <f t="shared" si="11"/>
        <v>284750</v>
      </c>
      <c r="AJ23" s="96">
        <f t="shared" si="11"/>
        <v>0</v>
      </c>
      <c r="AK23" s="96">
        <f aca="true" t="shared" si="12" ref="AJ23:AO24">SUM(AK24)</f>
        <v>0</v>
      </c>
      <c r="AL23" s="141">
        <f t="shared" si="12"/>
        <v>284750</v>
      </c>
      <c r="AM23" s="96">
        <f t="shared" si="12"/>
        <v>0</v>
      </c>
      <c r="AN23" s="96">
        <f t="shared" si="12"/>
        <v>0</v>
      </c>
      <c r="AO23" s="141">
        <f t="shared" si="12"/>
        <v>284750</v>
      </c>
    </row>
    <row r="24" spans="1:41" s="37" customFormat="1" ht="56.25">
      <c r="A24" s="120"/>
      <c r="B24" s="98">
        <v>75615</v>
      </c>
      <c r="C24" s="100"/>
      <c r="D24" s="97" t="s">
        <v>194</v>
      </c>
      <c r="E24" s="127">
        <f>SUM(E25)</f>
        <v>141510</v>
      </c>
      <c r="F24" s="128">
        <f t="shared" si="10"/>
        <v>143240</v>
      </c>
      <c r="G24" s="128">
        <f t="shared" si="10"/>
        <v>0</v>
      </c>
      <c r="H24" s="127">
        <f t="shared" si="10"/>
        <v>284750</v>
      </c>
      <c r="I24" s="128">
        <f t="shared" si="10"/>
        <v>0</v>
      </c>
      <c r="J24" s="128">
        <f t="shared" si="10"/>
        <v>0</v>
      </c>
      <c r="K24" s="127">
        <f t="shared" si="10"/>
        <v>284750</v>
      </c>
      <c r="L24" s="128">
        <f t="shared" si="10"/>
        <v>0</v>
      </c>
      <c r="M24" s="128">
        <f t="shared" si="10"/>
        <v>0</v>
      </c>
      <c r="N24" s="127">
        <f t="shared" si="10"/>
        <v>284750</v>
      </c>
      <c r="O24" s="128">
        <f t="shared" si="10"/>
        <v>0</v>
      </c>
      <c r="P24" s="128">
        <f t="shared" si="10"/>
        <v>0</v>
      </c>
      <c r="Q24" s="127">
        <f t="shared" si="10"/>
        <v>284750</v>
      </c>
      <c r="R24" s="128">
        <f t="shared" si="10"/>
        <v>0</v>
      </c>
      <c r="S24" s="128">
        <f t="shared" si="10"/>
        <v>0</v>
      </c>
      <c r="T24" s="127">
        <f t="shared" si="10"/>
        <v>284750</v>
      </c>
      <c r="U24" s="128">
        <f t="shared" si="11"/>
        <v>0</v>
      </c>
      <c r="V24" s="128">
        <f t="shared" si="11"/>
        <v>0</v>
      </c>
      <c r="W24" s="127">
        <f t="shared" si="11"/>
        <v>284750</v>
      </c>
      <c r="X24" s="128">
        <f t="shared" si="11"/>
        <v>0</v>
      </c>
      <c r="Y24" s="128">
        <f t="shared" si="11"/>
        <v>0</v>
      </c>
      <c r="Z24" s="127">
        <f t="shared" si="11"/>
        <v>284750</v>
      </c>
      <c r="AA24" s="128">
        <f t="shared" si="11"/>
        <v>0</v>
      </c>
      <c r="AB24" s="128">
        <f t="shared" si="11"/>
        <v>0</v>
      </c>
      <c r="AC24" s="127">
        <f t="shared" si="11"/>
        <v>284750</v>
      </c>
      <c r="AD24" s="128">
        <f t="shared" si="11"/>
        <v>0</v>
      </c>
      <c r="AE24" s="128">
        <f t="shared" si="11"/>
        <v>0</v>
      </c>
      <c r="AF24" s="127">
        <f t="shared" si="11"/>
        <v>284750</v>
      </c>
      <c r="AG24" s="128">
        <f t="shared" si="11"/>
        <v>0</v>
      </c>
      <c r="AH24" s="128">
        <f t="shared" si="11"/>
        <v>0</v>
      </c>
      <c r="AI24" s="127">
        <f t="shared" si="11"/>
        <v>284750</v>
      </c>
      <c r="AJ24" s="128">
        <f t="shared" si="12"/>
        <v>0</v>
      </c>
      <c r="AK24" s="128">
        <f t="shared" si="12"/>
        <v>0</v>
      </c>
      <c r="AL24" s="127">
        <f t="shared" si="12"/>
        <v>284750</v>
      </c>
      <c r="AM24" s="128">
        <f t="shared" si="12"/>
        <v>0</v>
      </c>
      <c r="AN24" s="128">
        <f t="shared" si="12"/>
        <v>0</v>
      </c>
      <c r="AO24" s="127">
        <f t="shared" si="12"/>
        <v>284750</v>
      </c>
    </row>
    <row r="25" spans="1:41" s="37" customFormat="1" ht="45">
      <c r="A25" s="120"/>
      <c r="B25" s="98"/>
      <c r="C25" s="100">
        <v>2440</v>
      </c>
      <c r="D25" s="97" t="s">
        <v>233</v>
      </c>
      <c r="E25" s="127">
        <v>141510</v>
      </c>
      <c r="F25" s="126">
        <v>143240</v>
      </c>
      <c r="G25" s="126"/>
      <c r="H25" s="165">
        <f>SUM(E25+F25-G25)</f>
        <v>284750</v>
      </c>
      <c r="I25" s="126"/>
      <c r="J25" s="126"/>
      <c r="K25" s="165">
        <f>SUM(H25+I25-J25)</f>
        <v>284750</v>
      </c>
      <c r="L25" s="126"/>
      <c r="M25" s="126"/>
      <c r="N25" s="165">
        <f>SUM(K25+L25-M25)</f>
        <v>284750</v>
      </c>
      <c r="O25" s="126"/>
      <c r="P25" s="126"/>
      <c r="Q25" s="165">
        <f>SUM(N25+O25-P25)</f>
        <v>284750</v>
      </c>
      <c r="R25" s="126"/>
      <c r="S25" s="126"/>
      <c r="T25" s="165">
        <f>SUM(Q25+R25-S25)</f>
        <v>284750</v>
      </c>
      <c r="U25" s="126"/>
      <c r="V25" s="126"/>
      <c r="W25" s="165">
        <f>SUM(T25+U25-V25)</f>
        <v>284750</v>
      </c>
      <c r="X25" s="126"/>
      <c r="Y25" s="126"/>
      <c r="Z25" s="165">
        <f>SUM(W25+X25-Y25)</f>
        <v>284750</v>
      </c>
      <c r="AA25" s="126"/>
      <c r="AB25" s="126"/>
      <c r="AC25" s="165">
        <f>SUM(Z25+AA25-AB25)</f>
        <v>284750</v>
      </c>
      <c r="AD25" s="126"/>
      <c r="AE25" s="126"/>
      <c r="AF25" s="165">
        <f>SUM(AC25+AD25-AE25)</f>
        <v>284750</v>
      </c>
      <c r="AG25" s="126"/>
      <c r="AH25" s="126"/>
      <c r="AI25" s="165">
        <f>SUM(AF25+AG25-AH25)</f>
        <v>284750</v>
      </c>
      <c r="AJ25" s="126"/>
      <c r="AK25" s="126"/>
      <c r="AL25" s="165">
        <f>SUM(AI25+AJ25-AK25)</f>
        <v>284750</v>
      </c>
      <c r="AM25" s="126"/>
      <c r="AN25" s="126"/>
      <c r="AO25" s="165">
        <f>SUM(AL25+AM25-AN25)</f>
        <v>284750</v>
      </c>
    </row>
    <row r="26" spans="1:41" s="37" customFormat="1" ht="24" customHeight="1">
      <c r="A26" s="51" t="s">
        <v>127</v>
      </c>
      <c r="B26" s="52"/>
      <c r="C26" s="53"/>
      <c r="D26" s="54" t="s">
        <v>128</v>
      </c>
      <c r="E26" s="127"/>
      <c r="F26" s="126"/>
      <c r="G26" s="126"/>
      <c r="H26" s="244">
        <f aca="true" t="shared" si="13" ref="H26:N26">SUM(H27,H32,)</f>
        <v>0</v>
      </c>
      <c r="I26" s="244">
        <f t="shared" si="13"/>
        <v>10176</v>
      </c>
      <c r="J26" s="244">
        <f t="shared" si="13"/>
        <v>0</v>
      </c>
      <c r="K26" s="244">
        <f t="shared" si="13"/>
        <v>10176</v>
      </c>
      <c r="L26" s="244">
        <f t="shared" si="13"/>
        <v>0</v>
      </c>
      <c r="M26" s="244">
        <f t="shared" si="13"/>
        <v>0</v>
      </c>
      <c r="N26" s="244">
        <f t="shared" si="13"/>
        <v>10176</v>
      </c>
      <c r="O26" s="244">
        <f aca="true" t="shared" si="14" ref="O26:T26">SUM(O27,O32,)</f>
        <v>0</v>
      </c>
      <c r="P26" s="244">
        <f t="shared" si="14"/>
        <v>0</v>
      </c>
      <c r="Q26" s="244">
        <f t="shared" si="14"/>
        <v>10176</v>
      </c>
      <c r="R26" s="244">
        <f t="shared" si="14"/>
        <v>8835</v>
      </c>
      <c r="S26" s="244">
        <f t="shared" si="14"/>
        <v>0</v>
      </c>
      <c r="T26" s="244">
        <f t="shared" si="14"/>
        <v>19011</v>
      </c>
      <c r="U26" s="244">
        <f>SUM(U27,U32,)</f>
        <v>2356</v>
      </c>
      <c r="V26" s="244">
        <f>SUM(V27,V32,)</f>
        <v>0</v>
      </c>
      <c r="W26" s="244">
        <f aca="true" t="shared" si="15" ref="W26:AC26">SUM(W27,W32,W34)</f>
        <v>21367</v>
      </c>
      <c r="X26" s="244">
        <f t="shared" si="15"/>
        <v>27951</v>
      </c>
      <c r="Y26" s="244">
        <f t="shared" si="15"/>
        <v>0</v>
      </c>
      <c r="Z26" s="244">
        <f t="shared" si="15"/>
        <v>49318</v>
      </c>
      <c r="AA26" s="244">
        <f t="shared" si="15"/>
        <v>0</v>
      </c>
      <c r="AB26" s="244">
        <f t="shared" si="15"/>
        <v>0</v>
      </c>
      <c r="AC26" s="244">
        <f t="shared" si="15"/>
        <v>49318</v>
      </c>
      <c r="AD26" s="244">
        <f aca="true" t="shared" si="16" ref="AD26:AI26">SUM(AD27,AD32,AD34)</f>
        <v>16082</v>
      </c>
      <c r="AE26" s="244">
        <f t="shared" si="16"/>
        <v>0</v>
      </c>
      <c r="AF26" s="244">
        <f t="shared" si="16"/>
        <v>65400</v>
      </c>
      <c r="AG26" s="244">
        <f t="shared" si="16"/>
        <v>418</v>
      </c>
      <c r="AH26" s="244">
        <f t="shared" si="16"/>
        <v>0</v>
      </c>
      <c r="AI26" s="244">
        <f t="shared" si="16"/>
        <v>65818</v>
      </c>
      <c r="AJ26" s="244">
        <f aca="true" t="shared" si="17" ref="AJ26:AO26">SUM(AJ27,AJ32,AJ34)</f>
        <v>51493</v>
      </c>
      <c r="AK26" s="244">
        <f t="shared" si="17"/>
        <v>0</v>
      </c>
      <c r="AL26" s="244">
        <f t="shared" si="17"/>
        <v>117311</v>
      </c>
      <c r="AM26" s="244">
        <f t="shared" si="17"/>
        <v>980</v>
      </c>
      <c r="AN26" s="244">
        <f t="shared" si="17"/>
        <v>0</v>
      </c>
      <c r="AO26" s="244">
        <f t="shared" si="17"/>
        <v>118291</v>
      </c>
    </row>
    <row r="27" spans="1:41" s="37" customFormat="1" ht="24" customHeight="1">
      <c r="A27" s="98"/>
      <c r="B27" s="116" t="s">
        <v>129</v>
      </c>
      <c r="C27" s="120"/>
      <c r="D27" s="56" t="s">
        <v>66</v>
      </c>
      <c r="E27" s="127"/>
      <c r="F27" s="126"/>
      <c r="G27" s="126"/>
      <c r="H27" s="165">
        <f aca="true" t="shared" si="18" ref="H27:N27">SUM(H30:H31)</f>
        <v>0</v>
      </c>
      <c r="I27" s="165">
        <f t="shared" si="18"/>
        <v>9576</v>
      </c>
      <c r="J27" s="165">
        <f t="shared" si="18"/>
        <v>0</v>
      </c>
      <c r="K27" s="165">
        <f t="shared" si="18"/>
        <v>9576</v>
      </c>
      <c r="L27" s="165">
        <f t="shared" si="18"/>
        <v>0</v>
      </c>
      <c r="M27" s="165">
        <f t="shared" si="18"/>
        <v>0</v>
      </c>
      <c r="N27" s="165">
        <f t="shared" si="18"/>
        <v>9576</v>
      </c>
      <c r="O27" s="165">
        <f>SUM(O30:O31)</f>
        <v>0</v>
      </c>
      <c r="P27" s="165">
        <f>SUM(P30:P31)</f>
        <v>0</v>
      </c>
      <c r="Q27" s="165">
        <f aca="true" t="shared" si="19" ref="Q27:W27">SUM(Q28:Q31)</f>
        <v>9576</v>
      </c>
      <c r="R27" s="165">
        <f t="shared" si="19"/>
        <v>8835</v>
      </c>
      <c r="S27" s="165">
        <f t="shared" si="19"/>
        <v>0</v>
      </c>
      <c r="T27" s="165">
        <f t="shared" si="19"/>
        <v>18411</v>
      </c>
      <c r="U27" s="165">
        <f t="shared" si="19"/>
        <v>2356</v>
      </c>
      <c r="V27" s="165">
        <f t="shared" si="19"/>
        <v>0</v>
      </c>
      <c r="W27" s="165">
        <f t="shared" si="19"/>
        <v>20767</v>
      </c>
      <c r="X27" s="165">
        <f aca="true" t="shared" si="20" ref="X27:AC27">SUM(X28:X31)</f>
        <v>0</v>
      </c>
      <c r="Y27" s="165">
        <f t="shared" si="20"/>
        <v>0</v>
      </c>
      <c r="Z27" s="165">
        <f t="shared" si="20"/>
        <v>20767</v>
      </c>
      <c r="AA27" s="165">
        <f t="shared" si="20"/>
        <v>0</v>
      </c>
      <c r="AB27" s="165">
        <f t="shared" si="20"/>
        <v>0</v>
      </c>
      <c r="AC27" s="165">
        <f t="shared" si="20"/>
        <v>20767</v>
      </c>
      <c r="AD27" s="165">
        <f aca="true" t="shared" si="21" ref="AD27:AI27">SUM(AD28:AD31)</f>
        <v>16082</v>
      </c>
      <c r="AE27" s="165">
        <f t="shared" si="21"/>
        <v>0</v>
      </c>
      <c r="AF27" s="165">
        <f t="shared" si="21"/>
        <v>36849</v>
      </c>
      <c r="AG27" s="165">
        <f t="shared" si="21"/>
        <v>418</v>
      </c>
      <c r="AH27" s="165">
        <f t="shared" si="21"/>
        <v>0</v>
      </c>
      <c r="AI27" s="165">
        <f t="shared" si="21"/>
        <v>37267</v>
      </c>
      <c r="AJ27" s="165">
        <f aca="true" t="shared" si="22" ref="AJ27:AO27">SUM(AJ28:AJ31)</f>
        <v>0</v>
      </c>
      <c r="AK27" s="165">
        <f t="shared" si="22"/>
        <v>0</v>
      </c>
      <c r="AL27" s="165">
        <f t="shared" si="22"/>
        <v>37267</v>
      </c>
      <c r="AM27" s="165">
        <f t="shared" si="22"/>
        <v>980</v>
      </c>
      <c r="AN27" s="165">
        <f t="shared" si="22"/>
        <v>0</v>
      </c>
      <c r="AO27" s="165">
        <f t="shared" si="22"/>
        <v>38247</v>
      </c>
    </row>
    <row r="28" spans="1:41" s="37" customFormat="1" ht="45">
      <c r="A28" s="98"/>
      <c r="B28" s="116"/>
      <c r="C28" s="120">
        <v>2030</v>
      </c>
      <c r="D28" s="110" t="s">
        <v>279</v>
      </c>
      <c r="E28" s="127"/>
      <c r="F28" s="126"/>
      <c r="G28" s="126"/>
      <c r="H28" s="165"/>
      <c r="I28" s="165"/>
      <c r="J28" s="165"/>
      <c r="K28" s="165"/>
      <c r="L28" s="165"/>
      <c r="M28" s="165"/>
      <c r="N28" s="165"/>
      <c r="O28" s="165"/>
      <c r="P28" s="165"/>
      <c r="Q28" s="165">
        <v>0</v>
      </c>
      <c r="R28" s="165">
        <v>8835</v>
      </c>
      <c r="S28" s="165"/>
      <c r="T28" s="165">
        <f>SUM(Q28+R28-S28)</f>
        <v>8835</v>
      </c>
      <c r="U28" s="165">
        <v>2356</v>
      </c>
      <c r="V28" s="165"/>
      <c r="W28" s="165">
        <f>SUM(T28+U28-V28)</f>
        <v>11191</v>
      </c>
      <c r="X28" s="165"/>
      <c r="Y28" s="165"/>
      <c r="Z28" s="165">
        <f>SUM(W28+X28-Y28)</f>
        <v>11191</v>
      </c>
      <c r="AA28" s="165"/>
      <c r="AB28" s="165"/>
      <c r="AC28" s="165">
        <f>SUM(Z28+AA28-AB28)</f>
        <v>11191</v>
      </c>
      <c r="AD28" s="165">
        <v>16082</v>
      </c>
      <c r="AE28" s="165"/>
      <c r="AF28" s="165">
        <f>SUM(AC28+AD28-AE28)</f>
        <v>27273</v>
      </c>
      <c r="AG28" s="165">
        <v>418</v>
      </c>
      <c r="AH28" s="165"/>
      <c r="AI28" s="165">
        <f>SUM(AF28+AG28-AH28)</f>
        <v>27691</v>
      </c>
      <c r="AJ28" s="165"/>
      <c r="AK28" s="165"/>
      <c r="AL28" s="165">
        <f>SUM(AI28+AJ28-AK28)</f>
        <v>27691</v>
      </c>
      <c r="AM28" s="165"/>
      <c r="AN28" s="165"/>
      <c r="AO28" s="165">
        <f>SUM(AL28+AM28-AN28)</f>
        <v>27691</v>
      </c>
    </row>
    <row r="29" spans="1:41" s="37" customFormat="1" ht="56.25">
      <c r="A29" s="98"/>
      <c r="B29" s="116"/>
      <c r="C29" s="120">
        <v>2310</v>
      </c>
      <c r="D29" s="56" t="s">
        <v>699</v>
      </c>
      <c r="E29" s="127"/>
      <c r="F29" s="126"/>
      <c r="G29" s="126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>
        <v>0</v>
      </c>
      <c r="AM29" s="165">
        <f>140+840</f>
        <v>980</v>
      </c>
      <c r="AN29" s="165"/>
      <c r="AO29" s="165">
        <f>SUM(AL29+AM29-AN29)</f>
        <v>980</v>
      </c>
    </row>
    <row r="30" spans="1:41" s="37" customFormat="1" ht="56.25">
      <c r="A30" s="120"/>
      <c r="B30" s="98"/>
      <c r="C30" s="100">
        <v>2320</v>
      </c>
      <c r="D30" s="56" t="s">
        <v>447</v>
      </c>
      <c r="E30" s="127"/>
      <c r="F30" s="126"/>
      <c r="G30" s="126"/>
      <c r="H30" s="165">
        <v>0</v>
      </c>
      <c r="I30" s="126">
        <v>600</v>
      </c>
      <c r="J30" s="126"/>
      <c r="K30" s="165">
        <f>SUM(H30+I30-J30)</f>
        <v>600</v>
      </c>
      <c r="L30" s="126"/>
      <c r="M30" s="126"/>
      <c r="N30" s="165">
        <f>SUM(K30+L30-M30)</f>
        <v>600</v>
      </c>
      <c r="O30" s="126"/>
      <c r="P30" s="126"/>
      <c r="Q30" s="165">
        <f>SUM(N30+O30-P30)</f>
        <v>600</v>
      </c>
      <c r="R30" s="126"/>
      <c r="S30" s="126"/>
      <c r="T30" s="165">
        <f>SUM(Q30+R30-S30)</f>
        <v>600</v>
      </c>
      <c r="U30" s="126"/>
      <c r="V30" s="126"/>
      <c r="W30" s="165">
        <f>SUM(T30+U30-V30)</f>
        <v>600</v>
      </c>
      <c r="X30" s="126"/>
      <c r="Y30" s="126"/>
      <c r="Z30" s="165">
        <f>SUM(W30+X30-Y30)</f>
        <v>600</v>
      </c>
      <c r="AA30" s="126"/>
      <c r="AB30" s="126"/>
      <c r="AC30" s="165">
        <f>SUM(Z30+AA30-AB30)</f>
        <v>600</v>
      </c>
      <c r="AD30" s="126"/>
      <c r="AE30" s="126"/>
      <c r="AF30" s="165">
        <f>SUM(AC30+AD30-AE30)</f>
        <v>600</v>
      </c>
      <c r="AG30" s="126"/>
      <c r="AH30" s="126"/>
      <c r="AI30" s="165">
        <f>SUM(AF30+AG30-AH30)</f>
        <v>600</v>
      </c>
      <c r="AJ30" s="126"/>
      <c r="AK30" s="126"/>
      <c r="AL30" s="165">
        <f>SUM(AI30+AJ30-AK30)</f>
        <v>600</v>
      </c>
      <c r="AM30" s="126"/>
      <c r="AN30" s="126"/>
      <c r="AO30" s="165">
        <f>SUM(AL30+AM30-AN30)</f>
        <v>600</v>
      </c>
    </row>
    <row r="31" spans="1:41" s="37" customFormat="1" ht="50.25" customHeight="1">
      <c r="A31" s="120"/>
      <c r="B31" s="98"/>
      <c r="C31" s="100">
        <v>2440</v>
      </c>
      <c r="D31" s="97" t="s">
        <v>233</v>
      </c>
      <c r="E31" s="127"/>
      <c r="F31" s="126"/>
      <c r="G31" s="126"/>
      <c r="H31" s="165">
        <v>0</v>
      </c>
      <c r="I31" s="126">
        <v>8976</v>
      </c>
      <c r="J31" s="126"/>
      <c r="K31" s="165">
        <f>SUM(H31+I31-J31)</f>
        <v>8976</v>
      </c>
      <c r="L31" s="126"/>
      <c r="M31" s="126"/>
      <c r="N31" s="165">
        <f>SUM(K31+L31-M31)</f>
        <v>8976</v>
      </c>
      <c r="O31" s="126"/>
      <c r="P31" s="126"/>
      <c r="Q31" s="165">
        <f>SUM(N31+O31-P31)</f>
        <v>8976</v>
      </c>
      <c r="R31" s="126"/>
      <c r="S31" s="126"/>
      <c r="T31" s="165">
        <f>SUM(Q31+R31-S31)</f>
        <v>8976</v>
      </c>
      <c r="U31" s="126"/>
      <c r="V31" s="126"/>
      <c r="W31" s="165">
        <f>SUM(T31+U31-V31)</f>
        <v>8976</v>
      </c>
      <c r="X31" s="126"/>
      <c r="Y31" s="126"/>
      <c r="Z31" s="165">
        <f>SUM(W31+X31-Y31)</f>
        <v>8976</v>
      </c>
      <c r="AA31" s="126"/>
      <c r="AB31" s="126"/>
      <c r="AC31" s="165">
        <f>SUM(Z31+AA31-AB31)</f>
        <v>8976</v>
      </c>
      <c r="AD31" s="126"/>
      <c r="AE31" s="126"/>
      <c r="AF31" s="165">
        <f>SUM(AC31+AD31-AE31)</f>
        <v>8976</v>
      </c>
      <c r="AG31" s="126"/>
      <c r="AH31" s="126"/>
      <c r="AI31" s="165">
        <f>SUM(AF31+AG31-AH31)</f>
        <v>8976</v>
      </c>
      <c r="AJ31" s="126"/>
      <c r="AK31" s="126"/>
      <c r="AL31" s="165">
        <f>SUM(AI31+AJ31-AK31)</f>
        <v>8976</v>
      </c>
      <c r="AM31" s="126"/>
      <c r="AN31" s="126"/>
      <c r="AO31" s="165">
        <f>SUM(AL31+AM31-AN31)</f>
        <v>8976</v>
      </c>
    </row>
    <row r="32" spans="1:41" s="37" customFormat="1" ht="24" customHeight="1">
      <c r="A32" s="120"/>
      <c r="B32" s="98">
        <v>80110</v>
      </c>
      <c r="C32" s="100"/>
      <c r="D32" s="97" t="s">
        <v>67</v>
      </c>
      <c r="E32" s="127"/>
      <c r="F32" s="126"/>
      <c r="G32" s="126"/>
      <c r="H32" s="165">
        <f aca="true" t="shared" si="23" ref="H32:AO32">SUM(H33)</f>
        <v>0</v>
      </c>
      <c r="I32" s="165">
        <f t="shared" si="23"/>
        <v>600</v>
      </c>
      <c r="J32" s="165">
        <f t="shared" si="23"/>
        <v>0</v>
      </c>
      <c r="K32" s="165">
        <f t="shared" si="23"/>
        <v>600</v>
      </c>
      <c r="L32" s="165">
        <f t="shared" si="23"/>
        <v>0</v>
      </c>
      <c r="M32" s="165">
        <f t="shared" si="23"/>
        <v>0</v>
      </c>
      <c r="N32" s="165">
        <f t="shared" si="23"/>
        <v>600</v>
      </c>
      <c r="O32" s="165">
        <f t="shared" si="23"/>
        <v>0</v>
      </c>
      <c r="P32" s="165">
        <f t="shared" si="23"/>
        <v>0</v>
      </c>
      <c r="Q32" s="165">
        <f t="shared" si="23"/>
        <v>600</v>
      </c>
      <c r="R32" s="165">
        <f t="shared" si="23"/>
        <v>0</v>
      </c>
      <c r="S32" s="165">
        <f t="shared" si="23"/>
        <v>0</v>
      </c>
      <c r="T32" s="165">
        <f t="shared" si="23"/>
        <v>600</v>
      </c>
      <c r="U32" s="165">
        <f t="shared" si="23"/>
        <v>0</v>
      </c>
      <c r="V32" s="165">
        <f t="shared" si="23"/>
        <v>0</v>
      </c>
      <c r="W32" s="165">
        <f t="shared" si="23"/>
        <v>600</v>
      </c>
      <c r="X32" s="165">
        <f t="shared" si="23"/>
        <v>0</v>
      </c>
      <c r="Y32" s="165">
        <f t="shared" si="23"/>
        <v>0</v>
      </c>
      <c r="Z32" s="165">
        <f t="shared" si="23"/>
        <v>600</v>
      </c>
      <c r="AA32" s="165">
        <f t="shared" si="23"/>
        <v>0</v>
      </c>
      <c r="AB32" s="165">
        <f t="shared" si="23"/>
        <v>0</v>
      </c>
      <c r="AC32" s="165">
        <f t="shared" si="23"/>
        <v>600</v>
      </c>
      <c r="AD32" s="165">
        <f t="shared" si="23"/>
        <v>0</v>
      </c>
      <c r="AE32" s="165">
        <f t="shared" si="23"/>
        <v>0</v>
      </c>
      <c r="AF32" s="165">
        <f t="shared" si="23"/>
        <v>600</v>
      </c>
      <c r="AG32" s="165">
        <f t="shared" si="23"/>
        <v>0</v>
      </c>
      <c r="AH32" s="165">
        <f t="shared" si="23"/>
        <v>0</v>
      </c>
      <c r="AI32" s="165">
        <f t="shared" si="23"/>
        <v>600</v>
      </c>
      <c r="AJ32" s="165">
        <f t="shared" si="23"/>
        <v>0</v>
      </c>
      <c r="AK32" s="165">
        <f t="shared" si="23"/>
        <v>0</v>
      </c>
      <c r="AL32" s="165">
        <f t="shared" si="23"/>
        <v>600</v>
      </c>
      <c r="AM32" s="165">
        <f t="shared" si="23"/>
        <v>0</v>
      </c>
      <c r="AN32" s="165">
        <f t="shared" si="23"/>
        <v>0</v>
      </c>
      <c r="AO32" s="165">
        <f t="shared" si="23"/>
        <v>600</v>
      </c>
    </row>
    <row r="33" spans="1:41" s="37" customFormat="1" ht="56.25">
      <c r="A33" s="120"/>
      <c r="B33" s="98"/>
      <c r="C33" s="100">
        <v>2320</v>
      </c>
      <c r="D33" s="56" t="s">
        <v>447</v>
      </c>
      <c r="E33" s="127"/>
      <c r="F33" s="126"/>
      <c r="G33" s="126"/>
      <c r="H33" s="165">
        <v>0</v>
      </c>
      <c r="I33" s="126">
        <v>600</v>
      </c>
      <c r="J33" s="126"/>
      <c r="K33" s="165">
        <f>SUM(H33+I33-J33)</f>
        <v>600</v>
      </c>
      <c r="L33" s="126"/>
      <c r="M33" s="126"/>
      <c r="N33" s="165">
        <f>SUM(K33+L33-M33)</f>
        <v>600</v>
      </c>
      <c r="O33" s="126"/>
      <c r="P33" s="126"/>
      <c r="Q33" s="165">
        <f>SUM(N33+O33-P33)</f>
        <v>600</v>
      </c>
      <c r="R33" s="126"/>
      <c r="S33" s="126"/>
      <c r="T33" s="165">
        <f>SUM(Q33+R33-S33)</f>
        <v>600</v>
      </c>
      <c r="U33" s="126"/>
      <c r="V33" s="126"/>
      <c r="W33" s="165">
        <f>SUM(T33+U33-V33)</f>
        <v>600</v>
      </c>
      <c r="X33" s="126"/>
      <c r="Y33" s="126"/>
      <c r="Z33" s="165">
        <f>SUM(W33+X33-Y33)</f>
        <v>600</v>
      </c>
      <c r="AA33" s="126"/>
      <c r="AB33" s="126"/>
      <c r="AC33" s="165">
        <f>SUM(Z33+AA33-AB33)</f>
        <v>600</v>
      </c>
      <c r="AD33" s="126"/>
      <c r="AE33" s="126"/>
      <c r="AF33" s="165">
        <f>SUM(AC33+AD33-AE33)</f>
        <v>600</v>
      </c>
      <c r="AG33" s="126"/>
      <c r="AH33" s="126"/>
      <c r="AI33" s="165">
        <f>SUM(AF33+AG33-AH33)</f>
        <v>600</v>
      </c>
      <c r="AJ33" s="126"/>
      <c r="AK33" s="126"/>
      <c r="AL33" s="165">
        <f>SUM(AI33+AJ33-AK33)</f>
        <v>600</v>
      </c>
      <c r="AM33" s="126"/>
      <c r="AN33" s="126"/>
      <c r="AO33" s="165">
        <f>SUM(AL33+AM33-AN33)</f>
        <v>600</v>
      </c>
    </row>
    <row r="34" spans="1:41" s="37" customFormat="1" ht="19.5" customHeight="1">
      <c r="A34" s="120"/>
      <c r="B34" s="98">
        <v>80195</v>
      </c>
      <c r="C34" s="100"/>
      <c r="D34" s="56" t="s">
        <v>10</v>
      </c>
      <c r="E34" s="127"/>
      <c r="F34" s="126"/>
      <c r="G34" s="126"/>
      <c r="H34" s="165"/>
      <c r="I34" s="126"/>
      <c r="J34" s="126"/>
      <c r="K34" s="165"/>
      <c r="L34" s="126"/>
      <c r="M34" s="126"/>
      <c r="N34" s="165"/>
      <c r="O34" s="126"/>
      <c r="P34" s="126"/>
      <c r="Q34" s="165"/>
      <c r="R34" s="126"/>
      <c r="S34" s="126"/>
      <c r="T34" s="165"/>
      <c r="U34" s="126"/>
      <c r="V34" s="126"/>
      <c r="W34" s="165">
        <f aca="true" t="shared" si="24" ref="W34:AO34">SUM(W35)</f>
        <v>0</v>
      </c>
      <c r="X34" s="165">
        <f t="shared" si="24"/>
        <v>27951</v>
      </c>
      <c r="Y34" s="165">
        <f t="shared" si="24"/>
        <v>0</v>
      </c>
      <c r="Z34" s="165">
        <f t="shared" si="24"/>
        <v>27951</v>
      </c>
      <c r="AA34" s="165">
        <f t="shared" si="24"/>
        <v>0</v>
      </c>
      <c r="AB34" s="165">
        <f t="shared" si="24"/>
        <v>0</v>
      </c>
      <c r="AC34" s="165">
        <f t="shared" si="24"/>
        <v>27951</v>
      </c>
      <c r="AD34" s="165">
        <f t="shared" si="24"/>
        <v>0</v>
      </c>
      <c r="AE34" s="165">
        <f t="shared" si="24"/>
        <v>0</v>
      </c>
      <c r="AF34" s="165">
        <f t="shared" si="24"/>
        <v>27951</v>
      </c>
      <c r="AG34" s="165">
        <f t="shared" si="24"/>
        <v>0</v>
      </c>
      <c r="AH34" s="165">
        <f t="shared" si="24"/>
        <v>0</v>
      </c>
      <c r="AI34" s="165">
        <f t="shared" si="24"/>
        <v>27951</v>
      </c>
      <c r="AJ34" s="165">
        <f t="shared" si="24"/>
        <v>51493</v>
      </c>
      <c r="AK34" s="165">
        <f t="shared" si="24"/>
        <v>0</v>
      </c>
      <c r="AL34" s="165">
        <f t="shared" si="24"/>
        <v>79444</v>
      </c>
      <c r="AM34" s="165">
        <f t="shared" si="24"/>
        <v>0</v>
      </c>
      <c r="AN34" s="165">
        <f t="shared" si="24"/>
        <v>0</v>
      </c>
      <c r="AO34" s="165">
        <f t="shared" si="24"/>
        <v>79444</v>
      </c>
    </row>
    <row r="35" spans="1:41" s="37" customFormat="1" ht="45">
      <c r="A35" s="120"/>
      <c r="B35" s="98"/>
      <c r="C35" s="100">
        <v>2030</v>
      </c>
      <c r="D35" s="110" t="s">
        <v>279</v>
      </c>
      <c r="E35" s="127"/>
      <c r="F35" s="126"/>
      <c r="G35" s="126"/>
      <c r="H35" s="165"/>
      <c r="I35" s="126"/>
      <c r="J35" s="126"/>
      <c r="K35" s="165"/>
      <c r="L35" s="126"/>
      <c r="M35" s="126"/>
      <c r="N35" s="165"/>
      <c r="O35" s="126"/>
      <c r="P35" s="126"/>
      <c r="Q35" s="165"/>
      <c r="R35" s="126"/>
      <c r="S35" s="126"/>
      <c r="T35" s="165"/>
      <c r="U35" s="126"/>
      <c r="V35" s="126"/>
      <c r="W35" s="165">
        <v>0</v>
      </c>
      <c r="X35" s="126">
        <v>27951</v>
      </c>
      <c r="Y35" s="126"/>
      <c r="Z35" s="165">
        <f>SUM(W35+X35-Y35)</f>
        <v>27951</v>
      </c>
      <c r="AA35" s="126"/>
      <c r="AB35" s="126"/>
      <c r="AC35" s="165">
        <f>SUM(Z35+AA35-AB35)</f>
        <v>27951</v>
      </c>
      <c r="AD35" s="126"/>
      <c r="AE35" s="126"/>
      <c r="AF35" s="165">
        <f>SUM(AC35+AD35-AE35)</f>
        <v>27951</v>
      </c>
      <c r="AG35" s="126"/>
      <c r="AH35" s="126"/>
      <c r="AI35" s="165">
        <f>SUM(AF35+AG35-AH35)</f>
        <v>27951</v>
      </c>
      <c r="AJ35" s="126">
        <v>51493</v>
      </c>
      <c r="AK35" s="126"/>
      <c r="AL35" s="165">
        <f>SUM(AI35+AJ35-AK35)</f>
        <v>79444</v>
      </c>
      <c r="AM35" s="126"/>
      <c r="AN35" s="126"/>
      <c r="AO35" s="165">
        <f>SUM(AL35+AM35-AN35)</f>
        <v>79444</v>
      </c>
    </row>
    <row r="36" spans="1:41" s="59" customFormat="1" ht="28.5" customHeight="1">
      <c r="A36" s="51" t="s">
        <v>195</v>
      </c>
      <c r="B36" s="53"/>
      <c r="C36" s="95"/>
      <c r="D36" s="54" t="s">
        <v>237</v>
      </c>
      <c r="E36" s="94">
        <f aca="true" t="shared" si="25" ref="E36:K36">SUM(E37,E41,E43,E46,E50,E39)</f>
        <v>7040846</v>
      </c>
      <c r="F36" s="94">
        <f t="shared" si="25"/>
        <v>5507000</v>
      </c>
      <c r="G36" s="94">
        <f t="shared" si="25"/>
        <v>5507000</v>
      </c>
      <c r="H36" s="94">
        <f t="shared" si="25"/>
        <v>7040846</v>
      </c>
      <c r="I36" s="94">
        <f t="shared" si="25"/>
        <v>0</v>
      </c>
      <c r="J36" s="94">
        <f t="shared" si="25"/>
        <v>0</v>
      </c>
      <c r="K36" s="94">
        <f t="shared" si="25"/>
        <v>7040846</v>
      </c>
      <c r="L36" s="94">
        <f aca="true" t="shared" si="26" ref="L36:Q36">SUM(L37,L41,L43,L46,L50,L39)</f>
        <v>48100</v>
      </c>
      <c r="M36" s="94">
        <f t="shared" si="26"/>
        <v>71300</v>
      </c>
      <c r="N36" s="94">
        <f t="shared" si="26"/>
        <v>7017646</v>
      </c>
      <c r="O36" s="94">
        <f t="shared" si="26"/>
        <v>341277</v>
      </c>
      <c r="P36" s="94">
        <f t="shared" si="26"/>
        <v>0</v>
      </c>
      <c r="Q36" s="94">
        <f t="shared" si="26"/>
        <v>7358923</v>
      </c>
      <c r="R36" s="94">
        <f aca="true" t="shared" si="27" ref="R36:W36">SUM(R37,R41,R43,R46,R50,R39)</f>
        <v>51010</v>
      </c>
      <c r="S36" s="94">
        <f t="shared" si="27"/>
        <v>0</v>
      </c>
      <c r="T36" s="94">
        <f t="shared" si="27"/>
        <v>7409933</v>
      </c>
      <c r="U36" s="94">
        <f t="shared" si="27"/>
        <v>338702</v>
      </c>
      <c r="V36" s="94">
        <f t="shared" si="27"/>
        <v>70000</v>
      </c>
      <c r="W36" s="94">
        <f t="shared" si="27"/>
        <v>7678635</v>
      </c>
      <c r="X36" s="94">
        <f>SUM(X37,X41,X43,X46,X50,X39)</f>
        <v>0</v>
      </c>
      <c r="Y36" s="94">
        <f>SUM(Y37,Y41,Y43,Y46,Y50,Y39)</f>
        <v>0</v>
      </c>
      <c r="Z36" s="94">
        <f>SUM(Z37,Z41,Z43,Z46,Z50,Z39)</f>
        <v>7678635</v>
      </c>
      <c r="AA36" s="94">
        <f>SUM(AA37,AA41,AA43,AA46,AA50,AA39)</f>
        <v>138594</v>
      </c>
      <c r="AB36" s="94">
        <f>SUM(AB37,AB41,AB43,AB46,AB50,AB39)</f>
        <v>0</v>
      </c>
      <c r="AC36" s="94">
        <f aca="true" t="shared" si="28" ref="AC36:AI36">SUM(AC37,AC41,AC43,AC46,AC50,AC39,AC48)</f>
        <v>7817229</v>
      </c>
      <c r="AD36" s="94">
        <f t="shared" si="28"/>
        <v>747197</v>
      </c>
      <c r="AE36" s="94">
        <f t="shared" si="28"/>
        <v>0</v>
      </c>
      <c r="AF36" s="94">
        <f t="shared" si="28"/>
        <v>8564426</v>
      </c>
      <c r="AG36" s="94">
        <f t="shared" si="28"/>
        <v>326670</v>
      </c>
      <c r="AH36" s="94">
        <f t="shared" si="28"/>
        <v>0</v>
      </c>
      <c r="AI36" s="94">
        <f t="shared" si="28"/>
        <v>8891096</v>
      </c>
      <c r="AJ36" s="94">
        <f aca="true" t="shared" si="29" ref="AJ36:AO36">SUM(AJ37,AJ41,AJ43,AJ46,AJ50,AJ39,AJ48)</f>
        <v>0</v>
      </c>
      <c r="AK36" s="94">
        <f t="shared" si="29"/>
        <v>0</v>
      </c>
      <c r="AL36" s="94">
        <f t="shared" si="29"/>
        <v>8891096</v>
      </c>
      <c r="AM36" s="94">
        <f t="shared" si="29"/>
        <v>0</v>
      </c>
      <c r="AN36" s="94">
        <f t="shared" si="29"/>
        <v>0</v>
      </c>
      <c r="AO36" s="94">
        <f t="shared" si="29"/>
        <v>8891096</v>
      </c>
    </row>
    <row r="37" spans="1:41" s="37" customFormat="1" ht="45" hidden="1">
      <c r="A37" s="98"/>
      <c r="B37" s="74">
        <v>85212</v>
      </c>
      <c r="C37" s="112"/>
      <c r="D37" s="110" t="s">
        <v>275</v>
      </c>
      <c r="E37" s="125">
        <f aca="true" t="shared" si="30" ref="E37:AO37">SUM(E38)</f>
        <v>5507000</v>
      </c>
      <c r="F37" s="167">
        <f t="shared" si="30"/>
        <v>0</v>
      </c>
      <c r="G37" s="167">
        <f t="shared" si="30"/>
        <v>5507000</v>
      </c>
      <c r="H37" s="125">
        <f t="shared" si="30"/>
        <v>0</v>
      </c>
      <c r="I37" s="167">
        <f t="shared" si="30"/>
        <v>0</v>
      </c>
      <c r="J37" s="167">
        <f t="shared" si="30"/>
        <v>0</v>
      </c>
      <c r="K37" s="125">
        <f t="shared" si="30"/>
        <v>0</v>
      </c>
      <c r="L37" s="167">
        <f t="shared" si="30"/>
        <v>0</v>
      </c>
      <c r="M37" s="167">
        <f t="shared" si="30"/>
        <v>0</v>
      </c>
      <c r="N37" s="125">
        <f t="shared" si="30"/>
        <v>0</v>
      </c>
      <c r="O37" s="167">
        <f t="shared" si="30"/>
        <v>0</v>
      </c>
      <c r="P37" s="167">
        <f t="shared" si="30"/>
        <v>0</v>
      </c>
      <c r="Q37" s="125">
        <f t="shared" si="30"/>
        <v>0</v>
      </c>
      <c r="R37" s="167">
        <f t="shared" si="30"/>
        <v>0</v>
      </c>
      <c r="S37" s="167">
        <f t="shared" si="30"/>
        <v>0</v>
      </c>
      <c r="T37" s="125">
        <f t="shared" si="30"/>
        <v>0</v>
      </c>
      <c r="U37" s="167">
        <f t="shared" si="30"/>
        <v>0</v>
      </c>
      <c r="V37" s="167">
        <f t="shared" si="30"/>
        <v>0</v>
      </c>
      <c r="W37" s="125">
        <f t="shared" si="30"/>
        <v>0</v>
      </c>
      <c r="X37" s="167">
        <f t="shared" si="30"/>
        <v>0</v>
      </c>
      <c r="Y37" s="167">
        <f t="shared" si="30"/>
        <v>0</v>
      </c>
      <c r="Z37" s="125">
        <f t="shared" si="30"/>
        <v>0</v>
      </c>
      <c r="AA37" s="167">
        <f t="shared" si="30"/>
        <v>0</v>
      </c>
      <c r="AB37" s="167">
        <f t="shared" si="30"/>
        <v>0</v>
      </c>
      <c r="AC37" s="125">
        <f t="shared" si="30"/>
        <v>0</v>
      </c>
      <c r="AD37" s="167">
        <f t="shared" si="30"/>
        <v>0</v>
      </c>
      <c r="AE37" s="167">
        <f t="shared" si="30"/>
        <v>0</v>
      </c>
      <c r="AF37" s="125">
        <f t="shared" si="30"/>
        <v>0</v>
      </c>
      <c r="AG37" s="167">
        <f t="shared" si="30"/>
        <v>0</v>
      </c>
      <c r="AH37" s="167">
        <f t="shared" si="30"/>
        <v>0</v>
      </c>
      <c r="AI37" s="125">
        <f t="shared" si="30"/>
        <v>0</v>
      </c>
      <c r="AJ37" s="167">
        <f t="shared" si="30"/>
        <v>0</v>
      </c>
      <c r="AK37" s="167">
        <f t="shared" si="30"/>
        <v>0</v>
      </c>
      <c r="AL37" s="125">
        <f t="shared" si="30"/>
        <v>0</v>
      </c>
      <c r="AM37" s="167">
        <f t="shared" si="30"/>
        <v>0</v>
      </c>
      <c r="AN37" s="167">
        <f t="shared" si="30"/>
        <v>0</v>
      </c>
      <c r="AO37" s="125">
        <f t="shared" si="30"/>
        <v>0</v>
      </c>
    </row>
    <row r="38" spans="1:41" s="37" customFormat="1" ht="67.5" hidden="1">
      <c r="A38" s="98"/>
      <c r="B38" s="74"/>
      <c r="C38" s="112">
        <v>2010</v>
      </c>
      <c r="D38" s="56" t="s">
        <v>296</v>
      </c>
      <c r="E38" s="125">
        <v>5507000</v>
      </c>
      <c r="F38" s="126"/>
      <c r="G38" s="126">
        <v>5507000</v>
      </c>
      <c r="H38" s="165">
        <f>SUM(E38+F38-G38)</f>
        <v>0</v>
      </c>
      <c r="I38" s="126"/>
      <c r="J38" s="126"/>
      <c r="K38" s="165">
        <f>SUM(H38+I38-J38)</f>
        <v>0</v>
      </c>
      <c r="L38" s="126"/>
      <c r="M38" s="126"/>
      <c r="N38" s="165">
        <f>SUM(K38+L38-M38)</f>
        <v>0</v>
      </c>
      <c r="O38" s="126"/>
      <c r="P38" s="126"/>
      <c r="Q38" s="165">
        <f>SUM(N38+O38-P38)</f>
        <v>0</v>
      </c>
      <c r="R38" s="126"/>
      <c r="S38" s="126"/>
      <c r="T38" s="165">
        <f>SUM(Q38+R38-S38)</f>
        <v>0</v>
      </c>
      <c r="U38" s="126"/>
      <c r="V38" s="126"/>
      <c r="W38" s="165">
        <f>SUM(T38+U38-V38)</f>
        <v>0</v>
      </c>
      <c r="X38" s="126"/>
      <c r="Y38" s="126"/>
      <c r="Z38" s="165">
        <f>SUM(W38+X38-Y38)</f>
        <v>0</v>
      </c>
      <c r="AA38" s="126"/>
      <c r="AB38" s="126"/>
      <c r="AC38" s="165">
        <f>SUM(Z38+AA38-AB38)</f>
        <v>0</v>
      </c>
      <c r="AD38" s="126"/>
      <c r="AE38" s="126"/>
      <c r="AF38" s="165">
        <f>SUM(AC38+AD38-AE38)</f>
        <v>0</v>
      </c>
      <c r="AG38" s="126"/>
      <c r="AH38" s="126"/>
      <c r="AI38" s="165">
        <f>SUM(AF38+AG38-AH38)</f>
        <v>0</v>
      </c>
      <c r="AJ38" s="126"/>
      <c r="AK38" s="126"/>
      <c r="AL38" s="165">
        <f>SUM(AI38+AJ38-AK38)</f>
        <v>0</v>
      </c>
      <c r="AM38" s="126"/>
      <c r="AN38" s="126"/>
      <c r="AO38" s="165">
        <f>SUM(AL38+AM38-AN38)</f>
        <v>0</v>
      </c>
    </row>
    <row r="39" spans="1:41" s="37" customFormat="1" ht="56.25">
      <c r="A39" s="98"/>
      <c r="B39" s="74">
        <v>85212</v>
      </c>
      <c r="C39" s="112"/>
      <c r="D39" s="110" t="s">
        <v>362</v>
      </c>
      <c r="E39" s="125">
        <f aca="true" t="shared" si="31" ref="E39:AO39">SUM(E40)</f>
        <v>0</v>
      </c>
      <c r="F39" s="125">
        <f t="shared" si="31"/>
        <v>5507000</v>
      </c>
      <c r="G39" s="125">
        <f t="shared" si="31"/>
        <v>0</v>
      </c>
      <c r="H39" s="125">
        <f t="shared" si="31"/>
        <v>5507000</v>
      </c>
      <c r="I39" s="125">
        <f t="shared" si="31"/>
        <v>0</v>
      </c>
      <c r="J39" s="125">
        <f t="shared" si="31"/>
        <v>0</v>
      </c>
      <c r="K39" s="125">
        <f t="shared" si="31"/>
        <v>5507000</v>
      </c>
      <c r="L39" s="125">
        <f t="shared" si="31"/>
        <v>48100</v>
      </c>
      <c r="M39" s="125">
        <f t="shared" si="31"/>
        <v>0</v>
      </c>
      <c r="N39" s="125">
        <f t="shared" si="31"/>
        <v>5555100</v>
      </c>
      <c r="O39" s="125">
        <f t="shared" si="31"/>
        <v>0</v>
      </c>
      <c r="P39" s="125">
        <f t="shared" si="31"/>
        <v>0</v>
      </c>
      <c r="Q39" s="125">
        <f t="shared" si="31"/>
        <v>5555100</v>
      </c>
      <c r="R39" s="125">
        <f t="shared" si="31"/>
        <v>0</v>
      </c>
      <c r="S39" s="125">
        <f t="shared" si="31"/>
        <v>0</v>
      </c>
      <c r="T39" s="125">
        <f t="shared" si="31"/>
        <v>5555100</v>
      </c>
      <c r="U39" s="125">
        <f t="shared" si="31"/>
        <v>0</v>
      </c>
      <c r="V39" s="125">
        <f t="shared" si="31"/>
        <v>0</v>
      </c>
      <c r="W39" s="125">
        <f t="shared" si="31"/>
        <v>5555100</v>
      </c>
      <c r="X39" s="125">
        <f t="shared" si="31"/>
        <v>0</v>
      </c>
      <c r="Y39" s="125">
        <f t="shared" si="31"/>
        <v>0</v>
      </c>
      <c r="Z39" s="125">
        <f t="shared" si="31"/>
        <v>5555100</v>
      </c>
      <c r="AA39" s="125">
        <f t="shared" si="31"/>
        <v>0</v>
      </c>
      <c r="AB39" s="125">
        <f t="shared" si="31"/>
        <v>0</v>
      </c>
      <c r="AC39" s="125">
        <f t="shared" si="31"/>
        <v>5555100</v>
      </c>
      <c r="AD39" s="125">
        <f t="shared" si="31"/>
        <v>505100</v>
      </c>
      <c r="AE39" s="125">
        <f t="shared" si="31"/>
        <v>0</v>
      </c>
      <c r="AF39" s="125">
        <f t="shared" si="31"/>
        <v>6060200</v>
      </c>
      <c r="AG39" s="125">
        <f t="shared" si="31"/>
        <v>267800</v>
      </c>
      <c r="AH39" s="125">
        <f t="shared" si="31"/>
        <v>0</v>
      </c>
      <c r="AI39" s="125">
        <f t="shared" si="31"/>
        <v>6328000</v>
      </c>
      <c r="AJ39" s="125">
        <f t="shared" si="31"/>
        <v>0</v>
      </c>
      <c r="AK39" s="125">
        <f t="shared" si="31"/>
        <v>0</v>
      </c>
      <c r="AL39" s="125">
        <f t="shared" si="31"/>
        <v>6328000</v>
      </c>
      <c r="AM39" s="125">
        <f t="shared" si="31"/>
        <v>0</v>
      </c>
      <c r="AN39" s="125">
        <f t="shared" si="31"/>
        <v>0</v>
      </c>
      <c r="AO39" s="125">
        <f t="shared" si="31"/>
        <v>6328000</v>
      </c>
    </row>
    <row r="40" spans="1:41" s="37" customFormat="1" ht="67.5">
      <c r="A40" s="98"/>
      <c r="B40" s="74"/>
      <c r="C40" s="112">
        <v>2010</v>
      </c>
      <c r="D40" s="56" t="s">
        <v>296</v>
      </c>
      <c r="E40" s="125">
        <v>0</v>
      </c>
      <c r="F40" s="126">
        <v>5507000</v>
      </c>
      <c r="G40" s="126"/>
      <c r="H40" s="165">
        <f>SUM(E40+F40-G40)</f>
        <v>5507000</v>
      </c>
      <c r="I40" s="126"/>
      <c r="J40" s="126"/>
      <c r="K40" s="165">
        <f>SUM(H40+I40-J40)</f>
        <v>5507000</v>
      </c>
      <c r="L40" s="126">
        <v>48100</v>
      </c>
      <c r="M40" s="126"/>
      <c r="N40" s="165">
        <f>SUM(K40+L40-M40)</f>
        <v>5555100</v>
      </c>
      <c r="O40" s="126"/>
      <c r="P40" s="126"/>
      <c r="Q40" s="165">
        <f>SUM(N40+O40-P40)</f>
        <v>5555100</v>
      </c>
      <c r="R40" s="126"/>
      <c r="S40" s="126"/>
      <c r="T40" s="165">
        <f>SUM(Q40+R40-S40)</f>
        <v>5555100</v>
      </c>
      <c r="U40" s="126"/>
      <c r="V40" s="126"/>
      <c r="W40" s="165">
        <f>SUM(T40+U40-V40)</f>
        <v>5555100</v>
      </c>
      <c r="X40" s="126"/>
      <c r="Y40" s="126"/>
      <c r="Z40" s="165">
        <f>SUM(W40+X40-Y40)</f>
        <v>5555100</v>
      </c>
      <c r="AA40" s="126"/>
      <c r="AB40" s="126"/>
      <c r="AC40" s="165">
        <f>SUM(Z40+AA40-AB40)</f>
        <v>5555100</v>
      </c>
      <c r="AD40" s="126">
        <v>505100</v>
      </c>
      <c r="AE40" s="126"/>
      <c r="AF40" s="165">
        <f>SUM(AC40+AD40-AE40)</f>
        <v>6060200</v>
      </c>
      <c r="AG40" s="126">
        <f>250800+17000</f>
        <v>267800</v>
      </c>
      <c r="AH40" s="126"/>
      <c r="AI40" s="165">
        <f>SUM(AF40+AG40-AH40)</f>
        <v>6328000</v>
      </c>
      <c r="AJ40" s="126"/>
      <c r="AK40" s="126"/>
      <c r="AL40" s="165">
        <f>SUM(AI40+AJ40-AK40)</f>
        <v>6328000</v>
      </c>
      <c r="AM40" s="126"/>
      <c r="AN40" s="126"/>
      <c r="AO40" s="165">
        <f>SUM(AL40+AM40-AN40)</f>
        <v>6328000</v>
      </c>
    </row>
    <row r="41" spans="1:41" s="37" customFormat="1" ht="63" customHeight="1">
      <c r="A41" s="98"/>
      <c r="B41" s="120">
        <v>85213</v>
      </c>
      <c r="C41" s="99"/>
      <c r="D41" s="56" t="s">
        <v>236</v>
      </c>
      <c r="E41" s="125">
        <f aca="true" t="shared" si="32" ref="E41:AO41">SUM(E42)</f>
        <v>74700</v>
      </c>
      <c r="F41" s="167">
        <f t="shared" si="32"/>
        <v>0</v>
      </c>
      <c r="G41" s="167">
        <f t="shared" si="32"/>
        <v>0</v>
      </c>
      <c r="H41" s="125">
        <f t="shared" si="32"/>
        <v>74700</v>
      </c>
      <c r="I41" s="167">
        <f t="shared" si="32"/>
        <v>0</v>
      </c>
      <c r="J41" s="167">
        <f t="shared" si="32"/>
        <v>0</v>
      </c>
      <c r="K41" s="125">
        <f t="shared" si="32"/>
        <v>74700</v>
      </c>
      <c r="L41" s="167">
        <f t="shared" si="32"/>
        <v>0</v>
      </c>
      <c r="M41" s="167">
        <f t="shared" si="32"/>
        <v>0</v>
      </c>
      <c r="N41" s="125">
        <f t="shared" si="32"/>
        <v>74700</v>
      </c>
      <c r="O41" s="167">
        <f t="shared" si="32"/>
        <v>0</v>
      </c>
      <c r="P41" s="167">
        <f t="shared" si="32"/>
        <v>0</v>
      </c>
      <c r="Q41" s="125">
        <f t="shared" si="32"/>
        <v>74700</v>
      </c>
      <c r="R41" s="167">
        <f t="shared" si="32"/>
        <v>0</v>
      </c>
      <c r="S41" s="167">
        <f t="shared" si="32"/>
        <v>0</v>
      </c>
      <c r="T41" s="125">
        <f t="shared" si="32"/>
        <v>74700</v>
      </c>
      <c r="U41" s="167">
        <f t="shared" si="32"/>
        <v>0</v>
      </c>
      <c r="V41" s="167">
        <f t="shared" si="32"/>
        <v>0</v>
      </c>
      <c r="W41" s="125">
        <f t="shared" si="32"/>
        <v>74700</v>
      </c>
      <c r="X41" s="167">
        <f t="shared" si="32"/>
        <v>0</v>
      </c>
      <c r="Y41" s="167">
        <f t="shared" si="32"/>
        <v>0</v>
      </c>
      <c r="Z41" s="125">
        <f t="shared" si="32"/>
        <v>74700</v>
      </c>
      <c r="AA41" s="167">
        <f t="shared" si="32"/>
        <v>0</v>
      </c>
      <c r="AB41" s="167">
        <f t="shared" si="32"/>
        <v>0</v>
      </c>
      <c r="AC41" s="125">
        <f t="shared" si="32"/>
        <v>74700</v>
      </c>
      <c r="AD41" s="167">
        <f t="shared" si="32"/>
        <v>0</v>
      </c>
      <c r="AE41" s="167">
        <f t="shared" si="32"/>
        <v>0</v>
      </c>
      <c r="AF41" s="125">
        <f t="shared" si="32"/>
        <v>74700</v>
      </c>
      <c r="AG41" s="167">
        <f t="shared" si="32"/>
        <v>0</v>
      </c>
      <c r="AH41" s="167">
        <f t="shared" si="32"/>
        <v>0</v>
      </c>
      <c r="AI41" s="125">
        <f t="shared" si="32"/>
        <v>74700</v>
      </c>
      <c r="AJ41" s="167">
        <f t="shared" si="32"/>
        <v>0</v>
      </c>
      <c r="AK41" s="167">
        <f t="shared" si="32"/>
        <v>0</v>
      </c>
      <c r="AL41" s="125">
        <f t="shared" si="32"/>
        <v>74700</v>
      </c>
      <c r="AM41" s="167">
        <f t="shared" si="32"/>
        <v>0</v>
      </c>
      <c r="AN41" s="167">
        <f t="shared" si="32"/>
        <v>0</v>
      </c>
      <c r="AO41" s="125">
        <f t="shared" si="32"/>
        <v>74700</v>
      </c>
    </row>
    <row r="42" spans="1:41" s="37" customFormat="1" ht="67.5">
      <c r="A42" s="98"/>
      <c r="B42" s="120"/>
      <c r="C42" s="99">
        <v>2010</v>
      </c>
      <c r="D42" s="56" t="s">
        <v>445</v>
      </c>
      <c r="E42" s="125">
        <v>74700</v>
      </c>
      <c r="F42" s="126"/>
      <c r="G42" s="126"/>
      <c r="H42" s="165">
        <f>SUM(E42+F42-G42)</f>
        <v>74700</v>
      </c>
      <c r="I42" s="126"/>
      <c r="J42" s="126"/>
      <c r="K42" s="165">
        <f>SUM(H42+I42-J42)</f>
        <v>74700</v>
      </c>
      <c r="L42" s="126"/>
      <c r="M42" s="126"/>
      <c r="N42" s="165">
        <f>SUM(K42+L42-M42)</f>
        <v>74700</v>
      </c>
      <c r="O42" s="126"/>
      <c r="P42" s="126"/>
      <c r="Q42" s="165">
        <f>SUM(N42+O42-P42)</f>
        <v>74700</v>
      </c>
      <c r="R42" s="126"/>
      <c r="S42" s="126"/>
      <c r="T42" s="165">
        <f>SUM(Q42+R42-S42)</f>
        <v>74700</v>
      </c>
      <c r="U42" s="126"/>
      <c r="V42" s="126"/>
      <c r="W42" s="165">
        <f>SUM(T42+U42-V42)</f>
        <v>74700</v>
      </c>
      <c r="X42" s="126"/>
      <c r="Y42" s="126"/>
      <c r="Z42" s="165">
        <f>SUM(W42+X42-Y42)</f>
        <v>74700</v>
      </c>
      <c r="AA42" s="126"/>
      <c r="AB42" s="126"/>
      <c r="AC42" s="165">
        <f>SUM(Z42+AA42-AB42)</f>
        <v>74700</v>
      </c>
      <c r="AD42" s="126"/>
      <c r="AE42" s="126"/>
      <c r="AF42" s="165">
        <f>SUM(AC42+AD42-AE42)</f>
        <v>74700</v>
      </c>
      <c r="AG42" s="126"/>
      <c r="AH42" s="126"/>
      <c r="AI42" s="165">
        <f>SUM(AF42+AG42-AH42)</f>
        <v>74700</v>
      </c>
      <c r="AJ42" s="126"/>
      <c r="AK42" s="126"/>
      <c r="AL42" s="165">
        <f>SUM(AI42+AJ42-AK42)</f>
        <v>74700</v>
      </c>
      <c r="AM42" s="126"/>
      <c r="AN42" s="126"/>
      <c r="AO42" s="165">
        <f>SUM(AL42+AM42-AN42)</f>
        <v>74700</v>
      </c>
    </row>
    <row r="43" spans="1:41" s="37" customFormat="1" ht="33" customHeight="1">
      <c r="A43" s="98"/>
      <c r="B43" s="98" t="s">
        <v>196</v>
      </c>
      <c r="C43" s="99"/>
      <c r="D43" s="56" t="s">
        <v>339</v>
      </c>
      <c r="E43" s="127">
        <f aca="true" t="shared" si="33" ref="E43:K43">SUM(E44:E45)</f>
        <v>1005400</v>
      </c>
      <c r="F43" s="128">
        <f t="shared" si="33"/>
        <v>0</v>
      </c>
      <c r="G43" s="128">
        <f t="shared" si="33"/>
        <v>0</v>
      </c>
      <c r="H43" s="127">
        <f t="shared" si="33"/>
        <v>1005400</v>
      </c>
      <c r="I43" s="128">
        <f t="shared" si="33"/>
        <v>0</v>
      </c>
      <c r="J43" s="128">
        <f t="shared" si="33"/>
        <v>0</v>
      </c>
      <c r="K43" s="127">
        <f t="shared" si="33"/>
        <v>1005400</v>
      </c>
      <c r="L43" s="128">
        <f aca="true" t="shared" si="34" ref="L43:Q43">SUM(L44:L45)</f>
        <v>0</v>
      </c>
      <c r="M43" s="128">
        <f t="shared" si="34"/>
        <v>71300</v>
      </c>
      <c r="N43" s="127">
        <f t="shared" si="34"/>
        <v>934100</v>
      </c>
      <c r="O43" s="128">
        <f t="shared" si="34"/>
        <v>0</v>
      </c>
      <c r="P43" s="128">
        <f t="shared" si="34"/>
        <v>0</v>
      </c>
      <c r="Q43" s="127">
        <f t="shared" si="34"/>
        <v>934100</v>
      </c>
      <c r="R43" s="128">
        <f aca="true" t="shared" si="35" ref="R43:W43">SUM(R44:R45)</f>
        <v>51010</v>
      </c>
      <c r="S43" s="128">
        <f t="shared" si="35"/>
        <v>0</v>
      </c>
      <c r="T43" s="127">
        <f t="shared" si="35"/>
        <v>985110</v>
      </c>
      <c r="U43" s="128">
        <f t="shared" si="35"/>
        <v>2000</v>
      </c>
      <c r="V43" s="128">
        <f t="shared" si="35"/>
        <v>70000</v>
      </c>
      <c r="W43" s="127">
        <f t="shared" si="35"/>
        <v>917110</v>
      </c>
      <c r="X43" s="128">
        <f aca="true" t="shared" si="36" ref="X43:AC43">SUM(X44:X45)</f>
        <v>0</v>
      </c>
      <c r="Y43" s="128">
        <f t="shared" si="36"/>
        <v>0</v>
      </c>
      <c r="Z43" s="127">
        <f t="shared" si="36"/>
        <v>917110</v>
      </c>
      <c r="AA43" s="128">
        <f t="shared" si="36"/>
        <v>51130</v>
      </c>
      <c r="AB43" s="128">
        <f t="shared" si="36"/>
        <v>0</v>
      </c>
      <c r="AC43" s="127">
        <f t="shared" si="36"/>
        <v>968240</v>
      </c>
      <c r="AD43" s="128">
        <f aca="true" t="shared" si="37" ref="AD43:AI43">SUM(AD44:AD45)</f>
        <v>0</v>
      </c>
      <c r="AE43" s="128">
        <f t="shared" si="37"/>
        <v>0</v>
      </c>
      <c r="AF43" s="127">
        <f t="shared" si="37"/>
        <v>968240</v>
      </c>
      <c r="AG43" s="128">
        <f t="shared" si="37"/>
        <v>58870</v>
      </c>
      <c r="AH43" s="128">
        <f t="shared" si="37"/>
        <v>0</v>
      </c>
      <c r="AI43" s="127">
        <f t="shared" si="37"/>
        <v>1027110</v>
      </c>
      <c r="AJ43" s="128">
        <f aca="true" t="shared" si="38" ref="AJ43:AO43">SUM(AJ44:AJ45)</f>
        <v>0</v>
      </c>
      <c r="AK43" s="128">
        <f t="shared" si="38"/>
        <v>0</v>
      </c>
      <c r="AL43" s="127">
        <f t="shared" si="38"/>
        <v>1027110</v>
      </c>
      <c r="AM43" s="128">
        <f t="shared" si="38"/>
        <v>0</v>
      </c>
      <c r="AN43" s="128">
        <f t="shared" si="38"/>
        <v>0</v>
      </c>
      <c r="AO43" s="127">
        <f t="shared" si="38"/>
        <v>1027110</v>
      </c>
    </row>
    <row r="44" spans="1:41" s="37" customFormat="1" ht="67.5">
      <c r="A44" s="98"/>
      <c r="B44" s="98"/>
      <c r="C44" s="100" t="s">
        <v>224</v>
      </c>
      <c r="D44" s="56" t="s">
        <v>597</v>
      </c>
      <c r="E44" s="127">
        <v>569300</v>
      </c>
      <c r="F44" s="126"/>
      <c r="G44" s="126"/>
      <c r="H44" s="165">
        <f>SUM(E44+F44-G44)</f>
        <v>569300</v>
      </c>
      <c r="I44" s="126"/>
      <c r="J44" s="126"/>
      <c r="K44" s="165">
        <f>SUM(H44+I44-J44)</f>
        <v>569300</v>
      </c>
      <c r="L44" s="126"/>
      <c r="M44" s="126">
        <v>69300</v>
      </c>
      <c r="N44" s="165">
        <f>SUM(K44+L44-M44)</f>
        <v>500000</v>
      </c>
      <c r="O44" s="126"/>
      <c r="P44" s="126"/>
      <c r="Q44" s="165">
        <f>SUM(N44+O44-P44)</f>
        <v>500000</v>
      </c>
      <c r="R44" s="126"/>
      <c r="S44" s="126"/>
      <c r="T44" s="165">
        <f>SUM(Q44+R44-S44)</f>
        <v>500000</v>
      </c>
      <c r="U44" s="126"/>
      <c r="V44" s="126">
        <v>70000</v>
      </c>
      <c r="W44" s="165">
        <f>SUM(T44+U44-V44)</f>
        <v>430000</v>
      </c>
      <c r="X44" s="126"/>
      <c r="Y44" s="126"/>
      <c r="Z44" s="165">
        <f>SUM(W44+X44-Y44)</f>
        <v>430000</v>
      </c>
      <c r="AA44" s="126"/>
      <c r="AB44" s="126"/>
      <c r="AC44" s="165">
        <f>SUM(Z44+AA44-AB44)</f>
        <v>430000</v>
      </c>
      <c r="AD44" s="126"/>
      <c r="AE44" s="126"/>
      <c r="AF44" s="165">
        <f>SUM(AC44+AD44-AE44)</f>
        <v>430000</v>
      </c>
      <c r="AG44" s="126"/>
      <c r="AH44" s="126"/>
      <c r="AI44" s="165">
        <f>SUM(AF44+AG44-AH44)</f>
        <v>430000</v>
      </c>
      <c r="AJ44" s="126"/>
      <c r="AK44" s="126"/>
      <c r="AL44" s="165">
        <f>SUM(AI44+AJ44-AK44)</f>
        <v>430000</v>
      </c>
      <c r="AM44" s="126"/>
      <c r="AN44" s="126"/>
      <c r="AO44" s="165">
        <f>SUM(AL44+AM44-AN44)</f>
        <v>430000</v>
      </c>
    </row>
    <row r="45" spans="1:41" s="37" customFormat="1" ht="49.5" customHeight="1">
      <c r="A45" s="98"/>
      <c r="B45" s="98"/>
      <c r="C45" s="100">
        <v>2030</v>
      </c>
      <c r="D45" s="110" t="s">
        <v>449</v>
      </c>
      <c r="E45" s="127">
        <v>436100</v>
      </c>
      <c r="F45" s="126"/>
      <c r="G45" s="126"/>
      <c r="H45" s="165">
        <f>SUM(E45+F45-G45)</f>
        <v>436100</v>
      </c>
      <c r="I45" s="126"/>
      <c r="J45" s="126"/>
      <c r="K45" s="165">
        <f>SUM(H45+I45-J45)</f>
        <v>436100</v>
      </c>
      <c r="L45" s="126"/>
      <c r="M45" s="126">
        <v>2000</v>
      </c>
      <c r="N45" s="165">
        <f>SUM(K45+L45-M45)</f>
        <v>434100</v>
      </c>
      <c r="O45" s="126"/>
      <c r="P45" s="126"/>
      <c r="Q45" s="165">
        <f>SUM(N45+O45-P45)</f>
        <v>434100</v>
      </c>
      <c r="R45" s="126">
        <v>51010</v>
      </c>
      <c r="S45" s="126"/>
      <c r="T45" s="165">
        <f>SUM(Q45+R45-S45)</f>
        <v>485110</v>
      </c>
      <c r="U45" s="126">
        <v>2000</v>
      </c>
      <c r="V45" s="126"/>
      <c r="W45" s="165">
        <f>SUM(T45+U45-V45)</f>
        <v>487110</v>
      </c>
      <c r="X45" s="126"/>
      <c r="Y45" s="126"/>
      <c r="Z45" s="165">
        <f>SUM(W45+X45-Y45)</f>
        <v>487110</v>
      </c>
      <c r="AA45" s="126">
        <v>51130</v>
      </c>
      <c r="AB45" s="126"/>
      <c r="AC45" s="165">
        <f>SUM(Z45+AA45-AB45)</f>
        <v>538240</v>
      </c>
      <c r="AD45" s="126"/>
      <c r="AE45" s="126"/>
      <c r="AF45" s="165">
        <f>SUM(AC45+AD45-AE45)</f>
        <v>538240</v>
      </c>
      <c r="AG45" s="126">
        <f>22489+36381</f>
        <v>58870</v>
      </c>
      <c r="AH45" s="126"/>
      <c r="AI45" s="165">
        <f>SUM(AF45+AG45-AH45)</f>
        <v>597110</v>
      </c>
      <c r="AJ45" s="126"/>
      <c r="AK45" s="126"/>
      <c r="AL45" s="165">
        <f>SUM(AI45+AJ45-AK45)</f>
        <v>597110</v>
      </c>
      <c r="AM45" s="126"/>
      <c r="AN45" s="126"/>
      <c r="AO45" s="165">
        <f>SUM(AL45+AM45-AN45)</f>
        <v>597110</v>
      </c>
    </row>
    <row r="46" spans="1:41" s="37" customFormat="1" ht="23.25" customHeight="1">
      <c r="A46" s="98"/>
      <c r="B46" s="98" t="s">
        <v>197</v>
      </c>
      <c r="C46" s="99"/>
      <c r="D46" s="56" t="s">
        <v>74</v>
      </c>
      <c r="E46" s="127">
        <f aca="true" t="shared" si="39" ref="E46:AO46">E47</f>
        <v>312200</v>
      </c>
      <c r="F46" s="128">
        <f t="shared" si="39"/>
        <v>0</v>
      </c>
      <c r="G46" s="128">
        <f t="shared" si="39"/>
        <v>0</v>
      </c>
      <c r="H46" s="127">
        <f t="shared" si="39"/>
        <v>312200</v>
      </c>
      <c r="I46" s="128">
        <f t="shared" si="39"/>
        <v>0</v>
      </c>
      <c r="J46" s="128">
        <f t="shared" si="39"/>
        <v>0</v>
      </c>
      <c r="K46" s="127">
        <f t="shared" si="39"/>
        <v>312200</v>
      </c>
      <c r="L46" s="128">
        <f t="shared" si="39"/>
        <v>0</v>
      </c>
      <c r="M46" s="128">
        <f t="shared" si="39"/>
        <v>0</v>
      </c>
      <c r="N46" s="127">
        <f t="shared" si="39"/>
        <v>312200</v>
      </c>
      <c r="O46" s="128">
        <f t="shared" si="39"/>
        <v>27000</v>
      </c>
      <c r="P46" s="128">
        <f t="shared" si="39"/>
        <v>0</v>
      </c>
      <c r="Q46" s="127">
        <f t="shared" si="39"/>
        <v>339200</v>
      </c>
      <c r="R46" s="128">
        <f t="shared" si="39"/>
        <v>0</v>
      </c>
      <c r="S46" s="128">
        <f t="shared" si="39"/>
        <v>0</v>
      </c>
      <c r="T46" s="127">
        <f t="shared" si="39"/>
        <v>339200</v>
      </c>
      <c r="U46" s="128">
        <f t="shared" si="39"/>
        <v>0</v>
      </c>
      <c r="V46" s="128">
        <f t="shared" si="39"/>
        <v>0</v>
      </c>
      <c r="W46" s="127">
        <f t="shared" si="39"/>
        <v>339200</v>
      </c>
      <c r="X46" s="128">
        <f t="shared" si="39"/>
        <v>0</v>
      </c>
      <c r="Y46" s="128">
        <f t="shared" si="39"/>
        <v>0</v>
      </c>
      <c r="Z46" s="127">
        <f t="shared" si="39"/>
        <v>339200</v>
      </c>
      <c r="AA46" s="128">
        <f t="shared" si="39"/>
        <v>0</v>
      </c>
      <c r="AB46" s="128">
        <f t="shared" si="39"/>
        <v>0</v>
      </c>
      <c r="AC46" s="127">
        <f t="shared" si="39"/>
        <v>339200</v>
      </c>
      <c r="AD46" s="128">
        <f t="shared" si="39"/>
        <v>0</v>
      </c>
      <c r="AE46" s="128">
        <f t="shared" si="39"/>
        <v>0</v>
      </c>
      <c r="AF46" s="127">
        <f t="shared" si="39"/>
        <v>339200</v>
      </c>
      <c r="AG46" s="128">
        <f t="shared" si="39"/>
        <v>0</v>
      </c>
      <c r="AH46" s="128">
        <f t="shared" si="39"/>
        <v>0</v>
      </c>
      <c r="AI46" s="127">
        <f t="shared" si="39"/>
        <v>339200</v>
      </c>
      <c r="AJ46" s="128">
        <f t="shared" si="39"/>
        <v>0</v>
      </c>
      <c r="AK46" s="128">
        <f t="shared" si="39"/>
        <v>0</v>
      </c>
      <c r="AL46" s="127">
        <f t="shared" si="39"/>
        <v>339200</v>
      </c>
      <c r="AM46" s="128">
        <f t="shared" si="39"/>
        <v>0</v>
      </c>
      <c r="AN46" s="128">
        <f t="shared" si="39"/>
        <v>0</v>
      </c>
      <c r="AO46" s="127">
        <f t="shared" si="39"/>
        <v>339200</v>
      </c>
    </row>
    <row r="47" spans="1:41" s="37" customFormat="1" ht="52.5" customHeight="1">
      <c r="A47" s="98"/>
      <c r="B47" s="98"/>
      <c r="C47" s="100">
        <v>2030</v>
      </c>
      <c r="D47" s="110" t="s">
        <v>279</v>
      </c>
      <c r="E47" s="127">
        <v>312200</v>
      </c>
      <c r="F47" s="126"/>
      <c r="G47" s="126"/>
      <c r="H47" s="165">
        <f>SUM(E47+F47-G47)</f>
        <v>312200</v>
      </c>
      <c r="I47" s="126"/>
      <c r="J47" s="126"/>
      <c r="K47" s="165">
        <f>SUM(H47+I47-J47)</f>
        <v>312200</v>
      </c>
      <c r="L47" s="126"/>
      <c r="M47" s="126"/>
      <c r="N47" s="165">
        <f>SUM(K47+L47-M47)</f>
        <v>312200</v>
      </c>
      <c r="O47" s="126">
        <v>27000</v>
      </c>
      <c r="P47" s="126"/>
      <c r="Q47" s="165">
        <f>SUM(N47+O47-P47)</f>
        <v>339200</v>
      </c>
      <c r="R47" s="126"/>
      <c r="S47" s="126"/>
      <c r="T47" s="165">
        <f>SUM(Q47+R47-S47)</f>
        <v>339200</v>
      </c>
      <c r="U47" s="126"/>
      <c r="V47" s="126"/>
      <c r="W47" s="165">
        <f>SUM(T47+U47-V47)</f>
        <v>339200</v>
      </c>
      <c r="X47" s="126"/>
      <c r="Y47" s="126"/>
      <c r="Z47" s="165">
        <f>SUM(W47+X47-Y47)</f>
        <v>339200</v>
      </c>
      <c r="AA47" s="126"/>
      <c r="AB47" s="126"/>
      <c r="AC47" s="165">
        <f>SUM(Z47+AA47-AB47)</f>
        <v>339200</v>
      </c>
      <c r="AD47" s="126"/>
      <c r="AE47" s="126"/>
      <c r="AF47" s="165">
        <f>SUM(AC47+AD47-AE47)</f>
        <v>339200</v>
      </c>
      <c r="AG47" s="126"/>
      <c r="AH47" s="126"/>
      <c r="AI47" s="165">
        <f>SUM(AF47+AG47-AH47)</f>
        <v>339200</v>
      </c>
      <c r="AJ47" s="126"/>
      <c r="AK47" s="126"/>
      <c r="AL47" s="165">
        <f>SUM(AI47+AJ47-AK47)</f>
        <v>339200</v>
      </c>
      <c r="AM47" s="126"/>
      <c r="AN47" s="126"/>
      <c r="AO47" s="165">
        <f>SUM(AL47+AM47-AN47)</f>
        <v>339200</v>
      </c>
    </row>
    <row r="48" spans="1:41" s="37" customFormat="1" ht="22.5">
      <c r="A48" s="98"/>
      <c r="B48" s="98">
        <v>85278</v>
      </c>
      <c r="C48" s="100"/>
      <c r="D48" s="110" t="s">
        <v>657</v>
      </c>
      <c r="E48" s="127"/>
      <c r="F48" s="126"/>
      <c r="G48" s="126"/>
      <c r="H48" s="165"/>
      <c r="I48" s="126"/>
      <c r="J48" s="126"/>
      <c r="K48" s="165"/>
      <c r="L48" s="126"/>
      <c r="M48" s="126"/>
      <c r="N48" s="165"/>
      <c r="O48" s="126"/>
      <c r="P48" s="126"/>
      <c r="Q48" s="165"/>
      <c r="R48" s="126"/>
      <c r="S48" s="126"/>
      <c r="T48" s="165"/>
      <c r="U48" s="126"/>
      <c r="V48" s="126"/>
      <c r="W48" s="165"/>
      <c r="X48" s="126"/>
      <c r="Y48" s="126"/>
      <c r="Z48" s="165"/>
      <c r="AA48" s="126"/>
      <c r="AB48" s="126"/>
      <c r="AC48" s="165">
        <f aca="true" t="shared" si="40" ref="AC48:AO48">SUM(AC49)</f>
        <v>0</v>
      </c>
      <c r="AD48" s="165">
        <f t="shared" si="40"/>
        <v>242097</v>
      </c>
      <c r="AE48" s="165">
        <f t="shared" si="40"/>
        <v>0</v>
      </c>
      <c r="AF48" s="165">
        <f t="shared" si="40"/>
        <v>242097</v>
      </c>
      <c r="AG48" s="165">
        <f t="shared" si="40"/>
        <v>0</v>
      </c>
      <c r="AH48" s="165">
        <f t="shared" si="40"/>
        <v>0</v>
      </c>
      <c r="AI48" s="165">
        <f t="shared" si="40"/>
        <v>242097</v>
      </c>
      <c r="AJ48" s="165">
        <f t="shared" si="40"/>
        <v>0</v>
      </c>
      <c r="AK48" s="165">
        <f t="shared" si="40"/>
        <v>0</v>
      </c>
      <c r="AL48" s="165">
        <f t="shared" si="40"/>
        <v>242097</v>
      </c>
      <c r="AM48" s="165">
        <f t="shared" si="40"/>
        <v>0</v>
      </c>
      <c r="AN48" s="165">
        <f t="shared" si="40"/>
        <v>0</v>
      </c>
      <c r="AO48" s="165">
        <f t="shared" si="40"/>
        <v>242097</v>
      </c>
    </row>
    <row r="49" spans="1:41" s="37" customFormat="1" ht="67.5">
      <c r="A49" s="98"/>
      <c r="B49" s="98"/>
      <c r="C49" s="100">
        <v>2010</v>
      </c>
      <c r="D49" s="56" t="s">
        <v>597</v>
      </c>
      <c r="E49" s="127"/>
      <c r="F49" s="126"/>
      <c r="G49" s="126"/>
      <c r="H49" s="165"/>
      <c r="I49" s="126"/>
      <c r="J49" s="126"/>
      <c r="K49" s="165"/>
      <c r="L49" s="126"/>
      <c r="M49" s="126"/>
      <c r="N49" s="165"/>
      <c r="O49" s="126"/>
      <c r="P49" s="126"/>
      <c r="Q49" s="165"/>
      <c r="R49" s="126"/>
      <c r="S49" s="126"/>
      <c r="T49" s="165"/>
      <c r="U49" s="126"/>
      <c r="V49" s="126"/>
      <c r="W49" s="165"/>
      <c r="X49" s="126"/>
      <c r="Y49" s="126"/>
      <c r="Z49" s="165"/>
      <c r="AA49" s="126"/>
      <c r="AB49" s="126"/>
      <c r="AC49" s="165">
        <v>0</v>
      </c>
      <c r="AD49" s="126">
        <v>242097</v>
      </c>
      <c r="AE49" s="126"/>
      <c r="AF49" s="165">
        <f>SUM(AC49+AD49-AE49)</f>
        <v>242097</v>
      </c>
      <c r="AG49" s="126"/>
      <c r="AH49" s="126"/>
      <c r="AI49" s="165">
        <f>SUM(AF49+AG49-AH49)</f>
        <v>242097</v>
      </c>
      <c r="AJ49" s="126"/>
      <c r="AK49" s="126"/>
      <c r="AL49" s="165">
        <f>SUM(AI49+AJ49-AK49)</f>
        <v>242097</v>
      </c>
      <c r="AM49" s="126"/>
      <c r="AN49" s="126"/>
      <c r="AO49" s="165">
        <f>SUM(AL49+AM49-AN49)</f>
        <v>242097</v>
      </c>
    </row>
    <row r="50" spans="1:41" s="37" customFormat="1" ht="24" customHeight="1">
      <c r="A50" s="98"/>
      <c r="B50" s="98">
        <v>85295</v>
      </c>
      <c r="C50" s="100"/>
      <c r="D50" s="110" t="s">
        <v>10</v>
      </c>
      <c r="E50" s="127">
        <f aca="true" t="shared" si="41" ref="E50:AO50">SUM(E51)</f>
        <v>141546</v>
      </c>
      <c r="F50" s="127">
        <f t="shared" si="41"/>
        <v>0</v>
      </c>
      <c r="G50" s="127">
        <f t="shared" si="41"/>
        <v>0</v>
      </c>
      <c r="H50" s="127">
        <f t="shared" si="41"/>
        <v>141546</v>
      </c>
      <c r="I50" s="127">
        <f t="shared" si="41"/>
        <v>0</v>
      </c>
      <c r="J50" s="127">
        <f t="shared" si="41"/>
        <v>0</v>
      </c>
      <c r="K50" s="127">
        <f t="shared" si="41"/>
        <v>141546</v>
      </c>
      <c r="L50" s="127">
        <f t="shared" si="41"/>
        <v>0</v>
      </c>
      <c r="M50" s="127">
        <f t="shared" si="41"/>
        <v>0</v>
      </c>
      <c r="N50" s="127">
        <f t="shared" si="41"/>
        <v>141546</v>
      </c>
      <c r="O50" s="127">
        <f t="shared" si="41"/>
        <v>314277</v>
      </c>
      <c r="P50" s="127">
        <f t="shared" si="41"/>
        <v>0</v>
      </c>
      <c r="Q50" s="127">
        <f t="shared" si="41"/>
        <v>455823</v>
      </c>
      <c r="R50" s="127">
        <f t="shared" si="41"/>
        <v>0</v>
      </c>
      <c r="S50" s="127">
        <f t="shared" si="41"/>
        <v>0</v>
      </c>
      <c r="T50" s="127">
        <f t="shared" si="41"/>
        <v>455823</v>
      </c>
      <c r="U50" s="127">
        <f t="shared" si="41"/>
        <v>336702</v>
      </c>
      <c r="V50" s="127">
        <f t="shared" si="41"/>
        <v>0</v>
      </c>
      <c r="W50" s="127">
        <f t="shared" si="41"/>
        <v>792525</v>
      </c>
      <c r="X50" s="127">
        <f t="shared" si="41"/>
        <v>0</v>
      </c>
      <c r="Y50" s="127">
        <f t="shared" si="41"/>
        <v>0</v>
      </c>
      <c r="Z50" s="127">
        <f t="shared" si="41"/>
        <v>792525</v>
      </c>
      <c r="AA50" s="127">
        <f t="shared" si="41"/>
        <v>87464</v>
      </c>
      <c r="AB50" s="127">
        <f t="shared" si="41"/>
        <v>0</v>
      </c>
      <c r="AC50" s="127">
        <f t="shared" si="41"/>
        <v>879989</v>
      </c>
      <c r="AD50" s="127">
        <f t="shared" si="41"/>
        <v>0</v>
      </c>
      <c r="AE50" s="127">
        <f t="shared" si="41"/>
        <v>0</v>
      </c>
      <c r="AF50" s="127">
        <f t="shared" si="41"/>
        <v>879989</v>
      </c>
      <c r="AG50" s="127">
        <f t="shared" si="41"/>
        <v>0</v>
      </c>
      <c r="AH50" s="127">
        <f t="shared" si="41"/>
        <v>0</v>
      </c>
      <c r="AI50" s="127">
        <f t="shared" si="41"/>
        <v>879989</v>
      </c>
      <c r="AJ50" s="127">
        <f t="shared" si="41"/>
        <v>0</v>
      </c>
      <c r="AK50" s="127">
        <f t="shared" si="41"/>
        <v>0</v>
      </c>
      <c r="AL50" s="127">
        <f t="shared" si="41"/>
        <v>879989</v>
      </c>
      <c r="AM50" s="127">
        <f t="shared" si="41"/>
        <v>0</v>
      </c>
      <c r="AN50" s="127">
        <f t="shared" si="41"/>
        <v>0</v>
      </c>
      <c r="AO50" s="127">
        <f t="shared" si="41"/>
        <v>879989</v>
      </c>
    </row>
    <row r="51" spans="1:41" s="37" customFormat="1" ht="48.75" customHeight="1">
      <c r="A51" s="98"/>
      <c r="B51" s="98"/>
      <c r="C51" s="100">
        <v>2030</v>
      </c>
      <c r="D51" s="110" t="s">
        <v>297</v>
      </c>
      <c r="E51" s="127">
        <v>141546</v>
      </c>
      <c r="F51" s="126"/>
      <c r="G51" s="126"/>
      <c r="H51" s="165">
        <f>E51+F51-G51</f>
        <v>141546</v>
      </c>
      <c r="I51" s="126"/>
      <c r="J51" s="126"/>
      <c r="K51" s="165">
        <f>H51+I51-J51</f>
        <v>141546</v>
      </c>
      <c r="L51" s="126"/>
      <c r="M51" s="126"/>
      <c r="N51" s="165">
        <f>K51+L51-M51</f>
        <v>141546</v>
      </c>
      <c r="O51" s="126">
        <v>314277</v>
      </c>
      <c r="P51" s="126"/>
      <c r="Q51" s="165">
        <f>N51+O51-P51</f>
        <v>455823</v>
      </c>
      <c r="R51" s="126"/>
      <c r="S51" s="126"/>
      <c r="T51" s="165">
        <f>Q51+R51-S51</f>
        <v>455823</v>
      </c>
      <c r="U51" s="126">
        <v>336702</v>
      </c>
      <c r="V51" s="126"/>
      <c r="W51" s="165">
        <f>T51+U51-V51</f>
        <v>792525</v>
      </c>
      <c r="X51" s="126"/>
      <c r="Y51" s="126"/>
      <c r="Z51" s="165">
        <f>W51+X51-Y51</f>
        <v>792525</v>
      </c>
      <c r="AA51" s="126">
        <v>87464</v>
      </c>
      <c r="AB51" s="126"/>
      <c r="AC51" s="165">
        <f>Z51+AA51-AB51</f>
        <v>879989</v>
      </c>
      <c r="AD51" s="126"/>
      <c r="AE51" s="126"/>
      <c r="AF51" s="165">
        <f>AC51+AD51-AE51</f>
        <v>879989</v>
      </c>
      <c r="AG51" s="126"/>
      <c r="AH51" s="126"/>
      <c r="AI51" s="165">
        <f>AF51+AG51-AH51</f>
        <v>879989</v>
      </c>
      <c r="AJ51" s="126"/>
      <c r="AK51" s="126"/>
      <c r="AL51" s="165">
        <f>AI51+AJ51-AK51</f>
        <v>879989</v>
      </c>
      <c r="AM51" s="126"/>
      <c r="AN51" s="126"/>
      <c r="AO51" s="165">
        <f>AL51+AM51-AN51</f>
        <v>879989</v>
      </c>
    </row>
    <row r="52" spans="1:41" s="59" customFormat="1" ht="26.25" customHeight="1">
      <c r="A52" s="51">
        <v>854</v>
      </c>
      <c r="B52" s="51"/>
      <c r="C52" s="140"/>
      <c r="D52" s="47" t="s">
        <v>75</v>
      </c>
      <c r="E52" s="141"/>
      <c r="F52" s="60"/>
      <c r="G52" s="60"/>
      <c r="H52" s="244">
        <f>SUM(H53)</f>
        <v>0</v>
      </c>
      <c r="I52" s="244">
        <f aca="true" t="shared" si="42" ref="I52:X53">SUM(I53)</f>
        <v>36940</v>
      </c>
      <c r="J52" s="244">
        <f t="shared" si="42"/>
        <v>0</v>
      </c>
      <c r="K52" s="244">
        <f t="shared" si="42"/>
        <v>36940</v>
      </c>
      <c r="L52" s="244">
        <f t="shared" si="42"/>
        <v>0</v>
      </c>
      <c r="M52" s="244">
        <f t="shared" si="42"/>
        <v>0</v>
      </c>
      <c r="N52" s="244">
        <f t="shared" si="42"/>
        <v>36940</v>
      </c>
      <c r="O52" s="244">
        <f t="shared" si="42"/>
        <v>96494</v>
      </c>
      <c r="P52" s="244">
        <f t="shared" si="42"/>
        <v>0</v>
      </c>
      <c r="Q52" s="244">
        <f t="shared" si="42"/>
        <v>133434</v>
      </c>
      <c r="R52" s="244">
        <f t="shared" si="42"/>
        <v>68101</v>
      </c>
      <c r="S52" s="244">
        <f t="shared" si="42"/>
        <v>0</v>
      </c>
      <c r="T52" s="244">
        <f t="shared" si="42"/>
        <v>201535</v>
      </c>
      <c r="U52" s="244">
        <f t="shared" si="42"/>
        <v>0</v>
      </c>
      <c r="V52" s="244">
        <f t="shared" si="42"/>
        <v>0</v>
      </c>
      <c r="W52" s="244">
        <f t="shared" si="42"/>
        <v>201535</v>
      </c>
      <c r="X52" s="244">
        <f t="shared" si="42"/>
        <v>0</v>
      </c>
      <c r="Y52" s="244">
        <f aca="true" t="shared" si="43" ref="X52:AM53">SUM(Y53)</f>
        <v>0</v>
      </c>
      <c r="Z52" s="244">
        <f t="shared" si="43"/>
        <v>201535</v>
      </c>
      <c r="AA52" s="244">
        <f t="shared" si="43"/>
        <v>0</v>
      </c>
      <c r="AB52" s="244">
        <f t="shared" si="43"/>
        <v>0</v>
      </c>
      <c r="AC52" s="244">
        <f t="shared" si="43"/>
        <v>201535</v>
      </c>
      <c r="AD52" s="244">
        <f t="shared" si="43"/>
        <v>241384</v>
      </c>
      <c r="AE52" s="244">
        <f t="shared" si="43"/>
        <v>0</v>
      </c>
      <c r="AF52" s="244">
        <f t="shared" si="43"/>
        <v>442919</v>
      </c>
      <c r="AG52" s="244">
        <f t="shared" si="43"/>
        <v>84047</v>
      </c>
      <c r="AH52" s="244">
        <f t="shared" si="43"/>
        <v>0</v>
      </c>
      <c r="AI52" s="244">
        <f t="shared" si="43"/>
        <v>526966</v>
      </c>
      <c r="AJ52" s="244">
        <f t="shared" si="43"/>
        <v>0</v>
      </c>
      <c r="AK52" s="244">
        <f t="shared" si="43"/>
        <v>0</v>
      </c>
      <c r="AL52" s="244">
        <f t="shared" si="43"/>
        <v>526966</v>
      </c>
      <c r="AM52" s="244">
        <f t="shared" si="43"/>
        <v>0</v>
      </c>
      <c r="AN52" s="244">
        <f aca="true" t="shared" si="44" ref="AM52:AO53">SUM(AN53)</f>
        <v>0</v>
      </c>
      <c r="AO52" s="244">
        <f t="shared" si="44"/>
        <v>526966</v>
      </c>
    </row>
    <row r="53" spans="1:41" s="37" customFormat="1" ht="23.25" customHeight="1">
      <c r="A53" s="98"/>
      <c r="B53" s="98">
        <v>85415</v>
      </c>
      <c r="C53" s="100"/>
      <c r="D53" s="110" t="s">
        <v>415</v>
      </c>
      <c r="E53" s="127"/>
      <c r="F53" s="126"/>
      <c r="G53" s="126"/>
      <c r="H53" s="165">
        <f>SUM(H54)</f>
        <v>0</v>
      </c>
      <c r="I53" s="165">
        <f t="shared" si="42"/>
        <v>36940</v>
      </c>
      <c r="J53" s="165">
        <f t="shared" si="42"/>
        <v>0</v>
      </c>
      <c r="K53" s="165">
        <f t="shared" si="42"/>
        <v>36940</v>
      </c>
      <c r="L53" s="165">
        <f t="shared" si="42"/>
        <v>0</v>
      </c>
      <c r="M53" s="165">
        <f t="shared" si="42"/>
        <v>0</v>
      </c>
      <c r="N53" s="165">
        <f t="shared" si="42"/>
        <v>36940</v>
      </c>
      <c r="O53" s="165">
        <f t="shared" si="42"/>
        <v>96494</v>
      </c>
      <c r="P53" s="165">
        <f t="shared" si="42"/>
        <v>0</v>
      </c>
      <c r="Q53" s="165">
        <f t="shared" si="42"/>
        <v>133434</v>
      </c>
      <c r="R53" s="165">
        <f t="shared" si="42"/>
        <v>68101</v>
      </c>
      <c r="S53" s="165">
        <f t="shared" si="42"/>
        <v>0</v>
      </c>
      <c r="T53" s="165">
        <f t="shared" si="42"/>
        <v>201535</v>
      </c>
      <c r="U53" s="165">
        <f t="shared" si="42"/>
        <v>0</v>
      </c>
      <c r="V53" s="165">
        <f t="shared" si="42"/>
        <v>0</v>
      </c>
      <c r="W53" s="165">
        <f t="shared" si="42"/>
        <v>201535</v>
      </c>
      <c r="X53" s="165">
        <f t="shared" si="43"/>
        <v>0</v>
      </c>
      <c r="Y53" s="165">
        <f t="shared" si="43"/>
        <v>0</v>
      </c>
      <c r="Z53" s="165">
        <f t="shared" si="43"/>
        <v>201535</v>
      </c>
      <c r="AA53" s="165">
        <f t="shared" si="43"/>
        <v>0</v>
      </c>
      <c r="AB53" s="165">
        <f t="shared" si="43"/>
        <v>0</v>
      </c>
      <c r="AC53" s="165">
        <f t="shared" si="43"/>
        <v>201535</v>
      </c>
      <c r="AD53" s="165">
        <f t="shared" si="43"/>
        <v>241384</v>
      </c>
      <c r="AE53" s="165">
        <f t="shared" si="43"/>
        <v>0</v>
      </c>
      <c r="AF53" s="165">
        <f t="shared" si="43"/>
        <v>442919</v>
      </c>
      <c r="AG53" s="165">
        <f t="shared" si="43"/>
        <v>84047</v>
      </c>
      <c r="AH53" s="165">
        <f t="shared" si="43"/>
        <v>0</v>
      </c>
      <c r="AI53" s="165">
        <f t="shared" si="43"/>
        <v>526966</v>
      </c>
      <c r="AJ53" s="165">
        <f t="shared" si="43"/>
        <v>0</v>
      </c>
      <c r="AK53" s="165">
        <f t="shared" si="43"/>
        <v>0</v>
      </c>
      <c r="AL53" s="165">
        <f t="shared" si="43"/>
        <v>526966</v>
      </c>
      <c r="AM53" s="165">
        <f t="shared" si="44"/>
        <v>0</v>
      </c>
      <c r="AN53" s="165">
        <f t="shared" si="44"/>
        <v>0</v>
      </c>
      <c r="AO53" s="165">
        <f t="shared" si="44"/>
        <v>526966</v>
      </c>
    </row>
    <row r="54" spans="1:41" s="37" customFormat="1" ht="51" customHeight="1">
      <c r="A54" s="98"/>
      <c r="B54" s="98"/>
      <c r="C54" s="100">
        <v>2030</v>
      </c>
      <c r="D54" s="110" t="s">
        <v>279</v>
      </c>
      <c r="E54" s="127"/>
      <c r="F54" s="126"/>
      <c r="G54" s="126"/>
      <c r="H54" s="165">
        <v>0</v>
      </c>
      <c r="I54" s="126">
        <v>36940</v>
      </c>
      <c r="J54" s="126"/>
      <c r="K54" s="165">
        <f>SUM(H54+I54-J54)</f>
        <v>36940</v>
      </c>
      <c r="L54" s="126"/>
      <c r="M54" s="126"/>
      <c r="N54" s="165">
        <f>SUM(K54+L54-M54)</f>
        <v>36940</v>
      </c>
      <c r="O54" s="126">
        <v>96494</v>
      </c>
      <c r="P54" s="126"/>
      <c r="Q54" s="165">
        <f>SUM(N54+O54-P54)</f>
        <v>133434</v>
      </c>
      <c r="R54" s="126">
        <v>68101</v>
      </c>
      <c r="S54" s="126"/>
      <c r="T54" s="165">
        <f>SUM(Q54+R54-S54)</f>
        <v>201535</v>
      </c>
      <c r="U54" s="126"/>
      <c r="V54" s="126"/>
      <c r="W54" s="165">
        <f>SUM(T54+U54-V54)</f>
        <v>201535</v>
      </c>
      <c r="X54" s="126"/>
      <c r="Y54" s="126"/>
      <c r="Z54" s="165">
        <f>SUM(W54+X54-Y54)</f>
        <v>201535</v>
      </c>
      <c r="AA54" s="126"/>
      <c r="AB54" s="126"/>
      <c r="AC54" s="165">
        <f>SUM(Z54+AA54-AB54)</f>
        <v>201535</v>
      </c>
      <c r="AD54" s="126">
        <v>241384</v>
      </c>
      <c r="AE54" s="126"/>
      <c r="AF54" s="165">
        <f>SUM(AC54+AD54-AE54)</f>
        <v>442919</v>
      </c>
      <c r="AG54" s="126">
        <f>21577+62470</f>
        <v>84047</v>
      </c>
      <c r="AH54" s="126"/>
      <c r="AI54" s="165">
        <f>SUM(AF54+AG54-AH54)</f>
        <v>526966</v>
      </c>
      <c r="AJ54" s="126"/>
      <c r="AK54" s="126"/>
      <c r="AL54" s="165">
        <f>SUM(AI54+AJ54-AK54)</f>
        <v>526966</v>
      </c>
      <c r="AM54" s="126"/>
      <c r="AN54" s="126"/>
      <c r="AO54" s="165">
        <f>SUM(AL54+AM54-AN54)</f>
        <v>526966</v>
      </c>
    </row>
    <row r="55" spans="1:41" s="9" customFormat="1" ht="32.25" customHeight="1">
      <c r="A55" s="51" t="s">
        <v>80</v>
      </c>
      <c r="B55" s="43"/>
      <c r="C55" s="84"/>
      <c r="D55" s="54" t="s">
        <v>168</v>
      </c>
      <c r="E55" s="94">
        <f>SUM(E58)</f>
        <v>45000</v>
      </c>
      <c r="F55" s="94">
        <f>SUM(F58)</f>
        <v>0</v>
      </c>
      <c r="G55" s="94">
        <f>SUM(G58)</f>
        <v>0</v>
      </c>
      <c r="H55" s="94">
        <f aca="true" t="shared" si="45" ref="H55:N55">SUM(H58,H56,H60,)</f>
        <v>45000</v>
      </c>
      <c r="I55" s="94">
        <f t="shared" si="45"/>
        <v>6000</v>
      </c>
      <c r="J55" s="94">
        <f t="shared" si="45"/>
        <v>0</v>
      </c>
      <c r="K55" s="94">
        <f t="shared" si="45"/>
        <v>51000</v>
      </c>
      <c r="L55" s="94">
        <f t="shared" si="45"/>
        <v>0</v>
      </c>
      <c r="M55" s="94">
        <f t="shared" si="45"/>
        <v>0</v>
      </c>
      <c r="N55" s="94">
        <f t="shared" si="45"/>
        <v>51000</v>
      </c>
      <c r="O55" s="94">
        <f aca="true" t="shared" si="46" ref="O55:T55">SUM(O58,O56,O60,)</f>
        <v>0</v>
      </c>
      <c r="P55" s="94">
        <f t="shared" si="46"/>
        <v>0</v>
      </c>
      <c r="Q55" s="94">
        <f t="shared" si="46"/>
        <v>51000</v>
      </c>
      <c r="R55" s="94">
        <f t="shared" si="46"/>
        <v>0</v>
      </c>
      <c r="S55" s="94">
        <f t="shared" si="46"/>
        <v>0</v>
      </c>
      <c r="T55" s="94">
        <f t="shared" si="46"/>
        <v>51000</v>
      </c>
      <c r="U55" s="94">
        <f aca="true" t="shared" si="47" ref="U55:Z55">SUM(U58,U56,U60,)</f>
        <v>0</v>
      </c>
      <c r="V55" s="94">
        <f t="shared" si="47"/>
        <v>0</v>
      </c>
      <c r="W55" s="94">
        <f t="shared" si="47"/>
        <v>51000</v>
      </c>
      <c r="X55" s="94">
        <f t="shared" si="47"/>
        <v>0</v>
      </c>
      <c r="Y55" s="94">
        <f t="shared" si="47"/>
        <v>0</v>
      </c>
      <c r="Z55" s="94">
        <f t="shared" si="47"/>
        <v>51000</v>
      </c>
      <c r="AA55" s="94">
        <f aca="true" t="shared" si="48" ref="AA55:AF55">SUM(AA58,AA56,AA60,)</f>
        <v>0</v>
      </c>
      <c r="AB55" s="94">
        <f t="shared" si="48"/>
        <v>0</v>
      </c>
      <c r="AC55" s="94">
        <f t="shared" si="48"/>
        <v>51000</v>
      </c>
      <c r="AD55" s="94">
        <f t="shared" si="48"/>
        <v>0</v>
      </c>
      <c r="AE55" s="94">
        <f t="shared" si="48"/>
        <v>0</v>
      </c>
      <c r="AF55" s="94">
        <f t="shared" si="48"/>
        <v>51000</v>
      </c>
      <c r="AG55" s="94">
        <f aca="true" t="shared" si="49" ref="AG55:AL55">SUM(AG58,AG56,AG60,)</f>
        <v>0</v>
      </c>
      <c r="AH55" s="94">
        <f t="shared" si="49"/>
        <v>0</v>
      </c>
      <c r="AI55" s="94">
        <f t="shared" si="49"/>
        <v>51000</v>
      </c>
      <c r="AJ55" s="94">
        <f t="shared" si="49"/>
        <v>0</v>
      </c>
      <c r="AK55" s="94">
        <f t="shared" si="49"/>
        <v>0</v>
      </c>
      <c r="AL55" s="94">
        <f t="shared" si="49"/>
        <v>51000</v>
      </c>
      <c r="AM55" s="94">
        <f>SUM(AM58,AM56,AM60,)</f>
        <v>0</v>
      </c>
      <c r="AN55" s="94">
        <f>SUM(AN58,AN56,AN60,)</f>
        <v>0</v>
      </c>
      <c r="AO55" s="94">
        <f>SUM(AO58,AO56,AO60,)</f>
        <v>51000</v>
      </c>
    </row>
    <row r="56" spans="1:41" s="37" customFormat="1" ht="26.25" customHeight="1">
      <c r="A56" s="98"/>
      <c r="B56" s="120">
        <v>92109</v>
      </c>
      <c r="C56" s="99"/>
      <c r="D56" s="56" t="s">
        <v>190</v>
      </c>
      <c r="E56" s="125"/>
      <c r="F56" s="125"/>
      <c r="G56" s="125"/>
      <c r="H56" s="125">
        <f aca="true" t="shared" si="50" ref="H56:AO56">SUM(H57)</f>
        <v>0</v>
      </c>
      <c r="I56" s="125">
        <f t="shared" si="50"/>
        <v>4000</v>
      </c>
      <c r="J56" s="125">
        <f t="shared" si="50"/>
        <v>0</v>
      </c>
      <c r="K56" s="125">
        <f t="shared" si="50"/>
        <v>4000</v>
      </c>
      <c r="L56" s="125">
        <f t="shared" si="50"/>
        <v>0</v>
      </c>
      <c r="M56" s="125">
        <f t="shared" si="50"/>
        <v>0</v>
      </c>
      <c r="N56" s="125">
        <f t="shared" si="50"/>
        <v>4000</v>
      </c>
      <c r="O56" s="125">
        <f t="shared" si="50"/>
        <v>0</v>
      </c>
      <c r="P56" s="125">
        <f t="shared" si="50"/>
        <v>0</v>
      </c>
      <c r="Q56" s="125">
        <f t="shared" si="50"/>
        <v>4000</v>
      </c>
      <c r="R56" s="125">
        <f t="shared" si="50"/>
        <v>0</v>
      </c>
      <c r="S56" s="125">
        <f t="shared" si="50"/>
        <v>0</v>
      </c>
      <c r="T56" s="125">
        <f t="shared" si="50"/>
        <v>4000</v>
      </c>
      <c r="U56" s="125">
        <f t="shared" si="50"/>
        <v>0</v>
      </c>
      <c r="V56" s="125">
        <f t="shared" si="50"/>
        <v>0</v>
      </c>
      <c r="W56" s="125">
        <f t="shared" si="50"/>
        <v>4000</v>
      </c>
      <c r="X56" s="125">
        <f t="shared" si="50"/>
        <v>0</v>
      </c>
      <c r="Y56" s="125">
        <f t="shared" si="50"/>
        <v>0</v>
      </c>
      <c r="Z56" s="125">
        <f t="shared" si="50"/>
        <v>4000</v>
      </c>
      <c r="AA56" s="125">
        <f t="shared" si="50"/>
        <v>0</v>
      </c>
      <c r="AB56" s="125">
        <f t="shared" si="50"/>
        <v>0</v>
      </c>
      <c r="AC56" s="125">
        <f t="shared" si="50"/>
        <v>4000</v>
      </c>
      <c r="AD56" s="125">
        <f t="shared" si="50"/>
        <v>0</v>
      </c>
      <c r="AE56" s="125">
        <f t="shared" si="50"/>
        <v>0</v>
      </c>
      <c r="AF56" s="125">
        <f t="shared" si="50"/>
        <v>4000</v>
      </c>
      <c r="AG56" s="125">
        <f t="shared" si="50"/>
        <v>0</v>
      </c>
      <c r="AH56" s="125">
        <f t="shared" si="50"/>
        <v>0</v>
      </c>
      <c r="AI56" s="125">
        <f t="shared" si="50"/>
        <v>4000</v>
      </c>
      <c r="AJ56" s="125">
        <f t="shared" si="50"/>
        <v>0</v>
      </c>
      <c r="AK56" s="125">
        <f t="shared" si="50"/>
        <v>0</v>
      </c>
      <c r="AL56" s="125">
        <f t="shared" si="50"/>
        <v>4000</v>
      </c>
      <c r="AM56" s="125">
        <f t="shared" si="50"/>
        <v>0</v>
      </c>
      <c r="AN56" s="125">
        <f t="shared" si="50"/>
        <v>0</v>
      </c>
      <c r="AO56" s="125">
        <f t="shared" si="50"/>
        <v>4000</v>
      </c>
    </row>
    <row r="57" spans="1:41" s="9" customFormat="1" ht="61.5" customHeight="1">
      <c r="A57" s="51"/>
      <c r="B57" s="43"/>
      <c r="C57" s="100">
        <v>2320</v>
      </c>
      <c r="D57" s="56" t="s">
        <v>447</v>
      </c>
      <c r="E57" s="94"/>
      <c r="F57" s="94"/>
      <c r="G57" s="94"/>
      <c r="H57" s="125">
        <v>0</v>
      </c>
      <c r="I57" s="125">
        <f>3500+500</f>
        <v>4000</v>
      </c>
      <c r="J57" s="125"/>
      <c r="K57" s="125">
        <f>SUM(H57+I57-J57)</f>
        <v>4000</v>
      </c>
      <c r="L57" s="125"/>
      <c r="M57" s="125"/>
      <c r="N57" s="125">
        <f>SUM(K57+L57-M57)</f>
        <v>4000</v>
      </c>
      <c r="O57" s="125"/>
      <c r="P57" s="125"/>
      <c r="Q57" s="125">
        <f>SUM(N57+O57-P57)</f>
        <v>4000</v>
      </c>
      <c r="R57" s="125"/>
      <c r="S57" s="125"/>
      <c r="T57" s="125">
        <f>SUM(Q57+R57-S57)</f>
        <v>4000</v>
      </c>
      <c r="U57" s="125"/>
      <c r="V57" s="125"/>
      <c r="W57" s="125">
        <f>SUM(T57+U57-V57)</f>
        <v>4000</v>
      </c>
      <c r="X57" s="125"/>
      <c r="Y57" s="125"/>
      <c r="Z57" s="125">
        <f>SUM(W57+X57-Y57)</f>
        <v>4000</v>
      </c>
      <c r="AA57" s="125"/>
      <c r="AB57" s="125"/>
      <c r="AC57" s="125">
        <f>SUM(Z57+AA57-AB57)</f>
        <v>4000</v>
      </c>
      <c r="AD57" s="125"/>
      <c r="AE57" s="125"/>
      <c r="AF57" s="125">
        <f>SUM(AC57+AD57-AE57)</f>
        <v>4000</v>
      </c>
      <c r="AG57" s="125"/>
      <c r="AH57" s="125"/>
      <c r="AI57" s="125">
        <f>SUM(AF57+AG57-AH57)</f>
        <v>4000</v>
      </c>
      <c r="AJ57" s="125"/>
      <c r="AK57" s="125"/>
      <c r="AL57" s="125">
        <f>SUM(AI57+AJ57-AK57)</f>
        <v>4000</v>
      </c>
      <c r="AM57" s="125"/>
      <c r="AN57" s="125"/>
      <c r="AO57" s="125">
        <f>SUM(AL57+AM57-AN57)</f>
        <v>4000</v>
      </c>
    </row>
    <row r="58" spans="1:41" s="37" customFormat="1" ht="21.75" customHeight="1">
      <c r="A58" s="98"/>
      <c r="B58" s="98" t="s">
        <v>81</v>
      </c>
      <c r="C58" s="99"/>
      <c r="D58" s="56" t="s">
        <v>82</v>
      </c>
      <c r="E58" s="127">
        <f aca="true" t="shared" si="51" ref="E58:AO58">E59</f>
        <v>45000</v>
      </c>
      <c r="F58" s="127">
        <f t="shared" si="51"/>
        <v>0</v>
      </c>
      <c r="G58" s="127">
        <f t="shared" si="51"/>
        <v>0</v>
      </c>
      <c r="H58" s="127">
        <f t="shared" si="51"/>
        <v>45000</v>
      </c>
      <c r="I58" s="127">
        <f t="shared" si="51"/>
        <v>0</v>
      </c>
      <c r="J58" s="127">
        <f t="shared" si="51"/>
        <v>0</v>
      </c>
      <c r="K58" s="127">
        <f t="shared" si="51"/>
        <v>45000</v>
      </c>
      <c r="L58" s="127">
        <f t="shared" si="51"/>
        <v>0</v>
      </c>
      <c r="M58" s="127">
        <f t="shared" si="51"/>
        <v>0</v>
      </c>
      <c r="N58" s="127">
        <f t="shared" si="51"/>
        <v>45000</v>
      </c>
      <c r="O58" s="127">
        <f t="shared" si="51"/>
        <v>0</v>
      </c>
      <c r="P58" s="127">
        <f t="shared" si="51"/>
        <v>0</v>
      </c>
      <c r="Q58" s="127">
        <f t="shared" si="51"/>
        <v>45000</v>
      </c>
      <c r="R58" s="127">
        <f t="shared" si="51"/>
        <v>0</v>
      </c>
      <c r="S58" s="127">
        <f t="shared" si="51"/>
        <v>0</v>
      </c>
      <c r="T58" s="127">
        <f t="shared" si="51"/>
        <v>45000</v>
      </c>
      <c r="U58" s="127">
        <f t="shared" si="51"/>
        <v>0</v>
      </c>
      <c r="V58" s="127">
        <f t="shared" si="51"/>
        <v>0</v>
      </c>
      <c r="W58" s="127">
        <f t="shared" si="51"/>
        <v>45000</v>
      </c>
      <c r="X58" s="127">
        <f t="shared" si="51"/>
        <v>0</v>
      </c>
      <c r="Y58" s="127">
        <f t="shared" si="51"/>
        <v>0</v>
      </c>
      <c r="Z58" s="127">
        <f t="shared" si="51"/>
        <v>45000</v>
      </c>
      <c r="AA58" s="127">
        <f t="shared" si="51"/>
        <v>0</v>
      </c>
      <c r="AB58" s="127">
        <f t="shared" si="51"/>
        <v>0</v>
      </c>
      <c r="AC58" s="127">
        <f t="shared" si="51"/>
        <v>45000</v>
      </c>
      <c r="AD58" s="127">
        <f t="shared" si="51"/>
        <v>0</v>
      </c>
      <c r="AE58" s="127">
        <f t="shared" si="51"/>
        <v>0</v>
      </c>
      <c r="AF58" s="127">
        <f t="shared" si="51"/>
        <v>45000</v>
      </c>
      <c r="AG58" s="127">
        <f t="shared" si="51"/>
        <v>0</v>
      </c>
      <c r="AH58" s="127">
        <f t="shared" si="51"/>
        <v>0</v>
      </c>
      <c r="AI58" s="127">
        <f t="shared" si="51"/>
        <v>45000</v>
      </c>
      <c r="AJ58" s="127">
        <f t="shared" si="51"/>
        <v>0</v>
      </c>
      <c r="AK58" s="127">
        <f t="shared" si="51"/>
        <v>0</v>
      </c>
      <c r="AL58" s="127">
        <f t="shared" si="51"/>
        <v>45000</v>
      </c>
      <c r="AM58" s="127">
        <f t="shared" si="51"/>
        <v>0</v>
      </c>
      <c r="AN58" s="127">
        <f t="shared" si="51"/>
        <v>0</v>
      </c>
      <c r="AO58" s="127">
        <f t="shared" si="51"/>
        <v>45000</v>
      </c>
    </row>
    <row r="59" spans="1:41" s="37" customFormat="1" ht="63" customHeight="1">
      <c r="A59" s="98"/>
      <c r="B59" s="98"/>
      <c r="C59" s="100">
        <v>2320</v>
      </c>
      <c r="D59" s="56" t="s">
        <v>596</v>
      </c>
      <c r="E59" s="127">
        <v>45000</v>
      </c>
      <c r="F59" s="126"/>
      <c r="G59" s="126"/>
      <c r="H59" s="165">
        <f>SUM(E59+F59-G59)</f>
        <v>45000</v>
      </c>
      <c r="I59" s="126"/>
      <c r="J59" s="126"/>
      <c r="K59" s="165">
        <f>SUM(H59+I59-J59)</f>
        <v>45000</v>
      </c>
      <c r="L59" s="126"/>
      <c r="M59" s="126"/>
      <c r="N59" s="165">
        <f>SUM(K59+L59-M59)</f>
        <v>45000</v>
      </c>
      <c r="O59" s="126"/>
      <c r="P59" s="126"/>
      <c r="Q59" s="165">
        <f>SUM(N59+O59-P59)</f>
        <v>45000</v>
      </c>
      <c r="R59" s="126"/>
      <c r="S59" s="126"/>
      <c r="T59" s="165">
        <f>SUM(Q59+R59-S59)</f>
        <v>45000</v>
      </c>
      <c r="U59" s="126"/>
      <c r="V59" s="126"/>
      <c r="W59" s="165">
        <f>SUM(T59+U59-V59)</f>
        <v>45000</v>
      </c>
      <c r="X59" s="126"/>
      <c r="Y59" s="126"/>
      <c r="Z59" s="165">
        <f>SUM(W59+X59-Y59)</f>
        <v>45000</v>
      </c>
      <c r="AA59" s="126"/>
      <c r="AB59" s="126"/>
      <c r="AC59" s="165">
        <f>SUM(Z59+AA59-AB59)</f>
        <v>45000</v>
      </c>
      <c r="AD59" s="126"/>
      <c r="AE59" s="126"/>
      <c r="AF59" s="165">
        <f>SUM(AC59+AD59-AE59)</f>
        <v>45000</v>
      </c>
      <c r="AG59" s="126"/>
      <c r="AH59" s="126"/>
      <c r="AI59" s="165">
        <f>SUM(AF59+AG59-AH59)</f>
        <v>45000</v>
      </c>
      <c r="AJ59" s="126"/>
      <c r="AK59" s="126"/>
      <c r="AL59" s="165">
        <f>SUM(AI59+AJ59-AK59)</f>
        <v>45000</v>
      </c>
      <c r="AM59" s="126"/>
      <c r="AN59" s="126"/>
      <c r="AO59" s="165">
        <f>SUM(AL59+AM59-AN59)</f>
        <v>45000</v>
      </c>
    </row>
    <row r="60" spans="1:41" s="37" customFormat="1" ht="24" customHeight="1">
      <c r="A60" s="98"/>
      <c r="B60" s="98">
        <v>92118</v>
      </c>
      <c r="C60" s="98"/>
      <c r="D60" s="97" t="s">
        <v>164</v>
      </c>
      <c r="E60" s="127"/>
      <c r="F60" s="126"/>
      <c r="G60" s="126"/>
      <c r="H60" s="165">
        <f aca="true" t="shared" si="52" ref="H60:AO60">SUM(H61)</f>
        <v>0</v>
      </c>
      <c r="I60" s="165">
        <f t="shared" si="52"/>
        <v>2000</v>
      </c>
      <c r="J60" s="165">
        <f t="shared" si="52"/>
        <v>0</v>
      </c>
      <c r="K60" s="165">
        <f t="shared" si="52"/>
        <v>2000</v>
      </c>
      <c r="L60" s="165">
        <f t="shared" si="52"/>
        <v>0</v>
      </c>
      <c r="M60" s="165">
        <f t="shared" si="52"/>
        <v>0</v>
      </c>
      <c r="N60" s="165">
        <f t="shared" si="52"/>
        <v>2000</v>
      </c>
      <c r="O60" s="165">
        <f t="shared" si="52"/>
        <v>0</v>
      </c>
      <c r="P60" s="165">
        <f t="shared" si="52"/>
        <v>0</v>
      </c>
      <c r="Q60" s="165">
        <f t="shared" si="52"/>
        <v>2000</v>
      </c>
      <c r="R60" s="165">
        <f t="shared" si="52"/>
        <v>0</v>
      </c>
      <c r="S60" s="165">
        <f t="shared" si="52"/>
        <v>0</v>
      </c>
      <c r="T60" s="165">
        <f t="shared" si="52"/>
        <v>2000</v>
      </c>
      <c r="U60" s="165">
        <f t="shared" si="52"/>
        <v>0</v>
      </c>
      <c r="V60" s="165">
        <f t="shared" si="52"/>
        <v>0</v>
      </c>
      <c r="W60" s="165">
        <f t="shared" si="52"/>
        <v>2000</v>
      </c>
      <c r="X60" s="165">
        <f t="shared" si="52"/>
        <v>0</v>
      </c>
      <c r="Y60" s="165">
        <f t="shared" si="52"/>
        <v>0</v>
      </c>
      <c r="Z60" s="165">
        <f t="shared" si="52"/>
        <v>2000</v>
      </c>
      <c r="AA60" s="165">
        <f t="shared" si="52"/>
        <v>0</v>
      </c>
      <c r="AB60" s="165">
        <f t="shared" si="52"/>
        <v>0</v>
      </c>
      <c r="AC60" s="165">
        <f t="shared" si="52"/>
        <v>2000</v>
      </c>
      <c r="AD60" s="165">
        <f t="shared" si="52"/>
        <v>0</v>
      </c>
      <c r="AE60" s="165">
        <f t="shared" si="52"/>
        <v>0</v>
      </c>
      <c r="AF60" s="165">
        <f t="shared" si="52"/>
        <v>2000</v>
      </c>
      <c r="AG60" s="165">
        <f t="shared" si="52"/>
        <v>0</v>
      </c>
      <c r="AH60" s="165">
        <f t="shared" si="52"/>
        <v>0</v>
      </c>
      <c r="AI60" s="165">
        <f t="shared" si="52"/>
        <v>2000</v>
      </c>
      <c r="AJ60" s="165">
        <f t="shared" si="52"/>
        <v>0</v>
      </c>
      <c r="AK60" s="165">
        <f t="shared" si="52"/>
        <v>0</v>
      </c>
      <c r="AL60" s="165">
        <f t="shared" si="52"/>
        <v>2000</v>
      </c>
      <c r="AM60" s="165">
        <f t="shared" si="52"/>
        <v>0</v>
      </c>
      <c r="AN60" s="165">
        <f t="shared" si="52"/>
        <v>0</v>
      </c>
      <c r="AO60" s="165">
        <f t="shared" si="52"/>
        <v>2000</v>
      </c>
    </row>
    <row r="61" spans="1:41" s="37" customFormat="1" ht="63" customHeight="1">
      <c r="A61" s="98"/>
      <c r="B61" s="98"/>
      <c r="C61" s="98">
        <v>2320</v>
      </c>
      <c r="D61" s="56" t="s">
        <v>447</v>
      </c>
      <c r="E61" s="127"/>
      <c r="F61" s="126"/>
      <c r="G61" s="126"/>
      <c r="H61" s="165">
        <v>0</v>
      </c>
      <c r="I61" s="126">
        <f>500+1000+500</f>
        <v>2000</v>
      </c>
      <c r="J61" s="126"/>
      <c r="K61" s="165">
        <f>SUM(H61+I61-J61)</f>
        <v>2000</v>
      </c>
      <c r="L61" s="126"/>
      <c r="M61" s="126"/>
      <c r="N61" s="165">
        <f>SUM(K61+L61-M61)</f>
        <v>2000</v>
      </c>
      <c r="O61" s="126"/>
      <c r="P61" s="126"/>
      <c r="Q61" s="165">
        <f>SUM(N61+O61-P61)</f>
        <v>2000</v>
      </c>
      <c r="R61" s="126"/>
      <c r="S61" s="126"/>
      <c r="T61" s="165">
        <f>SUM(Q61+R61-S61)</f>
        <v>2000</v>
      </c>
      <c r="U61" s="126"/>
      <c r="V61" s="126"/>
      <c r="W61" s="165">
        <f>SUM(T61+U61-V61)</f>
        <v>2000</v>
      </c>
      <c r="X61" s="126"/>
      <c r="Y61" s="126"/>
      <c r="Z61" s="165">
        <f>SUM(W61+X61-Y61)</f>
        <v>2000</v>
      </c>
      <c r="AA61" s="126"/>
      <c r="AB61" s="126"/>
      <c r="AC61" s="165">
        <f>SUM(Z61+AA61-AB61)</f>
        <v>2000</v>
      </c>
      <c r="AD61" s="126"/>
      <c r="AE61" s="126"/>
      <c r="AF61" s="165">
        <f>SUM(AC61+AD61-AE61)</f>
        <v>2000</v>
      </c>
      <c r="AG61" s="126"/>
      <c r="AH61" s="126"/>
      <c r="AI61" s="165">
        <f>SUM(AF61+AG61-AH61)</f>
        <v>2000</v>
      </c>
      <c r="AJ61" s="126"/>
      <c r="AK61" s="126"/>
      <c r="AL61" s="165">
        <f>SUM(AI61+AJ61-AK61)</f>
        <v>2000</v>
      </c>
      <c r="AM61" s="126"/>
      <c r="AN61" s="126"/>
      <c r="AO61" s="165">
        <f>SUM(AL61+AM61-AN61)</f>
        <v>2000</v>
      </c>
    </row>
    <row r="62" spans="1:41" s="59" customFormat="1" ht="24" customHeight="1">
      <c r="A62" s="51" t="s">
        <v>165</v>
      </c>
      <c r="B62" s="52"/>
      <c r="C62" s="53"/>
      <c r="D62" s="54" t="s">
        <v>83</v>
      </c>
      <c r="E62" s="141"/>
      <c r="F62" s="60"/>
      <c r="G62" s="60"/>
      <c r="H62" s="244">
        <f>SUM(H63)</f>
        <v>0</v>
      </c>
      <c r="I62" s="244">
        <f aca="true" t="shared" si="53" ref="I62:X63">SUM(I63)</f>
        <v>4600</v>
      </c>
      <c r="J62" s="244">
        <f t="shared" si="53"/>
        <v>0</v>
      </c>
      <c r="K62" s="244">
        <f t="shared" si="53"/>
        <v>4600</v>
      </c>
      <c r="L62" s="244">
        <f t="shared" si="53"/>
        <v>0</v>
      </c>
      <c r="M62" s="244">
        <f t="shared" si="53"/>
        <v>0</v>
      </c>
      <c r="N62" s="244">
        <f t="shared" si="53"/>
        <v>4600</v>
      </c>
      <c r="O62" s="244">
        <f t="shared" si="53"/>
        <v>30800</v>
      </c>
      <c r="P62" s="244">
        <f t="shared" si="53"/>
        <v>0</v>
      </c>
      <c r="Q62" s="244">
        <f t="shared" si="53"/>
        <v>35400</v>
      </c>
      <c r="R62" s="244">
        <f t="shared" si="53"/>
        <v>1500</v>
      </c>
      <c r="S62" s="244">
        <f t="shared" si="53"/>
        <v>2500</v>
      </c>
      <c r="T62" s="244">
        <f t="shared" si="53"/>
        <v>34400</v>
      </c>
      <c r="U62" s="244">
        <f t="shared" si="53"/>
        <v>0</v>
      </c>
      <c r="V62" s="244">
        <f t="shared" si="53"/>
        <v>0</v>
      </c>
      <c r="W62" s="244">
        <f t="shared" si="53"/>
        <v>34400</v>
      </c>
      <c r="X62" s="244">
        <f t="shared" si="53"/>
        <v>0</v>
      </c>
      <c r="Y62" s="244">
        <f aca="true" t="shared" si="54" ref="Y62:AO62">SUM(Y63)</f>
        <v>0</v>
      </c>
      <c r="Z62" s="244">
        <f t="shared" si="54"/>
        <v>34400</v>
      </c>
      <c r="AA62" s="244">
        <f t="shared" si="54"/>
        <v>0</v>
      </c>
      <c r="AB62" s="244">
        <f t="shared" si="54"/>
        <v>0</v>
      </c>
      <c r="AC62" s="244">
        <f t="shared" si="54"/>
        <v>34400</v>
      </c>
      <c r="AD62" s="244">
        <f t="shared" si="54"/>
        <v>0</v>
      </c>
      <c r="AE62" s="244">
        <f t="shared" si="54"/>
        <v>0</v>
      </c>
      <c r="AF62" s="244">
        <f t="shared" si="54"/>
        <v>34400</v>
      </c>
      <c r="AG62" s="244">
        <f t="shared" si="54"/>
        <v>0</v>
      </c>
      <c r="AH62" s="244">
        <f t="shared" si="54"/>
        <v>0</v>
      </c>
      <c r="AI62" s="244">
        <f t="shared" si="54"/>
        <v>34400</v>
      </c>
      <c r="AJ62" s="244">
        <f t="shared" si="54"/>
        <v>0</v>
      </c>
      <c r="AK62" s="244">
        <f t="shared" si="54"/>
        <v>0</v>
      </c>
      <c r="AL62" s="244">
        <f t="shared" si="54"/>
        <v>34400</v>
      </c>
      <c r="AM62" s="244">
        <f t="shared" si="54"/>
        <v>0</v>
      </c>
      <c r="AN62" s="244">
        <f t="shared" si="54"/>
        <v>0</v>
      </c>
      <c r="AO62" s="244">
        <f t="shared" si="54"/>
        <v>34400</v>
      </c>
    </row>
    <row r="63" spans="1:41" s="37" customFormat="1" ht="22.5">
      <c r="A63" s="98"/>
      <c r="B63" s="98">
        <v>92605</v>
      </c>
      <c r="C63" s="98"/>
      <c r="D63" s="56" t="s">
        <v>84</v>
      </c>
      <c r="E63" s="127"/>
      <c r="F63" s="126"/>
      <c r="G63" s="126"/>
      <c r="H63" s="165">
        <f>SUM(H64)</f>
        <v>0</v>
      </c>
      <c r="I63" s="165">
        <f t="shared" si="53"/>
        <v>4600</v>
      </c>
      <c r="J63" s="165">
        <f t="shared" si="53"/>
        <v>0</v>
      </c>
      <c r="K63" s="165">
        <f t="shared" si="53"/>
        <v>4600</v>
      </c>
      <c r="L63" s="165">
        <f t="shared" si="53"/>
        <v>0</v>
      </c>
      <c r="M63" s="165">
        <f t="shared" si="53"/>
        <v>0</v>
      </c>
      <c r="N63" s="165">
        <f aca="true" t="shared" si="55" ref="N63:T63">SUM(N64:N65)</f>
        <v>4600</v>
      </c>
      <c r="O63" s="165">
        <f t="shared" si="55"/>
        <v>30800</v>
      </c>
      <c r="P63" s="165">
        <f t="shared" si="55"/>
        <v>0</v>
      </c>
      <c r="Q63" s="165">
        <f t="shared" si="55"/>
        <v>35400</v>
      </c>
      <c r="R63" s="165">
        <f t="shared" si="55"/>
        <v>1500</v>
      </c>
      <c r="S63" s="165">
        <f t="shared" si="55"/>
        <v>2500</v>
      </c>
      <c r="T63" s="165">
        <f t="shared" si="55"/>
        <v>34400</v>
      </c>
      <c r="U63" s="165">
        <f aca="true" t="shared" si="56" ref="U63:Z63">SUM(U64:U65)</f>
        <v>0</v>
      </c>
      <c r="V63" s="165">
        <f t="shared" si="56"/>
        <v>0</v>
      </c>
      <c r="W63" s="165">
        <f t="shared" si="56"/>
        <v>34400</v>
      </c>
      <c r="X63" s="165">
        <f t="shared" si="56"/>
        <v>0</v>
      </c>
      <c r="Y63" s="165">
        <f t="shared" si="56"/>
        <v>0</v>
      </c>
      <c r="Z63" s="165">
        <f t="shared" si="56"/>
        <v>34400</v>
      </c>
      <c r="AA63" s="165">
        <f aca="true" t="shared" si="57" ref="AA63:AF63">SUM(AA64:AA65)</f>
        <v>0</v>
      </c>
      <c r="AB63" s="165">
        <f t="shared" si="57"/>
        <v>0</v>
      </c>
      <c r="AC63" s="165">
        <f t="shared" si="57"/>
        <v>34400</v>
      </c>
      <c r="AD63" s="165">
        <f t="shared" si="57"/>
        <v>0</v>
      </c>
      <c r="AE63" s="165">
        <f t="shared" si="57"/>
        <v>0</v>
      </c>
      <c r="AF63" s="165">
        <f t="shared" si="57"/>
        <v>34400</v>
      </c>
      <c r="AG63" s="165">
        <f aca="true" t="shared" si="58" ref="AG63:AL63">SUM(AG64:AG65)</f>
        <v>0</v>
      </c>
      <c r="AH63" s="165">
        <f t="shared" si="58"/>
        <v>0</v>
      </c>
      <c r="AI63" s="165">
        <f t="shared" si="58"/>
        <v>34400</v>
      </c>
      <c r="AJ63" s="165">
        <f t="shared" si="58"/>
        <v>0</v>
      </c>
      <c r="AK63" s="165">
        <f t="shared" si="58"/>
        <v>0</v>
      </c>
      <c r="AL63" s="165">
        <f t="shared" si="58"/>
        <v>34400</v>
      </c>
      <c r="AM63" s="165">
        <f>SUM(AM64:AM65)</f>
        <v>0</v>
      </c>
      <c r="AN63" s="165">
        <f>SUM(AN64:AN65)</f>
        <v>0</v>
      </c>
      <c r="AO63" s="165">
        <f>SUM(AO64:AO65)</f>
        <v>34400</v>
      </c>
    </row>
    <row r="64" spans="1:41" s="37" customFormat="1" ht="60.75" customHeight="1">
      <c r="A64" s="98"/>
      <c r="B64" s="98"/>
      <c r="C64" s="98">
        <v>2320</v>
      </c>
      <c r="D64" s="56" t="s">
        <v>447</v>
      </c>
      <c r="E64" s="127"/>
      <c r="F64" s="126"/>
      <c r="G64" s="126"/>
      <c r="H64" s="165">
        <v>0</v>
      </c>
      <c r="I64" s="126">
        <f>1500+2500+600</f>
        <v>4600</v>
      </c>
      <c r="J64" s="126"/>
      <c r="K64" s="165">
        <f>SUM(H64+I64-J64)</f>
        <v>4600</v>
      </c>
      <c r="L64" s="126"/>
      <c r="M64" s="126"/>
      <c r="N64" s="165">
        <f>SUM(K64+L64-M64)</f>
        <v>4600</v>
      </c>
      <c r="O64" s="126"/>
      <c r="P64" s="126"/>
      <c r="Q64" s="165">
        <f>SUM(N64+O64-P64)</f>
        <v>4600</v>
      </c>
      <c r="R64" s="126">
        <v>1500</v>
      </c>
      <c r="S64" s="126">
        <v>2500</v>
      </c>
      <c r="T64" s="165">
        <f>SUM(Q64+R64-S64)</f>
        <v>3600</v>
      </c>
      <c r="U64" s="126"/>
      <c r="V64" s="126"/>
      <c r="W64" s="165">
        <f>SUM(T64+U64-V64)</f>
        <v>3600</v>
      </c>
      <c r="X64" s="126"/>
      <c r="Y64" s="126"/>
      <c r="Z64" s="165">
        <f>SUM(W64+X64-Y64)</f>
        <v>3600</v>
      </c>
      <c r="AA64" s="126"/>
      <c r="AB64" s="126"/>
      <c r="AC64" s="165">
        <f>SUM(Z64+AA64-AB64)</f>
        <v>3600</v>
      </c>
      <c r="AD64" s="126"/>
      <c r="AE64" s="126"/>
      <c r="AF64" s="165">
        <f>SUM(AC64+AD64-AE64)</f>
        <v>3600</v>
      </c>
      <c r="AG64" s="126"/>
      <c r="AH64" s="126"/>
      <c r="AI64" s="165">
        <f>SUM(AF64+AG64-AH64)</f>
        <v>3600</v>
      </c>
      <c r="AJ64" s="126"/>
      <c r="AK64" s="126"/>
      <c r="AL64" s="165">
        <f>SUM(AI64+AJ64-AK64)</f>
        <v>3600</v>
      </c>
      <c r="AM64" s="126"/>
      <c r="AN64" s="126"/>
      <c r="AO64" s="165">
        <f>SUM(AL64+AM64-AN64)</f>
        <v>3600</v>
      </c>
    </row>
    <row r="65" spans="1:41" s="37" customFormat="1" ht="47.25" customHeight="1">
      <c r="A65" s="98"/>
      <c r="B65" s="98"/>
      <c r="C65" s="98">
        <v>2440</v>
      </c>
      <c r="D65" s="97" t="s">
        <v>233</v>
      </c>
      <c r="E65" s="127"/>
      <c r="F65" s="126"/>
      <c r="G65" s="126"/>
      <c r="H65" s="165"/>
      <c r="I65" s="126"/>
      <c r="J65" s="126"/>
      <c r="K65" s="165"/>
      <c r="L65" s="126"/>
      <c r="M65" s="126"/>
      <c r="N65" s="165">
        <v>0</v>
      </c>
      <c r="O65" s="126">
        <v>30800</v>
      </c>
      <c r="P65" s="126"/>
      <c r="Q65" s="165">
        <f>SUM(N65+O65-P65)</f>
        <v>30800</v>
      </c>
      <c r="R65" s="126"/>
      <c r="S65" s="126"/>
      <c r="T65" s="165">
        <f>SUM(Q65+R65-S65)</f>
        <v>30800</v>
      </c>
      <c r="U65" s="126"/>
      <c r="V65" s="126"/>
      <c r="W65" s="165">
        <f>SUM(T65+U65-V65)</f>
        <v>30800</v>
      </c>
      <c r="X65" s="126"/>
      <c r="Y65" s="126"/>
      <c r="Z65" s="165">
        <f>SUM(W65+X65-Y65)</f>
        <v>30800</v>
      </c>
      <c r="AA65" s="126"/>
      <c r="AB65" s="126"/>
      <c r="AC65" s="165">
        <f>SUM(Z65+AA65-AB65)</f>
        <v>30800</v>
      </c>
      <c r="AD65" s="126"/>
      <c r="AE65" s="126"/>
      <c r="AF65" s="165">
        <f>SUM(AC65+AD65-AE65)</f>
        <v>30800</v>
      </c>
      <c r="AG65" s="126"/>
      <c r="AH65" s="126"/>
      <c r="AI65" s="165">
        <f>SUM(AF65+AG65-AH65)</f>
        <v>30800</v>
      </c>
      <c r="AJ65" s="126"/>
      <c r="AK65" s="126"/>
      <c r="AL65" s="165">
        <f>SUM(AI65+AJ65-AK65)</f>
        <v>30800</v>
      </c>
      <c r="AM65" s="126"/>
      <c r="AN65" s="126"/>
      <c r="AO65" s="165">
        <f>SUM(AL65+AM65-AN65)</f>
        <v>30800</v>
      </c>
    </row>
    <row r="66" spans="1:41" s="37" customFormat="1" ht="25.5" customHeight="1">
      <c r="A66" s="180"/>
      <c r="B66" s="181"/>
      <c r="C66" s="182"/>
      <c r="D66" s="135" t="s">
        <v>85</v>
      </c>
      <c r="E66" s="141">
        <f>SUM(E55,E36,E23,E20,E15,E12,)</f>
        <v>7376486</v>
      </c>
      <c r="F66" s="141">
        <f>SUM(F55,F36,F23,F20,F15,F12,)</f>
        <v>5650240</v>
      </c>
      <c r="G66" s="141">
        <f>SUM(G55,G36,G23,G20,G15,G12,)</f>
        <v>5507100</v>
      </c>
      <c r="H66" s="141">
        <f aca="true" t="shared" si="59" ref="H66:N66">SUM(H55,H52,H36,H26,H23,H20,H15,H12,H62)</f>
        <v>7519626</v>
      </c>
      <c r="I66" s="141">
        <f t="shared" si="59"/>
        <v>57716</v>
      </c>
      <c r="J66" s="141">
        <f t="shared" si="59"/>
        <v>0</v>
      </c>
      <c r="K66" s="141">
        <f t="shared" si="59"/>
        <v>7577342</v>
      </c>
      <c r="L66" s="141">
        <f t="shared" si="59"/>
        <v>48100</v>
      </c>
      <c r="M66" s="141">
        <f t="shared" si="59"/>
        <v>71300</v>
      </c>
      <c r="N66" s="141">
        <f t="shared" si="59"/>
        <v>7554142</v>
      </c>
      <c r="O66" s="141">
        <f aca="true" t="shared" si="60" ref="O66:T66">SUM(O55,O52,O36,O26,O23,O20,O15,O12,O62)</f>
        <v>468571</v>
      </c>
      <c r="P66" s="141">
        <f t="shared" si="60"/>
        <v>0</v>
      </c>
      <c r="Q66" s="141">
        <f t="shared" si="60"/>
        <v>8022713</v>
      </c>
      <c r="R66" s="141">
        <f t="shared" si="60"/>
        <v>129446</v>
      </c>
      <c r="S66" s="141">
        <f t="shared" si="60"/>
        <v>2500</v>
      </c>
      <c r="T66" s="141">
        <f t="shared" si="60"/>
        <v>8149659</v>
      </c>
      <c r="U66" s="141">
        <f aca="true" t="shared" si="61" ref="U66:Z66">SUM(U55,U52,U36,U26,U23,U20,U15,U12,U62)</f>
        <v>341058</v>
      </c>
      <c r="V66" s="141">
        <f t="shared" si="61"/>
        <v>70000</v>
      </c>
      <c r="W66" s="141">
        <f t="shared" si="61"/>
        <v>8420717</v>
      </c>
      <c r="X66" s="141">
        <f t="shared" si="61"/>
        <v>27951</v>
      </c>
      <c r="Y66" s="141">
        <f t="shared" si="61"/>
        <v>0</v>
      </c>
      <c r="Z66" s="141">
        <f t="shared" si="61"/>
        <v>8448668</v>
      </c>
      <c r="AA66" s="141">
        <f>SUM(AA55,AA52,AA36,AA26,AA23,AA20,AA15,AA12,AA62)</f>
        <v>217834</v>
      </c>
      <c r="AB66" s="141">
        <f>SUM(AB55,AB52,AB36,AB26,AB23,AB20,AB15,AB12,AB62)</f>
        <v>0</v>
      </c>
      <c r="AC66" s="141">
        <f aca="true" t="shared" si="62" ref="AC66:AI66">SUM(AC55,AC52,AC36,AC26,AC23,AC20,AC15,AC12,AC62,AC9)</f>
        <v>8666502</v>
      </c>
      <c r="AD66" s="141">
        <f t="shared" si="62"/>
        <v>1070234</v>
      </c>
      <c r="AE66" s="141">
        <f t="shared" si="62"/>
        <v>0</v>
      </c>
      <c r="AF66" s="141">
        <f t="shared" si="62"/>
        <v>9736736</v>
      </c>
      <c r="AG66" s="141">
        <f t="shared" si="62"/>
        <v>428301</v>
      </c>
      <c r="AH66" s="141">
        <f t="shared" si="62"/>
        <v>0</v>
      </c>
      <c r="AI66" s="141">
        <f t="shared" si="62"/>
        <v>10165037</v>
      </c>
      <c r="AJ66" s="141">
        <f aca="true" t="shared" si="63" ref="AJ66:AO66">SUM(AJ55,AJ52,AJ36,AJ26,AJ23,AJ20,AJ15,AJ12,AJ62,AJ9)</f>
        <v>51493</v>
      </c>
      <c r="AK66" s="141">
        <f t="shared" si="63"/>
        <v>0</v>
      </c>
      <c r="AL66" s="141">
        <f t="shared" si="63"/>
        <v>10216530</v>
      </c>
      <c r="AM66" s="141">
        <f t="shared" si="63"/>
        <v>980</v>
      </c>
      <c r="AN66" s="141">
        <f t="shared" si="63"/>
        <v>0</v>
      </c>
      <c r="AO66" s="141">
        <f t="shared" si="63"/>
        <v>10217510</v>
      </c>
    </row>
    <row r="67" spans="1:3" ht="12.75">
      <c r="A67" s="85"/>
      <c r="B67" s="85"/>
      <c r="C67" s="85"/>
    </row>
    <row r="69" spans="7:41" ht="12.75">
      <c r="G69" s="76">
        <f>SUM(F66-G66)</f>
        <v>143140</v>
      </c>
      <c r="S69" s="76">
        <f>SUM(R66-S66)</f>
        <v>126946</v>
      </c>
      <c r="T69" s="277"/>
      <c r="W69" s="277"/>
      <c r="Z69" s="277"/>
      <c r="AC69" s="277"/>
      <c r="AF69" s="277"/>
      <c r="AI69" s="277"/>
      <c r="AL69" s="277"/>
      <c r="AO69" s="277"/>
    </row>
    <row r="70" spans="5:34" ht="12.75">
      <c r="E70" s="147"/>
      <c r="R70" s="76">
        <v>68101</v>
      </c>
      <c r="AG70" s="76">
        <v>418</v>
      </c>
      <c r="AH70" s="76" t="s">
        <v>669</v>
      </c>
    </row>
    <row r="71" spans="18:34" ht="12.75">
      <c r="R71" s="76">
        <v>8835</v>
      </c>
      <c r="AG71" s="76">
        <v>17000</v>
      </c>
      <c r="AH71" s="76" t="s">
        <v>670</v>
      </c>
    </row>
    <row r="72" spans="18:34" ht="12.75">
      <c r="R72" s="76">
        <v>1500</v>
      </c>
      <c r="S72" s="76">
        <v>2500</v>
      </c>
      <c r="X72" s="76">
        <v>27951</v>
      </c>
      <c r="AG72" s="76">
        <v>250800</v>
      </c>
      <c r="AH72" s="76" t="s">
        <v>671</v>
      </c>
    </row>
    <row r="73" spans="18:34" ht="12.75">
      <c r="R73" s="76">
        <v>51010</v>
      </c>
      <c r="AG73" s="76">
        <v>22489</v>
      </c>
      <c r="AH73" s="76" t="s">
        <v>672</v>
      </c>
    </row>
    <row r="74" spans="18:34" ht="12.75">
      <c r="R74" s="76">
        <f>SUM(R70:R73)</f>
        <v>129446</v>
      </c>
      <c r="S74" s="76">
        <f>SUM(S70:S72)</f>
        <v>2500</v>
      </c>
      <c r="AG74" s="76">
        <v>21577</v>
      </c>
      <c r="AH74" s="76" t="s">
        <v>673</v>
      </c>
    </row>
    <row r="75" spans="33:34" ht="12.75">
      <c r="AG75" s="76">
        <v>17166</v>
      </c>
      <c r="AH75" s="76" t="s">
        <v>675</v>
      </c>
    </row>
    <row r="76" spans="33:34" ht="12.75">
      <c r="AG76" s="76">
        <v>36381</v>
      </c>
      <c r="AH76" s="76" t="s">
        <v>672</v>
      </c>
    </row>
    <row r="77" spans="9:39" ht="12.75">
      <c r="I77" s="138"/>
      <c r="L77" s="138"/>
      <c r="O77" s="138"/>
      <c r="R77" s="138"/>
      <c r="U77" s="138"/>
      <c r="X77" s="138"/>
      <c r="AA77" s="138"/>
      <c r="AD77" s="138"/>
      <c r="AG77" s="138">
        <f>SUM(AG70:AG76)</f>
        <v>365831</v>
      </c>
      <c r="AJ77" s="138"/>
      <c r="AM77" s="138"/>
    </row>
  </sheetData>
  <sheetProtection/>
  <mergeCells count="2">
    <mergeCell ref="A6:D6"/>
    <mergeCell ref="A7:D7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21"/>
  <sheetViews>
    <sheetView zoomScalePageLayoutView="0" workbookViewId="0" topLeftCell="A1">
      <selection activeCell="AA90" sqref="AA90:AB95"/>
    </sheetView>
  </sheetViews>
  <sheetFormatPr defaultColWidth="9.00390625" defaultRowHeight="12.75"/>
  <cols>
    <col min="1" max="1" width="6.00390625" style="9" customWidth="1"/>
    <col min="2" max="2" width="7.25390625" style="9" bestFit="1" customWidth="1"/>
    <col min="3" max="3" width="5.00390625" style="9" bestFit="1" customWidth="1"/>
    <col min="4" max="4" width="26.25390625" style="9" customWidth="1"/>
    <col min="5" max="5" width="11.25390625" style="9" hidden="1" customWidth="1"/>
    <col min="6" max="6" width="11.375" style="0" hidden="1" customWidth="1"/>
    <col min="7" max="7" width="11.625" style="0" hidden="1" customWidth="1"/>
    <col min="8" max="8" width="11.25390625" style="0" hidden="1" customWidth="1"/>
    <col min="9" max="9" width="11.375" style="0" hidden="1" customWidth="1"/>
    <col min="10" max="10" width="11.625" style="0" hidden="1" customWidth="1"/>
    <col min="11" max="11" width="0.12890625" style="0" hidden="1" customWidth="1"/>
    <col min="12" max="12" width="11.375" style="0" hidden="1" customWidth="1"/>
    <col min="13" max="13" width="11.625" style="0" hidden="1" customWidth="1"/>
    <col min="14" max="14" width="11.25390625" style="0" hidden="1" customWidth="1"/>
    <col min="15" max="15" width="11.375" style="0" hidden="1" customWidth="1"/>
    <col min="16" max="16" width="11.625" style="0" hidden="1" customWidth="1"/>
    <col min="17" max="17" width="11.25390625" style="0" hidden="1" customWidth="1"/>
    <col min="18" max="18" width="11.375" style="0" hidden="1" customWidth="1"/>
    <col min="19" max="19" width="11.625" style="0" hidden="1" customWidth="1"/>
    <col min="20" max="20" width="11.75390625" style="0" hidden="1" customWidth="1"/>
    <col min="21" max="21" width="11.625" style="0" hidden="1" customWidth="1"/>
    <col min="22" max="22" width="11.75390625" style="0" hidden="1" customWidth="1"/>
    <col min="23" max="23" width="0.12890625" style="0" hidden="1" customWidth="1"/>
    <col min="24" max="24" width="11.625" style="0" hidden="1" customWidth="1"/>
    <col min="25" max="25" width="11.75390625" style="0" hidden="1" customWidth="1"/>
    <col min="26" max="26" width="11.75390625" style="0" bestFit="1" customWidth="1"/>
    <col min="27" max="27" width="11.625" style="0" customWidth="1"/>
    <col min="28" max="29" width="11.75390625" style="0" customWidth="1"/>
  </cols>
  <sheetData>
    <row r="1" spans="12:29" ht="12.75">
      <c r="L1" s="160" t="s">
        <v>470</v>
      </c>
      <c r="M1" s="86"/>
      <c r="N1" s="86"/>
      <c r="O1" s="160"/>
      <c r="P1" s="86"/>
      <c r="Q1" s="86"/>
      <c r="R1" s="160"/>
      <c r="S1" s="86"/>
      <c r="T1" s="86"/>
      <c r="U1" s="160"/>
      <c r="V1" s="86"/>
      <c r="W1" s="86"/>
      <c r="X1" s="160" t="s">
        <v>642</v>
      </c>
      <c r="Y1" s="86"/>
      <c r="Z1" s="86"/>
      <c r="AA1" s="160" t="s">
        <v>686</v>
      </c>
      <c r="AB1" s="86"/>
      <c r="AC1" s="86"/>
    </row>
    <row r="2" spans="12:29" ht="12.75">
      <c r="L2" s="160" t="s">
        <v>456</v>
      </c>
      <c r="M2" s="86"/>
      <c r="N2" s="86"/>
      <c r="O2" s="160"/>
      <c r="P2" s="86"/>
      <c r="Q2" s="86"/>
      <c r="R2" s="160"/>
      <c r="S2" s="86"/>
      <c r="T2" s="86"/>
      <c r="U2" s="160"/>
      <c r="V2" s="86"/>
      <c r="W2" s="86"/>
      <c r="X2" s="160" t="s">
        <v>604</v>
      </c>
      <c r="Y2" s="86"/>
      <c r="Z2" s="86"/>
      <c r="AA2" s="160" t="s">
        <v>685</v>
      </c>
      <c r="AB2" s="86"/>
      <c r="AC2" s="86"/>
    </row>
    <row r="3" spans="12:29" ht="12.75">
      <c r="L3" s="160" t="s">
        <v>425</v>
      </c>
      <c r="M3" s="86"/>
      <c r="N3" s="86"/>
      <c r="O3" s="160"/>
      <c r="P3" s="86"/>
      <c r="Q3" s="86"/>
      <c r="R3" s="160"/>
      <c r="S3" s="86"/>
      <c r="T3" s="86"/>
      <c r="U3" s="160"/>
      <c r="V3" s="86"/>
      <c r="W3" s="86"/>
      <c r="X3" s="160" t="s">
        <v>600</v>
      </c>
      <c r="Y3" s="86"/>
      <c r="Z3" s="86"/>
      <c r="AA3" s="160" t="s">
        <v>642</v>
      </c>
      <c r="AB3" s="86"/>
      <c r="AC3" s="86"/>
    </row>
    <row r="4" spans="12:29" ht="12.75">
      <c r="L4" s="160" t="s">
        <v>432</v>
      </c>
      <c r="M4" s="86"/>
      <c r="N4" s="86"/>
      <c r="O4" s="160"/>
      <c r="P4" s="86"/>
      <c r="Q4" s="86"/>
      <c r="R4" s="160"/>
      <c r="S4" s="86"/>
      <c r="T4" s="86"/>
      <c r="U4" s="160"/>
      <c r="V4" s="86"/>
      <c r="W4" s="86"/>
      <c r="X4" s="160" t="s">
        <v>605</v>
      </c>
      <c r="Y4" s="86"/>
      <c r="Z4" s="86"/>
      <c r="AA4" s="160" t="s">
        <v>650</v>
      </c>
      <c r="AB4" s="86"/>
      <c r="AC4" s="86"/>
    </row>
    <row r="5" spans="1:9" ht="33" customHeight="1">
      <c r="A5" s="357" t="s">
        <v>398</v>
      </c>
      <c r="B5" s="357"/>
      <c r="C5" s="357"/>
      <c r="D5" s="357"/>
      <c r="E5" s="357"/>
      <c r="F5" s="357"/>
      <c r="G5" s="357"/>
      <c r="H5" s="357"/>
      <c r="I5" s="357"/>
    </row>
    <row r="6" spans="1:29" s="199" customFormat="1" ht="29.25" customHeight="1">
      <c r="A6" s="6" t="s">
        <v>4</v>
      </c>
      <c r="B6" s="6" t="s">
        <v>5</v>
      </c>
      <c r="C6" s="6" t="s">
        <v>6</v>
      </c>
      <c r="D6" s="6" t="s">
        <v>7</v>
      </c>
      <c r="E6" s="24" t="s">
        <v>166</v>
      </c>
      <c r="F6" s="6" t="s">
        <v>268</v>
      </c>
      <c r="G6" s="6" t="s">
        <v>261</v>
      </c>
      <c r="H6" s="163" t="s">
        <v>166</v>
      </c>
      <c r="I6" s="6" t="s">
        <v>268</v>
      </c>
      <c r="J6" s="6" t="s">
        <v>261</v>
      </c>
      <c r="K6" s="163" t="s">
        <v>169</v>
      </c>
      <c r="L6" s="6" t="s">
        <v>268</v>
      </c>
      <c r="M6" s="6" t="s">
        <v>261</v>
      </c>
      <c r="N6" s="163" t="s">
        <v>169</v>
      </c>
      <c r="O6" s="6" t="s">
        <v>268</v>
      </c>
      <c r="P6" s="6" t="s">
        <v>261</v>
      </c>
      <c r="Q6" s="163" t="s">
        <v>169</v>
      </c>
      <c r="R6" s="6" t="s">
        <v>268</v>
      </c>
      <c r="S6" s="6" t="s">
        <v>261</v>
      </c>
      <c r="T6" s="163" t="s">
        <v>169</v>
      </c>
      <c r="U6" s="6" t="s">
        <v>268</v>
      </c>
      <c r="V6" s="6" t="s">
        <v>261</v>
      </c>
      <c r="W6" s="163" t="s">
        <v>169</v>
      </c>
      <c r="X6" s="6" t="s">
        <v>268</v>
      </c>
      <c r="Y6" s="6" t="s">
        <v>261</v>
      </c>
      <c r="Z6" s="163" t="s">
        <v>169</v>
      </c>
      <c r="AA6" s="6" t="s">
        <v>268</v>
      </c>
      <c r="AB6" s="6" t="s">
        <v>261</v>
      </c>
      <c r="AC6" s="163" t="s">
        <v>399</v>
      </c>
    </row>
    <row r="7" spans="1:29" ht="21.75" customHeight="1">
      <c r="A7" s="295" t="s">
        <v>572</v>
      </c>
      <c r="B7" s="296"/>
      <c r="C7" s="296"/>
      <c r="D7" s="296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>
        <f aca="true" t="shared" si="0" ref="T7:AC8">SUM(T8)</f>
        <v>0</v>
      </c>
      <c r="U7" s="297">
        <f t="shared" si="0"/>
        <v>50000</v>
      </c>
      <c r="V7" s="297">
        <f t="shared" si="0"/>
        <v>0</v>
      </c>
      <c r="W7" s="297">
        <f aca="true" t="shared" si="1" ref="W7:AC7">SUM(W8,W12)</f>
        <v>50000</v>
      </c>
      <c r="X7" s="297">
        <f t="shared" si="1"/>
        <v>31500</v>
      </c>
      <c r="Y7" s="297">
        <f t="shared" si="1"/>
        <v>0</v>
      </c>
      <c r="Z7" s="297">
        <f t="shared" si="1"/>
        <v>81500</v>
      </c>
      <c r="AA7" s="297">
        <f t="shared" si="1"/>
        <v>0</v>
      </c>
      <c r="AB7" s="297">
        <f t="shared" si="1"/>
        <v>0</v>
      </c>
      <c r="AC7" s="297">
        <f t="shared" si="1"/>
        <v>81500</v>
      </c>
    </row>
    <row r="8" spans="1:29" s="16" customFormat="1" ht="21.75" customHeight="1">
      <c r="A8" s="49">
        <v>600</v>
      </c>
      <c r="B8" s="6"/>
      <c r="C8" s="18"/>
      <c r="D8" s="31" t="s">
        <v>578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>
        <f t="shared" si="0"/>
        <v>0</v>
      </c>
      <c r="U8" s="25">
        <f t="shared" si="0"/>
        <v>50000</v>
      </c>
      <c r="V8" s="25">
        <f t="shared" si="0"/>
        <v>0</v>
      </c>
      <c r="W8" s="25">
        <f t="shared" si="0"/>
        <v>50000</v>
      </c>
      <c r="X8" s="25">
        <f t="shared" si="0"/>
        <v>0</v>
      </c>
      <c r="Y8" s="25">
        <f t="shared" si="0"/>
        <v>0</v>
      </c>
      <c r="Z8" s="25">
        <f t="shared" si="0"/>
        <v>50000</v>
      </c>
      <c r="AA8" s="25">
        <f t="shared" si="0"/>
        <v>0</v>
      </c>
      <c r="AB8" s="25">
        <f t="shared" si="0"/>
        <v>0</v>
      </c>
      <c r="AC8" s="25">
        <f t="shared" si="0"/>
        <v>50000</v>
      </c>
    </row>
    <row r="9" spans="1:29" ht="21.75" customHeight="1">
      <c r="A9" s="3"/>
      <c r="B9" s="4">
        <v>60013</v>
      </c>
      <c r="C9" s="14"/>
      <c r="D9" s="15" t="s">
        <v>523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>
        <f>SUM(T10)</f>
        <v>0</v>
      </c>
      <c r="U9" s="26">
        <f aca="true" t="shared" si="2" ref="U9:AC10">SUM(U10)</f>
        <v>50000</v>
      </c>
      <c r="V9" s="26">
        <f t="shared" si="2"/>
        <v>0</v>
      </c>
      <c r="W9" s="26">
        <f t="shared" si="2"/>
        <v>50000</v>
      </c>
      <c r="X9" s="26">
        <f t="shared" si="2"/>
        <v>0</v>
      </c>
      <c r="Y9" s="26">
        <f t="shared" si="2"/>
        <v>0</v>
      </c>
      <c r="Z9" s="26">
        <f t="shared" si="2"/>
        <v>50000</v>
      </c>
      <c r="AA9" s="26">
        <f t="shared" si="2"/>
        <v>0</v>
      </c>
      <c r="AB9" s="26">
        <f t="shared" si="2"/>
        <v>0</v>
      </c>
      <c r="AC9" s="26">
        <f t="shared" si="2"/>
        <v>50000</v>
      </c>
    </row>
    <row r="10" spans="1:29" ht="67.5">
      <c r="A10" s="196"/>
      <c r="B10" s="197"/>
      <c r="C10" s="115">
        <v>6300</v>
      </c>
      <c r="D10" s="293" t="s">
        <v>568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>
        <f>SUM(T11)</f>
        <v>0</v>
      </c>
      <c r="U10" s="26">
        <f t="shared" si="2"/>
        <v>50000</v>
      </c>
      <c r="V10" s="26">
        <f t="shared" si="2"/>
        <v>0</v>
      </c>
      <c r="W10" s="26">
        <f t="shared" si="2"/>
        <v>50000</v>
      </c>
      <c r="X10" s="26">
        <f t="shared" si="2"/>
        <v>0</v>
      </c>
      <c r="Y10" s="26">
        <f t="shared" si="2"/>
        <v>0</v>
      </c>
      <c r="Z10" s="26">
        <f t="shared" si="2"/>
        <v>50000</v>
      </c>
      <c r="AA10" s="26">
        <f t="shared" si="2"/>
        <v>0</v>
      </c>
      <c r="AB10" s="26">
        <f t="shared" si="2"/>
        <v>0</v>
      </c>
      <c r="AC10" s="26">
        <f t="shared" si="2"/>
        <v>50000</v>
      </c>
    </row>
    <row r="11" spans="1:29" s="129" customFormat="1" ht="21.75" customHeight="1">
      <c r="A11" s="351" t="s">
        <v>577</v>
      </c>
      <c r="B11" s="352"/>
      <c r="C11" s="352"/>
      <c r="D11" s="353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>
        <v>0</v>
      </c>
      <c r="U11" s="294">
        <v>50000</v>
      </c>
      <c r="V11" s="294"/>
      <c r="W11" s="183">
        <f>T11+U11-V11</f>
        <v>50000</v>
      </c>
      <c r="X11" s="183">
        <v>0</v>
      </c>
      <c r="Y11" s="183">
        <v>0</v>
      </c>
      <c r="Z11" s="183">
        <f>W11+X11-Y11</f>
        <v>50000</v>
      </c>
      <c r="AA11" s="183">
        <v>0</v>
      </c>
      <c r="AB11" s="183">
        <v>0</v>
      </c>
      <c r="AC11" s="183">
        <f>Z11+AA11-AB11</f>
        <v>50000</v>
      </c>
    </row>
    <row r="12" spans="1:29" s="59" customFormat="1" ht="21.75" customHeight="1">
      <c r="A12" s="6">
        <v>851</v>
      </c>
      <c r="B12" s="6"/>
      <c r="C12" s="6"/>
      <c r="D12" s="31" t="s">
        <v>68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>
        <f>SUM(W13)</f>
        <v>0</v>
      </c>
      <c r="X12" s="25">
        <f aca="true" t="shared" si="3" ref="X12:AC14">SUM(X13)</f>
        <v>31500</v>
      </c>
      <c r="Y12" s="25">
        <f t="shared" si="3"/>
        <v>0</v>
      </c>
      <c r="Z12" s="25">
        <f t="shared" si="3"/>
        <v>31500</v>
      </c>
      <c r="AA12" s="25">
        <f t="shared" si="3"/>
        <v>0</v>
      </c>
      <c r="AB12" s="25">
        <f t="shared" si="3"/>
        <v>0</v>
      </c>
      <c r="AC12" s="25">
        <f t="shared" si="3"/>
        <v>31500</v>
      </c>
    </row>
    <row r="13" spans="1:29" s="129" customFormat="1" ht="21.75" customHeight="1">
      <c r="A13" s="115"/>
      <c r="B13" s="115">
        <v>85111</v>
      </c>
      <c r="C13" s="115"/>
      <c r="D13" s="19" t="s">
        <v>620</v>
      </c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119">
        <f>SUM(W14)</f>
        <v>0</v>
      </c>
      <c r="X13" s="119">
        <f t="shared" si="3"/>
        <v>31500</v>
      </c>
      <c r="Y13" s="119">
        <f t="shared" si="3"/>
        <v>0</v>
      </c>
      <c r="Z13" s="119">
        <f t="shared" si="3"/>
        <v>31500</v>
      </c>
      <c r="AA13" s="119">
        <f t="shared" si="3"/>
        <v>0</v>
      </c>
      <c r="AB13" s="119">
        <f t="shared" si="3"/>
        <v>0</v>
      </c>
      <c r="AC13" s="119">
        <f t="shared" si="3"/>
        <v>31500</v>
      </c>
    </row>
    <row r="14" spans="1:29" s="129" customFormat="1" ht="67.5">
      <c r="A14" s="115"/>
      <c r="B14" s="115"/>
      <c r="C14" s="115">
        <v>6300</v>
      </c>
      <c r="D14" s="293" t="s">
        <v>568</v>
      </c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119">
        <f>SUM(W15)</f>
        <v>0</v>
      </c>
      <c r="X14" s="119">
        <f t="shared" si="3"/>
        <v>31500</v>
      </c>
      <c r="Y14" s="119">
        <f t="shared" si="3"/>
        <v>0</v>
      </c>
      <c r="Z14" s="119">
        <f t="shared" si="3"/>
        <v>31500</v>
      </c>
      <c r="AA14" s="119">
        <f t="shared" si="3"/>
        <v>0</v>
      </c>
      <c r="AB14" s="119">
        <f t="shared" si="3"/>
        <v>0</v>
      </c>
      <c r="AC14" s="119">
        <f t="shared" si="3"/>
        <v>31500</v>
      </c>
    </row>
    <row r="15" spans="1:29" s="129" customFormat="1" ht="36" customHeight="1">
      <c r="A15" s="358" t="s">
        <v>623</v>
      </c>
      <c r="B15" s="359"/>
      <c r="C15" s="359"/>
      <c r="D15" s="360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73">
        <v>0</v>
      </c>
      <c r="X15" s="73">
        <f>5000+26500</f>
        <v>31500</v>
      </c>
      <c r="Y15" s="73"/>
      <c r="Z15" s="73">
        <f>W15+X15-Y15</f>
        <v>31500</v>
      </c>
      <c r="AA15" s="73"/>
      <c r="AB15" s="73"/>
      <c r="AC15" s="73">
        <f>Z15+AA15-AB15</f>
        <v>31500</v>
      </c>
    </row>
    <row r="16" spans="1:29" s="129" customFormat="1" ht="21.75" customHeight="1">
      <c r="A16" s="354" t="s">
        <v>573</v>
      </c>
      <c r="B16" s="355"/>
      <c r="C16" s="355"/>
      <c r="D16" s="356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>
        <f aca="true" t="shared" si="4" ref="T16:Z16">SUM(T17,T30,T39,T52,T68,)</f>
        <v>4984247</v>
      </c>
      <c r="U16" s="297">
        <f t="shared" si="4"/>
        <v>10940</v>
      </c>
      <c r="V16" s="297">
        <f t="shared" si="4"/>
        <v>0</v>
      </c>
      <c r="W16" s="297">
        <f t="shared" si="4"/>
        <v>4995187</v>
      </c>
      <c r="X16" s="297">
        <f t="shared" si="4"/>
        <v>13666</v>
      </c>
      <c r="Y16" s="297">
        <f t="shared" si="4"/>
        <v>72389</v>
      </c>
      <c r="Z16" s="297">
        <f t="shared" si="4"/>
        <v>4936464</v>
      </c>
      <c r="AA16" s="297">
        <f>SUM(AA17,AA30,AA39,AA52,AA68,)</f>
        <v>0</v>
      </c>
      <c r="AB16" s="297">
        <f>SUM(AB17,AB30,AB39,AB52,AB68,)</f>
        <v>0</v>
      </c>
      <c r="AC16" s="297">
        <f>SUM(AC17,AC30,AC39,AC52,AC68,)</f>
        <v>4936464</v>
      </c>
    </row>
    <row r="17" spans="1:29" s="9" customFormat="1" ht="21.75" customHeight="1">
      <c r="A17" s="49">
        <v>801</v>
      </c>
      <c r="B17" s="6"/>
      <c r="C17" s="18"/>
      <c r="D17" s="31" t="s">
        <v>128</v>
      </c>
      <c r="E17" s="25">
        <f aca="true" t="shared" si="5" ref="E17:K17">SUM(E18,E21,E24,E27)</f>
        <v>2925242</v>
      </c>
      <c r="F17" s="25">
        <f t="shared" si="5"/>
        <v>0</v>
      </c>
      <c r="G17" s="25">
        <f t="shared" si="5"/>
        <v>0</v>
      </c>
      <c r="H17" s="25">
        <f t="shared" si="5"/>
        <v>2925242</v>
      </c>
      <c r="I17" s="25">
        <f t="shared" si="5"/>
        <v>8060</v>
      </c>
      <c r="J17" s="25">
        <f t="shared" si="5"/>
        <v>0</v>
      </c>
      <c r="K17" s="25">
        <f t="shared" si="5"/>
        <v>2933302</v>
      </c>
      <c r="L17" s="25">
        <f aca="true" t="shared" si="6" ref="L17:Q17">SUM(L18,L21,L24,L27)</f>
        <v>5000</v>
      </c>
      <c r="M17" s="25">
        <f t="shared" si="6"/>
        <v>0</v>
      </c>
      <c r="N17" s="25">
        <f t="shared" si="6"/>
        <v>2938302</v>
      </c>
      <c r="O17" s="25">
        <f t="shared" si="6"/>
        <v>0</v>
      </c>
      <c r="P17" s="25">
        <f t="shared" si="6"/>
        <v>0</v>
      </c>
      <c r="Q17" s="25">
        <f t="shared" si="6"/>
        <v>2938302</v>
      </c>
      <c r="R17" s="25">
        <f aca="true" t="shared" si="7" ref="R17:W17">SUM(R18,R21,R24,R27)</f>
        <v>0</v>
      </c>
      <c r="S17" s="25">
        <f t="shared" si="7"/>
        <v>0</v>
      </c>
      <c r="T17" s="25">
        <f t="shared" si="7"/>
        <v>2938302</v>
      </c>
      <c r="U17" s="25">
        <f t="shared" si="7"/>
        <v>0</v>
      </c>
      <c r="V17" s="25">
        <f t="shared" si="7"/>
        <v>0</v>
      </c>
      <c r="W17" s="25">
        <f t="shared" si="7"/>
        <v>2938302</v>
      </c>
      <c r="X17" s="25">
        <f aca="true" t="shared" si="8" ref="X17:AC17">SUM(X18,X21,X24,X27)</f>
        <v>13666</v>
      </c>
      <c r="Y17" s="25">
        <f t="shared" si="8"/>
        <v>72389</v>
      </c>
      <c r="Z17" s="25">
        <f t="shared" si="8"/>
        <v>2879579</v>
      </c>
      <c r="AA17" s="25">
        <f t="shared" si="8"/>
        <v>0</v>
      </c>
      <c r="AB17" s="25">
        <f t="shared" si="8"/>
        <v>0</v>
      </c>
      <c r="AC17" s="25">
        <f t="shared" si="8"/>
        <v>2879579</v>
      </c>
    </row>
    <row r="18" spans="1:29" s="9" customFormat="1" ht="21.75" customHeight="1">
      <c r="A18" s="3"/>
      <c r="B18" s="4">
        <v>80101</v>
      </c>
      <c r="C18" s="14"/>
      <c r="D18" s="15" t="s">
        <v>66</v>
      </c>
      <c r="E18" s="26">
        <f aca="true" t="shared" si="9" ref="E18:U19">SUM(E19)</f>
        <v>211428</v>
      </c>
      <c r="F18" s="26">
        <f t="shared" si="9"/>
        <v>0</v>
      </c>
      <c r="G18" s="26">
        <f t="shared" si="9"/>
        <v>0</v>
      </c>
      <c r="H18" s="26">
        <f t="shared" si="9"/>
        <v>211428</v>
      </c>
      <c r="I18" s="26">
        <f t="shared" si="9"/>
        <v>0</v>
      </c>
      <c r="J18" s="26">
        <f t="shared" si="9"/>
        <v>0</v>
      </c>
      <c r="K18" s="26">
        <f t="shared" si="9"/>
        <v>211428</v>
      </c>
      <c r="L18" s="26">
        <f t="shared" si="9"/>
        <v>0</v>
      </c>
      <c r="M18" s="26">
        <f t="shared" si="9"/>
        <v>0</v>
      </c>
      <c r="N18" s="26">
        <f t="shared" si="9"/>
        <v>211428</v>
      </c>
      <c r="O18" s="26">
        <f t="shared" si="9"/>
        <v>0</v>
      </c>
      <c r="P18" s="26">
        <f t="shared" si="9"/>
        <v>0</v>
      </c>
      <c r="Q18" s="26">
        <f t="shared" si="9"/>
        <v>211428</v>
      </c>
      <c r="R18" s="26">
        <f t="shared" si="9"/>
        <v>0</v>
      </c>
      <c r="S18" s="26">
        <f t="shared" si="9"/>
        <v>0</v>
      </c>
      <c r="T18" s="26">
        <f t="shared" si="9"/>
        <v>211428</v>
      </c>
      <c r="U18" s="26">
        <f t="shared" si="9"/>
        <v>0</v>
      </c>
      <c r="V18" s="26">
        <f aca="true" t="shared" si="10" ref="U18:AC19">SUM(V19)</f>
        <v>0</v>
      </c>
      <c r="W18" s="26">
        <f t="shared" si="10"/>
        <v>211428</v>
      </c>
      <c r="X18" s="26">
        <f t="shared" si="10"/>
        <v>13666</v>
      </c>
      <c r="Y18" s="26">
        <f t="shared" si="10"/>
        <v>0</v>
      </c>
      <c r="Z18" s="26">
        <f t="shared" si="10"/>
        <v>225094</v>
      </c>
      <c r="AA18" s="26">
        <f t="shared" si="10"/>
        <v>0</v>
      </c>
      <c r="AB18" s="26">
        <f t="shared" si="10"/>
        <v>0</v>
      </c>
      <c r="AC18" s="26">
        <f t="shared" si="10"/>
        <v>225094</v>
      </c>
    </row>
    <row r="19" spans="1:29" s="198" customFormat="1" ht="33.75">
      <c r="A19" s="196"/>
      <c r="B19" s="197"/>
      <c r="C19" s="115">
        <v>2540</v>
      </c>
      <c r="D19" s="19" t="s">
        <v>232</v>
      </c>
      <c r="E19" s="119">
        <f>SUM(E20)</f>
        <v>211428</v>
      </c>
      <c r="F19" s="119">
        <f t="shared" si="9"/>
        <v>0</v>
      </c>
      <c r="G19" s="119">
        <f t="shared" si="9"/>
        <v>0</v>
      </c>
      <c r="H19" s="119">
        <v>211428</v>
      </c>
      <c r="I19" s="119">
        <f t="shared" si="9"/>
        <v>0</v>
      </c>
      <c r="J19" s="119">
        <f t="shared" si="9"/>
        <v>0</v>
      </c>
      <c r="K19" s="119">
        <v>211428</v>
      </c>
      <c r="L19" s="119">
        <f t="shared" si="9"/>
        <v>0</v>
      </c>
      <c r="M19" s="119">
        <f t="shared" si="9"/>
        <v>0</v>
      </c>
      <c r="N19" s="119">
        <v>211428</v>
      </c>
      <c r="O19" s="119">
        <f t="shared" si="9"/>
        <v>0</v>
      </c>
      <c r="P19" s="119">
        <f t="shared" si="9"/>
        <v>0</v>
      </c>
      <c r="Q19" s="119">
        <v>211428</v>
      </c>
      <c r="R19" s="119">
        <f t="shared" si="9"/>
        <v>0</v>
      </c>
      <c r="S19" s="119">
        <f t="shared" si="9"/>
        <v>0</v>
      </c>
      <c r="T19" s="119">
        <v>211428</v>
      </c>
      <c r="U19" s="119">
        <f t="shared" si="10"/>
        <v>0</v>
      </c>
      <c r="V19" s="119">
        <f t="shared" si="10"/>
        <v>0</v>
      </c>
      <c r="W19" s="119">
        <f>SUM(W20)</f>
        <v>211428</v>
      </c>
      <c r="X19" s="119">
        <f t="shared" si="10"/>
        <v>13666</v>
      </c>
      <c r="Y19" s="119">
        <f t="shared" si="10"/>
        <v>0</v>
      </c>
      <c r="Z19" s="119">
        <f t="shared" si="10"/>
        <v>225094</v>
      </c>
      <c r="AA19" s="119">
        <f t="shared" si="10"/>
        <v>0</v>
      </c>
      <c r="AB19" s="119">
        <f t="shared" si="10"/>
        <v>0</v>
      </c>
      <c r="AC19" s="119">
        <f t="shared" si="10"/>
        <v>225094</v>
      </c>
    </row>
    <row r="20" spans="1:29" s="16" customFormat="1" ht="21.75" customHeight="1">
      <c r="A20" s="362" t="s">
        <v>272</v>
      </c>
      <c r="B20" s="362"/>
      <c r="C20" s="362"/>
      <c r="D20" s="362"/>
      <c r="E20" s="202">
        <v>211428</v>
      </c>
      <c r="F20" s="126"/>
      <c r="G20" s="158"/>
      <c r="H20" s="144">
        <f>SUM(E20+F20-G20)</f>
        <v>211428</v>
      </c>
      <c r="I20" s="126"/>
      <c r="J20" s="158"/>
      <c r="K20" s="144">
        <f>SUM(H20+I20-J20)</f>
        <v>211428</v>
      </c>
      <c r="L20" s="126"/>
      <c r="M20" s="158"/>
      <c r="N20" s="144">
        <f>SUM(K20+L20-M20)</f>
        <v>211428</v>
      </c>
      <c r="O20" s="126"/>
      <c r="P20" s="158"/>
      <c r="Q20" s="144">
        <f>SUM(N20+O20-P20)</f>
        <v>211428</v>
      </c>
      <c r="R20" s="126"/>
      <c r="S20" s="158"/>
      <c r="T20" s="144">
        <f>SUM(Q20+R20-S20)</f>
        <v>211428</v>
      </c>
      <c r="U20" s="126"/>
      <c r="V20" s="158"/>
      <c r="W20" s="144">
        <f>SUM(T20+U20-V20)</f>
        <v>211428</v>
      </c>
      <c r="X20" s="126">
        <v>13666</v>
      </c>
      <c r="Y20" s="158"/>
      <c r="Z20" s="144">
        <f>SUM(W20+X20-Y20)</f>
        <v>225094</v>
      </c>
      <c r="AA20" s="126"/>
      <c r="AB20" s="158"/>
      <c r="AC20" s="144">
        <f>SUM(Z20+AA20-AB20)</f>
        <v>225094</v>
      </c>
    </row>
    <row r="21" spans="1:29" s="9" customFormat="1" ht="27.75" customHeight="1">
      <c r="A21" s="49"/>
      <c r="B21" s="10">
        <v>80103</v>
      </c>
      <c r="C21" s="4"/>
      <c r="D21" s="15" t="s">
        <v>466</v>
      </c>
      <c r="E21" s="26">
        <f aca="true" t="shared" si="11" ref="E21:AC21">SUM(E22)</f>
        <v>68080</v>
      </c>
      <c r="F21" s="26">
        <f t="shared" si="11"/>
        <v>0</v>
      </c>
      <c r="G21" s="26">
        <f t="shared" si="11"/>
        <v>0</v>
      </c>
      <c r="H21" s="26">
        <f t="shared" si="11"/>
        <v>68080</v>
      </c>
      <c r="I21" s="26">
        <f t="shared" si="11"/>
        <v>0</v>
      </c>
      <c r="J21" s="26">
        <f t="shared" si="11"/>
        <v>0</v>
      </c>
      <c r="K21" s="26">
        <f t="shared" si="11"/>
        <v>68080</v>
      </c>
      <c r="L21" s="26">
        <f t="shared" si="11"/>
        <v>0</v>
      </c>
      <c r="M21" s="26">
        <f t="shared" si="11"/>
        <v>0</v>
      </c>
      <c r="N21" s="26">
        <f t="shared" si="11"/>
        <v>68080</v>
      </c>
      <c r="O21" s="26">
        <f t="shared" si="11"/>
        <v>0</v>
      </c>
      <c r="P21" s="26">
        <f t="shared" si="11"/>
        <v>0</v>
      </c>
      <c r="Q21" s="26">
        <f t="shared" si="11"/>
        <v>68080</v>
      </c>
      <c r="R21" s="26">
        <f t="shared" si="11"/>
        <v>0</v>
      </c>
      <c r="S21" s="26">
        <f t="shared" si="11"/>
        <v>0</v>
      </c>
      <c r="T21" s="26">
        <f t="shared" si="11"/>
        <v>68080</v>
      </c>
      <c r="U21" s="26">
        <f t="shared" si="11"/>
        <v>0</v>
      </c>
      <c r="V21" s="26">
        <f t="shared" si="11"/>
        <v>0</v>
      </c>
      <c r="W21" s="26">
        <f t="shared" si="11"/>
        <v>68080</v>
      </c>
      <c r="X21" s="26">
        <f t="shared" si="11"/>
        <v>0</v>
      </c>
      <c r="Y21" s="26">
        <f t="shared" si="11"/>
        <v>0</v>
      </c>
      <c r="Z21" s="26">
        <f t="shared" si="11"/>
        <v>68080</v>
      </c>
      <c r="AA21" s="26">
        <f t="shared" si="11"/>
        <v>0</v>
      </c>
      <c r="AB21" s="26">
        <f t="shared" si="11"/>
        <v>0</v>
      </c>
      <c r="AC21" s="26">
        <f t="shared" si="11"/>
        <v>68080</v>
      </c>
    </row>
    <row r="22" spans="1:29" s="37" customFormat="1" ht="33.75">
      <c r="A22" s="115"/>
      <c r="B22" s="115"/>
      <c r="C22" s="115">
        <v>2540</v>
      </c>
      <c r="D22" s="19" t="s">
        <v>232</v>
      </c>
      <c r="E22" s="145">
        <f>E23</f>
        <v>68080</v>
      </c>
      <c r="F22" s="145">
        <f aca="true" t="shared" si="12" ref="F22:AC22">SUM(F23)</f>
        <v>0</v>
      </c>
      <c r="G22" s="145">
        <f t="shared" si="12"/>
        <v>0</v>
      </c>
      <c r="H22" s="145">
        <f t="shared" si="12"/>
        <v>68080</v>
      </c>
      <c r="I22" s="145">
        <f t="shared" si="12"/>
        <v>0</v>
      </c>
      <c r="J22" s="145">
        <f t="shared" si="12"/>
        <v>0</v>
      </c>
      <c r="K22" s="145">
        <f t="shared" si="12"/>
        <v>68080</v>
      </c>
      <c r="L22" s="145">
        <f t="shared" si="12"/>
        <v>0</v>
      </c>
      <c r="M22" s="145">
        <f t="shared" si="12"/>
        <v>0</v>
      </c>
      <c r="N22" s="145">
        <f t="shared" si="12"/>
        <v>68080</v>
      </c>
      <c r="O22" s="145">
        <f t="shared" si="12"/>
        <v>0</v>
      </c>
      <c r="P22" s="145">
        <f t="shared" si="12"/>
        <v>0</v>
      </c>
      <c r="Q22" s="145">
        <f t="shared" si="12"/>
        <v>68080</v>
      </c>
      <c r="R22" s="145">
        <f t="shared" si="12"/>
        <v>0</v>
      </c>
      <c r="S22" s="145">
        <f t="shared" si="12"/>
        <v>0</v>
      </c>
      <c r="T22" s="145">
        <f t="shared" si="12"/>
        <v>68080</v>
      </c>
      <c r="U22" s="145">
        <f t="shared" si="12"/>
        <v>0</v>
      </c>
      <c r="V22" s="145">
        <f t="shared" si="12"/>
        <v>0</v>
      </c>
      <c r="W22" s="145">
        <f t="shared" si="12"/>
        <v>68080</v>
      </c>
      <c r="X22" s="145">
        <f t="shared" si="12"/>
        <v>0</v>
      </c>
      <c r="Y22" s="145">
        <f t="shared" si="12"/>
        <v>0</v>
      </c>
      <c r="Z22" s="145">
        <f t="shared" si="12"/>
        <v>68080</v>
      </c>
      <c r="AA22" s="145">
        <f t="shared" si="12"/>
        <v>0</v>
      </c>
      <c r="AB22" s="145">
        <f t="shared" si="12"/>
        <v>0</v>
      </c>
      <c r="AC22" s="145">
        <f t="shared" si="12"/>
        <v>68080</v>
      </c>
    </row>
    <row r="23" spans="1:29" s="16" customFormat="1" ht="36.75" customHeight="1">
      <c r="A23" s="358" t="s">
        <v>254</v>
      </c>
      <c r="B23" s="359"/>
      <c r="C23" s="359"/>
      <c r="D23" s="360"/>
      <c r="E23" s="203">
        <v>68080</v>
      </c>
      <c r="F23" s="158"/>
      <c r="G23" s="144"/>
      <c r="H23" s="144">
        <f>SUM(E23+F23-G23)</f>
        <v>68080</v>
      </c>
      <c r="I23" s="158"/>
      <c r="J23" s="144"/>
      <c r="K23" s="144">
        <f>SUM(H23+I23-J23)</f>
        <v>68080</v>
      </c>
      <c r="L23" s="158"/>
      <c r="M23" s="144"/>
      <c r="N23" s="144">
        <f>SUM(K23+L23-M23)</f>
        <v>68080</v>
      </c>
      <c r="O23" s="158"/>
      <c r="P23" s="144"/>
      <c r="Q23" s="144">
        <f>SUM(N23+O23-P23)</f>
        <v>68080</v>
      </c>
      <c r="R23" s="158"/>
      <c r="S23" s="144"/>
      <c r="T23" s="144">
        <f>SUM(Q23+R23-S23)</f>
        <v>68080</v>
      </c>
      <c r="U23" s="158"/>
      <c r="V23" s="144"/>
      <c r="W23" s="144">
        <f>SUM(T23+U23-V23)</f>
        <v>68080</v>
      </c>
      <c r="X23" s="158"/>
      <c r="Y23" s="144"/>
      <c r="Z23" s="144">
        <f>SUM(W23+X23-Y23)</f>
        <v>68080</v>
      </c>
      <c r="AA23" s="158"/>
      <c r="AB23" s="144"/>
      <c r="AC23" s="144">
        <f>SUM(Z23+AA23-AB23)</f>
        <v>68080</v>
      </c>
    </row>
    <row r="24" spans="1:29" s="9" customFormat="1" ht="21.75" customHeight="1">
      <c r="A24" s="49"/>
      <c r="B24" s="10">
        <v>80104</v>
      </c>
      <c r="C24" s="4"/>
      <c r="D24" s="15" t="s">
        <v>143</v>
      </c>
      <c r="E24" s="26">
        <f aca="true" t="shared" si="13" ref="E24:U25">SUM(E25)</f>
        <v>2635055</v>
      </c>
      <c r="F24" s="26">
        <f t="shared" si="13"/>
        <v>0</v>
      </c>
      <c r="G24" s="26">
        <f t="shared" si="13"/>
        <v>0</v>
      </c>
      <c r="H24" s="26">
        <f t="shared" si="13"/>
        <v>2635055</v>
      </c>
      <c r="I24" s="26">
        <f t="shared" si="13"/>
        <v>8060</v>
      </c>
      <c r="J24" s="26">
        <f t="shared" si="13"/>
        <v>0</v>
      </c>
      <c r="K24" s="26">
        <f t="shared" si="13"/>
        <v>2643115</v>
      </c>
      <c r="L24" s="26">
        <f t="shared" si="13"/>
        <v>5000</v>
      </c>
      <c r="M24" s="26">
        <f t="shared" si="13"/>
        <v>0</v>
      </c>
      <c r="N24" s="26">
        <f t="shared" si="13"/>
        <v>2648115</v>
      </c>
      <c r="O24" s="26">
        <f t="shared" si="13"/>
        <v>0</v>
      </c>
      <c r="P24" s="26">
        <f t="shared" si="13"/>
        <v>0</v>
      </c>
      <c r="Q24" s="26">
        <f t="shared" si="13"/>
        <v>2648115</v>
      </c>
      <c r="R24" s="26">
        <f t="shared" si="13"/>
        <v>0</v>
      </c>
      <c r="S24" s="26">
        <f t="shared" si="13"/>
        <v>0</v>
      </c>
      <c r="T24" s="26">
        <f t="shared" si="13"/>
        <v>2648115</v>
      </c>
      <c r="U24" s="26">
        <f t="shared" si="13"/>
        <v>0</v>
      </c>
      <c r="V24" s="26">
        <f aca="true" t="shared" si="14" ref="U24:AC25">SUM(V25)</f>
        <v>0</v>
      </c>
      <c r="W24" s="26">
        <f t="shared" si="14"/>
        <v>2648115</v>
      </c>
      <c r="X24" s="26">
        <f t="shared" si="14"/>
        <v>0</v>
      </c>
      <c r="Y24" s="26">
        <f t="shared" si="14"/>
        <v>72389</v>
      </c>
      <c r="Z24" s="26">
        <f t="shared" si="14"/>
        <v>2575726</v>
      </c>
      <c r="AA24" s="26">
        <f t="shared" si="14"/>
        <v>0</v>
      </c>
      <c r="AB24" s="26">
        <f t="shared" si="14"/>
        <v>0</v>
      </c>
      <c r="AC24" s="26">
        <f t="shared" si="14"/>
        <v>2575726</v>
      </c>
    </row>
    <row r="25" spans="1:29" s="37" customFormat="1" ht="22.5">
      <c r="A25" s="134"/>
      <c r="B25" s="104"/>
      <c r="C25" s="74">
        <v>2510</v>
      </c>
      <c r="D25" s="19" t="s">
        <v>144</v>
      </c>
      <c r="E25" s="119">
        <f t="shared" si="13"/>
        <v>2635055</v>
      </c>
      <c r="F25" s="119">
        <f t="shared" si="13"/>
        <v>0</v>
      </c>
      <c r="G25" s="119">
        <f t="shared" si="13"/>
        <v>0</v>
      </c>
      <c r="H25" s="119">
        <f t="shared" si="13"/>
        <v>2635055</v>
      </c>
      <c r="I25" s="119">
        <f t="shared" si="13"/>
        <v>8060</v>
      </c>
      <c r="J25" s="119">
        <f t="shared" si="13"/>
        <v>0</v>
      </c>
      <c r="K25" s="119">
        <f t="shared" si="13"/>
        <v>2643115</v>
      </c>
      <c r="L25" s="119">
        <f t="shared" si="13"/>
        <v>5000</v>
      </c>
      <c r="M25" s="119">
        <f t="shared" si="13"/>
        <v>0</v>
      </c>
      <c r="N25" s="119">
        <f t="shared" si="13"/>
        <v>2648115</v>
      </c>
      <c r="O25" s="119">
        <f t="shared" si="13"/>
        <v>0</v>
      </c>
      <c r="P25" s="119">
        <f t="shared" si="13"/>
        <v>0</v>
      </c>
      <c r="Q25" s="119">
        <f t="shared" si="13"/>
        <v>2648115</v>
      </c>
      <c r="R25" s="119">
        <f t="shared" si="13"/>
        <v>0</v>
      </c>
      <c r="S25" s="119">
        <f t="shared" si="13"/>
        <v>0</v>
      </c>
      <c r="T25" s="119">
        <f t="shared" si="13"/>
        <v>2648115</v>
      </c>
      <c r="U25" s="119">
        <f t="shared" si="14"/>
        <v>0</v>
      </c>
      <c r="V25" s="119">
        <f t="shared" si="14"/>
        <v>0</v>
      </c>
      <c r="W25" s="119">
        <f t="shared" si="14"/>
        <v>2648115</v>
      </c>
      <c r="X25" s="119">
        <f t="shared" si="14"/>
        <v>0</v>
      </c>
      <c r="Y25" s="119">
        <f t="shared" si="14"/>
        <v>72389</v>
      </c>
      <c r="Z25" s="119">
        <f t="shared" si="14"/>
        <v>2575726</v>
      </c>
      <c r="AA25" s="119">
        <f t="shared" si="14"/>
        <v>0</v>
      </c>
      <c r="AB25" s="119">
        <f t="shared" si="14"/>
        <v>0</v>
      </c>
      <c r="AC25" s="119">
        <f t="shared" si="14"/>
        <v>2575726</v>
      </c>
    </row>
    <row r="26" spans="1:29" s="16" customFormat="1" ht="21.75" customHeight="1">
      <c r="A26" s="362" t="s">
        <v>174</v>
      </c>
      <c r="B26" s="362"/>
      <c r="C26" s="362"/>
      <c r="D26" s="362"/>
      <c r="E26" s="183">
        <v>2635055</v>
      </c>
      <c r="F26" s="158"/>
      <c r="G26" s="144"/>
      <c r="H26" s="183">
        <v>2635055</v>
      </c>
      <c r="I26" s="137">
        <v>8060</v>
      </c>
      <c r="J26" s="144"/>
      <c r="K26" s="183">
        <f>SUM(H26+I26-J26)</f>
        <v>2643115</v>
      </c>
      <c r="L26" s="144">
        <v>5000</v>
      </c>
      <c r="M26" s="144"/>
      <c r="N26" s="183">
        <f>SUM(K26+L26-M26)</f>
        <v>2648115</v>
      </c>
      <c r="O26" s="144"/>
      <c r="P26" s="144"/>
      <c r="Q26" s="183">
        <f>SUM(N26+O26-P26)</f>
        <v>2648115</v>
      </c>
      <c r="R26" s="144"/>
      <c r="S26" s="144"/>
      <c r="T26" s="183">
        <f>SUM(Q26+R26-S26)</f>
        <v>2648115</v>
      </c>
      <c r="U26" s="144"/>
      <c r="V26" s="144"/>
      <c r="W26" s="183">
        <f>SUM(T26+U26-V26)</f>
        <v>2648115</v>
      </c>
      <c r="X26" s="144"/>
      <c r="Y26" s="144">
        <v>72389</v>
      </c>
      <c r="Z26" s="183">
        <f>SUM(W26+X26-Y26)</f>
        <v>2575726</v>
      </c>
      <c r="AA26" s="144"/>
      <c r="AB26" s="144"/>
      <c r="AC26" s="183">
        <f>SUM(Z26+AA26-AB26)</f>
        <v>2575726</v>
      </c>
    </row>
    <row r="27" spans="1:29" s="9" customFormat="1" ht="25.5" customHeight="1">
      <c r="A27" s="49"/>
      <c r="B27" s="3">
        <v>80146</v>
      </c>
      <c r="C27" s="4"/>
      <c r="D27" s="42" t="s">
        <v>186</v>
      </c>
      <c r="E27" s="133">
        <f aca="true" t="shared" si="15" ref="E27:U28">SUM(E28)</f>
        <v>10679</v>
      </c>
      <c r="F27" s="133">
        <f t="shared" si="15"/>
        <v>0</v>
      </c>
      <c r="G27" s="133">
        <f t="shared" si="15"/>
        <v>0</v>
      </c>
      <c r="H27" s="133">
        <f t="shared" si="15"/>
        <v>10679</v>
      </c>
      <c r="I27" s="133">
        <f t="shared" si="15"/>
        <v>0</v>
      </c>
      <c r="J27" s="133">
        <f t="shared" si="15"/>
        <v>0</v>
      </c>
      <c r="K27" s="133">
        <f t="shared" si="15"/>
        <v>10679</v>
      </c>
      <c r="L27" s="133">
        <f t="shared" si="15"/>
        <v>0</v>
      </c>
      <c r="M27" s="133">
        <f t="shared" si="15"/>
        <v>0</v>
      </c>
      <c r="N27" s="133">
        <f t="shared" si="15"/>
        <v>10679</v>
      </c>
      <c r="O27" s="133">
        <f t="shared" si="15"/>
        <v>0</v>
      </c>
      <c r="P27" s="133">
        <f t="shared" si="15"/>
        <v>0</v>
      </c>
      <c r="Q27" s="133">
        <f t="shared" si="15"/>
        <v>10679</v>
      </c>
      <c r="R27" s="133">
        <f t="shared" si="15"/>
        <v>0</v>
      </c>
      <c r="S27" s="133">
        <f t="shared" si="15"/>
        <v>0</v>
      </c>
      <c r="T27" s="133">
        <f t="shared" si="15"/>
        <v>10679</v>
      </c>
      <c r="U27" s="133">
        <f t="shared" si="15"/>
        <v>0</v>
      </c>
      <c r="V27" s="133">
        <f aca="true" t="shared" si="16" ref="U27:AC28">SUM(V28)</f>
        <v>0</v>
      </c>
      <c r="W27" s="133">
        <f t="shared" si="16"/>
        <v>10679</v>
      </c>
      <c r="X27" s="133">
        <f t="shared" si="16"/>
        <v>0</v>
      </c>
      <c r="Y27" s="133">
        <f t="shared" si="16"/>
        <v>0</v>
      </c>
      <c r="Z27" s="133">
        <f t="shared" si="16"/>
        <v>10679</v>
      </c>
      <c r="AA27" s="133">
        <f t="shared" si="16"/>
        <v>0</v>
      </c>
      <c r="AB27" s="133">
        <f t="shared" si="16"/>
        <v>0</v>
      </c>
      <c r="AC27" s="133">
        <f t="shared" si="16"/>
        <v>10679</v>
      </c>
    </row>
    <row r="28" spans="1:29" s="37" customFormat="1" ht="22.5">
      <c r="A28" s="134"/>
      <c r="B28" s="104"/>
      <c r="C28" s="74">
        <v>2510</v>
      </c>
      <c r="D28" s="19" t="s">
        <v>144</v>
      </c>
      <c r="E28" s="145">
        <v>10679</v>
      </c>
      <c r="F28" s="145">
        <f t="shared" si="15"/>
        <v>0</v>
      </c>
      <c r="G28" s="145">
        <f t="shared" si="15"/>
        <v>0</v>
      </c>
      <c r="H28" s="145">
        <v>10679</v>
      </c>
      <c r="I28" s="145">
        <f t="shared" si="15"/>
        <v>0</v>
      </c>
      <c r="J28" s="145">
        <f t="shared" si="15"/>
        <v>0</v>
      </c>
      <c r="K28" s="145">
        <v>10679</v>
      </c>
      <c r="L28" s="145">
        <f t="shared" si="15"/>
        <v>0</v>
      </c>
      <c r="M28" s="145">
        <f t="shared" si="15"/>
        <v>0</v>
      </c>
      <c r="N28" s="145">
        <v>10679</v>
      </c>
      <c r="O28" s="145">
        <f t="shared" si="15"/>
        <v>0</v>
      </c>
      <c r="P28" s="145">
        <f t="shared" si="15"/>
        <v>0</v>
      </c>
      <c r="Q28" s="145">
        <v>10679</v>
      </c>
      <c r="R28" s="145">
        <f t="shared" si="15"/>
        <v>0</v>
      </c>
      <c r="S28" s="145">
        <f t="shared" si="15"/>
        <v>0</v>
      </c>
      <c r="T28" s="145">
        <v>10679</v>
      </c>
      <c r="U28" s="145">
        <f t="shared" si="16"/>
        <v>0</v>
      </c>
      <c r="V28" s="145">
        <f t="shared" si="16"/>
        <v>0</v>
      </c>
      <c r="W28" s="145">
        <v>10679</v>
      </c>
      <c r="X28" s="145">
        <f t="shared" si="16"/>
        <v>0</v>
      </c>
      <c r="Y28" s="145">
        <f t="shared" si="16"/>
        <v>0</v>
      </c>
      <c r="Z28" s="145">
        <v>10679</v>
      </c>
      <c r="AA28" s="145">
        <f t="shared" si="16"/>
        <v>0</v>
      </c>
      <c r="AB28" s="145">
        <f t="shared" si="16"/>
        <v>0</v>
      </c>
      <c r="AC28" s="145">
        <v>10679</v>
      </c>
    </row>
    <row r="29" spans="1:29" s="16" customFormat="1" ht="21.75" customHeight="1">
      <c r="A29" s="362" t="s">
        <v>174</v>
      </c>
      <c r="B29" s="362"/>
      <c r="C29" s="362"/>
      <c r="D29" s="362"/>
      <c r="E29" s="202">
        <v>10679</v>
      </c>
      <c r="F29" s="158"/>
      <c r="G29" s="158"/>
      <c r="H29" s="144">
        <f>SUM(E29+F29-G29)</f>
        <v>10679</v>
      </c>
      <c r="I29" s="158"/>
      <c r="J29" s="158"/>
      <c r="K29" s="144">
        <f>SUM(H29+I29-J29)</f>
        <v>10679</v>
      </c>
      <c r="L29" s="158"/>
      <c r="M29" s="158"/>
      <c r="N29" s="144">
        <f>SUM(K29+L29-M29)</f>
        <v>10679</v>
      </c>
      <c r="O29" s="158"/>
      <c r="P29" s="158"/>
      <c r="Q29" s="144">
        <f>SUM(N29+O29-P29)</f>
        <v>10679</v>
      </c>
      <c r="R29" s="158"/>
      <c r="S29" s="158"/>
      <c r="T29" s="144">
        <f>SUM(Q29+R29-S29)</f>
        <v>10679</v>
      </c>
      <c r="U29" s="158"/>
      <c r="V29" s="158"/>
      <c r="W29" s="144">
        <f>SUM(T29+U29-V29)</f>
        <v>10679</v>
      </c>
      <c r="X29" s="158"/>
      <c r="Y29" s="158"/>
      <c r="Z29" s="144">
        <f>SUM(W29+X29-Y29)</f>
        <v>10679</v>
      </c>
      <c r="AA29" s="158"/>
      <c r="AB29" s="158"/>
      <c r="AC29" s="144">
        <f>SUM(Z29+AA29-AB29)</f>
        <v>10679</v>
      </c>
    </row>
    <row r="30" spans="1:29" s="59" customFormat="1" ht="21.75" customHeight="1">
      <c r="A30" s="17">
        <v>851</v>
      </c>
      <c r="B30" s="17"/>
      <c r="C30" s="17"/>
      <c r="D30" s="31" t="s">
        <v>68</v>
      </c>
      <c r="E30" s="215">
        <f aca="true" t="shared" si="17" ref="E30:P30">SUM(E32)</f>
        <v>0</v>
      </c>
      <c r="F30" s="215">
        <f t="shared" si="17"/>
        <v>43850</v>
      </c>
      <c r="G30" s="215">
        <f t="shared" si="17"/>
        <v>0</v>
      </c>
      <c r="H30" s="215">
        <f t="shared" si="17"/>
        <v>43850</v>
      </c>
      <c r="I30" s="215">
        <f t="shared" si="17"/>
        <v>0</v>
      </c>
      <c r="J30" s="215">
        <f t="shared" si="17"/>
        <v>0</v>
      </c>
      <c r="K30" s="215">
        <f t="shared" si="17"/>
        <v>43850</v>
      </c>
      <c r="L30" s="215">
        <f t="shared" si="17"/>
        <v>0</v>
      </c>
      <c r="M30" s="215">
        <f t="shared" si="17"/>
        <v>0</v>
      </c>
      <c r="N30" s="215">
        <f t="shared" si="17"/>
        <v>43850</v>
      </c>
      <c r="O30" s="215">
        <f t="shared" si="17"/>
        <v>0</v>
      </c>
      <c r="P30" s="215">
        <f t="shared" si="17"/>
        <v>0</v>
      </c>
      <c r="Q30" s="215">
        <f aca="true" t="shared" si="18" ref="Q30:V30">SUM(Q31)</f>
        <v>43850</v>
      </c>
      <c r="R30" s="215">
        <f t="shared" si="18"/>
        <v>0</v>
      </c>
      <c r="S30" s="215">
        <f t="shared" si="18"/>
        <v>0</v>
      </c>
      <c r="T30" s="215">
        <f t="shared" si="18"/>
        <v>43850</v>
      </c>
      <c r="U30" s="215">
        <f t="shared" si="18"/>
        <v>10940</v>
      </c>
      <c r="V30" s="215">
        <f t="shared" si="18"/>
        <v>0</v>
      </c>
      <c r="W30" s="215">
        <f aca="true" t="shared" si="19" ref="W30:AC30">SUM(W31,)</f>
        <v>54790</v>
      </c>
      <c r="X30" s="215">
        <f t="shared" si="19"/>
        <v>0</v>
      </c>
      <c r="Y30" s="215">
        <f t="shared" si="19"/>
        <v>0</v>
      </c>
      <c r="Z30" s="215">
        <f t="shared" si="19"/>
        <v>54790</v>
      </c>
      <c r="AA30" s="215">
        <f t="shared" si="19"/>
        <v>0</v>
      </c>
      <c r="AB30" s="215">
        <f t="shared" si="19"/>
        <v>0</v>
      </c>
      <c r="AC30" s="215">
        <f t="shared" si="19"/>
        <v>54790</v>
      </c>
    </row>
    <row r="31" spans="1:29" s="9" customFormat="1" ht="21.75" customHeight="1">
      <c r="A31" s="14"/>
      <c r="B31" s="14">
        <v>85154</v>
      </c>
      <c r="C31" s="14"/>
      <c r="D31" s="15" t="s">
        <v>538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>
        <f>SUM(Q32)</f>
        <v>43850</v>
      </c>
      <c r="R31" s="273">
        <f>SUM(R32)</f>
        <v>0</v>
      </c>
      <c r="S31" s="273">
        <f>SUM(S32)</f>
        <v>0</v>
      </c>
      <c r="T31" s="273">
        <f aca="true" t="shared" si="20" ref="T31:Z31">SUM(T32,T37)</f>
        <v>43850</v>
      </c>
      <c r="U31" s="273">
        <f t="shared" si="20"/>
        <v>10940</v>
      </c>
      <c r="V31" s="273">
        <f t="shared" si="20"/>
        <v>0</v>
      </c>
      <c r="W31" s="273">
        <f t="shared" si="20"/>
        <v>54790</v>
      </c>
      <c r="X31" s="273">
        <f t="shared" si="20"/>
        <v>0</v>
      </c>
      <c r="Y31" s="273">
        <f t="shared" si="20"/>
        <v>0</v>
      </c>
      <c r="Z31" s="273">
        <f t="shared" si="20"/>
        <v>54790</v>
      </c>
      <c r="AA31" s="273">
        <f>SUM(AA32,AA37)</f>
        <v>0</v>
      </c>
      <c r="AB31" s="273">
        <f>SUM(AB32,AB37)</f>
        <v>0</v>
      </c>
      <c r="AC31" s="273">
        <f>SUM(AC32,AC37)</f>
        <v>54790</v>
      </c>
    </row>
    <row r="32" spans="1:29" s="8" customFormat="1" ht="37.5" customHeight="1">
      <c r="A32" s="115"/>
      <c r="B32" s="115"/>
      <c r="C32" s="115">
        <v>2630</v>
      </c>
      <c r="D32" s="19" t="s">
        <v>364</v>
      </c>
      <c r="E32" s="234">
        <f aca="true" t="shared" si="21" ref="E32:K32">SUM(E33:E36)</f>
        <v>0</v>
      </c>
      <c r="F32" s="234">
        <f t="shared" si="21"/>
        <v>43850</v>
      </c>
      <c r="G32" s="234">
        <f t="shared" si="21"/>
        <v>0</v>
      </c>
      <c r="H32" s="234">
        <f t="shared" si="21"/>
        <v>43850</v>
      </c>
      <c r="I32" s="234">
        <f t="shared" si="21"/>
        <v>0</v>
      </c>
      <c r="J32" s="234">
        <f t="shared" si="21"/>
        <v>0</v>
      </c>
      <c r="K32" s="234">
        <f t="shared" si="21"/>
        <v>43850</v>
      </c>
      <c r="L32" s="234">
        <f aca="true" t="shared" si="22" ref="L32:Q32">SUM(L33:L36)</f>
        <v>0</v>
      </c>
      <c r="M32" s="234">
        <f t="shared" si="22"/>
        <v>0</v>
      </c>
      <c r="N32" s="234">
        <f t="shared" si="22"/>
        <v>43850</v>
      </c>
      <c r="O32" s="234">
        <f t="shared" si="22"/>
        <v>0</v>
      </c>
      <c r="P32" s="234">
        <f t="shared" si="22"/>
        <v>0</v>
      </c>
      <c r="Q32" s="234">
        <f t="shared" si="22"/>
        <v>43850</v>
      </c>
      <c r="R32" s="234">
        <f aca="true" t="shared" si="23" ref="R32:W32">SUM(R33:R36)</f>
        <v>0</v>
      </c>
      <c r="S32" s="234">
        <f t="shared" si="23"/>
        <v>0</v>
      </c>
      <c r="T32" s="234">
        <f t="shared" si="23"/>
        <v>43850</v>
      </c>
      <c r="U32" s="234">
        <f t="shared" si="23"/>
        <v>0</v>
      </c>
      <c r="V32" s="234">
        <f t="shared" si="23"/>
        <v>0</v>
      </c>
      <c r="W32" s="234">
        <f t="shared" si="23"/>
        <v>43850</v>
      </c>
      <c r="X32" s="234">
        <f aca="true" t="shared" si="24" ref="X32:AC32">SUM(X33:X36)</f>
        <v>0</v>
      </c>
      <c r="Y32" s="234">
        <f t="shared" si="24"/>
        <v>0</v>
      </c>
      <c r="Z32" s="234">
        <f t="shared" si="24"/>
        <v>43850</v>
      </c>
      <c r="AA32" s="234">
        <f t="shared" si="24"/>
        <v>0</v>
      </c>
      <c r="AB32" s="234">
        <f t="shared" si="24"/>
        <v>0</v>
      </c>
      <c r="AC32" s="234">
        <f t="shared" si="24"/>
        <v>43850</v>
      </c>
    </row>
    <row r="33" spans="1:29" s="221" customFormat="1" ht="21.75" customHeight="1">
      <c r="A33" s="358" t="s">
        <v>365</v>
      </c>
      <c r="B33" s="359"/>
      <c r="C33" s="359"/>
      <c r="D33" s="360"/>
      <c r="E33" s="202">
        <v>0</v>
      </c>
      <c r="F33" s="233">
        <f>27500+7000</f>
        <v>34500</v>
      </c>
      <c r="G33" s="233"/>
      <c r="H33" s="233">
        <f>F33-G33</f>
        <v>34500</v>
      </c>
      <c r="I33" s="233"/>
      <c r="J33" s="233"/>
      <c r="K33" s="233">
        <f>SUM(H33+I33-J33)</f>
        <v>34500</v>
      </c>
      <c r="L33" s="233"/>
      <c r="M33" s="233"/>
      <c r="N33" s="233">
        <f>SUM(K33+L33-M33)</f>
        <v>34500</v>
      </c>
      <c r="O33" s="233"/>
      <c r="P33" s="233"/>
      <c r="Q33" s="233">
        <f>SUM(N33+O33-P33)</f>
        <v>34500</v>
      </c>
      <c r="R33" s="233"/>
      <c r="S33" s="233"/>
      <c r="T33" s="233">
        <f>SUM(Q33+R33-S33)</f>
        <v>34500</v>
      </c>
      <c r="U33" s="233"/>
      <c r="V33" s="233"/>
      <c r="W33" s="233">
        <f>SUM(T33+U33-V33)</f>
        <v>34500</v>
      </c>
      <c r="X33" s="233"/>
      <c r="Y33" s="233"/>
      <c r="Z33" s="233">
        <f>SUM(W33+X33-Y33)</f>
        <v>34500</v>
      </c>
      <c r="AA33" s="233"/>
      <c r="AB33" s="233"/>
      <c r="AC33" s="233">
        <f>SUM(Z33+AA33-AB33)</f>
        <v>34500</v>
      </c>
    </row>
    <row r="34" spans="1:29" s="221" customFormat="1" ht="18.75" customHeight="1">
      <c r="A34" s="358" t="s">
        <v>366</v>
      </c>
      <c r="B34" s="359"/>
      <c r="C34" s="359"/>
      <c r="D34" s="360"/>
      <c r="E34" s="202">
        <v>0</v>
      </c>
      <c r="F34" s="233">
        <v>7350</v>
      </c>
      <c r="G34" s="233"/>
      <c r="H34" s="233">
        <f>F34-G34</f>
        <v>7350</v>
      </c>
      <c r="I34" s="233"/>
      <c r="J34" s="233"/>
      <c r="K34" s="233">
        <f>SUM(H34+I34-J34)</f>
        <v>7350</v>
      </c>
      <c r="L34" s="233"/>
      <c r="M34" s="233"/>
      <c r="N34" s="233">
        <f>SUM(K34+L34-M34)</f>
        <v>7350</v>
      </c>
      <c r="O34" s="233"/>
      <c r="P34" s="233"/>
      <c r="Q34" s="233">
        <f>SUM(N34+O34-P34)</f>
        <v>7350</v>
      </c>
      <c r="R34" s="233"/>
      <c r="S34" s="233"/>
      <c r="T34" s="233">
        <f>SUM(Q34+R34-S34)</f>
        <v>7350</v>
      </c>
      <c r="U34" s="233"/>
      <c r="V34" s="233"/>
      <c r="W34" s="233">
        <f>SUM(T34+U34-V34)</f>
        <v>7350</v>
      </c>
      <c r="X34" s="233"/>
      <c r="Y34" s="233"/>
      <c r="Z34" s="233">
        <f>SUM(W34+X34-Y34)</f>
        <v>7350</v>
      </c>
      <c r="AA34" s="233"/>
      <c r="AB34" s="233"/>
      <c r="AC34" s="233">
        <f>SUM(Z34+AA34-AB34)</f>
        <v>7350</v>
      </c>
    </row>
    <row r="35" spans="1:29" s="221" customFormat="1" ht="27" customHeight="1">
      <c r="A35" s="358" t="s">
        <v>367</v>
      </c>
      <c r="B35" s="359"/>
      <c r="C35" s="359"/>
      <c r="D35" s="360"/>
      <c r="E35" s="202">
        <v>0</v>
      </c>
      <c r="F35" s="233">
        <v>1000</v>
      </c>
      <c r="G35" s="233"/>
      <c r="H35" s="233">
        <f>F35-G35</f>
        <v>1000</v>
      </c>
      <c r="I35" s="233"/>
      <c r="J35" s="233"/>
      <c r="K35" s="233">
        <f>SUM(H35+I35-J35)</f>
        <v>1000</v>
      </c>
      <c r="L35" s="233"/>
      <c r="M35" s="233"/>
      <c r="N35" s="233">
        <f>SUM(K35+L35-M35)</f>
        <v>1000</v>
      </c>
      <c r="O35" s="233"/>
      <c r="P35" s="233"/>
      <c r="Q35" s="233">
        <f>SUM(N35+O35-P35)</f>
        <v>1000</v>
      </c>
      <c r="R35" s="233"/>
      <c r="S35" s="233"/>
      <c r="T35" s="233">
        <f>SUM(Q35+R35-S35)</f>
        <v>1000</v>
      </c>
      <c r="U35" s="233"/>
      <c r="V35" s="233"/>
      <c r="W35" s="233">
        <f>SUM(T35+U35-V35)</f>
        <v>1000</v>
      </c>
      <c r="X35" s="233"/>
      <c r="Y35" s="233"/>
      <c r="Z35" s="233">
        <f>SUM(W35+X35-Y35)</f>
        <v>1000</v>
      </c>
      <c r="AA35" s="233"/>
      <c r="AB35" s="233"/>
      <c r="AC35" s="233">
        <f>SUM(Z35+AA35-AB35)</f>
        <v>1000</v>
      </c>
    </row>
    <row r="36" spans="1:29" s="221" customFormat="1" ht="24" customHeight="1">
      <c r="A36" s="358" t="s">
        <v>570</v>
      </c>
      <c r="B36" s="359"/>
      <c r="C36" s="359"/>
      <c r="D36" s="360"/>
      <c r="E36" s="202">
        <v>0</v>
      </c>
      <c r="F36" s="233">
        <v>1000</v>
      </c>
      <c r="G36" s="233"/>
      <c r="H36" s="233">
        <f>F36-G36</f>
        <v>1000</v>
      </c>
      <c r="I36" s="233"/>
      <c r="J36" s="233"/>
      <c r="K36" s="233">
        <f>SUM(H36+I36-J36)</f>
        <v>1000</v>
      </c>
      <c r="L36" s="233"/>
      <c r="M36" s="233"/>
      <c r="N36" s="233">
        <f>SUM(K36+L36-M36)</f>
        <v>1000</v>
      </c>
      <c r="O36" s="233"/>
      <c r="P36" s="233"/>
      <c r="Q36" s="233">
        <f>SUM(N36+O36-P36)</f>
        <v>1000</v>
      </c>
      <c r="R36" s="233"/>
      <c r="S36" s="233"/>
      <c r="T36" s="233">
        <f>SUM(Q36+R36-S36)</f>
        <v>1000</v>
      </c>
      <c r="U36" s="233"/>
      <c r="V36" s="233"/>
      <c r="W36" s="233">
        <f>SUM(T36+U36-V36)</f>
        <v>1000</v>
      </c>
      <c r="X36" s="233"/>
      <c r="Y36" s="233"/>
      <c r="Z36" s="233">
        <f>SUM(W36+X36-Y36)</f>
        <v>1000</v>
      </c>
      <c r="AA36" s="233"/>
      <c r="AB36" s="233"/>
      <c r="AC36" s="233">
        <f>SUM(Z36+AA36-AB36)</f>
        <v>1000</v>
      </c>
    </row>
    <row r="37" spans="1:29" s="292" customFormat="1" ht="56.25">
      <c r="A37" s="115"/>
      <c r="B37" s="115"/>
      <c r="C37" s="115">
        <v>2710</v>
      </c>
      <c r="D37" s="293" t="s">
        <v>569</v>
      </c>
      <c r="E37" s="290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48">
        <f aca="true" t="shared" si="25" ref="T37:AC37">SUM(T38)</f>
        <v>0</v>
      </c>
      <c r="U37" s="248">
        <f t="shared" si="25"/>
        <v>10940</v>
      </c>
      <c r="V37" s="248">
        <f t="shared" si="25"/>
        <v>0</v>
      </c>
      <c r="W37" s="248">
        <f t="shared" si="25"/>
        <v>10940</v>
      </c>
      <c r="X37" s="248">
        <f t="shared" si="25"/>
        <v>0</v>
      </c>
      <c r="Y37" s="248">
        <f t="shared" si="25"/>
        <v>0</v>
      </c>
      <c r="Z37" s="248">
        <f t="shared" si="25"/>
        <v>10940</v>
      </c>
      <c r="AA37" s="248">
        <f t="shared" si="25"/>
        <v>0</v>
      </c>
      <c r="AB37" s="248">
        <f t="shared" si="25"/>
        <v>0</v>
      </c>
      <c r="AC37" s="248">
        <f t="shared" si="25"/>
        <v>10940</v>
      </c>
    </row>
    <row r="38" spans="1:29" s="221" customFormat="1" ht="24" customHeight="1">
      <c r="A38" s="358" t="s">
        <v>571</v>
      </c>
      <c r="B38" s="359"/>
      <c r="C38" s="359"/>
      <c r="D38" s="360"/>
      <c r="E38" s="202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>
        <v>0</v>
      </c>
      <c r="U38" s="233">
        <v>10940</v>
      </c>
      <c r="V38" s="233"/>
      <c r="W38" s="233">
        <f>T38+U38-V38</f>
        <v>10940</v>
      </c>
      <c r="X38" s="233"/>
      <c r="Y38" s="233"/>
      <c r="Z38" s="233">
        <f>W38+X38-Y38</f>
        <v>10940</v>
      </c>
      <c r="AA38" s="233"/>
      <c r="AB38" s="233"/>
      <c r="AC38" s="233">
        <f>Z38+AA38-AB38</f>
        <v>10940</v>
      </c>
    </row>
    <row r="39" spans="1:29" s="59" customFormat="1" ht="30.75" customHeight="1">
      <c r="A39" s="17">
        <v>854</v>
      </c>
      <c r="B39" s="17"/>
      <c r="C39" s="17"/>
      <c r="D39" s="31" t="s">
        <v>75</v>
      </c>
      <c r="E39" s="215">
        <f aca="true" t="shared" si="26" ref="E39:K39">E46+E49</f>
        <v>228650</v>
      </c>
      <c r="F39" s="215">
        <f t="shared" si="26"/>
        <v>0</v>
      </c>
      <c r="G39" s="215">
        <f t="shared" si="26"/>
        <v>0</v>
      </c>
      <c r="H39" s="215">
        <f t="shared" si="26"/>
        <v>228650</v>
      </c>
      <c r="I39" s="215">
        <f t="shared" si="26"/>
        <v>0</v>
      </c>
      <c r="J39" s="215">
        <f t="shared" si="26"/>
        <v>0</v>
      </c>
      <c r="K39" s="215">
        <f t="shared" si="26"/>
        <v>228650</v>
      </c>
      <c r="L39" s="215">
        <f>L46+L49</f>
        <v>0</v>
      </c>
      <c r="M39" s="215">
        <f>M46+M49</f>
        <v>0</v>
      </c>
      <c r="N39" s="215">
        <f>N46+N49</f>
        <v>228650</v>
      </c>
      <c r="O39" s="215">
        <f>O46+O49</f>
        <v>0</v>
      </c>
      <c r="P39" s="215">
        <f>P46+P49</f>
        <v>0</v>
      </c>
      <c r="Q39" s="215">
        <f aca="true" t="shared" si="27" ref="Q39:W39">Q46+Q49+Q40</f>
        <v>228650</v>
      </c>
      <c r="R39" s="215">
        <f t="shared" si="27"/>
        <v>28905</v>
      </c>
      <c r="S39" s="215">
        <f t="shared" si="27"/>
        <v>0</v>
      </c>
      <c r="T39" s="215">
        <f t="shared" si="27"/>
        <v>257555</v>
      </c>
      <c r="U39" s="215">
        <f t="shared" si="27"/>
        <v>0</v>
      </c>
      <c r="V39" s="215">
        <f t="shared" si="27"/>
        <v>0</v>
      </c>
      <c r="W39" s="215">
        <f t="shared" si="27"/>
        <v>257555</v>
      </c>
      <c r="X39" s="215">
        <f aca="true" t="shared" si="28" ref="X39:AC39">X46+X49+X40</f>
        <v>0</v>
      </c>
      <c r="Y39" s="215">
        <f t="shared" si="28"/>
        <v>0</v>
      </c>
      <c r="Z39" s="215">
        <f t="shared" si="28"/>
        <v>257555</v>
      </c>
      <c r="AA39" s="215">
        <f t="shared" si="28"/>
        <v>0</v>
      </c>
      <c r="AB39" s="215">
        <f t="shared" si="28"/>
        <v>0</v>
      </c>
      <c r="AC39" s="215">
        <f t="shared" si="28"/>
        <v>257555</v>
      </c>
    </row>
    <row r="40" spans="1:29" s="9" customFormat="1" ht="48">
      <c r="A40" s="14"/>
      <c r="B40" s="14">
        <v>85412</v>
      </c>
      <c r="C40" s="14"/>
      <c r="D40" s="15" t="s">
        <v>529</v>
      </c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>
        <f aca="true" t="shared" si="29" ref="Q40:AC40">SUM(Q41)</f>
        <v>0</v>
      </c>
      <c r="R40" s="273">
        <f t="shared" si="29"/>
        <v>28905</v>
      </c>
      <c r="S40" s="273">
        <f t="shared" si="29"/>
        <v>0</v>
      </c>
      <c r="T40" s="273">
        <f t="shared" si="29"/>
        <v>28905</v>
      </c>
      <c r="U40" s="273">
        <f t="shared" si="29"/>
        <v>0</v>
      </c>
      <c r="V40" s="273">
        <f t="shared" si="29"/>
        <v>0</v>
      </c>
      <c r="W40" s="273">
        <f t="shared" si="29"/>
        <v>28905</v>
      </c>
      <c r="X40" s="273">
        <f t="shared" si="29"/>
        <v>0</v>
      </c>
      <c r="Y40" s="273">
        <f t="shared" si="29"/>
        <v>0</v>
      </c>
      <c r="Z40" s="273">
        <f t="shared" si="29"/>
        <v>28905</v>
      </c>
      <c r="AA40" s="273">
        <f t="shared" si="29"/>
        <v>0</v>
      </c>
      <c r="AB40" s="273">
        <f t="shared" si="29"/>
        <v>0</v>
      </c>
      <c r="AC40" s="273">
        <f t="shared" si="29"/>
        <v>28905</v>
      </c>
    </row>
    <row r="41" spans="1:29" s="9" customFormat="1" ht="33.75">
      <c r="A41" s="14"/>
      <c r="B41" s="14"/>
      <c r="C41" s="14">
        <v>2630</v>
      </c>
      <c r="D41" s="19" t="s">
        <v>364</v>
      </c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>
        <f aca="true" t="shared" si="30" ref="Q41:W41">SUM(Q42:Q45)</f>
        <v>0</v>
      </c>
      <c r="R41" s="273">
        <f t="shared" si="30"/>
        <v>28905</v>
      </c>
      <c r="S41" s="273">
        <f t="shared" si="30"/>
        <v>0</v>
      </c>
      <c r="T41" s="273">
        <f t="shared" si="30"/>
        <v>28905</v>
      </c>
      <c r="U41" s="273">
        <f t="shared" si="30"/>
        <v>0</v>
      </c>
      <c r="V41" s="273">
        <f t="shared" si="30"/>
        <v>0</v>
      </c>
      <c r="W41" s="273">
        <f t="shared" si="30"/>
        <v>28905</v>
      </c>
      <c r="X41" s="273">
        <f aca="true" t="shared" si="31" ref="X41:AC41">SUM(X42:X45)</f>
        <v>0</v>
      </c>
      <c r="Y41" s="273">
        <f t="shared" si="31"/>
        <v>0</v>
      </c>
      <c r="Z41" s="273">
        <f t="shared" si="31"/>
        <v>28905</v>
      </c>
      <c r="AA41" s="273">
        <f t="shared" si="31"/>
        <v>0</v>
      </c>
      <c r="AB41" s="273">
        <f t="shared" si="31"/>
        <v>0</v>
      </c>
      <c r="AC41" s="273">
        <f t="shared" si="31"/>
        <v>28905</v>
      </c>
    </row>
    <row r="42" spans="1:29" s="274" customFormat="1" ht="19.5" customHeight="1">
      <c r="A42" s="361" t="s">
        <v>370</v>
      </c>
      <c r="B42" s="361"/>
      <c r="C42" s="361"/>
      <c r="D42" s="361"/>
      <c r="E42" s="361"/>
      <c r="F42" s="361"/>
      <c r="G42" s="361"/>
      <c r="H42" s="202"/>
      <c r="I42" s="202"/>
      <c r="J42" s="202"/>
      <c r="K42" s="202"/>
      <c r="L42" s="202"/>
      <c r="M42" s="202"/>
      <c r="N42" s="202"/>
      <c r="O42" s="202"/>
      <c r="P42" s="202"/>
      <c r="Q42" s="275">
        <v>0</v>
      </c>
      <c r="R42" s="202">
        <v>2400</v>
      </c>
      <c r="S42" s="202"/>
      <c r="T42" s="202">
        <f>SUM(Q42+R42-S42)</f>
        <v>2400</v>
      </c>
      <c r="U42" s="202"/>
      <c r="V42" s="202"/>
      <c r="W42" s="202">
        <f>SUM(T42+U42-V42)</f>
        <v>2400</v>
      </c>
      <c r="X42" s="202"/>
      <c r="Y42" s="202"/>
      <c r="Z42" s="202">
        <f>SUM(W42+X42-Y42)</f>
        <v>2400</v>
      </c>
      <c r="AA42" s="202"/>
      <c r="AB42" s="202"/>
      <c r="AC42" s="202">
        <f>SUM(Z42+AA42-AB42)</f>
        <v>2400</v>
      </c>
    </row>
    <row r="43" spans="1:29" s="274" customFormat="1" ht="18" customHeight="1">
      <c r="A43" s="361" t="s">
        <v>366</v>
      </c>
      <c r="B43" s="361"/>
      <c r="C43" s="361"/>
      <c r="D43" s="361"/>
      <c r="E43" s="275"/>
      <c r="F43" s="275"/>
      <c r="G43" s="275"/>
      <c r="H43" s="202"/>
      <c r="I43" s="202"/>
      <c r="J43" s="202"/>
      <c r="K43" s="202"/>
      <c r="L43" s="202"/>
      <c r="M43" s="202"/>
      <c r="N43" s="202"/>
      <c r="O43" s="202"/>
      <c r="P43" s="202"/>
      <c r="Q43" s="202">
        <v>0</v>
      </c>
      <c r="R43" s="202">
        <v>5700</v>
      </c>
      <c r="S43" s="202"/>
      <c r="T43" s="202">
        <f>SUM(Q43+R43-S43)</f>
        <v>5700</v>
      </c>
      <c r="U43" s="202"/>
      <c r="V43" s="202"/>
      <c r="W43" s="202">
        <f>SUM(T43+U43-V43)</f>
        <v>5700</v>
      </c>
      <c r="X43" s="202"/>
      <c r="Y43" s="202"/>
      <c r="Z43" s="202">
        <f>SUM(W43+X43-Y43)</f>
        <v>5700</v>
      </c>
      <c r="AA43" s="202"/>
      <c r="AB43" s="202"/>
      <c r="AC43" s="202">
        <f>SUM(Z43+AA43-AB43)</f>
        <v>5700</v>
      </c>
    </row>
    <row r="44" spans="1:29" s="274" customFormat="1" ht="45.75" customHeight="1">
      <c r="A44" s="361" t="s">
        <v>530</v>
      </c>
      <c r="B44" s="361"/>
      <c r="C44" s="361"/>
      <c r="D44" s="361"/>
      <c r="E44" s="275"/>
      <c r="F44" s="275"/>
      <c r="G44" s="275"/>
      <c r="H44" s="202"/>
      <c r="I44" s="202"/>
      <c r="J44" s="202"/>
      <c r="K44" s="202"/>
      <c r="L44" s="202"/>
      <c r="M44" s="202"/>
      <c r="N44" s="202"/>
      <c r="O44" s="202"/>
      <c r="P44" s="202"/>
      <c r="Q44" s="202">
        <v>0</v>
      </c>
      <c r="R44" s="202">
        <v>1425</v>
      </c>
      <c r="S44" s="202"/>
      <c r="T44" s="202">
        <f>SUM(Q44+R44-S44)</f>
        <v>1425</v>
      </c>
      <c r="U44" s="202"/>
      <c r="V44" s="202"/>
      <c r="W44" s="202">
        <f>SUM(T44+U44-V44)</f>
        <v>1425</v>
      </c>
      <c r="X44" s="202"/>
      <c r="Y44" s="202"/>
      <c r="Z44" s="202">
        <f>SUM(W44+X44-Y44)</f>
        <v>1425</v>
      </c>
      <c r="AA44" s="202"/>
      <c r="AB44" s="202"/>
      <c r="AC44" s="202">
        <f>SUM(Z44+AA44-AB44)</f>
        <v>1425</v>
      </c>
    </row>
    <row r="45" spans="1:29" s="274" customFormat="1" ht="18.75" customHeight="1">
      <c r="A45" s="361" t="s">
        <v>365</v>
      </c>
      <c r="B45" s="361"/>
      <c r="C45" s="361"/>
      <c r="D45" s="361"/>
      <c r="E45" s="275"/>
      <c r="F45" s="275"/>
      <c r="G45" s="275"/>
      <c r="H45" s="202"/>
      <c r="I45" s="202"/>
      <c r="J45" s="202"/>
      <c r="K45" s="202"/>
      <c r="L45" s="202"/>
      <c r="M45" s="202"/>
      <c r="N45" s="202"/>
      <c r="O45" s="202"/>
      <c r="P45" s="202"/>
      <c r="Q45" s="202">
        <v>0</v>
      </c>
      <c r="R45" s="202">
        <v>19380</v>
      </c>
      <c r="S45" s="202"/>
      <c r="T45" s="202">
        <f>SUM(Q45+R45-S45)</f>
        <v>19380</v>
      </c>
      <c r="U45" s="202"/>
      <c r="V45" s="202"/>
      <c r="W45" s="202">
        <f>SUM(T45+U45-V45)</f>
        <v>19380</v>
      </c>
      <c r="X45" s="202"/>
      <c r="Y45" s="202"/>
      <c r="Z45" s="202">
        <f>SUM(W45+X45-Y45)</f>
        <v>19380</v>
      </c>
      <c r="AA45" s="202"/>
      <c r="AB45" s="202"/>
      <c r="AC45" s="202">
        <f>SUM(Z45+AA45-AB45)</f>
        <v>19380</v>
      </c>
    </row>
    <row r="46" spans="1:29" s="9" customFormat="1" ht="21.75" customHeight="1">
      <c r="A46" s="153"/>
      <c r="B46" s="3">
        <v>85495</v>
      </c>
      <c r="C46" s="3"/>
      <c r="D46" s="15" t="s">
        <v>10</v>
      </c>
      <c r="E46" s="82">
        <f aca="true" t="shared" si="32" ref="E46:U47">SUM(E47)</f>
        <v>200000</v>
      </c>
      <c r="F46" s="82">
        <f t="shared" si="32"/>
        <v>0</v>
      </c>
      <c r="G46" s="82">
        <f t="shared" si="32"/>
        <v>0</v>
      </c>
      <c r="H46" s="82">
        <f t="shared" si="32"/>
        <v>200000</v>
      </c>
      <c r="I46" s="82">
        <f t="shared" si="32"/>
        <v>0</v>
      </c>
      <c r="J46" s="82">
        <f t="shared" si="32"/>
        <v>0</v>
      </c>
      <c r="K46" s="82">
        <f t="shared" si="32"/>
        <v>200000</v>
      </c>
      <c r="L46" s="82">
        <f t="shared" si="32"/>
        <v>0</v>
      </c>
      <c r="M46" s="82">
        <f t="shared" si="32"/>
        <v>0</v>
      </c>
      <c r="N46" s="82">
        <f t="shared" si="32"/>
        <v>200000</v>
      </c>
      <c r="O46" s="82">
        <f t="shared" si="32"/>
        <v>0</v>
      </c>
      <c r="P46" s="82">
        <f t="shared" si="32"/>
        <v>0</v>
      </c>
      <c r="Q46" s="82">
        <f t="shared" si="32"/>
        <v>200000</v>
      </c>
      <c r="R46" s="82">
        <f t="shared" si="32"/>
        <v>0</v>
      </c>
      <c r="S46" s="82">
        <f t="shared" si="32"/>
        <v>0</v>
      </c>
      <c r="T46" s="82">
        <f t="shared" si="32"/>
        <v>200000</v>
      </c>
      <c r="U46" s="82">
        <f t="shared" si="32"/>
        <v>0</v>
      </c>
      <c r="V46" s="82">
        <f aca="true" t="shared" si="33" ref="U46:AC47">SUM(V47)</f>
        <v>0</v>
      </c>
      <c r="W46" s="82">
        <f t="shared" si="33"/>
        <v>200000</v>
      </c>
      <c r="X46" s="82">
        <f t="shared" si="33"/>
        <v>0</v>
      </c>
      <c r="Y46" s="82">
        <f t="shared" si="33"/>
        <v>0</v>
      </c>
      <c r="Z46" s="82">
        <f t="shared" si="33"/>
        <v>200000</v>
      </c>
      <c r="AA46" s="82">
        <f t="shared" si="33"/>
        <v>0</v>
      </c>
      <c r="AB46" s="82">
        <f t="shared" si="33"/>
        <v>0</v>
      </c>
      <c r="AC46" s="82">
        <f t="shared" si="33"/>
        <v>200000</v>
      </c>
    </row>
    <row r="47" spans="1:29" s="37" customFormat="1" ht="60.75" customHeight="1">
      <c r="A47" s="184"/>
      <c r="B47" s="104"/>
      <c r="C47" s="104">
        <v>2320</v>
      </c>
      <c r="D47" s="56" t="s">
        <v>192</v>
      </c>
      <c r="E47" s="195">
        <f t="shared" si="32"/>
        <v>200000</v>
      </c>
      <c r="F47" s="195">
        <f t="shared" si="32"/>
        <v>0</v>
      </c>
      <c r="G47" s="195">
        <f t="shared" si="32"/>
        <v>0</v>
      </c>
      <c r="H47" s="195">
        <f t="shared" si="32"/>
        <v>200000</v>
      </c>
      <c r="I47" s="195">
        <f t="shared" si="32"/>
        <v>0</v>
      </c>
      <c r="J47" s="195">
        <f t="shared" si="32"/>
        <v>0</v>
      </c>
      <c r="K47" s="195">
        <f t="shared" si="32"/>
        <v>200000</v>
      </c>
      <c r="L47" s="195">
        <f t="shared" si="32"/>
        <v>0</v>
      </c>
      <c r="M47" s="195">
        <f t="shared" si="32"/>
        <v>0</v>
      </c>
      <c r="N47" s="195">
        <f t="shared" si="32"/>
        <v>200000</v>
      </c>
      <c r="O47" s="195">
        <f t="shared" si="32"/>
        <v>0</v>
      </c>
      <c r="P47" s="195">
        <f t="shared" si="32"/>
        <v>0</v>
      </c>
      <c r="Q47" s="195">
        <f t="shared" si="32"/>
        <v>200000</v>
      </c>
      <c r="R47" s="195">
        <f t="shared" si="32"/>
        <v>0</v>
      </c>
      <c r="S47" s="195">
        <f t="shared" si="32"/>
        <v>0</v>
      </c>
      <c r="T47" s="195">
        <f t="shared" si="32"/>
        <v>200000</v>
      </c>
      <c r="U47" s="195">
        <f t="shared" si="33"/>
        <v>0</v>
      </c>
      <c r="V47" s="195">
        <f t="shared" si="33"/>
        <v>0</v>
      </c>
      <c r="W47" s="195">
        <f t="shared" si="33"/>
        <v>200000</v>
      </c>
      <c r="X47" s="195">
        <f t="shared" si="33"/>
        <v>0</v>
      </c>
      <c r="Y47" s="195">
        <f t="shared" si="33"/>
        <v>0</v>
      </c>
      <c r="Z47" s="195">
        <f t="shared" si="33"/>
        <v>200000</v>
      </c>
      <c r="AA47" s="195">
        <f t="shared" si="33"/>
        <v>0</v>
      </c>
      <c r="AB47" s="195">
        <f t="shared" si="33"/>
        <v>0</v>
      </c>
      <c r="AC47" s="195">
        <f t="shared" si="33"/>
        <v>200000</v>
      </c>
    </row>
    <row r="48" spans="1:29" s="16" customFormat="1" ht="29.25" customHeight="1">
      <c r="A48" s="368" t="s">
        <v>175</v>
      </c>
      <c r="B48" s="368"/>
      <c r="C48" s="368"/>
      <c r="D48" s="368"/>
      <c r="E48" s="170">
        <v>200000</v>
      </c>
      <c r="F48" s="170"/>
      <c r="G48" s="170"/>
      <c r="H48" s="144">
        <f>SUM(E48+F48-G48)</f>
        <v>200000</v>
      </c>
      <c r="I48" s="170"/>
      <c r="J48" s="170"/>
      <c r="K48" s="144">
        <f>SUM(H48+I48-J48)</f>
        <v>200000</v>
      </c>
      <c r="L48" s="170"/>
      <c r="M48" s="170"/>
      <c r="N48" s="144">
        <f>SUM(K48+L48-M48)</f>
        <v>200000</v>
      </c>
      <c r="O48" s="170"/>
      <c r="P48" s="170"/>
      <c r="Q48" s="144">
        <f>SUM(N48+O48-P48)</f>
        <v>200000</v>
      </c>
      <c r="R48" s="170"/>
      <c r="S48" s="170"/>
      <c r="T48" s="144">
        <f>SUM(Q48+R48-S48)</f>
        <v>200000</v>
      </c>
      <c r="U48" s="170"/>
      <c r="V48" s="170"/>
      <c r="W48" s="144">
        <f>SUM(T48+U48-V48)</f>
        <v>200000</v>
      </c>
      <c r="X48" s="170"/>
      <c r="Y48" s="170"/>
      <c r="Z48" s="144">
        <f>SUM(W48+X48-Y48)</f>
        <v>200000</v>
      </c>
      <c r="AA48" s="170"/>
      <c r="AB48" s="170"/>
      <c r="AC48" s="144">
        <f>SUM(Z48+AA48-AB48)</f>
        <v>200000</v>
      </c>
    </row>
    <row r="49" spans="1:29" s="16" customFormat="1" ht="21.75" customHeight="1">
      <c r="A49" s="153"/>
      <c r="B49" s="3">
        <v>85495</v>
      </c>
      <c r="C49" s="3"/>
      <c r="D49" s="15" t="s">
        <v>10</v>
      </c>
      <c r="E49" s="82">
        <f aca="true" t="shared" si="34" ref="E49:U50">SUM(E50)</f>
        <v>28650</v>
      </c>
      <c r="F49" s="82">
        <f t="shared" si="34"/>
        <v>0</v>
      </c>
      <c r="G49" s="82">
        <f t="shared" si="34"/>
        <v>0</v>
      </c>
      <c r="H49" s="82">
        <f t="shared" si="34"/>
        <v>28650</v>
      </c>
      <c r="I49" s="82">
        <f t="shared" si="34"/>
        <v>0</v>
      </c>
      <c r="J49" s="82">
        <f t="shared" si="34"/>
        <v>0</v>
      </c>
      <c r="K49" s="82">
        <f t="shared" si="34"/>
        <v>28650</v>
      </c>
      <c r="L49" s="82">
        <f t="shared" si="34"/>
        <v>0</v>
      </c>
      <c r="M49" s="82">
        <f t="shared" si="34"/>
        <v>0</v>
      </c>
      <c r="N49" s="82">
        <f t="shared" si="34"/>
        <v>28650</v>
      </c>
      <c r="O49" s="82">
        <f t="shared" si="34"/>
        <v>0</v>
      </c>
      <c r="P49" s="82">
        <f t="shared" si="34"/>
        <v>0</v>
      </c>
      <c r="Q49" s="82">
        <f t="shared" si="34"/>
        <v>28650</v>
      </c>
      <c r="R49" s="82">
        <f t="shared" si="34"/>
        <v>0</v>
      </c>
      <c r="S49" s="82">
        <f t="shared" si="34"/>
        <v>0</v>
      </c>
      <c r="T49" s="82">
        <f t="shared" si="34"/>
        <v>28650</v>
      </c>
      <c r="U49" s="82">
        <f t="shared" si="34"/>
        <v>0</v>
      </c>
      <c r="V49" s="82">
        <f aca="true" t="shared" si="35" ref="U49:AC50">SUM(V50)</f>
        <v>0</v>
      </c>
      <c r="W49" s="82">
        <f t="shared" si="35"/>
        <v>28650</v>
      </c>
      <c r="X49" s="82">
        <f t="shared" si="35"/>
        <v>0</v>
      </c>
      <c r="Y49" s="82">
        <f t="shared" si="35"/>
        <v>0</v>
      </c>
      <c r="Z49" s="82">
        <f t="shared" si="35"/>
        <v>28650</v>
      </c>
      <c r="AA49" s="82">
        <f t="shared" si="35"/>
        <v>0</v>
      </c>
      <c r="AB49" s="82">
        <f t="shared" si="35"/>
        <v>0</v>
      </c>
      <c r="AC49" s="82">
        <f t="shared" si="35"/>
        <v>28650</v>
      </c>
    </row>
    <row r="50" spans="1:29" s="16" customFormat="1" ht="56.25">
      <c r="A50" s="184"/>
      <c r="B50" s="104"/>
      <c r="C50" s="104">
        <v>2320</v>
      </c>
      <c r="D50" s="56" t="s">
        <v>192</v>
      </c>
      <c r="E50" s="195">
        <f t="shared" si="34"/>
        <v>28650</v>
      </c>
      <c r="F50" s="195">
        <f t="shared" si="34"/>
        <v>0</v>
      </c>
      <c r="G50" s="195">
        <f t="shared" si="34"/>
        <v>0</v>
      </c>
      <c r="H50" s="195">
        <f t="shared" si="34"/>
        <v>28650</v>
      </c>
      <c r="I50" s="195">
        <f t="shared" si="34"/>
        <v>0</v>
      </c>
      <c r="J50" s="195">
        <f t="shared" si="34"/>
        <v>0</v>
      </c>
      <c r="K50" s="195">
        <f t="shared" si="34"/>
        <v>28650</v>
      </c>
      <c r="L50" s="195">
        <f t="shared" si="34"/>
        <v>0</v>
      </c>
      <c r="M50" s="195">
        <f t="shared" si="34"/>
        <v>0</v>
      </c>
      <c r="N50" s="195">
        <f t="shared" si="34"/>
        <v>28650</v>
      </c>
      <c r="O50" s="195">
        <f t="shared" si="34"/>
        <v>0</v>
      </c>
      <c r="P50" s="195">
        <f t="shared" si="34"/>
        <v>0</v>
      </c>
      <c r="Q50" s="195">
        <f t="shared" si="34"/>
        <v>28650</v>
      </c>
      <c r="R50" s="195">
        <f t="shared" si="34"/>
        <v>0</v>
      </c>
      <c r="S50" s="195">
        <f t="shared" si="34"/>
        <v>0</v>
      </c>
      <c r="T50" s="195">
        <f t="shared" si="34"/>
        <v>28650</v>
      </c>
      <c r="U50" s="195">
        <f t="shared" si="35"/>
        <v>0</v>
      </c>
      <c r="V50" s="195">
        <f t="shared" si="35"/>
        <v>0</v>
      </c>
      <c r="W50" s="195">
        <f t="shared" si="35"/>
        <v>28650</v>
      </c>
      <c r="X50" s="195">
        <f t="shared" si="35"/>
        <v>0</v>
      </c>
      <c r="Y50" s="195">
        <f t="shared" si="35"/>
        <v>0</v>
      </c>
      <c r="Z50" s="195">
        <f t="shared" si="35"/>
        <v>28650</v>
      </c>
      <c r="AA50" s="195">
        <f t="shared" si="35"/>
        <v>0</v>
      </c>
      <c r="AB50" s="195">
        <f t="shared" si="35"/>
        <v>0</v>
      </c>
      <c r="AC50" s="195">
        <f t="shared" si="35"/>
        <v>28650</v>
      </c>
    </row>
    <row r="51" spans="1:29" s="16" customFormat="1" ht="21.75" customHeight="1">
      <c r="A51" s="368" t="s">
        <v>304</v>
      </c>
      <c r="B51" s="368"/>
      <c r="C51" s="368"/>
      <c r="D51" s="368"/>
      <c r="E51" s="171">
        <v>28650</v>
      </c>
      <c r="F51" s="137"/>
      <c r="G51" s="158"/>
      <c r="H51" s="144">
        <f>SUM(E51+F51-G51)</f>
        <v>28650</v>
      </c>
      <c r="I51" s="137"/>
      <c r="J51" s="158"/>
      <c r="K51" s="144">
        <f>SUM(H51+I51-J51)</f>
        <v>28650</v>
      </c>
      <c r="L51" s="137"/>
      <c r="M51" s="158"/>
      <c r="N51" s="144">
        <f>SUM(K51+L51-M51)</f>
        <v>28650</v>
      </c>
      <c r="O51" s="137"/>
      <c r="P51" s="158"/>
      <c r="Q51" s="144">
        <f>SUM(N51+O51-P51)</f>
        <v>28650</v>
      </c>
      <c r="R51" s="137"/>
      <c r="S51" s="158"/>
      <c r="T51" s="144">
        <f>SUM(Q51+R51-S51)</f>
        <v>28650</v>
      </c>
      <c r="U51" s="137"/>
      <c r="V51" s="158"/>
      <c r="W51" s="144">
        <f>SUM(T51+U51-V51)</f>
        <v>28650</v>
      </c>
      <c r="X51" s="137"/>
      <c r="Y51" s="158"/>
      <c r="Z51" s="144">
        <f>SUM(W51+X51-Y51)</f>
        <v>28650</v>
      </c>
      <c r="AA51" s="137"/>
      <c r="AB51" s="158"/>
      <c r="AC51" s="144">
        <f>SUM(Z51+AA51-AB51)</f>
        <v>28650</v>
      </c>
    </row>
    <row r="52" spans="1:29" s="9" customFormat="1" ht="27.75" customHeight="1">
      <c r="A52" s="49" t="s">
        <v>80</v>
      </c>
      <c r="B52" s="6"/>
      <c r="C52" s="33"/>
      <c r="D52" s="31" t="s">
        <v>160</v>
      </c>
      <c r="E52" s="25">
        <f>SUM(E53,E58,E60,E63)</f>
        <v>1594340</v>
      </c>
      <c r="F52" s="25">
        <f>SUM(F53,F58,F60,F63)</f>
        <v>0</v>
      </c>
      <c r="G52" s="25">
        <f>SUM(G53,G58,G60,G63)</f>
        <v>0</v>
      </c>
      <c r="H52" s="25">
        <f aca="true" t="shared" si="36" ref="H52:N52">SUM(H57,H62,H67,)</f>
        <v>1594340</v>
      </c>
      <c r="I52" s="25">
        <f t="shared" si="36"/>
        <v>6000</v>
      </c>
      <c r="J52" s="25">
        <f t="shared" si="36"/>
        <v>0</v>
      </c>
      <c r="K52" s="25">
        <f t="shared" si="36"/>
        <v>1600340</v>
      </c>
      <c r="L52" s="25">
        <f t="shared" si="36"/>
        <v>0</v>
      </c>
      <c r="M52" s="25">
        <f t="shared" si="36"/>
        <v>0</v>
      </c>
      <c r="N52" s="25">
        <f t="shared" si="36"/>
        <v>1600340</v>
      </c>
      <c r="O52" s="25">
        <f aca="true" t="shared" si="37" ref="O52:T52">SUM(O57,O62,O67,)</f>
        <v>0</v>
      </c>
      <c r="P52" s="25">
        <f t="shared" si="37"/>
        <v>0</v>
      </c>
      <c r="Q52" s="25">
        <f t="shared" si="37"/>
        <v>1600340</v>
      </c>
      <c r="R52" s="25">
        <f t="shared" si="37"/>
        <v>0</v>
      </c>
      <c r="S52" s="25">
        <f t="shared" si="37"/>
        <v>0</v>
      </c>
      <c r="T52" s="25">
        <f t="shared" si="37"/>
        <v>1600340</v>
      </c>
      <c r="U52" s="25">
        <f aca="true" t="shared" si="38" ref="U52:Z52">SUM(U57,U62,U67,)</f>
        <v>0</v>
      </c>
      <c r="V52" s="25">
        <f t="shared" si="38"/>
        <v>0</v>
      </c>
      <c r="W52" s="25">
        <f t="shared" si="38"/>
        <v>1600340</v>
      </c>
      <c r="X52" s="25">
        <f t="shared" si="38"/>
        <v>0</v>
      </c>
      <c r="Y52" s="25">
        <f t="shared" si="38"/>
        <v>0</v>
      </c>
      <c r="Z52" s="25">
        <f t="shared" si="38"/>
        <v>1600340</v>
      </c>
      <c r="AA52" s="25">
        <f>SUM(AA57,AA62,AA67,)</f>
        <v>0</v>
      </c>
      <c r="AB52" s="25">
        <f>SUM(AB57,AB62,AB67,)</f>
        <v>0</v>
      </c>
      <c r="AC52" s="25">
        <f>SUM(AC57,AC62,AC67,)</f>
        <v>1600340</v>
      </c>
    </row>
    <row r="53" spans="1:29" s="9" customFormat="1" ht="22.5" customHeight="1">
      <c r="A53" s="3"/>
      <c r="B53" s="3" t="s">
        <v>161</v>
      </c>
      <c r="C53" s="5"/>
      <c r="D53" s="15" t="s">
        <v>190</v>
      </c>
      <c r="E53" s="26">
        <f aca="true" t="shared" si="39" ref="E53:AC53">SUM(E54)</f>
        <v>387940</v>
      </c>
      <c r="F53" s="26">
        <f t="shared" si="39"/>
        <v>0</v>
      </c>
      <c r="G53" s="26">
        <f t="shared" si="39"/>
        <v>0</v>
      </c>
      <c r="H53" s="26">
        <f t="shared" si="39"/>
        <v>387940</v>
      </c>
      <c r="I53" s="26">
        <f t="shared" si="39"/>
        <v>0</v>
      </c>
      <c r="J53" s="26">
        <f t="shared" si="39"/>
        <v>0</v>
      </c>
      <c r="K53" s="26">
        <f t="shared" si="39"/>
        <v>387940</v>
      </c>
      <c r="L53" s="26">
        <f t="shared" si="39"/>
        <v>0</v>
      </c>
      <c r="M53" s="26">
        <f t="shared" si="39"/>
        <v>0</v>
      </c>
      <c r="N53" s="26">
        <f t="shared" si="39"/>
        <v>387940</v>
      </c>
      <c r="O53" s="26">
        <f t="shared" si="39"/>
        <v>0</v>
      </c>
      <c r="P53" s="26">
        <f t="shared" si="39"/>
        <v>0</v>
      </c>
      <c r="Q53" s="26">
        <f t="shared" si="39"/>
        <v>387940</v>
      </c>
      <c r="R53" s="26">
        <f t="shared" si="39"/>
        <v>0</v>
      </c>
      <c r="S53" s="26">
        <f t="shared" si="39"/>
        <v>0</v>
      </c>
      <c r="T53" s="26">
        <f t="shared" si="39"/>
        <v>387940</v>
      </c>
      <c r="U53" s="26">
        <f t="shared" si="39"/>
        <v>0</v>
      </c>
      <c r="V53" s="26">
        <f t="shared" si="39"/>
        <v>0</v>
      </c>
      <c r="W53" s="26">
        <f t="shared" si="39"/>
        <v>387940</v>
      </c>
      <c r="X53" s="26">
        <f t="shared" si="39"/>
        <v>0</v>
      </c>
      <c r="Y53" s="26">
        <f t="shared" si="39"/>
        <v>0</v>
      </c>
      <c r="Z53" s="26">
        <f t="shared" si="39"/>
        <v>387940</v>
      </c>
      <c r="AA53" s="26">
        <f t="shared" si="39"/>
        <v>0</v>
      </c>
      <c r="AB53" s="26">
        <f t="shared" si="39"/>
        <v>0</v>
      </c>
      <c r="AC53" s="26">
        <f t="shared" si="39"/>
        <v>387940</v>
      </c>
    </row>
    <row r="54" spans="1:29" s="37" customFormat="1" ht="26.25" customHeight="1">
      <c r="A54" s="104"/>
      <c r="B54" s="104"/>
      <c r="C54" s="74">
        <v>2480</v>
      </c>
      <c r="D54" s="19" t="s">
        <v>244</v>
      </c>
      <c r="E54" s="119">
        <v>387940</v>
      </c>
      <c r="F54" s="119">
        <f>SUM(F57)</f>
        <v>0</v>
      </c>
      <c r="G54" s="119">
        <f>SUM(G57)</f>
        <v>0</v>
      </c>
      <c r="H54" s="119">
        <v>387940</v>
      </c>
      <c r="I54" s="119"/>
      <c r="J54" s="119">
        <f>SUM(J57)</f>
        <v>0</v>
      </c>
      <c r="K54" s="119">
        <v>387940</v>
      </c>
      <c r="L54" s="119"/>
      <c r="M54" s="119">
        <f>SUM(M57)</f>
        <v>0</v>
      </c>
      <c r="N54" s="119">
        <v>387940</v>
      </c>
      <c r="O54" s="119"/>
      <c r="P54" s="119">
        <f>SUM(P57)</f>
        <v>0</v>
      </c>
      <c r="Q54" s="119">
        <v>387940</v>
      </c>
      <c r="R54" s="119"/>
      <c r="S54" s="119">
        <f>SUM(S57)</f>
        <v>0</v>
      </c>
      <c r="T54" s="119">
        <v>387940</v>
      </c>
      <c r="U54" s="119"/>
      <c r="V54" s="119">
        <f>SUM(V57)</f>
        <v>0</v>
      </c>
      <c r="W54" s="119">
        <v>387940</v>
      </c>
      <c r="X54" s="119"/>
      <c r="Y54" s="119">
        <f>SUM(Y57)</f>
        <v>0</v>
      </c>
      <c r="Z54" s="119">
        <v>387940</v>
      </c>
      <c r="AA54" s="119"/>
      <c r="AB54" s="119">
        <f>SUM(AB57)</f>
        <v>0</v>
      </c>
      <c r="AC54" s="119">
        <v>387940</v>
      </c>
    </row>
    <row r="55" spans="1:29" s="9" customFormat="1" ht="36">
      <c r="A55" s="3"/>
      <c r="B55" s="3" t="s">
        <v>161</v>
      </c>
      <c r="C55" s="5"/>
      <c r="D55" s="15" t="s">
        <v>281</v>
      </c>
      <c r="E55" s="133"/>
      <c r="F55" s="26"/>
      <c r="G55" s="26"/>
      <c r="H55" s="26">
        <f aca="true" t="shared" si="40" ref="H55:AC55">SUM(H56)</f>
        <v>0</v>
      </c>
      <c r="I55" s="26">
        <f t="shared" si="40"/>
        <v>4000</v>
      </c>
      <c r="J55" s="26">
        <f t="shared" si="40"/>
        <v>0</v>
      </c>
      <c r="K55" s="26">
        <f t="shared" si="40"/>
        <v>4000</v>
      </c>
      <c r="L55" s="26">
        <f t="shared" si="40"/>
        <v>0</v>
      </c>
      <c r="M55" s="26">
        <f t="shared" si="40"/>
        <v>0</v>
      </c>
      <c r="N55" s="26">
        <f t="shared" si="40"/>
        <v>4000</v>
      </c>
      <c r="O55" s="26">
        <f t="shared" si="40"/>
        <v>0</v>
      </c>
      <c r="P55" s="26">
        <f t="shared" si="40"/>
        <v>0</v>
      </c>
      <c r="Q55" s="26">
        <f t="shared" si="40"/>
        <v>4000</v>
      </c>
      <c r="R55" s="26">
        <f t="shared" si="40"/>
        <v>0</v>
      </c>
      <c r="S55" s="26">
        <f t="shared" si="40"/>
        <v>0</v>
      </c>
      <c r="T55" s="26">
        <f t="shared" si="40"/>
        <v>4000</v>
      </c>
      <c r="U55" s="26">
        <f t="shared" si="40"/>
        <v>0</v>
      </c>
      <c r="V55" s="26">
        <f t="shared" si="40"/>
        <v>0</v>
      </c>
      <c r="W55" s="26">
        <f t="shared" si="40"/>
        <v>4000</v>
      </c>
      <c r="X55" s="26">
        <f t="shared" si="40"/>
        <v>0</v>
      </c>
      <c r="Y55" s="26">
        <f t="shared" si="40"/>
        <v>0</v>
      </c>
      <c r="Z55" s="26">
        <f t="shared" si="40"/>
        <v>4000</v>
      </c>
      <c r="AA55" s="26">
        <f t="shared" si="40"/>
        <v>0</v>
      </c>
      <c r="AB55" s="26">
        <f t="shared" si="40"/>
        <v>0</v>
      </c>
      <c r="AC55" s="26">
        <f t="shared" si="40"/>
        <v>4000</v>
      </c>
    </row>
    <row r="56" spans="1:29" s="37" customFormat="1" ht="33.75">
      <c r="A56" s="104"/>
      <c r="B56" s="104"/>
      <c r="C56" s="74">
        <v>2480</v>
      </c>
      <c r="D56" s="19" t="s">
        <v>244</v>
      </c>
      <c r="E56" s="145"/>
      <c r="F56" s="119"/>
      <c r="G56" s="119"/>
      <c r="H56" s="119">
        <v>0</v>
      </c>
      <c r="I56" s="119">
        <v>4000</v>
      </c>
      <c r="J56" s="119"/>
      <c r="K56" s="119">
        <f>SUM(H56+I56-J56)</f>
        <v>4000</v>
      </c>
      <c r="L56" s="119"/>
      <c r="M56" s="119"/>
      <c r="N56" s="119">
        <f>SUM(K56+L56-M56)</f>
        <v>4000</v>
      </c>
      <c r="O56" s="119"/>
      <c r="P56" s="119"/>
      <c r="Q56" s="119">
        <f>SUM(N56+O56-P56)</f>
        <v>4000</v>
      </c>
      <c r="R56" s="119"/>
      <c r="S56" s="119"/>
      <c r="T56" s="119">
        <f>SUM(Q56+R56-S56)</f>
        <v>4000</v>
      </c>
      <c r="U56" s="119"/>
      <c r="V56" s="119"/>
      <c r="W56" s="119">
        <f>SUM(T56+U56-V56)</f>
        <v>4000</v>
      </c>
      <c r="X56" s="119"/>
      <c r="Y56" s="119"/>
      <c r="Z56" s="119">
        <f>SUM(W56+X56-Y56)</f>
        <v>4000</v>
      </c>
      <c r="AA56" s="119"/>
      <c r="AB56" s="119"/>
      <c r="AC56" s="119">
        <f>SUM(Z56+AA56-AB56)</f>
        <v>4000</v>
      </c>
    </row>
    <row r="57" spans="1:29" s="16" customFormat="1" ht="21.75" customHeight="1">
      <c r="A57" s="368" t="s">
        <v>176</v>
      </c>
      <c r="B57" s="369"/>
      <c r="C57" s="369"/>
      <c r="D57" s="369"/>
      <c r="E57" s="171">
        <v>387940</v>
      </c>
      <c r="F57" s="204"/>
      <c r="G57" s="204"/>
      <c r="H57" s="144">
        <f>SUM(E57+F57-G57)</f>
        <v>387940</v>
      </c>
      <c r="I57" s="243">
        <v>4000</v>
      </c>
      <c r="J57" s="204"/>
      <c r="K57" s="144">
        <f>SUM(H57+I57-J57)</f>
        <v>391940</v>
      </c>
      <c r="L57" s="243"/>
      <c r="M57" s="204"/>
      <c r="N57" s="144">
        <f>SUM(K57+L57-M57)</f>
        <v>391940</v>
      </c>
      <c r="O57" s="243"/>
      <c r="P57" s="204"/>
      <c r="Q57" s="144">
        <f>SUM(N57+O57-P57)</f>
        <v>391940</v>
      </c>
      <c r="R57" s="243"/>
      <c r="S57" s="204"/>
      <c r="T57" s="144">
        <f>SUM(Q57+R57-S57)</f>
        <v>391940</v>
      </c>
      <c r="U57" s="243"/>
      <c r="V57" s="204"/>
      <c r="W57" s="144">
        <f>SUM(T57+U57-V57)</f>
        <v>391940</v>
      </c>
      <c r="X57" s="243"/>
      <c r="Y57" s="204"/>
      <c r="Z57" s="144">
        <f>SUM(W57+X57-Y57)</f>
        <v>391940</v>
      </c>
      <c r="AA57" s="243"/>
      <c r="AB57" s="204"/>
      <c r="AC57" s="144">
        <f>SUM(Z57+AA57-AB57)</f>
        <v>391940</v>
      </c>
    </row>
    <row r="58" spans="1:29" s="9" customFormat="1" ht="21.75" customHeight="1">
      <c r="A58" s="3"/>
      <c r="B58" s="3" t="s">
        <v>81</v>
      </c>
      <c r="C58" s="5"/>
      <c r="D58" s="15" t="s">
        <v>82</v>
      </c>
      <c r="E58" s="26">
        <f aca="true" t="shared" si="41" ref="E58:AC58">SUM(E59:E59)</f>
        <v>810480</v>
      </c>
      <c r="F58" s="26">
        <f t="shared" si="41"/>
        <v>0</v>
      </c>
      <c r="G58" s="26">
        <f t="shared" si="41"/>
        <v>0</v>
      </c>
      <c r="H58" s="26">
        <f t="shared" si="41"/>
        <v>810480</v>
      </c>
      <c r="I58" s="26">
        <f t="shared" si="41"/>
        <v>0</v>
      </c>
      <c r="J58" s="26">
        <f t="shared" si="41"/>
        <v>0</v>
      </c>
      <c r="K58" s="26">
        <f t="shared" si="41"/>
        <v>810480</v>
      </c>
      <c r="L58" s="26">
        <f t="shared" si="41"/>
        <v>0</v>
      </c>
      <c r="M58" s="26">
        <f t="shared" si="41"/>
        <v>0</v>
      </c>
      <c r="N58" s="26">
        <f t="shared" si="41"/>
        <v>810480</v>
      </c>
      <c r="O58" s="26">
        <f t="shared" si="41"/>
        <v>0</v>
      </c>
      <c r="P58" s="26">
        <f t="shared" si="41"/>
        <v>0</v>
      </c>
      <c r="Q58" s="26">
        <f t="shared" si="41"/>
        <v>810480</v>
      </c>
      <c r="R58" s="26">
        <f t="shared" si="41"/>
        <v>0</v>
      </c>
      <c r="S58" s="26">
        <f t="shared" si="41"/>
        <v>0</v>
      </c>
      <c r="T58" s="26">
        <f t="shared" si="41"/>
        <v>810480</v>
      </c>
      <c r="U58" s="26">
        <f t="shared" si="41"/>
        <v>0</v>
      </c>
      <c r="V58" s="26">
        <f t="shared" si="41"/>
        <v>0</v>
      </c>
      <c r="W58" s="26">
        <f t="shared" si="41"/>
        <v>810480</v>
      </c>
      <c r="X58" s="26">
        <f t="shared" si="41"/>
        <v>0</v>
      </c>
      <c r="Y58" s="26">
        <f t="shared" si="41"/>
        <v>0</v>
      </c>
      <c r="Z58" s="26">
        <f t="shared" si="41"/>
        <v>810480</v>
      </c>
      <c r="AA58" s="26">
        <f t="shared" si="41"/>
        <v>0</v>
      </c>
      <c r="AB58" s="26">
        <f t="shared" si="41"/>
        <v>0</v>
      </c>
      <c r="AC58" s="26">
        <f t="shared" si="41"/>
        <v>810480</v>
      </c>
    </row>
    <row r="59" spans="1:29" s="37" customFormat="1" ht="21" customHeight="1">
      <c r="A59" s="104"/>
      <c r="B59" s="104"/>
      <c r="C59" s="74">
        <v>2480</v>
      </c>
      <c r="D59" s="19" t="s">
        <v>244</v>
      </c>
      <c r="E59" s="119">
        <v>810480</v>
      </c>
      <c r="F59" s="130"/>
      <c r="G59" s="161"/>
      <c r="H59" s="126">
        <f>SUM(E59+F59-G59)</f>
        <v>810480</v>
      </c>
      <c r="I59" s="130"/>
      <c r="J59" s="161"/>
      <c r="K59" s="126">
        <f>SUM(H59+I59-J59)</f>
        <v>810480</v>
      </c>
      <c r="L59" s="130"/>
      <c r="M59" s="161"/>
      <c r="N59" s="126">
        <f>SUM(K59+L59-M59)</f>
        <v>810480</v>
      </c>
      <c r="O59" s="130"/>
      <c r="P59" s="161"/>
      <c r="Q59" s="126">
        <f>SUM(N59+O59-P59)</f>
        <v>810480</v>
      </c>
      <c r="R59" s="130"/>
      <c r="S59" s="161"/>
      <c r="T59" s="126">
        <f>SUM(Q59+R59-S59)</f>
        <v>810480</v>
      </c>
      <c r="U59" s="130"/>
      <c r="V59" s="161"/>
      <c r="W59" s="126">
        <f>SUM(T59+U59-V59)</f>
        <v>810480</v>
      </c>
      <c r="X59" s="130"/>
      <c r="Y59" s="161"/>
      <c r="Z59" s="126">
        <f>SUM(W59+X59-Y59)</f>
        <v>810480</v>
      </c>
      <c r="AA59" s="130"/>
      <c r="AB59" s="161"/>
      <c r="AC59" s="126">
        <f>SUM(Z59+AA59-AB59)</f>
        <v>810480</v>
      </c>
    </row>
    <row r="60" spans="1:29" s="9" customFormat="1" ht="21.75" customHeight="1">
      <c r="A60" s="3"/>
      <c r="B60" s="3" t="s">
        <v>81</v>
      </c>
      <c r="C60" s="5"/>
      <c r="D60" s="15" t="s">
        <v>245</v>
      </c>
      <c r="E60" s="133">
        <f aca="true" t="shared" si="42" ref="E60:AC60">SUM(E61)</f>
        <v>45000</v>
      </c>
      <c r="F60" s="133">
        <f t="shared" si="42"/>
        <v>0</v>
      </c>
      <c r="G60" s="133">
        <f t="shared" si="42"/>
        <v>0</v>
      </c>
      <c r="H60" s="133">
        <f t="shared" si="42"/>
        <v>45000</v>
      </c>
      <c r="I60" s="133">
        <f t="shared" si="42"/>
        <v>0</v>
      </c>
      <c r="J60" s="133">
        <f t="shared" si="42"/>
        <v>0</v>
      </c>
      <c r="K60" s="133">
        <f t="shared" si="42"/>
        <v>45000</v>
      </c>
      <c r="L60" s="133">
        <f t="shared" si="42"/>
        <v>0</v>
      </c>
      <c r="M60" s="133">
        <f t="shared" si="42"/>
        <v>0</v>
      </c>
      <c r="N60" s="133">
        <f t="shared" si="42"/>
        <v>45000</v>
      </c>
      <c r="O60" s="133">
        <f t="shared" si="42"/>
        <v>0</v>
      </c>
      <c r="P60" s="133">
        <f t="shared" si="42"/>
        <v>0</v>
      </c>
      <c r="Q60" s="133">
        <f t="shared" si="42"/>
        <v>45000</v>
      </c>
      <c r="R60" s="133">
        <f t="shared" si="42"/>
        <v>0</v>
      </c>
      <c r="S60" s="133">
        <f t="shared" si="42"/>
        <v>0</v>
      </c>
      <c r="T60" s="133">
        <f t="shared" si="42"/>
        <v>45000</v>
      </c>
      <c r="U60" s="133">
        <f t="shared" si="42"/>
        <v>0</v>
      </c>
      <c r="V60" s="133">
        <f t="shared" si="42"/>
        <v>0</v>
      </c>
      <c r="W60" s="133">
        <f t="shared" si="42"/>
        <v>45000</v>
      </c>
      <c r="X60" s="133">
        <f t="shared" si="42"/>
        <v>0</v>
      </c>
      <c r="Y60" s="133">
        <f t="shared" si="42"/>
        <v>0</v>
      </c>
      <c r="Z60" s="133">
        <f t="shared" si="42"/>
        <v>45000</v>
      </c>
      <c r="AA60" s="133">
        <f t="shared" si="42"/>
        <v>0</v>
      </c>
      <c r="AB60" s="133">
        <f t="shared" si="42"/>
        <v>0</v>
      </c>
      <c r="AC60" s="133">
        <f t="shared" si="42"/>
        <v>45000</v>
      </c>
    </row>
    <row r="61" spans="1:29" s="37" customFormat="1" ht="25.5" customHeight="1">
      <c r="A61" s="104"/>
      <c r="B61" s="104"/>
      <c r="C61" s="74">
        <v>2480</v>
      </c>
      <c r="D61" s="19" t="s">
        <v>244</v>
      </c>
      <c r="E61" s="145">
        <v>45000</v>
      </c>
      <c r="F61" s="161"/>
      <c r="G61" s="161"/>
      <c r="H61" s="126">
        <f>SUM(E61+F61-G61)</f>
        <v>45000</v>
      </c>
      <c r="I61" s="161"/>
      <c r="J61" s="161"/>
      <c r="K61" s="126">
        <f>SUM(H61+I61-J61)</f>
        <v>45000</v>
      </c>
      <c r="L61" s="161"/>
      <c r="M61" s="161"/>
      <c r="N61" s="126">
        <f>SUM(K61+L61-M61)</f>
        <v>45000</v>
      </c>
      <c r="O61" s="161"/>
      <c r="P61" s="161"/>
      <c r="Q61" s="126">
        <f>SUM(N61+O61-P61)</f>
        <v>45000</v>
      </c>
      <c r="R61" s="161"/>
      <c r="S61" s="161"/>
      <c r="T61" s="126">
        <f>SUM(Q61+R61-S61)</f>
        <v>45000</v>
      </c>
      <c r="U61" s="161"/>
      <c r="V61" s="161"/>
      <c r="W61" s="126">
        <f>SUM(T61+U61-V61)</f>
        <v>45000</v>
      </c>
      <c r="X61" s="161"/>
      <c r="Y61" s="161"/>
      <c r="Z61" s="126">
        <f>SUM(W61+X61-Y61)</f>
        <v>45000</v>
      </c>
      <c r="AA61" s="161"/>
      <c r="AB61" s="161"/>
      <c r="AC61" s="126">
        <f>SUM(Z61+AA61-AB61)</f>
        <v>45000</v>
      </c>
    </row>
    <row r="62" spans="1:29" s="129" customFormat="1" ht="30.75" customHeight="1">
      <c r="A62" s="361" t="s">
        <v>177</v>
      </c>
      <c r="B62" s="367"/>
      <c r="C62" s="367"/>
      <c r="D62" s="367"/>
      <c r="E62" s="171">
        <f>SUM(E58,E60,)</f>
        <v>855480</v>
      </c>
      <c r="F62" s="171">
        <f>SUM(F58,F60,)</f>
        <v>0</v>
      </c>
      <c r="G62" s="171">
        <f>SUM(G58,G60,)</f>
        <v>0</v>
      </c>
      <c r="H62" s="144">
        <f>SUM(E62+F62-G62)</f>
        <v>855480</v>
      </c>
      <c r="I62" s="171">
        <f>SUM(I58,I60,)</f>
        <v>0</v>
      </c>
      <c r="J62" s="171">
        <f>SUM(J58,J60,)</f>
        <v>0</v>
      </c>
      <c r="K62" s="144">
        <f>SUM(H62+I62-J62)</f>
        <v>855480</v>
      </c>
      <c r="L62" s="171">
        <f>SUM(L58,L60,)</f>
        <v>0</v>
      </c>
      <c r="M62" s="171">
        <f>SUM(M58,M60,)</f>
        <v>0</v>
      </c>
      <c r="N62" s="144">
        <f>SUM(K62+L62-M62)</f>
        <v>855480</v>
      </c>
      <c r="O62" s="171">
        <f>SUM(O58,O60,)</f>
        <v>0</v>
      </c>
      <c r="P62" s="171">
        <f>SUM(P58,P60,)</f>
        <v>0</v>
      </c>
      <c r="Q62" s="144">
        <f>SUM(N62+O62-P62)</f>
        <v>855480</v>
      </c>
      <c r="R62" s="171">
        <f>SUM(R58,R60,)</f>
        <v>0</v>
      </c>
      <c r="S62" s="171">
        <f>SUM(S58,S60,)</f>
        <v>0</v>
      </c>
      <c r="T62" s="144">
        <f>SUM(Q62+R62-S62)</f>
        <v>855480</v>
      </c>
      <c r="U62" s="171">
        <f>SUM(U58,U60,)</f>
        <v>0</v>
      </c>
      <c r="V62" s="171">
        <f>SUM(V58,V60,)</f>
        <v>0</v>
      </c>
      <c r="W62" s="144">
        <f>SUM(T62+U62-V62)</f>
        <v>855480</v>
      </c>
      <c r="X62" s="171">
        <f>SUM(X58,X60,)</f>
        <v>0</v>
      </c>
      <c r="Y62" s="171">
        <f>SUM(Y58,Y60,)</f>
        <v>0</v>
      </c>
      <c r="Z62" s="144">
        <f>SUM(W62+X62-Y62)</f>
        <v>855480</v>
      </c>
      <c r="AA62" s="171">
        <f>SUM(AA58,AA60,)</f>
        <v>0</v>
      </c>
      <c r="AB62" s="171">
        <f>SUM(AB58,AB60,)</f>
        <v>0</v>
      </c>
      <c r="AC62" s="144">
        <f>SUM(Z62+AA62-AB62)</f>
        <v>855480</v>
      </c>
    </row>
    <row r="63" spans="1:29" s="9" customFormat="1" ht="18.75" customHeight="1">
      <c r="A63" s="3"/>
      <c r="B63" s="3" t="s">
        <v>163</v>
      </c>
      <c r="C63" s="4"/>
      <c r="D63" s="15" t="s">
        <v>164</v>
      </c>
      <c r="E63" s="26">
        <f aca="true" t="shared" si="43" ref="E63:AC63">E64</f>
        <v>350920</v>
      </c>
      <c r="F63" s="26">
        <f t="shared" si="43"/>
        <v>0</v>
      </c>
      <c r="G63" s="26">
        <f t="shared" si="43"/>
        <v>0</v>
      </c>
      <c r="H63" s="26">
        <f t="shared" si="43"/>
        <v>350920</v>
      </c>
      <c r="I63" s="26">
        <f t="shared" si="43"/>
        <v>0</v>
      </c>
      <c r="J63" s="26">
        <f t="shared" si="43"/>
        <v>0</v>
      </c>
      <c r="K63" s="26">
        <f t="shared" si="43"/>
        <v>350920</v>
      </c>
      <c r="L63" s="26">
        <f t="shared" si="43"/>
        <v>0</v>
      </c>
      <c r="M63" s="26">
        <f t="shared" si="43"/>
        <v>0</v>
      </c>
      <c r="N63" s="26">
        <f t="shared" si="43"/>
        <v>350920</v>
      </c>
      <c r="O63" s="26">
        <f t="shared" si="43"/>
        <v>0</v>
      </c>
      <c r="P63" s="26">
        <f t="shared" si="43"/>
        <v>0</v>
      </c>
      <c r="Q63" s="26">
        <f t="shared" si="43"/>
        <v>350920</v>
      </c>
      <c r="R63" s="26">
        <f t="shared" si="43"/>
        <v>0</v>
      </c>
      <c r="S63" s="26">
        <f t="shared" si="43"/>
        <v>0</v>
      </c>
      <c r="T63" s="26">
        <f t="shared" si="43"/>
        <v>350920</v>
      </c>
      <c r="U63" s="26">
        <f t="shared" si="43"/>
        <v>0</v>
      </c>
      <c r="V63" s="26">
        <f t="shared" si="43"/>
        <v>0</v>
      </c>
      <c r="W63" s="26">
        <f t="shared" si="43"/>
        <v>350920</v>
      </c>
      <c r="X63" s="26">
        <f t="shared" si="43"/>
        <v>0</v>
      </c>
      <c r="Y63" s="26">
        <f t="shared" si="43"/>
        <v>0</v>
      </c>
      <c r="Z63" s="26">
        <f t="shared" si="43"/>
        <v>350920</v>
      </c>
      <c r="AA63" s="26">
        <f t="shared" si="43"/>
        <v>0</v>
      </c>
      <c r="AB63" s="26">
        <f t="shared" si="43"/>
        <v>0</v>
      </c>
      <c r="AC63" s="26">
        <f t="shared" si="43"/>
        <v>350920</v>
      </c>
    </row>
    <row r="64" spans="1:29" s="37" customFormat="1" ht="33.75">
      <c r="A64" s="104"/>
      <c r="B64" s="104"/>
      <c r="C64" s="74">
        <v>2480</v>
      </c>
      <c r="D64" s="19" t="s">
        <v>244</v>
      </c>
      <c r="E64" s="119">
        <v>350920</v>
      </c>
      <c r="F64" s="119">
        <f>SUM(F67)</f>
        <v>0</v>
      </c>
      <c r="G64" s="119">
        <f>SUM(G67)</f>
        <v>0</v>
      </c>
      <c r="H64" s="119">
        <f>SUM(H67)</f>
        <v>350920</v>
      </c>
      <c r="I64" s="119"/>
      <c r="J64" s="119"/>
      <c r="K64" s="119">
        <f>SUM(H64+I64-J64)</f>
        <v>350920</v>
      </c>
      <c r="L64" s="119"/>
      <c r="M64" s="119"/>
      <c r="N64" s="119">
        <f>SUM(K64+L64-M64)</f>
        <v>350920</v>
      </c>
      <c r="O64" s="119"/>
      <c r="P64" s="119"/>
      <c r="Q64" s="119">
        <f>SUM(N64+O64-P64)</f>
        <v>350920</v>
      </c>
      <c r="R64" s="119"/>
      <c r="S64" s="119"/>
      <c r="T64" s="119">
        <f>SUM(Q64+R64-S64)</f>
        <v>350920</v>
      </c>
      <c r="U64" s="119"/>
      <c r="V64" s="119"/>
      <c r="W64" s="119">
        <f>SUM(T64+U64-V64)</f>
        <v>350920</v>
      </c>
      <c r="X64" s="119"/>
      <c r="Y64" s="119"/>
      <c r="Z64" s="119">
        <f>SUM(W64+X64-Y64)</f>
        <v>350920</v>
      </c>
      <c r="AA64" s="119"/>
      <c r="AB64" s="119"/>
      <c r="AC64" s="119">
        <f>SUM(Z64+AA64-AB64)</f>
        <v>350920</v>
      </c>
    </row>
    <row r="65" spans="1:29" s="9" customFormat="1" ht="21" customHeight="1">
      <c r="A65" s="3"/>
      <c r="B65" s="3" t="s">
        <v>163</v>
      </c>
      <c r="C65" s="4"/>
      <c r="D65" s="15" t="s">
        <v>280</v>
      </c>
      <c r="E65" s="26"/>
      <c r="F65" s="26"/>
      <c r="G65" s="26"/>
      <c r="H65" s="26">
        <f aca="true" t="shared" si="44" ref="H65:AC65">SUM(H66)</f>
        <v>0</v>
      </c>
      <c r="I65" s="26">
        <f t="shared" si="44"/>
        <v>2000</v>
      </c>
      <c r="J65" s="26">
        <f t="shared" si="44"/>
        <v>0</v>
      </c>
      <c r="K65" s="26">
        <f t="shared" si="44"/>
        <v>2000</v>
      </c>
      <c r="L65" s="26">
        <f t="shared" si="44"/>
        <v>0</v>
      </c>
      <c r="M65" s="26">
        <f t="shared" si="44"/>
        <v>0</v>
      </c>
      <c r="N65" s="26">
        <f t="shared" si="44"/>
        <v>2000</v>
      </c>
      <c r="O65" s="26">
        <f t="shared" si="44"/>
        <v>0</v>
      </c>
      <c r="P65" s="26">
        <f t="shared" si="44"/>
        <v>0</v>
      </c>
      <c r="Q65" s="26">
        <f t="shared" si="44"/>
        <v>2000</v>
      </c>
      <c r="R65" s="26">
        <f t="shared" si="44"/>
        <v>0</v>
      </c>
      <c r="S65" s="26">
        <f t="shared" si="44"/>
        <v>0</v>
      </c>
      <c r="T65" s="26">
        <f t="shared" si="44"/>
        <v>2000</v>
      </c>
      <c r="U65" s="26">
        <f t="shared" si="44"/>
        <v>0</v>
      </c>
      <c r="V65" s="26">
        <f t="shared" si="44"/>
        <v>0</v>
      </c>
      <c r="W65" s="26">
        <f t="shared" si="44"/>
        <v>2000</v>
      </c>
      <c r="X65" s="26">
        <f t="shared" si="44"/>
        <v>0</v>
      </c>
      <c r="Y65" s="26">
        <f t="shared" si="44"/>
        <v>0</v>
      </c>
      <c r="Z65" s="26">
        <f t="shared" si="44"/>
        <v>2000</v>
      </c>
      <c r="AA65" s="26">
        <f t="shared" si="44"/>
        <v>0</v>
      </c>
      <c r="AB65" s="26">
        <f t="shared" si="44"/>
        <v>0</v>
      </c>
      <c r="AC65" s="26">
        <f t="shared" si="44"/>
        <v>2000</v>
      </c>
    </row>
    <row r="66" spans="1:29" s="37" customFormat="1" ht="26.25" customHeight="1">
      <c r="A66" s="104"/>
      <c r="B66" s="104"/>
      <c r="C66" s="74">
        <v>2480</v>
      </c>
      <c r="D66" s="19" t="s">
        <v>244</v>
      </c>
      <c r="E66" s="119"/>
      <c r="F66" s="119"/>
      <c r="G66" s="119"/>
      <c r="H66" s="119">
        <v>0</v>
      </c>
      <c r="I66" s="119">
        <v>2000</v>
      </c>
      <c r="J66" s="119"/>
      <c r="K66" s="119">
        <f>SUM(H66+I66-J66)</f>
        <v>2000</v>
      </c>
      <c r="L66" s="119">
        <f>SUM(L67)</f>
        <v>0</v>
      </c>
      <c r="M66" s="119"/>
      <c r="N66" s="119">
        <f>SUM(K66+L66-M66)</f>
        <v>2000</v>
      </c>
      <c r="O66" s="119">
        <f>SUM(O67)</f>
        <v>0</v>
      </c>
      <c r="P66" s="119"/>
      <c r="Q66" s="119">
        <f>SUM(N66+O66-P66)</f>
        <v>2000</v>
      </c>
      <c r="R66" s="119">
        <f>SUM(R67)</f>
        <v>0</v>
      </c>
      <c r="S66" s="119"/>
      <c r="T66" s="119">
        <f>SUM(Q66+R66-S66)</f>
        <v>2000</v>
      </c>
      <c r="U66" s="119">
        <f>SUM(U67)</f>
        <v>0</v>
      </c>
      <c r="V66" s="119"/>
      <c r="W66" s="119">
        <f>SUM(T66+U66-V66)</f>
        <v>2000</v>
      </c>
      <c r="X66" s="119">
        <f>SUM(X67)</f>
        <v>0</v>
      </c>
      <c r="Y66" s="119"/>
      <c r="Z66" s="119">
        <f>SUM(W66+X66-Y66)</f>
        <v>2000</v>
      </c>
      <c r="AA66" s="119">
        <f>SUM(AA67)</f>
        <v>0</v>
      </c>
      <c r="AB66" s="119"/>
      <c r="AC66" s="119">
        <f>SUM(Z66+AA66-AB66)</f>
        <v>2000</v>
      </c>
    </row>
    <row r="67" spans="1:29" s="129" customFormat="1" ht="24" customHeight="1">
      <c r="A67" s="364" t="s">
        <v>178</v>
      </c>
      <c r="B67" s="365"/>
      <c r="C67" s="365"/>
      <c r="D67" s="366"/>
      <c r="E67" s="171">
        <v>350920</v>
      </c>
      <c r="F67" s="205"/>
      <c r="G67" s="205"/>
      <c r="H67" s="144">
        <f>SUM(E67+F67-G67)</f>
        <v>350920</v>
      </c>
      <c r="I67" s="243">
        <v>2000</v>
      </c>
      <c r="J67" s="205"/>
      <c r="K67" s="144">
        <f>SUM(H67+I67-J67)</f>
        <v>352920</v>
      </c>
      <c r="L67" s="243"/>
      <c r="M67" s="205"/>
      <c r="N67" s="144">
        <f>SUM(K67+L67-M67)</f>
        <v>352920</v>
      </c>
      <c r="O67" s="243"/>
      <c r="P67" s="205"/>
      <c r="Q67" s="144">
        <f>SUM(N67+O67-P67)</f>
        <v>352920</v>
      </c>
      <c r="R67" s="243"/>
      <c r="S67" s="205"/>
      <c r="T67" s="144">
        <f>SUM(Q67+R67-S67)</f>
        <v>352920</v>
      </c>
      <c r="U67" s="243"/>
      <c r="V67" s="205"/>
      <c r="W67" s="144">
        <f>SUM(T67+U67-V67)</f>
        <v>352920</v>
      </c>
      <c r="X67" s="243"/>
      <c r="Y67" s="205"/>
      <c r="Z67" s="144">
        <f>SUM(W67+X67-Y67)</f>
        <v>352920</v>
      </c>
      <c r="AA67" s="243"/>
      <c r="AB67" s="205"/>
      <c r="AC67" s="144">
        <f>SUM(Z67+AA67-AB67)</f>
        <v>352920</v>
      </c>
    </row>
    <row r="68" spans="1:29" s="59" customFormat="1" ht="24" customHeight="1">
      <c r="A68" s="17">
        <v>926</v>
      </c>
      <c r="B68" s="17"/>
      <c r="C68" s="17"/>
      <c r="D68" s="240" t="s">
        <v>83</v>
      </c>
      <c r="E68" s="237">
        <f>SUM(E69)</f>
        <v>0</v>
      </c>
      <c r="F68" s="237">
        <f aca="true" t="shared" si="45" ref="F68:AC68">SUM(F69)</f>
        <v>142000</v>
      </c>
      <c r="G68" s="237">
        <f t="shared" si="45"/>
        <v>0</v>
      </c>
      <c r="H68" s="237">
        <f t="shared" si="45"/>
        <v>142000</v>
      </c>
      <c r="I68" s="237">
        <f t="shared" si="45"/>
        <v>0</v>
      </c>
      <c r="J68" s="237">
        <f t="shared" si="45"/>
        <v>0</v>
      </c>
      <c r="K68" s="237">
        <f t="shared" si="45"/>
        <v>142000</v>
      </c>
      <c r="L68" s="237">
        <f t="shared" si="45"/>
        <v>0</v>
      </c>
      <c r="M68" s="237">
        <f t="shared" si="45"/>
        <v>0</v>
      </c>
      <c r="N68" s="237">
        <f t="shared" si="45"/>
        <v>142000</v>
      </c>
      <c r="O68" s="237">
        <f t="shared" si="45"/>
        <v>2200</v>
      </c>
      <c r="P68" s="237">
        <f t="shared" si="45"/>
        <v>0</v>
      </c>
      <c r="Q68" s="237">
        <f t="shared" si="45"/>
        <v>144200</v>
      </c>
      <c r="R68" s="237">
        <f t="shared" si="45"/>
        <v>0</v>
      </c>
      <c r="S68" s="237">
        <f t="shared" si="45"/>
        <v>0</v>
      </c>
      <c r="T68" s="237">
        <f t="shared" si="45"/>
        <v>144200</v>
      </c>
      <c r="U68" s="237">
        <f t="shared" si="45"/>
        <v>0</v>
      </c>
      <c r="V68" s="237">
        <f t="shared" si="45"/>
        <v>0</v>
      </c>
      <c r="W68" s="237">
        <f t="shared" si="45"/>
        <v>144200</v>
      </c>
      <c r="X68" s="237">
        <f t="shared" si="45"/>
        <v>0</v>
      </c>
      <c r="Y68" s="237">
        <f t="shared" si="45"/>
        <v>0</v>
      </c>
      <c r="Z68" s="237">
        <f t="shared" si="45"/>
        <v>144200</v>
      </c>
      <c r="AA68" s="237">
        <f t="shared" si="45"/>
        <v>0</v>
      </c>
      <c r="AB68" s="237">
        <f t="shared" si="45"/>
        <v>0</v>
      </c>
      <c r="AC68" s="237">
        <f t="shared" si="45"/>
        <v>144200</v>
      </c>
    </row>
    <row r="69" spans="1:29" s="9" customFormat="1" ht="27" customHeight="1">
      <c r="A69" s="14"/>
      <c r="B69" s="14">
        <v>92605</v>
      </c>
      <c r="C69" s="14"/>
      <c r="D69" s="241" t="s">
        <v>84</v>
      </c>
      <c r="E69" s="239">
        <f aca="true" t="shared" si="46" ref="E69:M69">SUM(E73)</f>
        <v>0</v>
      </c>
      <c r="F69" s="239">
        <f t="shared" si="46"/>
        <v>142000</v>
      </c>
      <c r="G69" s="239">
        <f t="shared" si="46"/>
        <v>0</v>
      </c>
      <c r="H69" s="239">
        <f t="shared" si="46"/>
        <v>142000</v>
      </c>
      <c r="I69" s="239">
        <f t="shared" si="46"/>
        <v>0</v>
      </c>
      <c r="J69" s="239">
        <f t="shared" si="46"/>
        <v>0</v>
      </c>
      <c r="K69" s="239">
        <f t="shared" si="46"/>
        <v>142000</v>
      </c>
      <c r="L69" s="239">
        <f t="shared" si="46"/>
        <v>0</v>
      </c>
      <c r="M69" s="239">
        <f t="shared" si="46"/>
        <v>0</v>
      </c>
      <c r="N69" s="239">
        <f aca="true" t="shared" si="47" ref="N69:T69">SUM(N73,N70)</f>
        <v>142000</v>
      </c>
      <c r="O69" s="239">
        <f t="shared" si="47"/>
        <v>2200</v>
      </c>
      <c r="P69" s="239">
        <f t="shared" si="47"/>
        <v>0</v>
      </c>
      <c r="Q69" s="239">
        <f t="shared" si="47"/>
        <v>144200</v>
      </c>
      <c r="R69" s="239">
        <f t="shared" si="47"/>
        <v>0</v>
      </c>
      <c r="S69" s="239">
        <f t="shared" si="47"/>
        <v>0</v>
      </c>
      <c r="T69" s="239">
        <f t="shared" si="47"/>
        <v>144200</v>
      </c>
      <c r="U69" s="239">
        <f aca="true" t="shared" si="48" ref="U69:Z69">SUM(U73,U70)</f>
        <v>0</v>
      </c>
      <c r="V69" s="239">
        <f t="shared" si="48"/>
        <v>0</v>
      </c>
      <c r="W69" s="239">
        <f t="shared" si="48"/>
        <v>144200</v>
      </c>
      <c r="X69" s="239">
        <f t="shared" si="48"/>
        <v>0</v>
      </c>
      <c r="Y69" s="239">
        <f t="shared" si="48"/>
        <v>0</v>
      </c>
      <c r="Z69" s="239">
        <f t="shared" si="48"/>
        <v>144200</v>
      </c>
      <c r="AA69" s="239">
        <f>SUM(AA73,AA70)</f>
        <v>0</v>
      </c>
      <c r="AB69" s="239">
        <f>SUM(AB73,AB70)</f>
        <v>0</v>
      </c>
      <c r="AC69" s="239">
        <f>SUM(AC73,AC70)</f>
        <v>144200</v>
      </c>
    </row>
    <row r="70" spans="1:29" s="9" customFormat="1" ht="58.5" customHeight="1">
      <c r="A70" s="14"/>
      <c r="B70" s="14"/>
      <c r="C70" s="14">
        <v>2320</v>
      </c>
      <c r="D70" s="56" t="s">
        <v>192</v>
      </c>
      <c r="E70" s="239"/>
      <c r="F70" s="239"/>
      <c r="G70" s="239"/>
      <c r="H70" s="239"/>
      <c r="I70" s="239"/>
      <c r="J70" s="239"/>
      <c r="K70" s="239"/>
      <c r="L70" s="239"/>
      <c r="M70" s="239"/>
      <c r="N70" s="239">
        <f aca="true" t="shared" si="49" ref="N70:T70">SUM(N71:N72)</f>
        <v>0</v>
      </c>
      <c r="O70" s="239">
        <f t="shared" si="49"/>
        <v>2200</v>
      </c>
      <c r="P70" s="239">
        <f t="shared" si="49"/>
        <v>0</v>
      </c>
      <c r="Q70" s="239">
        <f t="shared" si="49"/>
        <v>2200</v>
      </c>
      <c r="R70" s="239">
        <f t="shared" si="49"/>
        <v>0</v>
      </c>
      <c r="S70" s="239">
        <f t="shared" si="49"/>
        <v>0</v>
      </c>
      <c r="T70" s="239">
        <f t="shared" si="49"/>
        <v>2200</v>
      </c>
      <c r="U70" s="239">
        <f aca="true" t="shared" si="50" ref="U70:Z70">SUM(U71:U72)</f>
        <v>0</v>
      </c>
      <c r="V70" s="239">
        <f t="shared" si="50"/>
        <v>0</v>
      </c>
      <c r="W70" s="239">
        <f t="shared" si="50"/>
        <v>2200</v>
      </c>
      <c r="X70" s="239">
        <f t="shared" si="50"/>
        <v>0</v>
      </c>
      <c r="Y70" s="239">
        <f t="shared" si="50"/>
        <v>0</v>
      </c>
      <c r="Z70" s="239">
        <f t="shared" si="50"/>
        <v>2200</v>
      </c>
      <c r="AA70" s="239">
        <f>SUM(AA71:AA72)</f>
        <v>0</v>
      </c>
      <c r="AB70" s="239">
        <f>SUM(AB71:AB72)</f>
        <v>0</v>
      </c>
      <c r="AC70" s="239">
        <f>SUM(AC71:AC72)</f>
        <v>2200</v>
      </c>
    </row>
    <row r="71" spans="1:29" s="37" customFormat="1" ht="30" customHeight="1">
      <c r="A71" s="361" t="s">
        <v>501</v>
      </c>
      <c r="B71" s="361"/>
      <c r="C71" s="361"/>
      <c r="D71" s="361"/>
      <c r="E71" s="361"/>
      <c r="F71" s="361"/>
      <c r="G71" s="238"/>
      <c r="H71" s="238"/>
      <c r="I71" s="238"/>
      <c r="J71" s="238"/>
      <c r="K71" s="238"/>
      <c r="L71" s="238"/>
      <c r="M71" s="238"/>
      <c r="N71" s="170">
        <v>0</v>
      </c>
      <c r="O71" s="171">
        <v>1200</v>
      </c>
      <c r="P71" s="171"/>
      <c r="Q71" s="171">
        <f>SUM(N71+O71-P71)</f>
        <v>1200</v>
      </c>
      <c r="R71" s="171"/>
      <c r="S71" s="171"/>
      <c r="T71" s="171">
        <f>SUM(Q71+R71-S71)</f>
        <v>1200</v>
      </c>
      <c r="U71" s="171"/>
      <c r="V71" s="171"/>
      <c r="W71" s="171">
        <f>SUM(T71+U71-V71)</f>
        <v>1200</v>
      </c>
      <c r="X71" s="171"/>
      <c r="Y71" s="171"/>
      <c r="Z71" s="171">
        <f>SUM(W71+X71-Y71)</f>
        <v>1200</v>
      </c>
      <c r="AA71" s="171"/>
      <c r="AB71" s="171"/>
      <c r="AC71" s="171">
        <f>SUM(Z71+AA71-AB71)</f>
        <v>1200</v>
      </c>
    </row>
    <row r="72" spans="1:29" s="37" customFormat="1" ht="30" customHeight="1">
      <c r="A72" s="361" t="s">
        <v>477</v>
      </c>
      <c r="B72" s="361"/>
      <c r="C72" s="361"/>
      <c r="D72" s="361"/>
      <c r="E72" s="83"/>
      <c r="F72" s="83"/>
      <c r="G72" s="238"/>
      <c r="H72" s="238"/>
      <c r="I72" s="238"/>
      <c r="J72" s="238"/>
      <c r="K72" s="238"/>
      <c r="L72" s="238"/>
      <c r="M72" s="238"/>
      <c r="N72" s="170">
        <v>0</v>
      </c>
      <c r="O72" s="171">
        <v>1000</v>
      </c>
      <c r="P72" s="171"/>
      <c r="Q72" s="171">
        <f>SUM(N72+O72-P72)</f>
        <v>1000</v>
      </c>
      <c r="R72" s="171"/>
      <c r="S72" s="171"/>
      <c r="T72" s="171">
        <f>SUM(Q72+R72-S72)</f>
        <v>1000</v>
      </c>
      <c r="U72" s="171"/>
      <c r="V72" s="171"/>
      <c r="W72" s="171">
        <f>SUM(T72+U72-V72)</f>
        <v>1000</v>
      </c>
      <c r="X72" s="171"/>
      <c r="Y72" s="171"/>
      <c r="Z72" s="171">
        <f>SUM(W72+X72-Y72)</f>
        <v>1000</v>
      </c>
      <c r="AA72" s="171"/>
      <c r="AB72" s="171"/>
      <c r="AC72" s="171">
        <f>SUM(Z72+AA72-AB72)</f>
        <v>1000</v>
      </c>
    </row>
    <row r="73" spans="1:29" s="37" customFormat="1" ht="41.25" customHeight="1">
      <c r="A73" s="115"/>
      <c r="B73" s="115"/>
      <c r="C73" s="115">
        <v>2630</v>
      </c>
      <c r="D73" s="19" t="s">
        <v>364</v>
      </c>
      <c r="E73" s="238">
        <f aca="true" t="shared" si="51" ref="E73:K73">SUM(E74:E84)</f>
        <v>0</v>
      </c>
      <c r="F73" s="238">
        <f t="shared" si="51"/>
        <v>142000</v>
      </c>
      <c r="G73" s="238">
        <f t="shared" si="51"/>
        <v>0</v>
      </c>
      <c r="H73" s="238">
        <f t="shared" si="51"/>
        <v>142000</v>
      </c>
      <c r="I73" s="238">
        <f t="shared" si="51"/>
        <v>0</v>
      </c>
      <c r="J73" s="238">
        <f t="shared" si="51"/>
        <v>0</v>
      </c>
      <c r="K73" s="238">
        <f t="shared" si="51"/>
        <v>142000</v>
      </c>
      <c r="L73" s="238">
        <f aca="true" t="shared" si="52" ref="L73:Q73">SUM(L74:L84)</f>
        <v>0</v>
      </c>
      <c r="M73" s="238">
        <f t="shared" si="52"/>
        <v>0</v>
      </c>
      <c r="N73" s="238">
        <f t="shared" si="52"/>
        <v>142000</v>
      </c>
      <c r="O73" s="238">
        <f t="shared" si="52"/>
        <v>0</v>
      </c>
      <c r="P73" s="238">
        <f t="shared" si="52"/>
        <v>0</v>
      </c>
      <c r="Q73" s="238">
        <f t="shared" si="52"/>
        <v>142000</v>
      </c>
      <c r="R73" s="238">
        <f aca="true" t="shared" si="53" ref="R73:W73">SUM(R74:R84)</f>
        <v>0</v>
      </c>
      <c r="S73" s="238">
        <f t="shared" si="53"/>
        <v>0</v>
      </c>
      <c r="T73" s="238">
        <f t="shared" si="53"/>
        <v>142000</v>
      </c>
      <c r="U73" s="238">
        <f t="shared" si="53"/>
        <v>0</v>
      </c>
      <c r="V73" s="238">
        <f t="shared" si="53"/>
        <v>0</v>
      </c>
      <c r="W73" s="238">
        <f t="shared" si="53"/>
        <v>142000</v>
      </c>
      <c r="X73" s="238">
        <f aca="true" t="shared" si="54" ref="X73:AC73">SUM(X74:X84)</f>
        <v>0</v>
      </c>
      <c r="Y73" s="238">
        <f t="shared" si="54"/>
        <v>0</v>
      </c>
      <c r="Z73" s="238">
        <f t="shared" si="54"/>
        <v>142000</v>
      </c>
      <c r="AA73" s="238">
        <f t="shared" si="54"/>
        <v>0</v>
      </c>
      <c r="AB73" s="238">
        <f t="shared" si="54"/>
        <v>0</v>
      </c>
      <c r="AC73" s="238">
        <f t="shared" si="54"/>
        <v>142000</v>
      </c>
    </row>
    <row r="74" spans="1:29" s="129" customFormat="1" ht="19.5" customHeight="1">
      <c r="A74" s="364" t="s">
        <v>370</v>
      </c>
      <c r="B74" s="365"/>
      <c r="C74" s="365"/>
      <c r="D74" s="366"/>
      <c r="E74" s="171">
        <v>0</v>
      </c>
      <c r="F74" s="144">
        <v>66500</v>
      </c>
      <c r="G74" s="144"/>
      <c r="H74" s="144">
        <f>SUM(E74+F74-G74)</f>
        <v>66500</v>
      </c>
      <c r="I74" s="144"/>
      <c r="J74" s="144"/>
      <c r="K74" s="144">
        <f>SUM(H74+I74-J74)</f>
        <v>66500</v>
      </c>
      <c r="L74" s="144"/>
      <c r="M74" s="144"/>
      <c r="N74" s="144">
        <f>SUM(K74+L74-M74)</f>
        <v>66500</v>
      </c>
      <c r="O74" s="144"/>
      <c r="P74" s="144"/>
      <c r="Q74" s="144">
        <f>SUM(N74+O74-P74)</f>
        <v>66500</v>
      </c>
      <c r="R74" s="144"/>
      <c r="S74" s="144"/>
      <c r="T74" s="144">
        <f>SUM(Q74+R74-S74)</f>
        <v>66500</v>
      </c>
      <c r="U74" s="144"/>
      <c r="V74" s="144"/>
      <c r="W74" s="144">
        <f>SUM(T74+U74-V74)</f>
        <v>66500</v>
      </c>
      <c r="X74" s="144"/>
      <c r="Y74" s="144"/>
      <c r="Z74" s="144">
        <f>SUM(W74+X74-Y74)</f>
        <v>66500</v>
      </c>
      <c r="AA74" s="144"/>
      <c r="AB74" s="144"/>
      <c r="AC74" s="144">
        <f>SUM(Z74+AA74-AB74)</f>
        <v>66500</v>
      </c>
    </row>
    <row r="75" spans="1:29" s="129" customFormat="1" ht="19.5" customHeight="1">
      <c r="A75" s="364" t="s">
        <v>371</v>
      </c>
      <c r="B75" s="365"/>
      <c r="C75" s="365"/>
      <c r="D75" s="366"/>
      <c r="E75" s="171">
        <v>0</v>
      </c>
      <c r="F75" s="144">
        <v>45500</v>
      </c>
      <c r="G75" s="144"/>
      <c r="H75" s="144">
        <f aca="true" t="shared" si="55" ref="H75:H84">SUM(E75+F75-G75)</f>
        <v>45500</v>
      </c>
      <c r="I75" s="144"/>
      <c r="J75" s="144"/>
      <c r="K75" s="144">
        <f aca="true" t="shared" si="56" ref="K75:K84">SUM(H75+I75-J75)</f>
        <v>45500</v>
      </c>
      <c r="L75" s="144"/>
      <c r="M75" s="144"/>
      <c r="N75" s="144">
        <f aca="true" t="shared" si="57" ref="N75:N84">SUM(K75+L75-M75)</f>
        <v>45500</v>
      </c>
      <c r="O75" s="144"/>
      <c r="P75" s="144"/>
      <c r="Q75" s="144">
        <f aca="true" t="shared" si="58" ref="Q75:Q84">SUM(N75+O75-P75)</f>
        <v>45500</v>
      </c>
      <c r="R75" s="144"/>
      <c r="S75" s="144"/>
      <c r="T75" s="144">
        <f aca="true" t="shared" si="59" ref="T75:T84">SUM(Q75+R75-S75)</f>
        <v>45500</v>
      </c>
      <c r="U75" s="144"/>
      <c r="V75" s="144"/>
      <c r="W75" s="144">
        <f aca="true" t="shared" si="60" ref="W75:W84">SUM(T75+U75-V75)</f>
        <v>45500</v>
      </c>
      <c r="X75" s="144"/>
      <c r="Y75" s="144"/>
      <c r="Z75" s="144">
        <f aca="true" t="shared" si="61" ref="Z75:Z84">SUM(W75+X75-Y75)</f>
        <v>45500</v>
      </c>
      <c r="AA75" s="144"/>
      <c r="AB75" s="144"/>
      <c r="AC75" s="144">
        <f aca="true" t="shared" si="62" ref="AC75:AC84">SUM(Z75+AA75-AB75)</f>
        <v>45500</v>
      </c>
    </row>
    <row r="76" spans="1:29" s="129" customFormat="1" ht="19.5" customHeight="1">
      <c r="A76" s="364" t="s">
        <v>372</v>
      </c>
      <c r="B76" s="365"/>
      <c r="C76" s="365"/>
      <c r="D76" s="366"/>
      <c r="E76" s="171">
        <v>0</v>
      </c>
      <c r="F76" s="144">
        <v>3000</v>
      </c>
      <c r="G76" s="144"/>
      <c r="H76" s="144">
        <f t="shared" si="55"/>
        <v>3000</v>
      </c>
      <c r="I76" s="144"/>
      <c r="J76" s="144"/>
      <c r="K76" s="144">
        <f t="shared" si="56"/>
        <v>3000</v>
      </c>
      <c r="L76" s="144"/>
      <c r="M76" s="144"/>
      <c r="N76" s="144">
        <f t="shared" si="57"/>
        <v>3000</v>
      </c>
      <c r="O76" s="144"/>
      <c r="P76" s="144"/>
      <c r="Q76" s="144">
        <f t="shared" si="58"/>
        <v>3000</v>
      </c>
      <c r="R76" s="144"/>
      <c r="S76" s="144"/>
      <c r="T76" s="144">
        <f t="shared" si="59"/>
        <v>3000</v>
      </c>
      <c r="U76" s="144"/>
      <c r="V76" s="144"/>
      <c r="W76" s="144">
        <f t="shared" si="60"/>
        <v>3000</v>
      </c>
      <c r="X76" s="144"/>
      <c r="Y76" s="144"/>
      <c r="Z76" s="144">
        <f t="shared" si="61"/>
        <v>3000</v>
      </c>
      <c r="AA76" s="144"/>
      <c r="AB76" s="144"/>
      <c r="AC76" s="144">
        <f t="shared" si="62"/>
        <v>3000</v>
      </c>
    </row>
    <row r="77" spans="1:29" s="129" customFormat="1" ht="19.5" customHeight="1">
      <c r="A77" s="364" t="s">
        <v>373</v>
      </c>
      <c r="B77" s="365"/>
      <c r="C77" s="365"/>
      <c r="D77" s="366"/>
      <c r="E77" s="171">
        <v>0</v>
      </c>
      <c r="F77" s="144">
        <v>2700</v>
      </c>
      <c r="G77" s="144"/>
      <c r="H77" s="144">
        <f t="shared" si="55"/>
        <v>2700</v>
      </c>
      <c r="I77" s="144"/>
      <c r="J77" s="144"/>
      <c r="K77" s="144">
        <f t="shared" si="56"/>
        <v>2700</v>
      </c>
      <c r="L77" s="144"/>
      <c r="M77" s="144"/>
      <c r="N77" s="144">
        <f t="shared" si="57"/>
        <v>2700</v>
      </c>
      <c r="O77" s="144"/>
      <c r="P77" s="144"/>
      <c r="Q77" s="144">
        <f t="shared" si="58"/>
        <v>2700</v>
      </c>
      <c r="R77" s="144"/>
      <c r="S77" s="144"/>
      <c r="T77" s="144">
        <f t="shared" si="59"/>
        <v>2700</v>
      </c>
      <c r="U77" s="144"/>
      <c r="V77" s="144"/>
      <c r="W77" s="144">
        <f t="shared" si="60"/>
        <v>2700</v>
      </c>
      <c r="X77" s="144"/>
      <c r="Y77" s="144"/>
      <c r="Z77" s="144">
        <f t="shared" si="61"/>
        <v>2700</v>
      </c>
      <c r="AA77" s="144"/>
      <c r="AB77" s="144"/>
      <c r="AC77" s="144">
        <f t="shared" si="62"/>
        <v>2700</v>
      </c>
    </row>
    <row r="78" spans="1:29" s="129" customFormat="1" ht="19.5" customHeight="1">
      <c r="A78" s="364" t="s">
        <v>374</v>
      </c>
      <c r="B78" s="365"/>
      <c r="C78" s="365"/>
      <c r="D78" s="366"/>
      <c r="E78" s="171">
        <v>0</v>
      </c>
      <c r="F78" s="144">
        <v>4000</v>
      </c>
      <c r="G78" s="144"/>
      <c r="H78" s="144">
        <f t="shared" si="55"/>
        <v>4000</v>
      </c>
      <c r="I78" s="144"/>
      <c r="J78" s="144"/>
      <c r="K78" s="144">
        <f t="shared" si="56"/>
        <v>4000</v>
      </c>
      <c r="L78" s="144"/>
      <c r="M78" s="144"/>
      <c r="N78" s="144">
        <f t="shared" si="57"/>
        <v>4000</v>
      </c>
      <c r="O78" s="144"/>
      <c r="P78" s="144"/>
      <c r="Q78" s="144">
        <f t="shared" si="58"/>
        <v>4000</v>
      </c>
      <c r="R78" s="144"/>
      <c r="S78" s="144"/>
      <c r="T78" s="144">
        <f t="shared" si="59"/>
        <v>4000</v>
      </c>
      <c r="U78" s="144"/>
      <c r="V78" s="144"/>
      <c r="W78" s="144">
        <f t="shared" si="60"/>
        <v>4000</v>
      </c>
      <c r="X78" s="144"/>
      <c r="Y78" s="144"/>
      <c r="Z78" s="144">
        <f t="shared" si="61"/>
        <v>4000</v>
      </c>
      <c r="AA78" s="144"/>
      <c r="AB78" s="144"/>
      <c r="AC78" s="144">
        <f t="shared" si="62"/>
        <v>4000</v>
      </c>
    </row>
    <row r="79" spans="1:29" s="129" customFormat="1" ht="19.5" customHeight="1">
      <c r="A79" s="364" t="s">
        <v>375</v>
      </c>
      <c r="B79" s="365"/>
      <c r="C79" s="365"/>
      <c r="D79" s="366"/>
      <c r="E79" s="171">
        <v>0</v>
      </c>
      <c r="F79" s="144">
        <v>4500</v>
      </c>
      <c r="G79" s="144"/>
      <c r="H79" s="144">
        <f t="shared" si="55"/>
        <v>4500</v>
      </c>
      <c r="I79" s="144"/>
      <c r="J79" s="144"/>
      <c r="K79" s="144">
        <f t="shared" si="56"/>
        <v>4500</v>
      </c>
      <c r="L79" s="144"/>
      <c r="M79" s="144"/>
      <c r="N79" s="144">
        <f t="shared" si="57"/>
        <v>4500</v>
      </c>
      <c r="O79" s="144"/>
      <c r="P79" s="144"/>
      <c r="Q79" s="144">
        <f t="shared" si="58"/>
        <v>4500</v>
      </c>
      <c r="R79" s="144"/>
      <c r="S79" s="144"/>
      <c r="T79" s="144">
        <f t="shared" si="59"/>
        <v>4500</v>
      </c>
      <c r="U79" s="144"/>
      <c r="V79" s="144"/>
      <c r="W79" s="144">
        <f t="shared" si="60"/>
        <v>4500</v>
      </c>
      <c r="X79" s="144"/>
      <c r="Y79" s="144"/>
      <c r="Z79" s="144">
        <f t="shared" si="61"/>
        <v>4500</v>
      </c>
      <c r="AA79" s="144"/>
      <c r="AB79" s="144"/>
      <c r="AC79" s="144">
        <f t="shared" si="62"/>
        <v>4500</v>
      </c>
    </row>
    <row r="80" spans="1:29" s="129" customFormat="1" ht="19.5" customHeight="1">
      <c r="A80" s="364" t="s">
        <v>376</v>
      </c>
      <c r="B80" s="365"/>
      <c r="C80" s="365"/>
      <c r="D80" s="366"/>
      <c r="E80" s="171">
        <v>0</v>
      </c>
      <c r="F80" s="144">
        <v>5000</v>
      </c>
      <c r="G80" s="144"/>
      <c r="H80" s="144">
        <f t="shared" si="55"/>
        <v>5000</v>
      </c>
      <c r="I80" s="144"/>
      <c r="J80" s="144"/>
      <c r="K80" s="144">
        <f t="shared" si="56"/>
        <v>5000</v>
      </c>
      <c r="L80" s="144"/>
      <c r="M80" s="144"/>
      <c r="N80" s="144">
        <f t="shared" si="57"/>
        <v>5000</v>
      </c>
      <c r="O80" s="144"/>
      <c r="P80" s="144"/>
      <c r="Q80" s="144">
        <f t="shared" si="58"/>
        <v>5000</v>
      </c>
      <c r="R80" s="144"/>
      <c r="S80" s="144"/>
      <c r="T80" s="144">
        <f t="shared" si="59"/>
        <v>5000</v>
      </c>
      <c r="U80" s="144"/>
      <c r="V80" s="144"/>
      <c r="W80" s="144">
        <f t="shared" si="60"/>
        <v>5000</v>
      </c>
      <c r="X80" s="144"/>
      <c r="Y80" s="144"/>
      <c r="Z80" s="144">
        <f t="shared" si="61"/>
        <v>5000</v>
      </c>
      <c r="AA80" s="144"/>
      <c r="AB80" s="144"/>
      <c r="AC80" s="144">
        <f t="shared" si="62"/>
        <v>5000</v>
      </c>
    </row>
    <row r="81" spans="1:29" s="129" customFormat="1" ht="19.5" customHeight="1">
      <c r="A81" s="364" t="s">
        <v>377</v>
      </c>
      <c r="B81" s="365"/>
      <c r="C81" s="365"/>
      <c r="D81" s="366"/>
      <c r="E81" s="171">
        <v>0</v>
      </c>
      <c r="F81" s="144">
        <v>7000</v>
      </c>
      <c r="G81" s="144"/>
      <c r="H81" s="144">
        <f t="shared" si="55"/>
        <v>7000</v>
      </c>
      <c r="I81" s="144"/>
      <c r="J81" s="144"/>
      <c r="K81" s="144">
        <f t="shared" si="56"/>
        <v>7000</v>
      </c>
      <c r="L81" s="144"/>
      <c r="M81" s="144"/>
      <c r="N81" s="144">
        <f t="shared" si="57"/>
        <v>7000</v>
      </c>
      <c r="O81" s="144"/>
      <c r="P81" s="144"/>
      <c r="Q81" s="144">
        <f t="shared" si="58"/>
        <v>7000</v>
      </c>
      <c r="R81" s="144"/>
      <c r="S81" s="144"/>
      <c r="T81" s="144">
        <f t="shared" si="59"/>
        <v>7000</v>
      </c>
      <c r="U81" s="144"/>
      <c r="V81" s="144"/>
      <c r="W81" s="144">
        <f t="shared" si="60"/>
        <v>7000</v>
      </c>
      <c r="X81" s="144"/>
      <c r="Y81" s="144"/>
      <c r="Z81" s="144">
        <f t="shared" si="61"/>
        <v>7000</v>
      </c>
      <c r="AA81" s="144"/>
      <c r="AB81" s="144"/>
      <c r="AC81" s="144">
        <f t="shared" si="62"/>
        <v>7000</v>
      </c>
    </row>
    <row r="82" spans="1:29" s="129" customFormat="1" ht="17.25" customHeight="1">
      <c r="A82" s="364" t="s">
        <v>378</v>
      </c>
      <c r="B82" s="365"/>
      <c r="C82" s="365"/>
      <c r="D82" s="366"/>
      <c r="E82" s="171">
        <v>0</v>
      </c>
      <c r="F82" s="144">
        <v>2000</v>
      </c>
      <c r="G82" s="144"/>
      <c r="H82" s="144">
        <f t="shared" si="55"/>
        <v>2000</v>
      </c>
      <c r="I82" s="144"/>
      <c r="J82" s="144"/>
      <c r="K82" s="144">
        <f t="shared" si="56"/>
        <v>2000</v>
      </c>
      <c r="L82" s="144"/>
      <c r="M82" s="144"/>
      <c r="N82" s="144">
        <f t="shared" si="57"/>
        <v>2000</v>
      </c>
      <c r="O82" s="144"/>
      <c r="P82" s="144"/>
      <c r="Q82" s="144">
        <f t="shared" si="58"/>
        <v>2000</v>
      </c>
      <c r="R82" s="144"/>
      <c r="S82" s="144"/>
      <c r="T82" s="144">
        <f t="shared" si="59"/>
        <v>2000</v>
      </c>
      <c r="U82" s="144"/>
      <c r="V82" s="144"/>
      <c r="W82" s="144">
        <f t="shared" si="60"/>
        <v>2000</v>
      </c>
      <c r="X82" s="144"/>
      <c r="Y82" s="144"/>
      <c r="Z82" s="144">
        <f t="shared" si="61"/>
        <v>2000</v>
      </c>
      <c r="AA82" s="144"/>
      <c r="AB82" s="144"/>
      <c r="AC82" s="144">
        <f t="shared" si="62"/>
        <v>2000</v>
      </c>
    </row>
    <row r="83" spans="1:29" s="129" customFormat="1" ht="15.75" customHeight="1">
      <c r="A83" s="364" t="s">
        <v>379</v>
      </c>
      <c r="B83" s="365"/>
      <c r="C83" s="365"/>
      <c r="D83" s="366"/>
      <c r="E83" s="171">
        <v>0</v>
      </c>
      <c r="F83" s="144">
        <v>1000</v>
      </c>
      <c r="G83" s="144"/>
      <c r="H83" s="144">
        <f t="shared" si="55"/>
        <v>1000</v>
      </c>
      <c r="I83" s="144"/>
      <c r="J83" s="144"/>
      <c r="K83" s="144">
        <f t="shared" si="56"/>
        <v>1000</v>
      </c>
      <c r="L83" s="144"/>
      <c r="M83" s="144"/>
      <c r="N83" s="144">
        <f t="shared" si="57"/>
        <v>1000</v>
      </c>
      <c r="O83" s="144"/>
      <c r="P83" s="144"/>
      <c r="Q83" s="144">
        <f t="shared" si="58"/>
        <v>1000</v>
      </c>
      <c r="R83" s="144"/>
      <c r="S83" s="144"/>
      <c r="T83" s="144">
        <f t="shared" si="59"/>
        <v>1000</v>
      </c>
      <c r="U83" s="144"/>
      <c r="V83" s="144"/>
      <c r="W83" s="144">
        <f t="shared" si="60"/>
        <v>1000</v>
      </c>
      <c r="X83" s="144"/>
      <c r="Y83" s="144"/>
      <c r="Z83" s="144">
        <f t="shared" si="61"/>
        <v>1000</v>
      </c>
      <c r="AA83" s="144"/>
      <c r="AB83" s="144"/>
      <c r="AC83" s="144">
        <f t="shared" si="62"/>
        <v>1000</v>
      </c>
    </row>
    <row r="84" spans="1:29" s="129" customFormat="1" ht="17.25" customHeight="1">
      <c r="A84" s="364" t="s">
        <v>380</v>
      </c>
      <c r="B84" s="365"/>
      <c r="C84" s="365"/>
      <c r="D84" s="366"/>
      <c r="E84" s="171">
        <v>0</v>
      </c>
      <c r="F84" s="144">
        <v>800</v>
      </c>
      <c r="G84" s="144"/>
      <c r="H84" s="144">
        <f t="shared" si="55"/>
        <v>800</v>
      </c>
      <c r="I84" s="144"/>
      <c r="J84" s="144"/>
      <c r="K84" s="144">
        <f t="shared" si="56"/>
        <v>800</v>
      </c>
      <c r="L84" s="144"/>
      <c r="M84" s="144"/>
      <c r="N84" s="144">
        <f t="shared" si="57"/>
        <v>800</v>
      </c>
      <c r="O84" s="144"/>
      <c r="P84" s="144"/>
      <c r="Q84" s="144">
        <f t="shared" si="58"/>
        <v>800</v>
      </c>
      <c r="R84" s="144"/>
      <c r="S84" s="144"/>
      <c r="T84" s="144">
        <f t="shared" si="59"/>
        <v>800</v>
      </c>
      <c r="U84" s="144"/>
      <c r="V84" s="144"/>
      <c r="W84" s="144">
        <f t="shared" si="60"/>
        <v>800</v>
      </c>
      <c r="X84" s="144"/>
      <c r="Y84" s="144"/>
      <c r="Z84" s="144">
        <f t="shared" si="61"/>
        <v>800</v>
      </c>
      <c r="AA84" s="144"/>
      <c r="AB84" s="144"/>
      <c r="AC84" s="144">
        <f t="shared" si="62"/>
        <v>800</v>
      </c>
    </row>
    <row r="85" spans="1:29" s="162" customFormat="1" ht="21.75" customHeight="1">
      <c r="A85" s="363" t="s">
        <v>85</v>
      </c>
      <c r="B85" s="363"/>
      <c r="C85" s="363"/>
      <c r="D85" s="363"/>
      <c r="E85" s="60">
        <f aca="true" t="shared" si="63" ref="E85:S85">E17+E39+E52+E32+E68</f>
        <v>4748232</v>
      </c>
      <c r="F85" s="60">
        <f t="shared" si="63"/>
        <v>185850</v>
      </c>
      <c r="G85" s="60">
        <f t="shared" si="63"/>
        <v>0</v>
      </c>
      <c r="H85" s="60">
        <f t="shared" si="63"/>
        <v>4934082</v>
      </c>
      <c r="I85" s="60">
        <f t="shared" si="63"/>
        <v>14060</v>
      </c>
      <c r="J85" s="60">
        <f t="shared" si="63"/>
        <v>0</v>
      </c>
      <c r="K85" s="60">
        <f t="shared" si="63"/>
        <v>4948142</v>
      </c>
      <c r="L85" s="60">
        <f t="shared" si="63"/>
        <v>5000</v>
      </c>
      <c r="M85" s="60">
        <f t="shared" si="63"/>
        <v>0</v>
      </c>
      <c r="N85" s="60">
        <f t="shared" si="63"/>
        <v>4953142</v>
      </c>
      <c r="O85" s="60">
        <f t="shared" si="63"/>
        <v>2200</v>
      </c>
      <c r="P85" s="60">
        <f t="shared" si="63"/>
        <v>0</v>
      </c>
      <c r="Q85" s="60">
        <f t="shared" si="63"/>
        <v>4955342</v>
      </c>
      <c r="R85" s="60">
        <f t="shared" si="63"/>
        <v>28905</v>
      </c>
      <c r="S85" s="60">
        <f t="shared" si="63"/>
        <v>0</v>
      </c>
      <c r="T85" s="60">
        <f aca="true" t="shared" si="64" ref="T85:Z85">SUM(T16,T7)</f>
        <v>4984247</v>
      </c>
      <c r="U85" s="60">
        <f t="shared" si="64"/>
        <v>60940</v>
      </c>
      <c r="V85" s="60">
        <f t="shared" si="64"/>
        <v>0</v>
      </c>
      <c r="W85" s="60">
        <f t="shared" si="64"/>
        <v>5045187</v>
      </c>
      <c r="X85" s="60">
        <f t="shared" si="64"/>
        <v>45166</v>
      </c>
      <c r="Y85" s="60">
        <f t="shared" si="64"/>
        <v>72389</v>
      </c>
      <c r="Z85" s="60">
        <f t="shared" si="64"/>
        <v>5017964</v>
      </c>
      <c r="AA85" s="60">
        <f>SUM(AA16,AA7)</f>
        <v>0</v>
      </c>
      <c r="AB85" s="60">
        <f>SUM(AB16,AB7)</f>
        <v>0</v>
      </c>
      <c r="AC85" s="60">
        <f>SUM(AC16,AC7)</f>
        <v>5017964</v>
      </c>
    </row>
    <row r="88" spans="5:28" ht="12.75">
      <c r="E88" s="40"/>
      <c r="J88" s="76"/>
      <c r="M88" s="76"/>
      <c r="P88" s="76"/>
      <c r="S88" s="76"/>
      <c r="V88" s="76"/>
      <c r="Y88" s="76"/>
      <c r="AB88" s="76"/>
    </row>
    <row r="89" spans="10:28" ht="12.75">
      <c r="J89" s="76"/>
      <c r="M89" s="76"/>
      <c r="P89" s="76"/>
      <c r="S89" s="76"/>
      <c r="V89" s="76"/>
      <c r="Y89" s="76"/>
      <c r="AB89" s="76"/>
    </row>
    <row r="90" spans="10:28" ht="12.75">
      <c r="J90" s="76"/>
      <c r="M90" s="76"/>
      <c r="P90" s="76"/>
      <c r="S90" s="138">
        <f>SUM(R85-S85)</f>
        <v>28905</v>
      </c>
      <c r="V90" s="138">
        <f>SUM(U85-V85)</f>
        <v>60940</v>
      </c>
      <c r="Y90" s="138">
        <f>SUM(X85-Y85)</f>
        <v>-27223</v>
      </c>
      <c r="AB90" s="138"/>
    </row>
    <row r="91" spans="10:28" ht="12.75">
      <c r="J91" s="138"/>
      <c r="M91" s="138"/>
      <c r="P91" s="138"/>
      <c r="S91" s="138"/>
      <c r="V91" s="138"/>
      <c r="Y91" s="138"/>
      <c r="AB91" s="138"/>
    </row>
    <row r="92" spans="24:28" ht="12.75">
      <c r="X92" s="76">
        <v>10000</v>
      </c>
      <c r="Y92" s="76"/>
      <c r="AA92" s="76"/>
      <c r="AB92" s="76"/>
    </row>
    <row r="93" spans="24:28" ht="12.75">
      <c r="X93" s="76">
        <v>13666</v>
      </c>
      <c r="Y93" s="76"/>
      <c r="AA93" s="76"/>
      <c r="AB93" s="76"/>
    </row>
    <row r="94" spans="24:28" ht="12.75">
      <c r="X94" s="76"/>
      <c r="Y94" s="76">
        <v>72389</v>
      </c>
      <c r="AA94" s="76"/>
      <c r="AB94" s="76"/>
    </row>
    <row r="95" spans="24:28" ht="12.75">
      <c r="X95" s="138">
        <f>SUM(X92:X94)</f>
        <v>23666</v>
      </c>
      <c r="Y95" s="138">
        <f>SUM(Y92:Y94)</f>
        <v>72389</v>
      </c>
      <c r="AA95" s="138"/>
      <c r="AB95" s="138"/>
    </row>
    <row r="118" ht="12.75">
      <c r="E118" s="40"/>
    </row>
    <row r="119" ht="12.75">
      <c r="E119" s="40"/>
    </row>
    <row r="120" ht="12.75">
      <c r="E120" s="40"/>
    </row>
    <row r="121" ht="12.75">
      <c r="E121" s="40"/>
    </row>
  </sheetData>
  <sheetProtection/>
  <mergeCells count="36">
    <mergeCell ref="A48:D48"/>
    <mergeCell ref="A34:D34"/>
    <mergeCell ref="A38:D38"/>
    <mergeCell ref="A83:D83"/>
    <mergeCell ref="A84:D84"/>
    <mergeCell ref="A79:D79"/>
    <mergeCell ref="A80:D80"/>
    <mergeCell ref="A81:D81"/>
    <mergeCell ref="A82:D82"/>
    <mergeCell ref="A85:D85"/>
    <mergeCell ref="A67:D67"/>
    <mergeCell ref="A62:D62"/>
    <mergeCell ref="A57:D57"/>
    <mergeCell ref="A74:D74"/>
    <mergeCell ref="A75:D75"/>
    <mergeCell ref="A76:D76"/>
    <mergeCell ref="A77:D77"/>
    <mergeCell ref="A78:D78"/>
    <mergeCell ref="A72:D72"/>
    <mergeCell ref="A71:F71"/>
    <mergeCell ref="A43:D43"/>
    <mergeCell ref="A44:D44"/>
    <mergeCell ref="A45:D45"/>
    <mergeCell ref="A42:G42"/>
    <mergeCell ref="A20:D20"/>
    <mergeCell ref="A29:D29"/>
    <mergeCell ref="A23:D23"/>
    <mergeCell ref="A33:D33"/>
    <mergeCell ref="A51:D51"/>
    <mergeCell ref="A11:D11"/>
    <mergeCell ref="A16:D16"/>
    <mergeCell ref="A5:I5"/>
    <mergeCell ref="A36:D36"/>
    <mergeCell ref="A35:D35"/>
    <mergeCell ref="A15:D15"/>
    <mergeCell ref="A26:D26"/>
  </mergeCells>
  <printOptions horizontalCentered="1"/>
  <pageMargins left="0.5118110236220472" right="0.5118110236220472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J89"/>
  <sheetViews>
    <sheetView zoomScalePageLayoutView="0" workbookViewId="0" topLeftCell="A67">
      <selection activeCell="A1" sqref="A1:AC71"/>
    </sheetView>
  </sheetViews>
  <sheetFormatPr defaultColWidth="9.00390625" defaultRowHeight="12.75"/>
  <cols>
    <col min="1" max="1" width="6.25390625" style="9" customWidth="1"/>
    <col min="2" max="2" width="7.25390625" style="9" bestFit="1" customWidth="1"/>
    <col min="3" max="3" width="5.75390625" style="9" customWidth="1"/>
    <col min="4" max="4" width="27.375" style="9" customWidth="1"/>
    <col min="5" max="5" width="20.75390625" style="0" hidden="1" customWidth="1"/>
    <col min="6" max="6" width="11.375" style="0" hidden="1" customWidth="1"/>
    <col min="7" max="7" width="11.625" style="0" hidden="1" customWidth="1"/>
    <col min="8" max="8" width="11.25390625" style="0" hidden="1" customWidth="1"/>
    <col min="9" max="9" width="11.375" style="0" hidden="1" customWidth="1"/>
    <col min="10" max="10" width="11.625" style="0" hidden="1" customWidth="1"/>
    <col min="11" max="11" width="11.25390625" style="0" hidden="1" customWidth="1"/>
    <col min="12" max="12" width="34.125" style="0" hidden="1" customWidth="1"/>
    <col min="13" max="13" width="11.625" style="0" hidden="1" customWidth="1"/>
    <col min="14" max="14" width="11.25390625" style="0" hidden="1" customWidth="1"/>
    <col min="15" max="15" width="32.375" style="0" hidden="1" customWidth="1"/>
    <col min="16" max="16" width="11.625" style="0" hidden="1" customWidth="1"/>
    <col min="17" max="17" width="11.25390625" style="0" hidden="1" customWidth="1"/>
    <col min="18" max="18" width="32.375" style="0" hidden="1" customWidth="1"/>
    <col min="19" max="19" width="11.625" style="0" hidden="1" customWidth="1"/>
    <col min="20" max="20" width="11.25390625" style="0" hidden="1" customWidth="1"/>
    <col min="21" max="21" width="32.375" style="0" hidden="1" customWidth="1"/>
    <col min="22" max="22" width="11.625" style="0" hidden="1" customWidth="1"/>
    <col min="23" max="23" width="11.25390625" style="0" hidden="1" customWidth="1"/>
    <col min="24" max="24" width="31.75390625" style="0" hidden="1" customWidth="1"/>
    <col min="25" max="25" width="11.625" style="0" hidden="1" customWidth="1"/>
    <col min="26" max="26" width="11.25390625" style="0" customWidth="1"/>
    <col min="27" max="27" width="11.375" style="0" customWidth="1"/>
    <col min="28" max="28" width="11.625" style="0" customWidth="1"/>
    <col min="29" max="29" width="11.25390625" style="0" customWidth="1"/>
  </cols>
  <sheetData>
    <row r="1" spans="4:29" ht="12.75">
      <c r="D1" s="9" t="s">
        <v>433</v>
      </c>
      <c r="E1" s="86" t="s">
        <v>384</v>
      </c>
      <c r="F1" s="86"/>
      <c r="G1" s="86"/>
      <c r="H1" s="86"/>
      <c r="I1" s="160" t="s">
        <v>443</v>
      </c>
      <c r="J1" s="86"/>
      <c r="K1" s="86"/>
      <c r="L1" s="160" t="s">
        <v>557</v>
      </c>
      <c r="M1" s="86"/>
      <c r="N1" s="86"/>
      <c r="O1" s="160" t="s">
        <v>601</v>
      </c>
      <c r="P1" s="86"/>
      <c r="Q1" s="86"/>
      <c r="R1" s="160" t="s">
        <v>653</v>
      </c>
      <c r="S1" s="86"/>
      <c r="T1" s="86"/>
      <c r="U1" s="160" t="s">
        <v>680</v>
      </c>
      <c r="V1" s="86"/>
      <c r="W1" s="86"/>
      <c r="X1" s="160" t="s">
        <v>691</v>
      </c>
      <c r="Y1" s="86"/>
      <c r="Z1" s="86"/>
      <c r="AA1" s="160" t="s">
        <v>719</v>
      </c>
      <c r="AB1" s="86"/>
      <c r="AC1" s="86"/>
    </row>
    <row r="2" spans="4:29" ht="12.75">
      <c r="D2" s="9" t="s">
        <v>291</v>
      </c>
      <c r="E2" s="86" t="s">
        <v>184</v>
      </c>
      <c r="F2" s="86"/>
      <c r="G2" s="86"/>
      <c r="H2" s="86"/>
      <c r="I2" s="160" t="s">
        <v>441</v>
      </c>
      <c r="J2" s="86"/>
      <c r="K2" s="86"/>
      <c r="L2" s="160" t="s">
        <v>553</v>
      </c>
      <c r="M2" s="86"/>
      <c r="N2" s="86"/>
      <c r="O2" s="160" t="s">
        <v>593</v>
      </c>
      <c r="P2" s="86"/>
      <c r="Q2" s="86"/>
      <c r="R2" s="160" t="s">
        <v>652</v>
      </c>
      <c r="S2" s="86"/>
      <c r="T2" s="86"/>
      <c r="U2" s="160" t="s">
        <v>683</v>
      </c>
      <c r="V2" s="86"/>
      <c r="W2" s="86"/>
      <c r="X2" s="160" t="s">
        <v>692</v>
      </c>
      <c r="Y2" s="86"/>
      <c r="Z2" s="86"/>
      <c r="AA2" s="160" t="s">
        <v>694</v>
      </c>
      <c r="AB2" s="86"/>
      <c r="AC2" s="86"/>
    </row>
    <row r="3" spans="5:29" ht="12.75">
      <c r="E3" s="86" t="s">
        <v>385</v>
      </c>
      <c r="F3" s="86"/>
      <c r="G3" s="86"/>
      <c r="H3" s="86"/>
      <c r="I3" s="160" t="s">
        <v>444</v>
      </c>
      <c r="J3" s="86"/>
      <c r="K3" s="86"/>
      <c r="L3" s="160" t="s">
        <v>443</v>
      </c>
      <c r="M3" s="86"/>
      <c r="N3" s="86"/>
      <c r="O3" s="160" t="s">
        <v>557</v>
      </c>
      <c r="P3" s="86"/>
      <c r="Q3" s="86"/>
      <c r="R3" s="160" t="s">
        <v>601</v>
      </c>
      <c r="S3" s="86"/>
      <c r="T3" s="86"/>
      <c r="U3" s="160" t="s">
        <v>653</v>
      </c>
      <c r="V3" s="86"/>
      <c r="W3" s="86"/>
      <c r="X3" s="160" t="s">
        <v>680</v>
      </c>
      <c r="Y3" s="86"/>
      <c r="Z3" s="86"/>
      <c r="AA3" s="160" t="s">
        <v>691</v>
      </c>
      <c r="AB3" s="86"/>
      <c r="AC3" s="86"/>
    </row>
    <row r="4" spans="9:28" ht="12.75">
      <c r="I4" s="160" t="s">
        <v>392</v>
      </c>
      <c r="J4" s="86"/>
      <c r="L4" s="160" t="s">
        <v>441</v>
      </c>
      <c r="M4" s="86"/>
      <c r="O4" s="160" t="s">
        <v>560</v>
      </c>
      <c r="P4" s="86"/>
      <c r="R4" s="160" t="s">
        <v>607</v>
      </c>
      <c r="S4" s="86"/>
      <c r="U4" s="160" t="s">
        <v>666</v>
      </c>
      <c r="V4" s="86"/>
      <c r="X4" s="160" t="s">
        <v>693</v>
      </c>
      <c r="Y4" s="86"/>
      <c r="AA4" s="160" t="s">
        <v>720</v>
      </c>
      <c r="AB4" s="86"/>
    </row>
    <row r="5" spans="1:4" ht="45.75" customHeight="1">
      <c r="A5" s="370" t="s">
        <v>681</v>
      </c>
      <c r="B5" s="370"/>
      <c r="C5" s="370"/>
      <c r="D5" s="370"/>
    </row>
    <row r="6" spans="1:29" s="9" customFormat="1" ht="24.75" customHeight="1">
      <c r="A6" s="17" t="s">
        <v>4</v>
      </c>
      <c r="B6" s="17" t="s">
        <v>5</v>
      </c>
      <c r="C6" s="17" t="s">
        <v>6</v>
      </c>
      <c r="D6" s="23" t="s">
        <v>7</v>
      </c>
      <c r="E6" s="163" t="s">
        <v>166</v>
      </c>
      <c r="F6" s="6" t="s">
        <v>268</v>
      </c>
      <c r="G6" s="6" t="s">
        <v>261</v>
      </c>
      <c r="H6" s="163" t="s">
        <v>169</v>
      </c>
      <c r="I6" s="6" t="s">
        <v>268</v>
      </c>
      <c r="J6" s="6" t="s">
        <v>261</v>
      </c>
      <c r="K6" s="163" t="s">
        <v>169</v>
      </c>
      <c r="L6" s="6" t="s">
        <v>268</v>
      </c>
      <c r="M6" s="6" t="s">
        <v>261</v>
      </c>
      <c r="N6" s="163" t="s">
        <v>169</v>
      </c>
      <c r="O6" s="6" t="s">
        <v>268</v>
      </c>
      <c r="P6" s="6" t="s">
        <v>261</v>
      </c>
      <c r="Q6" s="163" t="s">
        <v>169</v>
      </c>
      <c r="R6" s="6" t="s">
        <v>268</v>
      </c>
      <c r="S6" s="6" t="s">
        <v>261</v>
      </c>
      <c r="T6" s="163" t="s">
        <v>166</v>
      </c>
      <c r="U6" s="6" t="s">
        <v>268</v>
      </c>
      <c r="V6" s="6" t="s">
        <v>261</v>
      </c>
      <c r="W6" s="163" t="s">
        <v>169</v>
      </c>
      <c r="X6" s="6" t="s">
        <v>268</v>
      </c>
      <c r="Y6" s="6" t="s">
        <v>261</v>
      </c>
      <c r="Z6" s="163" t="s">
        <v>169</v>
      </c>
      <c r="AA6" s="6" t="s">
        <v>268</v>
      </c>
      <c r="AB6" s="6" t="s">
        <v>261</v>
      </c>
      <c r="AC6" s="163" t="s">
        <v>276</v>
      </c>
    </row>
    <row r="7" spans="1:29" s="9" customFormat="1" ht="21" customHeight="1">
      <c r="A7" s="49" t="s">
        <v>8</v>
      </c>
      <c r="B7" s="17"/>
      <c r="C7" s="18"/>
      <c r="D7" s="47" t="s">
        <v>9</v>
      </c>
      <c r="E7" s="163"/>
      <c r="F7" s="6"/>
      <c r="G7" s="6"/>
      <c r="H7" s="163"/>
      <c r="I7" s="6"/>
      <c r="J7" s="6"/>
      <c r="K7" s="163"/>
      <c r="L7" s="6"/>
      <c r="M7" s="6"/>
      <c r="N7" s="163"/>
      <c r="O7" s="6"/>
      <c r="P7" s="6"/>
      <c r="Q7" s="242">
        <f aca="true" t="shared" si="0" ref="Q7:AC7">SUM(Q8)</f>
        <v>0</v>
      </c>
      <c r="R7" s="242">
        <f t="shared" si="0"/>
        <v>65571</v>
      </c>
      <c r="S7" s="242">
        <f t="shared" si="0"/>
        <v>0</v>
      </c>
      <c r="T7" s="242">
        <f t="shared" si="0"/>
        <v>65571</v>
      </c>
      <c r="U7" s="242">
        <f t="shared" si="0"/>
        <v>1211</v>
      </c>
      <c r="V7" s="242">
        <f t="shared" si="0"/>
        <v>1211</v>
      </c>
      <c r="W7" s="242">
        <f t="shared" si="0"/>
        <v>65571</v>
      </c>
      <c r="X7" s="242">
        <f t="shared" si="0"/>
        <v>0</v>
      </c>
      <c r="Y7" s="242">
        <f t="shared" si="0"/>
        <v>0</v>
      </c>
      <c r="Z7" s="242">
        <f t="shared" si="0"/>
        <v>65571</v>
      </c>
      <c r="AA7" s="242">
        <f t="shared" si="0"/>
        <v>0</v>
      </c>
      <c r="AB7" s="242">
        <f t="shared" si="0"/>
        <v>0</v>
      </c>
      <c r="AC7" s="242">
        <f t="shared" si="0"/>
        <v>65571</v>
      </c>
    </row>
    <row r="8" spans="1:29" s="37" customFormat="1" ht="19.5" customHeight="1">
      <c r="A8" s="115"/>
      <c r="B8" s="104" t="s">
        <v>661</v>
      </c>
      <c r="C8" s="106"/>
      <c r="D8" s="110" t="s">
        <v>10</v>
      </c>
      <c r="E8" s="311"/>
      <c r="F8" s="323"/>
      <c r="G8" s="323"/>
      <c r="H8" s="311"/>
      <c r="I8" s="323"/>
      <c r="J8" s="323"/>
      <c r="K8" s="311"/>
      <c r="L8" s="323"/>
      <c r="M8" s="323"/>
      <c r="N8" s="311"/>
      <c r="O8" s="323"/>
      <c r="P8" s="323"/>
      <c r="Q8" s="225">
        <f aca="true" t="shared" si="1" ref="Q8:W8">SUM(Q9:Q11)</f>
        <v>0</v>
      </c>
      <c r="R8" s="225">
        <f t="shared" si="1"/>
        <v>65571</v>
      </c>
      <c r="S8" s="225">
        <f t="shared" si="1"/>
        <v>0</v>
      </c>
      <c r="T8" s="225">
        <f t="shared" si="1"/>
        <v>65571</v>
      </c>
      <c r="U8" s="225">
        <f t="shared" si="1"/>
        <v>1211</v>
      </c>
      <c r="V8" s="225">
        <f t="shared" si="1"/>
        <v>1211</v>
      </c>
      <c r="W8" s="225">
        <f t="shared" si="1"/>
        <v>65571</v>
      </c>
      <c r="X8" s="225">
        <f aca="true" t="shared" si="2" ref="X8:AC8">SUM(X9:X11)</f>
        <v>0</v>
      </c>
      <c r="Y8" s="225">
        <f t="shared" si="2"/>
        <v>0</v>
      </c>
      <c r="Z8" s="225">
        <f t="shared" si="2"/>
        <v>65571</v>
      </c>
      <c r="AA8" s="225">
        <f t="shared" si="2"/>
        <v>0</v>
      </c>
      <c r="AB8" s="225">
        <f t="shared" si="2"/>
        <v>0</v>
      </c>
      <c r="AC8" s="225">
        <f t="shared" si="2"/>
        <v>65571</v>
      </c>
    </row>
    <row r="9" spans="1:29" s="37" customFormat="1" ht="20.25" customHeight="1">
      <c r="A9" s="115"/>
      <c r="B9" s="104"/>
      <c r="C9" s="106">
        <v>4210</v>
      </c>
      <c r="D9" s="110" t="s">
        <v>109</v>
      </c>
      <c r="E9" s="311"/>
      <c r="F9" s="323"/>
      <c r="G9" s="323"/>
      <c r="H9" s="311"/>
      <c r="I9" s="323"/>
      <c r="J9" s="323"/>
      <c r="K9" s="311"/>
      <c r="L9" s="323"/>
      <c r="M9" s="323"/>
      <c r="N9" s="311"/>
      <c r="O9" s="323"/>
      <c r="P9" s="323"/>
      <c r="Q9" s="225">
        <v>0</v>
      </c>
      <c r="R9" s="225">
        <v>1311</v>
      </c>
      <c r="S9" s="225"/>
      <c r="T9" s="225">
        <f>Q9+R9-S9</f>
        <v>1311</v>
      </c>
      <c r="U9" s="225"/>
      <c r="V9" s="225">
        <v>1211</v>
      </c>
      <c r="W9" s="225">
        <f>T9+U9-V9</f>
        <v>100</v>
      </c>
      <c r="X9" s="225"/>
      <c r="Y9" s="225"/>
      <c r="Z9" s="225">
        <f>W9+X9-Y9</f>
        <v>100</v>
      </c>
      <c r="AA9" s="225"/>
      <c r="AB9" s="225"/>
      <c r="AC9" s="225">
        <f>Z9+AA9-AB9</f>
        <v>100</v>
      </c>
    </row>
    <row r="10" spans="1:29" s="37" customFormat="1" ht="20.25" customHeight="1">
      <c r="A10" s="115"/>
      <c r="B10" s="104"/>
      <c r="C10" s="105">
        <v>4300</v>
      </c>
      <c r="D10" s="110" t="s">
        <v>96</v>
      </c>
      <c r="E10" s="311"/>
      <c r="F10" s="323"/>
      <c r="G10" s="323"/>
      <c r="H10" s="311"/>
      <c r="I10" s="323"/>
      <c r="J10" s="323"/>
      <c r="K10" s="311"/>
      <c r="L10" s="323"/>
      <c r="M10" s="323"/>
      <c r="N10" s="311"/>
      <c r="O10" s="323"/>
      <c r="P10" s="323"/>
      <c r="Q10" s="225"/>
      <c r="R10" s="225"/>
      <c r="S10" s="225"/>
      <c r="T10" s="225">
        <v>0</v>
      </c>
      <c r="U10" s="225">
        <v>1211</v>
      </c>
      <c r="V10" s="225"/>
      <c r="W10" s="225">
        <f>T10+U10-V10</f>
        <v>1211</v>
      </c>
      <c r="X10" s="225"/>
      <c r="Y10" s="225"/>
      <c r="Z10" s="225">
        <f>W10+X10-Y10</f>
        <v>1211</v>
      </c>
      <c r="AA10" s="225"/>
      <c r="AB10" s="225"/>
      <c r="AC10" s="225">
        <f>Z10+AA10-AB10</f>
        <v>1211</v>
      </c>
    </row>
    <row r="11" spans="1:29" s="37" customFormat="1" ht="22.5" customHeight="1">
      <c r="A11" s="115"/>
      <c r="B11" s="115"/>
      <c r="C11" s="106">
        <v>4430</v>
      </c>
      <c r="D11" s="110" t="s">
        <v>664</v>
      </c>
      <c r="E11" s="311"/>
      <c r="F11" s="323"/>
      <c r="G11" s="323"/>
      <c r="H11" s="311"/>
      <c r="I11" s="323"/>
      <c r="J11" s="323"/>
      <c r="K11" s="311"/>
      <c r="L11" s="323"/>
      <c r="M11" s="323"/>
      <c r="N11" s="311"/>
      <c r="O11" s="323"/>
      <c r="P11" s="323"/>
      <c r="Q11" s="225">
        <v>0</v>
      </c>
      <c r="R11" s="119">
        <f>65571-1311</f>
        <v>64260</v>
      </c>
      <c r="S11" s="119"/>
      <c r="T11" s="225">
        <f>Q11+R11-S11</f>
        <v>64260</v>
      </c>
      <c r="U11" s="119"/>
      <c r="V11" s="119"/>
      <c r="W11" s="225">
        <f>T11+U11-V11</f>
        <v>64260</v>
      </c>
      <c r="X11" s="119"/>
      <c r="Y11" s="119"/>
      <c r="Z11" s="225">
        <f>W11+X11-Y11</f>
        <v>64260</v>
      </c>
      <c r="AA11" s="119"/>
      <c r="AB11" s="119"/>
      <c r="AC11" s="225">
        <f>Z11+AA11-AB11</f>
        <v>64260</v>
      </c>
    </row>
    <row r="12" spans="1:29" s="37" customFormat="1" ht="20.25" customHeight="1">
      <c r="A12" s="49" t="s">
        <v>22</v>
      </c>
      <c r="B12" s="6"/>
      <c r="C12" s="33"/>
      <c r="D12" s="47" t="s">
        <v>23</v>
      </c>
      <c r="E12" s="60">
        <f aca="true" t="shared" si="3" ref="E12:AC12">SUM(E13)</f>
        <v>144800</v>
      </c>
      <c r="F12" s="60">
        <f t="shared" si="3"/>
        <v>0</v>
      </c>
      <c r="G12" s="60">
        <f t="shared" si="3"/>
        <v>0</v>
      </c>
      <c r="H12" s="60">
        <f t="shared" si="3"/>
        <v>144800</v>
      </c>
      <c r="I12" s="60">
        <f t="shared" si="3"/>
        <v>0</v>
      </c>
      <c r="J12" s="60">
        <f t="shared" si="3"/>
        <v>0</v>
      </c>
      <c r="K12" s="60">
        <f t="shared" si="3"/>
        <v>144800</v>
      </c>
      <c r="L12" s="60">
        <f t="shared" si="3"/>
        <v>0</v>
      </c>
      <c r="M12" s="60">
        <f t="shared" si="3"/>
        <v>0</v>
      </c>
      <c r="N12" s="60">
        <f t="shared" si="3"/>
        <v>144800</v>
      </c>
      <c r="O12" s="60">
        <f t="shared" si="3"/>
        <v>0</v>
      </c>
      <c r="P12" s="60">
        <f t="shared" si="3"/>
        <v>0</v>
      </c>
      <c r="Q12" s="60">
        <f t="shared" si="3"/>
        <v>144800</v>
      </c>
      <c r="R12" s="60">
        <f t="shared" si="3"/>
        <v>0</v>
      </c>
      <c r="S12" s="60">
        <f t="shared" si="3"/>
        <v>0</v>
      </c>
      <c r="T12" s="60">
        <f t="shared" si="3"/>
        <v>144800</v>
      </c>
      <c r="U12" s="60">
        <f t="shared" si="3"/>
        <v>17166</v>
      </c>
      <c r="V12" s="60">
        <f t="shared" si="3"/>
        <v>0</v>
      </c>
      <c r="W12" s="60">
        <f t="shared" si="3"/>
        <v>161966</v>
      </c>
      <c r="X12" s="60">
        <f t="shared" si="3"/>
        <v>0</v>
      </c>
      <c r="Y12" s="60">
        <f t="shared" si="3"/>
        <v>0</v>
      </c>
      <c r="Z12" s="60">
        <f t="shared" si="3"/>
        <v>161966</v>
      </c>
      <c r="AA12" s="60">
        <f t="shared" si="3"/>
        <v>211</v>
      </c>
      <c r="AB12" s="60">
        <f t="shared" si="3"/>
        <v>211</v>
      </c>
      <c r="AC12" s="60">
        <f t="shared" si="3"/>
        <v>161966</v>
      </c>
    </row>
    <row r="13" spans="1:29" s="37" customFormat="1" ht="24.75" customHeight="1">
      <c r="A13" s="104"/>
      <c r="B13" s="104">
        <v>75011</v>
      </c>
      <c r="C13" s="113"/>
      <c r="D13" s="110" t="s">
        <v>24</v>
      </c>
      <c r="E13" s="126">
        <f aca="true" t="shared" si="4" ref="E13:K13">SUM(E14:E18)</f>
        <v>144800</v>
      </c>
      <c r="F13" s="126">
        <f t="shared" si="4"/>
        <v>0</v>
      </c>
      <c r="G13" s="126">
        <f t="shared" si="4"/>
        <v>0</v>
      </c>
      <c r="H13" s="126">
        <f t="shared" si="4"/>
        <v>144800</v>
      </c>
      <c r="I13" s="126">
        <f t="shared" si="4"/>
        <v>0</v>
      </c>
      <c r="J13" s="126">
        <f t="shared" si="4"/>
        <v>0</v>
      </c>
      <c r="K13" s="126">
        <f t="shared" si="4"/>
        <v>144800</v>
      </c>
      <c r="L13" s="126">
        <f aca="true" t="shared" si="5" ref="L13:Q13">SUM(L14:L18)</f>
        <v>0</v>
      </c>
      <c r="M13" s="126">
        <f t="shared" si="5"/>
        <v>0</v>
      </c>
      <c r="N13" s="126">
        <f t="shared" si="5"/>
        <v>144800</v>
      </c>
      <c r="O13" s="126">
        <f t="shared" si="5"/>
        <v>0</v>
      </c>
      <c r="P13" s="126">
        <f t="shared" si="5"/>
        <v>0</v>
      </c>
      <c r="Q13" s="126">
        <f t="shared" si="5"/>
        <v>144800</v>
      </c>
      <c r="R13" s="126">
        <f aca="true" t="shared" si="6" ref="R13:W13">SUM(R14:R18)</f>
        <v>0</v>
      </c>
      <c r="S13" s="126">
        <f t="shared" si="6"/>
        <v>0</v>
      </c>
      <c r="T13" s="126">
        <f t="shared" si="6"/>
        <v>144800</v>
      </c>
      <c r="U13" s="126">
        <f t="shared" si="6"/>
        <v>17166</v>
      </c>
      <c r="V13" s="126">
        <f t="shared" si="6"/>
        <v>0</v>
      </c>
      <c r="W13" s="126">
        <f t="shared" si="6"/>
        <v>161966</v>
      </c>
      <c r="X13" s="126">
        <f aca="true" t="shared" si="7" ref="X13:AC13">SUM(X14:X18)</f>
        <v>0</v>
      </c>
      <c r="Y13" s="126">
        <f t="shared" si="7"/>
        <v>0</v>
      </c>
      <c r="Z13" s="126">
        <f t="shared" si="7"/>
        <v>161966</v>
      </c>
      <c r="AA13" s="126">
        <f t="shared" si="7"/>
        <v>211</v>
      </c>
      <c r="AB13" s="126">
        <f t="shared" si="7"/>
        <v>211</v>
      </c>
      <c r="AC13" s="126">
        <f t="shared" si="7"/>
        <v>161966</v>
      </c>
    </row>
    <row r="14" spans="1:29" s="37" customFormat="1" ht="21.75" customHeight="1">
      <c r="A14" s="104"/>
      <c r="B14" s="74"/>
      <c r="C14" s="105">
        <v>4010</v>
      </c>
      <c r="D14" s="110" t="s">
        <v>101</v>
      </c>
      <c r="E14" s="126">
        <v>102150</v>
      </c>
      <c r="F14" s="126"/>
      <c r="G14" s="126"/>
      <c r="H14" s="126">
        <f>SUM(E14+F14-G14)</f>
        <v>102150</v>
      </c>
      <c r="I14" s="126"/>
      <c r="J14" s="126"/>
      <c r="K14" s="126">
        <f>SUM(H14+I14-J14)</f>
        <v>102150</v>
      </c>
      <c r="L14" s="126"/>
      <c r="M14" s="126"/>
      <c r="N14" s="126">
        <f>SUM(K14+L14-M14)</f>
        <v>102150</v>
      </c>
      <c r="O14" s="126"/>
      <c r="P14" s="126"/>
      <c r="Q14" s="126">
        <f>SUM(N14+O14-P14)</f>
        <v>102150</v>
      </c>
      <c r="R14" s="126"/>
      <c r="S14" s="126"/>
      <c r="T14" s="126">
        <f>SUM(Q14+R14-S14)</f>
        <v>102150</v>
      </c>
      <c r="U14" s="126">
        <v>17166</v>
      </c>
      <c r="V14" s="126"/>
      <c r="W14" s="126">
        <f>SUM(T14+U14-V14)</f>
        <v>119316</v>
      </c>
      <c r="X14" s="126"/>
      <c r="Y14" s="126"/>
      <c r="Z14" s="126">
        <f>SUM(W14+X14-Y14)</f>
        <v>119316</v>
      </c>
      <c r="AA14" s="126"/>
      <c r="AB14" s="126">
        <v>8</v>
      </c>
      <c r="AC14" s="126">
        <f>SUM(Z14+AA14-AB14)</f>
        <v>119308</v>
      </c>
    </row>
    <row r="15" spans="1:29" s="37" customFormat="1" ht="21.75" customHeight="1">
      <c r="A15" s="104"/>
      <c r="B15" s="74"/>
      <c r="C15" s="105">
        <v>4040</v>
      </c>
      <c r="D15" s="110" t="s">
        <v>102</v>
      </c>
      <c r="E15" s="126">
        <v>16000</v>
      </c>
      <c r="F15" s="126"/>
      <c r="G15" s="126"/>
      <c r="H15" s="126">
        <f>SUM(E15+F15-G15)</f>
        <v>16000</v>
      </c>
      <c r="I15" s="126"/>
      <c r="J15" s="126"/>
      <c r="K15" s="126">
        <f>SUM(H15+I15-J15)</f>
        <v>16000</v>
      </c>
      <c r="L15" s="126"/>
      <c r="M15" s="126"/>
      <c r="N15" s="126">
        <f>SUM(K15+L15-M15)</f>
        <v>16000</v>
      </c>
      <c r="O15" s="126"/>
      <c r="P15" s="126"/>
      <c r="Q15" s="126">
        <f>SUM(N15+O15-P15)</f>
        <v>16000</v>
      </c>
      <c r="R15" s="126"/>
      <c r="S15" s="126"/>
      <c r="T15" s="126">
        <f>SUM(Q15+R15-S15)</f>
        <v>16000</v>
      </c>
      <c r="U15" s="126"/>
      <c r="V15" s="126"/>
      <c r="W15" s="126">
        <f>SUM(T15+U15-V15)</f>
        <v>16000</v>
      </c>
      <c r="X15" s="126"/>
      <c r="Y15" s="126"/>
      <c r="Z15" s="126">
        <f>SUM(W15+X15-Y15)</f>
        <v>16000</v>
      </c>
      <c r="AA15" s="126"/>
      <c r="AB15" s="126">
        <v>203</v>
      </c>
      <c r="AC15" s="126">
        <f>SUM(Z15+AA15-AB15)</f>
        <v>15797</v>
      </c>
    </row>
    <row r="16" spans="1:29" s="37" customFormat="1" ht="21.75" customHeight="1">
      <c r="A16" s="104"/>
      <c r="B16" s="74"/>
      <c r="C16" s="105">
        <v>4110</v>
      </c>
      <c r="D16" s="110" t="s">
        <v>103</v>
      </c>
      <c r="E16" s="126">
        <v>17500</v>
      </c>
      <c r="F16" s="126"/>
      <c r="G16" s="126"/>
      <c r="H16" s="126">
        <f>SUM(E16+F16-G16)</f>
        <v>17500</v>
      </c>
      <c r="I16" s="126"/>
      <c r="J16" s="126"/>
      <c r="K16" s="126">
        <f>SUM(H16+I16-J16)</f>
        <v>17500</v>
      </c>
      <c r="L16" s="126"/>
      <c r="M16" s="126"/>
      <c r="N16" s="126">
        <f>SUM(K16+L16-M16)</f>
        <v>17500</v>
      </c>
      <c r="O16" s="126"/>
      <c r="P16" s="126"/>
      <c r="Q16" s="126">
        <f>SUM(N16+O16-P16)</f>
        <v>17500</v>
      </c>
      <c r="R16" s="126"/>
      <c r="S16" s="126"/>
      <c r="T16" s="126">
        <f>SUM(Q16+R16-S16)</f>
        <v>17500</v>
      </c>
      <c r="U16" s="126"/>
      <c r="V16" s="126"/>
      <c r="W16" s="126">
        <f>SUM(T16+U16-V16)</f>
        <v>17500</v>
      </c>
      <c r="X16" s="126"/>
      <c r="Y16" s="126"/>
      <c r="Z16" s="126">
        <f>SUM(W16+X16-Y16)</f>
        <v>17500</v>
      </c>
      <c r="AA16" s="126"/>
      <c r="AB16" s="126"/>
      <c r="AC16" s="126">
        <f>SUM(Z16+AA16-AB16)</f>
        <v>17500</v>
      </c>
    </row>
    <row r="17" spans="1:29" s="37" customFormat="1" ht="21.75" customHeight="1">
      <c r="A17" s="104"/>
      <c r="B17" s="74"/>
      <c r="C17" s="105">
        <v>4120</v>
      </c>
      <c r="D17" s="110" t="s">
        <v>104</v>
      </c>
      <c r="E17" s="126">
        <v>2500</v>
      </c>
      <c r="F17" s="126"/>
      <c r="G17" s="126"/>
      <c r="H17" s="126">
        <f>SUM(E17+F17-G17)</f>
        <v>2500</v>
      </c>
      <c r="I17" s="126"/>
      <c r="J17" s="126"/>
      <c r="K17" s="126">
        <f>SUM(H17+I17-J17)</f>
        <v>2500</v>
      </c>
      <c r="L17" s="126"/>
      <c r="M17" s="126"/>
      <c r="N17" s="126">
        <f>SUM(K17+L17-M17)</f>
        <v>2500</v>
      </c>
      <c r="O17" s="126"/>
      <c r="P17" s="126"/>
      <c r="Q17" s="126">
        <f>SUM(N17+O17-P17)</f>
        <v>2500</v>
      </c>
      <c r="R17" s="126"/>
      <c r="S17" s="126"/>
      <c r="T17" s="126">
        <f>SUM(Q17+R17-S17)</f>
        <v>2500</v>
      </c>
      <c r="U17" s="126"/>
      <c r="V17" s="126"/>
      <c r="W17" s="126">
        <f>SUM(T17+U17-V17)</f>
        <v>2500</v>
      </c>
      <c r="X17" s="126"/>
      <c r="Y17" s="126"/>
      <c r="Z17" s="126">
        <f>SUM(W17+X17-Y17)</f>
        <v>2500</v>
      </c>
      <c r="AA17" s="126"/>
      <c r="AB17" s="126"/>
      <c r="AC17" s="126">
        <f>SUM(Z17+AA17-AB17)</f>
        <v>2500</v>
      </c>
    </row>
    <row r="18" spans="1:29" s="37" customFormat="1" ht="26.25" customHeight="1">
      <c r="A18" s="104"/>
      <c r="B18" s="74"/>
      <c r="C18" s="106">
        <v>4440</v>
      </c>
      <c r="D18" s="110" t="s">
        <v>105</v>
      </c>
      <c r="E18" s="126">
        <v>6650</v>
      </c>
      <c r="F18" s="126"/>
      <c r="G18" s="126"/>
      <c r="H18" s="126">
        <f>SUM(E18+F18-G18)</f>
        <v>6650</v>
      </c>
      <c r="I18" s="126"/>
      <c r="J18" s="126"/>
      <c r="K18" s="126">
        <f>SUM(H18+I18-J18)</f>
        <v>6650</v>
      </c>
      <c r="L18" s="126"/>
      <c r="M18" s="126"/>
      <c r="N18" s="126">
        <f>SUM(K18+L18-M18)</f>
        <v>6650</v>
      </c>
      <c r="O18" s="126"/>
      <c r="P18" s="126"/>
      <c r="Q18" s="126">
        <f>SUM(N18+O18-P18)</f>
        <v>6650</v>
      </c>
      <c r="R18" s="126"/>
      <c r="S18" s="126"/>
      <c r="T18" s="126">
        <f>SUM(Q18+R18-S18)</f>
        <v>6650</v>
      </c>
      <c r="U18" s="126"/>
      <c r="V18" s="126"/>
      <c r="W18" s="126">
        <f>SUM(T18+U18-V18)</f>
        <v>6650</v>
      </c>
      <c r="X18" s="126"/>
      <c r="Y18" s="126"/>
      <c r="Z18" s="126">
        <f>SUM(W18+X18-Y18)</f>
        <v>6650</v>
      </c>
      <c r="AA18" s="126">
        <v>211</v>
      </c>
      <c r="AB18" s="126"/>
      <c r="AC18" s="126">
        <f>SUM(Z18+AA18-AB18)</f>
        <v>6861</v>
      </c>
    </row>
    <row r="19" spans="1:29" s="37" customFormat="1" ht="48" customHeight="1">
      <c r="A19" s="49">
        <v>751</v>
      </c>
      <c r="B19" s="6"/>
      <c r="C19" s="33"/>
      <c r="D19" s="47" t="s">
        <v>27</v>
      </c>
      <c r="E19" s="60">
        <f aca="true" t="shared" si="8" ref="E19:M19">E20</f>
        <v>3930</v>
      </c>
      <c r="F19" s="60">
        <f t="shared" si="8"/>
        <v>0</v>
      </c>
      <c r="G19" s="60">
        <f t="shared" si="8"/>
        <v>100</v>
      </c>
      <c r="H19" s="60">
        <f t="shared" si="8"/>
        <v>3830</v>
      </c>
      <c r="I19" s="60">
        <f t="shared" si="8"/>
        <v>0</v>
      </c>
      <c r="J19" s="60">
        <f t="shared" si="8"/>
        <v>0</v>
      </c>
      <c r="K19" s="60">
        <f t="shared" si="8"/>
        <v>3830</v>
      </c>
      <c r="L19" s="60">
        <f t="shared" si="8"/>
        <v>0</v>
      </c>
      <c r="M19" s="60">
        <f t="shared" si="8"/>
        <v>0</v>
      </c>
      <c r="N19" s="60">
        <f aca="true" t="shared" si="9" ref="N19:T19">SUM(N20,N23)</f>
        <v>3830</v>
      </c>
      <c r="O19" s="60">
        <f t="shared" si="9"/>
        <v>79240</v>
      </c>
      <c r="P19" s="60">
        <f t="shared" si="9"/>
        <v>0</v>
      </c>
      <c r="Q19" s="60">
        <f t="shared" si="9"/>
        <v>83070</v>
      </c>
      <c r="R19" s="60">
        <f t="shared" si="9"/>
        <v>0</v>
      </c>
      <c r="S19" s="60">
        <f t="shared" si="9"/>
        <v>0</v>
      </c>
      <c r="T19" s="60">
        <f t="shared" si="9"/>
        <v>83070</v>
      </c>
      <c r="U19" s="60">
        <f aca="true" t="shared" si="10" ref="U19:Z19">SUM(U20,U23)</f>
        <v>2016</v>
      </c>
      <c r="V19" s="60">
        <f t="shared" si="10"/>
        <v>2016</v>
      </c>
      <c r="W19" s="60">
        <f t="shared" si="10"/>
        <v>83070</v>
      </c>
      <c r="X19" s="60">
        <f t="shared" si="10"/>
        <v>248</v>
      </c>
      <c r="Y19" s="60">
        <f t="shared" si="10"/>
        <v>248</v>
      </c>
      <c r="Z19" s="60">
        <f t="shared" si="10"/>
        <v>83070</v>
      </c>
      <c r="AA19" s="60">
        <f>SUM(AA20,AA23)</f>
        <v>255</v>
      </c>
      <c r="AB19" s="60">
        <f>SUM(AB20,AB23)</f>
        <v>255</v>
      </c>
      <c r="AC19" s="60">
        <f>SUM(AC20,AC23)</f>
        <v>83070</v>
      </c>
    </row>
    <row r="20" spans="1:29" s="37" customFormat="1" ht="39" customHeight="1">
      <c r="A20" s="74"/>
      <c r="B20" s="104">
        <v>75101</v>
      </c>
      <c r="C20" s="113"/>
      <c r="D20" s="110" t="s">
        <v>28</v>
      </c>
      <c r="E20" s="126">
        <f aca="true" t="shared" si="11" ref="E20:K20">SUM(E21:E22)</f>
        <v>3930</v>
      </c>
      <c r="F20" s="126">
        <f t="shared" si="11"/>
        <v>0</v>
      </c>
      <c r="G20" s="126">
        <f t="shared" si="11"/>
        <v>100</v>
      </c>
      <c r="H20" s="126">
        <f t="shared" si="11"/>
        <v>3830</v>
      </c>
      <c r="I20" s="126">
        <f t="shared" si="11"/>
        <v>0</v>
      </c>
      <c r="J20" s="126">
        <f t="shared" si="11"/>
        <v>0</v>
      </c>
      <c r="K20" s="126">
        <f t="shared" si="11"/>
        <v>3830</v>
      </c>
      <c r="L20" s="126">
        <f aca="true" t="shared" si="12" ref="L20:Q20">SUM(L21:L22)</f>
        <v>0</v>
      </c>
      <c r="M20" s="126">
        <f t="shared" si="12"/>
        <v>0</v>
      </c>
      <c r="N20" s="126">
        <f t="shared" si="12"/>
        <v>3830</v>
      </c>
      <c r="O20" s="126">
        <f t="shared" si="12"/>
        <v>0</v>
      </c>
      <c r="P20" s="126">
        <f t="shared" si="12"/>
        <v>0</v>
      </c>
      <c r="Q20" s="126">
        <f t="shared" si="12"/>
        <v>3830</v>
      </c>
      <c r="R20" s="126">
        <f aca="true" t="shared" si="13" ref="R20:W20">SUM(R21:R22)</f>
        <v>0</v>
      </c>
      <c r="S20" s="126">
        <f t="shared" si="13"/>
        <v>0</v>
      </c>
      <c r="T20" s="126">
        <f t="shared" si="13"/>
        <v>3830</v>
      </c>
      <c r="U20" s="126">
        <f t="shared" si="13"/>
        <v>657</v>
      </c>
      <c r="V20" s="126">
        <f t="shared" si="13"/>
        <v>657</v>
      </c>
      <c r="W20" s="126">
        <f t="shared" si="13"/>
        <v>3830</v>
      </c>
      <c r="X20" s="126">
        <f aca="true" t="shared" si="14" ref="X20:AC20">SUM(X21:X22)</f>
        <v>0</v>
      </c>
      <c r="Y20" s="126">
        <f t="shared" si="14"/>
        <v>0</v>
      </c>
      <c r="Z20" s="126">
        <f t="shared" si="14"/>
        <v>3830</v>
      </c>
      <c r="AA20" s="126">
        <f t="shared" si="14"/>
        <v>0</v>
      </c>
      <c r="AB20" s="126">
        <f t="shared" si="14"/>
        <v>0</v>
      </c>
      <c r="AC20" s="126">
        <f t="shared" si="14"/>
        <v>3830</v>
      </c>
    </row>
    <row r="21" spans="1:29" s="37" customFormat="1" ht="21.75" customHeight="1">
      <c r="A21" s="74"/>
      <c r="B21" s="104"/>
      <c r="C21" s="105">
        <v>4210</v>
      </c>
      <c r="D21" s="110" t="s">
        <v>109</v>
      </c>
      <c r="E21" s="126">
        <v>1930</v>
      </c>
      <c r="F21" s="126"/>
      <c r="G21" s="126">
        <v>100</v>
      </c>
      <c r="H21" s="126">
        <f>SUM(E21+F21-G21)</f>
        <v>1830</v>
      </c>
      <c r="I21" s="126"/>
      <c r="J21" s="126"/>
      <c r="K21" s="126">
        <f>SUM(H21+I21-J21)</f>
        <v>1830</v>
      </c>
      <c r="L21" s="126"/>
      <c r="M21" s="126"/>
      <c r="N21" s="126">
        <f>SUM(K21+L21-M21)</f>
        <v>1830</v>
      </c>
      <c r="O21" s="126"/>
      <c r="P21" s="126"/>
      <c r="Q21" s="126">
        <f>SUM(N21+O21-P21)</f>
        <v>1830</v>
      </c>
      <c r="R21" s="126"/>
      <c r="S21" s="126"/>
      <c r="T21" s="126">
        <f>SUM(Q21+R21-S21)</f>
        <v>1830</v>
      </c>
      <c r="U21" s="126">
        <v>657</v>
      </c>
      <c r="V21" s="126"/>
      <c r="W21" s="126">
        <f>SUM(T21+U21-V21)</f>
        <v>2487</v>
      </c>
      <c r="X21" s="126"/>
      <c r="Y21" s="126"/>
      <c r="Z21" s="126">
        <f>SUM(W21+X21-Y21)</f>
        <v>2487</v>
      </c>
      <c r="AA21" s="126"/>
      <c r="AB21" s="126"/>
      <c r="AC21" s="126">
        <f>SUM(Z21+AA21-AB21)</f>
        <v>2487</v>
      </c>
    </row>
    <row r="22" spans="1:29" s="37" customFormat="1" ht="21.75" customHeight="1">
      <c r="A22" s="74"/>
      <c r="B22" s="104"/>
      <c r="C22" s="105">
        <v>4300</v>
      </c>
      <c r="D22" s="110" t="s">
        <v>96</v>
      </c>
      <c r="E22" s="126">
        <v>2000</v>
      </c>
      <c r="F22" s="126"/>
      <c r="G22" s="126"/>
      <c r="H22" s="126">
        <f>SUM(E22+F22-G22)</f>
        <v>2000</v>
      </c>
      <c r="I22" s="126"/>
      <c r="J22" s="126"/>
      <c r="K22" s="126">
        <f>SUM(H22+I22-J22)</f>
        <v>2000</v>
      </c>
      <c r="L22" s="126"/>
      <c r="M22" s="126"/>
      <c r="N22" s="126">
        <f>SUM(K22+L22-M22)</f>
        <v>2000</v>
      </c>
      <c r="O22" s="126"/>
      <c r="P22" s="126"/>
      <c r="Q22" s="126">
        <f>SUM(N22+O22-P22)</f>
        <v>2000</v>
      </c>
      <c r="R22" s="126"/>
      <c r="S22" s="126"/>
      <c r="T22" s="126">
        <f>SUM(Q22+R22-S22)</f>
        <v>2000</v>
      </c>
      <c r="U22" s="126"/>
      <c r="V22" s="126">
        <v>657</v>
      </c>
      <c r="W22" s="126">
        <f>SUM(T22+U22-V22)</f>
        <v>1343</v>
      </c>
      <c r="X22" s="126"/>
      <c r="Y22" s="126"/>
      <c r="Z22" s="126">
        <f>SUM(W22+X22-Y22)</f>
        <v>1343</v>
      </c>
      <c r="AA22" s="126"/>
      <c r="AB22" s="126"/>
      <c r="AC22" s="126">
        <f>SUM(Z22+AA22-AB22)</f>
        <v>1343</v>
      </c>
    </row>
    <row r="23" spans="1:29" s="37" customFormat="1" ht="67.5">
      <c r="A23" s="74"/>
      <c r="B23" s="104">
        <v>75109</v>
      </c>
      <c r="C23" s="105"/>
      <c r="D23" s="110" t="s">
        <v>595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6">
        <f aca="true" t="shared" si="15" ref="N23:T23">SUM(N24:N32)</f>
        <v>0</v>
      </c>
      <c r="O23" s="126">
        <f t="shared" si="15"/>
        <v>79240</v>
      </c>
      <c r="P23" s="126">
        <f t="shared" si="15"/>
        <v>0</v>
      </c>
      <c r="Q23" s="126">
        <f t="shared" si="15"/>
        <v>79240</v>
      </c>
      <c r="R23" s="126">
        <f t="shared" si="15"/>
        <v>0</v>
      </c>
      <c r="S23" s="126">
        <f t="shared" si="15"/>
        <v>0</v>
      </c>
      <c r="T23" s="126">
        <f t="shared" si="15"/>
        <v>79240</v>
      </c>
      <c r="U23" s="126">
        <f aca="true" t="shared" si="16" ref="U23:Z23">SUM(U24:U32)</f>
        <v>1359</v>
      </c>
      <c r="V23" s="126">
        <f t="shared" si="16"/>
        <v>1359</v>
      </c>
      <c r="W23" s="126">
        <f t="shared" si="16"/>
        <v>79240</v>
      </c>
      <c r="X23" s="126">
        <f t="shared" si="16"/>
        <v>248</v>
      </c>
      <c r="Y23" s="126">
        <f t="shared" si="16"/>
        <v>248</v>
      </c>
      <c r="Z23" s="126">
        <f t="shared" si="16"/>
        <v>79240</v>
      </c>
      <c r="AA23" s="126">
        <f>SUM(AA24:AA32)</f>
        <v>255</v>
      </c>
      <c r="AB23" s="126">
        <f>SUM(AB24:AB32)</f>
        <v>255</v>
      </c>
      <c r="AC23" s="126">
        <f>SUM(AC24:AC32)</f>
        <v>79240</v>
      </c>
    </row>
    <row r="24" spans="1:29" s="37" customFormat="1" ht="23.25" customHeight="1">
      <c r="A24" s="74"/>
      <c r="B24" s="104"/>
      <c r="C24" s="98">
        <v>3030</v>
      </c>
      <c r="D24" s="56" t="s">
        <v>106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>
        <v>0</v>
      </c>
      <c r="O24" s="126">
        <v>46040</v>
      </c>
      <c r="P24" s="126"/>
      <c r="Q24" s="126">
        <f aca="true" t="shared" si="17" ref="Q24:Q32">SUM(N24+O24-P24)</f>
        <v>46040</v>
      </c>
      <c r="R24" s="126"/>
      <c r="S24" s="126"/>
      <c r="T24" s="126">
        <f aca="true" t="shared" si="18" ref="T24:T32">SUM(Q24+R24-S24)</f>
        <v>46040</v>
      </c>
      <c r="U24" s="126"/>
      <c r="V24" s="126"/>
      <c r="W24" s="126">
        <f aca="true" t="shared" si="19" ref="W24:W32">SUM(T24+U24-V24)</f>
        <v>46040</v>
      </c>
      <c r="X24" s="126"/>
      <c r="Y24" s="126"/>
      <c r="Z24" s="126">
        <f aca="true" t="shared" si="20" ref="Z24:Z32">SUM(W24+X24-Y24)</f>
        <v>46040</v>
      </c>
      <c r="AA24" s="126"/>
      <c r="AB24" s="126"/>
      <c r="AC24" s="126">
        <f aca="true" t="shared" si="21" ref="AC24:AC32">SUM(Z24+AA24-AB24)</f>
        <v>46040</v>
      </c>
    </row>
    <row r="25" spans="1:29" s="37" customFormat="1" ht="23.25" customHeight="1">
      <c r="A25" s="74"/>
      <c r="B25" s="104"/>
      <c r="C25" s="98">
        <v>4110</v>
      </c>
      <c r="D25" s="56" t="s">
        <v>103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>
        <v>0</v>
      </c>
      <c r="O25" s="126">
        <v>1384</v>
      </c>
      <c r="P25" s="126"/>
      <c r="Q25" s="126">
        <f t="shared" si="17"/>
        <v>1384</v>
      </c>
      <c r="R25" s="126"/>
      <c r="S25" s="126"/>
      <c r="T25" s="126">
        <f t="shared" si="18"/>
        <v>1384</v>
      </c>
      <c r="U25" s="126"/>
      <c r="V25" s="126"/>
      <c r="W25" s="126">
        <f t="shared" si="19"/>
        <v>1384</v>
      </c>
      <c r="X25" s="126"/>
      <c r="Y25" s="126"/>
      <c r="Z25" s="126">
        <f t="shared" si="20"/>
        <v>1384</v>
      </c>
      <c r="AA25" s="126"/>
      <c r="AB25" s="126">
        <v>229</v>
      </c>
      <c r="AC25" s="126">
        <f t="shared" si="21"/>
        <v>1155</v>
      </c>
    </row>
    <row r="26" spans="1:29" s="37" customFormat="1" ht="21.75" customHeight="1">
      <c r="A26" s="74"/>
      <c r="B26" s="104"/>
      <c r="C26" s="98">
        <v>4120</v>
      </c>
      <c r="D26" s="56" t="s">
        <v>302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>
        <v>0</v>
      </c>
      <c r="O26" s="126">
        <v>197</v>
      </c>
      <c r="P26" s="126"/>
      <c r="Q26" s="126">
        <f t="shared" si="17"/>
        <v>197</v>
      </c>
      <c r="R26" s="126"/>
      <c r="S26" s="126"/>
      <c r="T26" s="126">
        <f t="shared" si="18"/>
        <v>197</v>
      </c>
      <c r="U26" s="126"/>
      <c r="V26" s="126"/>
      <c r="W26" s="126">
        <f t="shared" si="19"/>
        <v>197</v>
      </c>
      <c r="X26" s="126"/>
      <c r="Y26" s="126"/>
      <c r="Z26" s="126">
        <f t="shared" si="20"/>
        <v>197</v>
      </c>
      <c r="AA26" s="126"/>
      <c r="AB26" s="126">
        <v>26</v>
      </c>
      <c r="AC26" s="126">
        <f t="shared" si="21"/>
        <v>171</v>
      </c>
    </row>
    <row r="27" spans="1:29" s="37" customFormat="1" ht="21.75" customHeight="1">
      <c r="A27" s="74"/>
      <c r="B27" s="104"/>
      <c r="C27" s="98">
        <v>4170</v>
      </c>
      <c r="D27" s="56" t="s">
        <v>252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>
        <v>12500</v>
      </c>
      <c r="P27" s="126"/>
      <c r="Q27" s="126">
        <f t="shared" si="17"/>
        <v>12500</v>
      </c>
      <c r="R27" s="126"/>
      <c r="S27" s="126"/>
      <c r="T27" s="126">
        <f t="shared" si="18"/>
        <v>12500</v>
      </c>
      <c r="U27" s="126"/>
      <c r="V27" s="126"/>
      <c r="W27" s="126">
        <f t="shared" si="19"/>
        <v>12500</v>
      </c>
      <c r="X27" s="126"/>
      <c r="Y27" s="126"/>
      <c r="Z27" s="126">
        <f t="shared" si="20"/>
        <v>12500</v>
      </c>
      <c r="AA27" s="126"/>
      <c r="AB27" s="126"/>
      <c r="AC27" s="126">
        <f t="shared" si="21"/>
        <v>12500</v>
      </c>
    </row>
    <row r="28" spans="1:29" s="37" customFormat="1" ht="21.75" customHeight="1">
      <c r="A28" s="74"/>
      <c r="B28" s="104"/>
      <c r="C28" s="98">
        <v>4210</v>
      </c>
      <c r="D28" s="56" t="s">
        <v>109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>
        <v>0</v>
      </c>
      <c r="O28" s="126">
        <v>8749</v>
      </c>
      <c r="P28" s="126"/>
      <c r="Q28" s="126">
        <f t="shared" si="17"/>
        <v>8749</v>
      </c>
      <c r="R28" s="126"/>
      <c r="S28" s="126"/>
      <c r="T28" s="126">
        <f t="shared" si="18"/>
        <v>8749</v>
      </c>
      <c r="U28" s="126"/>
      <c r="V28" s="126"/>
      <c r="W28" s="126">
        <f t="shared" si="19"/>
        <v>8749</v>
      </c>
      <c r="X28" s="126"/>
      <c r="Y28" s="126">
        <v>248</v>
      </c>
      <c r="Z28" s="126">
        <f t="shared" si="20"/>
        <v>8501</v>
      </c>
      <c r="AA28" s="126">
        <v>167</v>
      </c>
      <c r="AB28" s="126"/>
      <c r="AC28" s="126">
        <f t="shared" si="21"/>
        <v>8668</v>
      </c>
    </row>
    <row r="29" spans="1:29" s="37" customFormat="1" ht="21.75" customHeight="1">
      <c r="A29" s="74"/>
      <c r="B29" s="104"/>
      <c r="C29" s="98">
        <v>4260</v>
      </c>
      <c r="D29" s="56" t="s">
        <v>112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>
        <v>0</v>
      </c>
      <c r="X29" s="126">
        <v>42</v>
      </c>
      <c r="Y29" s="126"/>
      <c r="Z29" s="126">
        <f t="shared" si="20"/>
        <v>42</v>
      </c>
      <c r="AA29" s="126"/>
      <c r="AB29" s="126"/>
      <c r="AC29" s="126">
        <f t="shared" si="21"/>
        <v>42</v>
      </c>
    </row>
    <row r="30" spans="1:29" s="37" customFormat="1" ht="21.75" customHeight="1">
      <c r="A30" s="74"/>
      <c r="B30" s="104"/>
      <c r="C30" s="98">
        <v>4270</v>
      </c>
      <c r="D30" s="56" t="s">
        <v>95</v>
      </c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>
        <v>0</v>
      </c>
      <c r="U30" s="126">
        <v>251</v>
      </c>
      <c r="V30" s="126"/>
      <c r="W30" s="126">
        <f t="shared" si="19"/>
        <v>251</v>
      </c>
      <c r="X30" s="126"/>
      <c r="Y30" s="126"/>
      <c r="Z30" s="126">
        <f t="shared" si="20"/>
        <v>251</v>
      </c>
      <c r="AA30" s="126"/>
      <c r="AB30" s="126"/>
      <c r="AC30" s="126">
        <f t="shared" si="21"/>
        <v>251</v>
      </c>
    </row>
    <row r="31" spans="1:29" s="37" customFormat="1" ht="21.75" customHeight="1">
      <c r="A31" s="74"/>
      <c r="B31" s="104"/>
      <c r="C31" s="98">
        <v>4300</v>
      </c>
      <c r="D31" s="56" t="s">
        <v>96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>
        <v>0</v>
      </c>
      <c r="O31" s="126">
        <v>7070</v>
      </c>
      <c r="P31" s="126"/>
      <c r="Q31" s="126">
        <f t="shared" si="17"/>
        <v>7070</v>
      </c>
      <c r="R31" s="126"/>
      <c r="S31" s="126"/>
      <c r="T31" s="126">
        <f t="shared" si="18"/>
        <v>7070</v>
      </c>
      <c r="U31" s="126">
        <v>1108</v>
      </c>
      <c r="V31" s="126"/>
      <c r="W31" s="126">
        <f t="shared" si="19"/>
        <v>8178</v>
      </c>
      <c r="X31" s="126"/>
      <c r="Y31" s="126"/>
      <c r="Z31" s="126">
        <f t="shared" si="20"/>
        <v>8178</v>
      </c>
      <c r="AA31" s="126"/>
      <c r="AB31" s="126"/>
      <c r="AC31" s="126">
        <f t="shared" si="21"/>
        <v>8178</v>
      </c>
    </row>
    <row r="32" spans="1:29" s="37" customFormat="1" ht="21.75" customHeight="1">
      <c r="A32" s="74"/>
      <c r="B32" s="104"/>
      <c r="C32" s="98">
        <v>4410</v>
      </c>
      <c r="D32" s="56" t="s">
        <v>107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>
        <v>0</v>
      </c>
      <c r="O32" s="126">
        <v>3300</v>
      </c>
      <c r="P32" s="126"/>
      <c r="Q32" s="126">
        <f t="shared" si="17"/>
        <v>3300</v>
      </c>
      <c r="R32" s="126"/>
      <c r="S32" s="126"/>
      <c r="T32" s="126">
        <f t="shared" si="18"/>
        <v>3300</v>
      </c>
      <c r="U32" s="126"/>
      <c r="V32" s="126">
        <v>1359</v>
      </c>
      <c r="W32" s="126">
        <f t="shared" si="19"/>
        <v>1941</v>
      </c>
      <c r="X32" s="126">
        <v>206</v>
      </c>
      <c r="Y32" s="126"/>
      <c r="Z32" s="126">
        <f t="shared" si="20"/>
        <v>2147</v>
      </c>
      <c r="AA32" s="126">
        <v>88</v>
      </c>
      <c r="AB32" s="126"/>
      <c r="AC32" s="126">
        <f t="shared" si="21"/>
        <v>2235</v>
      </c>
    </row>
    <row r="33" spans="1:218" s="37" customFormat="1" ht="28.5" customHeight="1">
      <c r="A33" s="49" t="s">
        <v>29</v>
      </c>
      <c r="B33" s="6"/>
      <c r="C33" s="33"/>
      <c r="D33" s="47" t="s">
        <v>434</v>
      </c>
      <c r="E33" s="60">
        <f aca="true" t="shared" si="22" ref="E33:AC33">SUM(E34)</f>
        <v>400</v>
      </c>
      <c r="F33" s="60">
        <f t="shared" si="22"/>
        <v>0</v>
      </c>
      <c r="G33" s="60">
        <f t="shared" si="22"/>
        <v>0</v>
      </c>
      <c r="H33" s="60">
        <f t="shared" si="22"/>
        <v>400</v>
      </c>
      <c r="I33" s="60">
        <f t="shared" si="22"/>
        <v>0</v>
      </c>
      <c r="J33" s="60">
        <f t="shared" si="22"/>
        <v>0</v>
      </c>
      <c r="K33" s="60">
        <f t="shared" si="22"/>
        <v>400</v>
      </c>
      <c r="L33" s="60">
        <f t="shared" si="22"/>
        <v>0</v>
      </c>
      <c r="M33" s="60">
        <f t="shared" si="22"/>
        <v>0</v>
      </c>
      <c r="N33" s="60">
        <f t="shared" si="22"/>
        <v>400</v>
      </c>
      <c r="O33" s="60">
        <f t="shared" si="22"/>
        <v>0</v>
      </c>
      <c r="P33" s="60">
        <f t="shared" si="22"/>
        <v>0</v>
      </c>
      <c r="Q33" s="60">
        <f t="shared" si="22"/>
        <v>400</v>
      </c>
      <c r="R33" s="60">
        <f t="shared" si="22"/>
        <v>0</v>
      </c>
      <c r="S33" s="60">
        <f t="shared" si="22"/>
        <v>0</v>
      </c>
      <c r="T33" s="60">
        <f t="shared" si="22"/>
        <v>400</v>
      </c>
      <c r="U33" s="60">
        <f t="shared" si="22"/>
        <v>300</v>
      </c>
      <c r="V33" s="60">
        <f t="shared" si="22"/>
        <v>300</v>
      </c>
      <c r="W33" s="60">
        <f t="shared" si="22"/>
        <v>400</v>
      </c>
      <c r="X33" s="60">
        <f t="shared" si="22"/>
        <v>0</v>
      </c>
      <c r="Y33" s="60">
        <f t="shared" si="22"/>
        <v>0</v>
      </c>
      <c r="Z33" s="60">
        <f t="shared" si="22"/>
        <v>400</v>
      </c>
      <c r="AA33" s="60">
        <f t="shared" si="22"/>
        <v>300</v>
      </c>
      <c r="AB33" s="60">
        <f t="shared" si="22"/>
        <v>300</v>
      </c>
      <c r="AC33" s="60">
        <f t="shared" si="22"/>
        <v>400</v>
      </c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  <c r="EC33" s="256"/>
      <c r="ED33" s="256"/>
      <c r="EE33" s="256"/>
      <c r="EF33" s="256"/>
      <c r="EG33" s="256"/>
      <c r="EH33" s="256"/>
      <c r="EI33" s="256"/>
      <c r="EJ33" s="256"/>
      <c r="EK33" s="256"/>
      <c r="EL33" s="256"/>
      <c r="EM33" s="256"/>
      <c r="EN33" s="256"/>
      <c r="EO33" s="256"/>
      <c r="EP33" s="256"/>
      <c r="EQ33" s="256"/>
      <c r="ER33" s="256"/>
      <c r="ES33" s="256"/>
      <c r="ET33" s="256"/>
      <c r="EU33" s="256"/>
      <c r="EV33" s="256"/>
      <c r="EW33" s="256"/>
      <c r="EX33" s="256"/>
      <c r="EY33" s="256"/>
      <c r="EZ33" s="256"/>
      <c r="FA33" s="256"/>
      <c r="FB33" s="256"/>
      <c r="FC33" s="256"/>
      <c r="FD33" s="256"/>
      <c r="FE33" s="256"/>
      <c r="FF33" s="256"/>
      <c r="FG33" s="256"/>
      <c r="FH33" s="256"/>
      <c r="FI33" s="256"/>
      <c r="FJ33" s="256"/>
      <c r="FK33" s="256"/>
      <c r="FL33" s="256"/>
      <c r="FM33" s="256"/>
      <c r="FN33" s="256"/>
      <c r="FO33" s="256"/>
      <c r="FP33" s="256"/>
      <c r="FQ33" s="256"/>
      <c r="FR33" s="256"/>
      <c r="FS33" s="256"/>
      <c r="FT33" s="256"/>
      <c r="FU33" s="256"/>
      <c r="FV33" s="256"/>
      <c r="FW33" s="256"/>
      <c r="FX33" s="256"/>
      <c r="FY33" s="256"/>
      <c r="FZ33" s="256"/>
      <c r="GA33" s="256"/>
      <c r="GB33" s="256"/>
      <c r="GC33" s="256"/>
      <c r="GD33" s="256"/>
      <c r="GE33" s="256"/>
      <c r="GF33" s="256"/>
      <c r="GG33" s="256"/>
      <c r="GH33" s="256"/>
      <c r="GI33" s="256"/>
      <c r="GJ33" s="256"/>
      <c r="GK33" s="256"/>
      <c r="GL33" s="256"/>
      <c r="GM33" s="256"/>
      <c r="GN33" s="256"/>
      <c r="GO33" s="256"/>
      <c r="GP33" s="256"/>
      <c r="GQ33" s="256"/>
      <c r="GR33" s="256"/>
      <c r="GS33" s="256"/>
      <c r="GT33" s="256"/>
      <c r="GU33" s="256"/>
      <c r="GV33" s="256"/>
      <c r="GW33" s="256"/>
      <c r="GX33" s="256"/>
      <c r="GY33" s="256"/>
      <c r="GZ33" s="256"/>
      <c r="HA33" s="256"/>
      <c r="HB33" s="256"/>
      <c r="HC33" s="256"/>
      <c r="HD33" s="256"/>
      <c r="HE33" s="256"/>
      <c r="HF33" s="256"/>
      <c r="HG33" s="256"/>
      <c r="HH33" s="256"/>
      <c r="HI33" s="256"/>
      <c r="HJ33" s="256"/>
    </row>
    <row r="34" spans="1:218" s="37" customFormat="1" ht="16.5" customHeight="1">
      <c r="A34" s="74"/>
      <c r="B34" s="104" t="s">
        <v>31</v>
      </c>
      <c r="C34" s="113"/>
      <c r="D34" s="110" t="s">
        <v>32</v>
      </c>
      <c r="E34" s="126">
        <f aca="true" t="shared" si="23" ref="E34:S34">SUM(E36:E36)</f>
        <v>400</v>
      </c>
      <c r="F34" s="126">
        <f t="shared" si="23"/>
        <v>0</v>
      </c>
      <c r="G34" s="126">
        <f t="shared" si="23"/>
        <v>0</v>
      </c>
      <c r="H34" s="126">
        <f t="shared" si="23"/>
        <v>400</v>
      </c>
      <c r="I34" s="126">
        <f t="shared" si="23"/>
        <v>0</v>
      </c>
      <c r="J34" s="126">
        <f t="shared" si="23"/>
        <v>0</v>
      </c>
      <c r="K34" s="126">
        <f t="shared" si="23"/>
        <v>400</v>
      </c>
      <c r="L34" s="126">
        <f t="shared" si="23"/>
        <v>0</v>
      </c>
      <c r="M34" s="126">
        <f t="shared" si="23"/>
        <v>0</v>
      </c>
      <c r="N34" s="126">
        <f t="shared" si="23"/>
        <v>400</v>
      </c>
      <c r="O34" s="126">
        <f t="shared" si="23"/>
        <v>0</v>
      </c>
      <c r="P34" s="126">
        <f t="shared" si="23"/>
        <v>0</v>
      </c>
      <c r="Q34" s="126">
        <f t="shared" si="23"/>
        <v>400</v>
      </c>
      <c r="R34" s="126">
        <f t="shared" si="23"/>
        <v>0</v>
      </c>
      <c r="S34" s="126">
        <f t="shared" si="23"/>
        <v>0</v>
      </c>
      <c r="T34" s="126">
        <f aca="true" t="shared" si="24" ref="T34:Z34">SUM(T35:T36)</f>
        <v>400</v>
      </c>
      <c r="U34" s="126">
        <f t="shared" si="24"/>
        <v>300</v>
      </c>
      <c r="V34" s="126">
        <f t="shared" si="24"/>
        <v>300</v>
      </c>
      <c r="W34" s="126">
        <f t="shared" si="24"/>
        <v>400</v>
      </c>
      <c r="X34" s="126">
        <f t="shared" si="24"/>
        <v>0</v>
      </c>
      <c r="Y34" s="126">
        <f t="shared" si="24"/>
        <v>0</v>
      </c>
      <c r="Z34" s="126">
        <f t="shared" si="24"/>
        <v>400</v>
      </c>
      <c r="AA34" s="126">
        <f>SUM(AA35:AA36)</f>
        <v>300</v>
      </c>
      <c r="AB34" s="126">
        <f>SUM(AB35:AB36)</f>
        <v>300</v>
      </c>
      <c r="AC34" s="126">
        <f>SUM(AC35:AC36)</f>
        <v>400</v>
      </c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  <c r="FF34" s="256"/>
      <c r="FG34" s="256"/>
      <c r="FH34" s="256"/>
      <c r="FI34" s="256"/>
      <c r="FJ34" s="256"/>
      <c r="FK34" s="256"/>
      <c r="FL34" s="256"/>
      <c r="FM34" s="256"/>
      <c r="FN34" s="256"/>
      <c r="FO34" s="256"/>
      <c r="FP34" s="256"/>
      <c r="FQ34" s="256"/>
      <c r="FR34" s="256"/>
      <c r="FS34" s="256"/>
      <c r="FT34" s="256"/>
      <c r="FU34" s="256"/>
      <c r="FV34" s="256"/>
      <c r="FW34" s="256"/>
      <c r="FX34" s="256"/>
      <c r="FY34" s="256"/>
      <c r="FZ34" s="256"/>
      <c r="GA34" s="256"/>
      <c r="GB34" s="256"/>
      <c r="GC34" s="256"/>
      <c r="GD34" s="256"/>
      <c r="GE34" s="256"/>
      <c r="GF34" s="256"/>
      <c r="GG34" s="256"/>
      <c r="GH34" s="256"/>
      <c r="GI34" s="256"/>
      <c r="GJ34" s="256"/>
      <c r="GK34" s="256"/>
      <c r="GL34" s="256"/>
      <c r="GM34" s="256"/>
      <c r="GN34" s="256"/>
      <c r="GO34" s="256"/>
      <c r="GP34" s="256"/>
      <c r="GQ34" s="256"/>
      <c r="GR34" s="256"/>
      <c r="GS34" s="256"/>
      <c r="GT34" s="256"/>
      <c r="GU34" s="256"/>
      <c r="GV34" s="256"/>
      <c r="GW34" s="256"/>
      <c r="GX34" s="256"/>
      <c r="GY34" s="256"/>
      <c r="GZ34" s="256"/>
      <c r="HA34" s="256"/>
      <c r="HB34" s="256"/>
      <c r="HC34" s="256"/>
      <c r="HD34" s="256"/>
      <c r="HE34" s="256"/>
      <c r="HF34" s="256"/>
      <c r="HG34" s="256"/>
      <c r="HH34" s="256"/>
      <c r="HI34" s="256"/>
      <c r="HJ34" s="256"/>
    </row>
    <row r="35" spans="1:218" s="37" customFormat="1" ht="24.75" customHeight="1">
      <c r="A35" s="74"/>
      <c r="B35" s="104"/>
      <c r="C35" s="113">
        <v>4210</v>
      </c>
      <c r="D35" s="56" t="s">
        <v>109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>
        <v>0</v>
      </c>
      <c r="U35" s="126">
        <v>300</v>
      </c>
      <c r="V35" s="126"/>
      <c r="W35" s="126">
        <f>SUM(T35+U35-V35)</f>
        <v>300</v>
      </c>
      <c r="X35" s="126"/>
      <c r="Y35" s="126"/>
      <c r="Z35" s="126">
        <f>SUM(W35+X35-Y35)</f>
        <v>300</v>
      </c>
      <c r="AA35" s="126"/>
      <c r="AB35" s="126">
        <v>300</v>
      </c>
      <c r="AC35" s="126">
        <f>SUM(Z35+AA35-AB35)</f>
        <v>0</v>
      </c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256"/>
      <c r="DW35" s="256"/>
      <c r="DX35" s="256"/>
      <c r="DY35" s="256"/>
      <c r="DZ35" s="256"/>
      <c r="EA35" s="256"/>
      <c r="EB35" s="256"/>
      <c r="EC35" s="256"/>
      <c r="ED35" s="256"/>
      <c r="EE35" s="256"/>
      <c r="EF35" s="256"/>
      <c r="EG35" s="256"/>
      <c r="EH35" s="256"/>
      <c r="EI35" s="256"/>
      <c r="EJ35" s="256"/>
      <c r="EK35" s="256"/>
      <c r="EL35" s="256"/>
      <c r="EM35" s="256"/>
      <c r="EN35" s="256"/>
      <c r="EO35" s="256"/>
      <c r="EP35" s="256"/>
      <c r="EQ35" s="256"/>
      <c r="ER35" s="256"/>
      <c r="ES35" s="256"/>
      <c r="ET35" s="256"/>
      <c r="EU35" s="256"/>
      <c r="EV35" s="256"/>
      <c r="EW35" s="256"/>
      <c r="EX35" s="256"/>
      <c r="EY35" s="256"/>
      <c r="EZ35" s="256"/>
      <c r="FA35" s="256"/>
      <c r="FB35" s="256"/>
      <c r="FC35" s="256"/>
      <c r="FD35" s="256"/>
      <c r="FE35" s="256"/>
      <c r="FF35" s="256"/>
      <c r="FG35" s="256"/>
      <c r="FH35" s="256"/>
      <c r="FI35" s="256"/>
      <c r="FJ35" s="256"/>
      <c r="FK35" s="256"/>
      <c r="FL35" s="256"/>
      <c r="FM35" s="256"/>
      <c r="FN35" s="256"/>
      <c r="FO35" s="256"/>
      <c r="FP35" s="256"/>
      <c r="FQ35" s="256"/>
      <c r="FR35" s="256"/>
      <c r="FS35" s="256"/>
      <c r="FT35" s="256"/>
      <c r="FU35" s="256"/>
      <c r="FV35" s="256"/>
      <c r="FW35" s="256"/>
      <c r="FX35" s="256"/>
      <c r="FY35" s="256"/>
      <c r="FZ35" s="256"/>
      <c r="GA35" s="256"/>
      <c r="GB35" s="256"/>
      <c r="GC35" s="256"/>
      <c r="GD35" s="256"/>
      <c r="GE35" s="256"/>
      <c r="GF35" s="256"/>
      <c r="GG35" s="256"/>
      <c r="GH35" s="256"/>
      <c r="GI35" s="256"/>
      <c r="GJ35" s="256"/>
      <c r="GK35" s="256"/>
      <c r="GL35" s="256"/>
      <c r="GM35" s="256"/>
      <c r="GN35" s="256"/>
      <c r="GO35" s="256"/>
      <c r="GP35" s="256"/>
      <c r="GQ35" s="256"/>
      <c r="GR35" s="256"/>
      <c r="GS35" s="256"/>
      <c r="GT35" s="256"/>
      <c r="GU35" s="256"/>
      <c r="GV35" s="256"/>
      <c r="GW35" s="256"/>
      <c r="GX35" s="256"/>
      <c r="GY35" s="256"/>
      <c r="GZ35" s="256"/>
      <c r="HA35" s="256"/>
      <c r="HB35" s="256"/>
      <c r="HC35" s="256"/>
      <c r="HD35" s="256"/>
      <c r="HE35" s="256"/>
      <c r="HF35" s="256"/>
      <c r="HG35" s="256"/>
      <c r="HH35" s="256"/>
      <c r="HI35" s="256"/>
      <c r="HJ35" s="256"/>
    </row>
    <row r="36" spans="1:218" s="37" customFormat="1" ht="21.75" customHeight="1">
      <c r="A36" s="74"/>
      <c r="B36" s="104"/>
      <c r="C36" s="105">
        <v>4300</v>
      </c>
      <c r="D36" s="110" t="s">
        <v>96</v>
      </c>
      <c r="E36" s="126">
        <v>400</v>
      </c>
      <c r="F36" s="126"/>
      <c r="G36" s="126"/>
      <c r="H36" s="126">
        <f>SUM(E36+F36-G36)</f>
        <v>400</v>
      </c>
      <c r="I36" s="126"/>
      <c r="J36" s="126"/>
      <c r="K36" s="126">
        <f>SUM(H36+I36-J36)</f>
        <v>400</v>
      </c>
      <c r="L36" s="126"/>
      <c r="M36" s="126"/>
      <c r="N36" s="126">
        <f>SUM(K36+L36-M36)</f>
        <v>400</v>
      </c>
      <c r="O36" s="126"/>
      <c r="P36" s="126"/>
      <c r="Q36" s="126">
        <f>SUM(N36+O36-P36)</f>
        <v>400</v>
      </c>
      <c r="R36" s="126"/>
      <c r="S36" s="126"/>
      <c r="T36" s="126">
        <f>SUM(Q36+R36-S36)</f>
        <v>400</v>
      </c>
      <c r="U36" s="126"/>
      <c r="V36" s="126">
        <v>300</v>
      </c>
      <c r="W36" s="126">
        <f>SUM(T36+U36-V36)</f>
        <v>100</v>
      </c>
      <c r="X36" s="126"/>
      <c r="Y36" s="126"/>
      <c r="Z36" s="126">
        <f>SUM(W36+X36-Y36)</f>
        <v>100</v>
      </c>
      <c r="AA36" s="126">
        <v>300</v>
      </c>
      <c r="AB36" s="126"/>
      <c r="AC36" s="126">
        <f>SUM(Z36+AA36-AB36)</f>
        <v>400</v>
      </c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  <c r="DU36" s="256"/>
      <c r="DV36" s="256"/>
      <c r="DW36" s="256"/>
      <c r="DX36" s="256"/>
      <c r="DY36" s="256"/>
      <c r="DZ36" s="256"/>
      <c r="EA36" s="256"/>
      <c r="EB36" s="256"/>
      <c r="EC36" s="256"/>
      <c r="ED36" s="256"/>
      <c r="EE36" s="256"/>
      <c r="EF36" s="256"/>
      <c r="EG36" s="256"/>
      <c r="EH36" s="256"/>
      <c r="EI36" s="256"/>
      <c r="EJ36" s="256"/>
      <c r="EK36" s="256"/>
      <c r="EL36" s="256"/>
      <c r="EM36" s="256"/>
      <c r="EN36" s="256"/>
      <c r="EO36" s="256"/>
      <c r="EP36" s="256"/>
      <c r="EQ36" s="256"/>
      <c r="ER36" s="256"/>
      <c r="ES36" s="256"/>
      <c r="ET36" s="256"/>
      <c r="EU36" s="256"/>
      <c r="EV36" s="256"/>
      <c r="EW36" s="256"/>
      <c r="EX36" s="256"/>
      <c r="EY36" s="256"/>
      <c r="EZ36" s="256"/>
      <c r="FA36" s="256"/>
      <c r="FB36" s="256"/>
      <c r="FC36" s="256"/>
      <c r="FD36" s="256"/>
      <c r="FE36" s="256"/>
      <c r="FF36" s="256"/>
      <c r="FG36" s="256"/>
      <c r="FH36" s="256"/>
      <c r="FI36" s="256"/>
      <c r="FJ36" s="256"/>
      <c r="FK36" s="256"/>
      <c r="FL36" s="256"/>
      <c r="FM36" s="256"/>
      <c r="FN36" s="256"/>
      <c r="FO36" s="256"/>
      <c r="FP36" s="256"/>
      <c r="FQ36" s="256"/>
      <c r="FR36" s="256"/>
      <c r="FS36" s="256"/>
      <c r="FT36" s="256"/>
      <c r="FU36" s="256"/>
      <c r="FV36" s="256"/>
      <c r="FW36" s="256"/>
      <c r="FX36" s="256"/>
      <c r="FY36" s="256"/>
      <c r="FZ36" s="256"/>
      <c r="GA36" s="256"/>
      <c r="GB36" s="256"/>
      <c r="GC36" s="256"/>
      <c r="GD36" s="256"/>
      <c r="GE36" s="256"/>
      <c r="GF36" s="256"/>
      <c r="GG36" s="256"/>
      <c r="GH36" s="256"/>
      <c r="GI36" s="256"/>
      <c r="GJ36" s="256"/>
      <c r="GK36" s="256"/>
      <c r="GL36" s="256"/>
      <c r="GM36" s="256"/>
      <c r="GN36" s="256"/>
      <c r="GO36" s="256"/>
      <c r="GP36" s="256"/>
      <c r="GQ36" s="256"/>
      <c r="GR36" s="256"/>
      <c r="GS36" s="256"/>
      <c r="GT36" s="256"/>
      <c r="GU36" s="256"/>
      <c r="GV36" s="256"/>
      <c r="GW36" s="256"/>
      <c r="GX36" s="256"/>
      <c r="GY36" s="256"/>
      <c r="GZ36" s="256"/>
      <c r="HA36" s="256"/>
      <c r="HB36" s="256"/>
      <c r="HC36" s="256"/>
      <c r="HD36" s="256"/>
      <c r="HE36" s="256"/>
      <c r="HF36" s="256"/>
      <c r="HG36" s="256"/>
      <c r="HH36" s="256"/>
      <c r="HI36" s="256"/>
      <c r="HJ36" s="256"/>
    </row>
    <row r="37" spans="1:218" s="37" customFormat="1" ht="21.75" customHeight="1">
      <c r="A37" s="49">
        <v>852</v>
      </c>
      <c r="B37" s="6"/>
      <c r="C37" s="33"/>
      <c r="D37" s="47" t="s">
        <v>237</v>
      </c>
      <c r="E37" s="60">
        <f aca="true" t="shared" si="25" ref="E37:K37">SUM(E38,E64,E66,E51)</f>
        <v>6151000</v>
      </c>
      <c r="F37" s="60">
        <f t="shared" si="25"/>
        <v>5507000</v>
      </c>
      <c r="G37" s="60">
        <f t="shared" si="25"/>
        <v>5507000</v>
      </c>
      <c r="H37" s="60">
        <f t="shared" si="25"/>
        <v>6151000</v>
      </c>
      <c r="I37" s="60">
        <f t="shared" si="25"/>
        <v>48100</v>
      </c>
      <c r="J37" s="60">
        <f t="shared" si="25"/>
        <v>69300</v>
      </c>
      <c r="K37" s="60">
        <f t="shared" si="25"/>
        <v>6129800</v>
      </c>
      <c r="L37" s="60">
        <f>SUM(L38,L64,L66,L51)</f>
        <v>0</v>
      </c>
      <c r="M37" s="60">
        <f>SUM(M38,M64,M66,M51)</f>
        <v>70000</v>
      </c>
      <c r="N37" s="60">
        <f>SUM(N38,N64,N66,N51)</f>
        <v>6059800</v>
      </c>
      <c r="O37" s="60">
        <f>SUM(O38,O64,O66,O51)</f>
        <v>20000</v>
      </c>
      <c r="P37" s="60">
        <f>SUM(P38,P64,P66,P51)</f>
        <v>20000</v>
      </c>
      <c r="Q37" s="60">
        <f aca="true" t="shared" si="26" ref="Q37:W37">SUM(Q38,Q64,Q66,Q51,Q69)</f>
        <v>6059800</v>
      </c>
      <c r="R37" s="60">
        <f t="shared" si="26"/>
        <v>747197</v>
      </c>
      <c r="S37" s="60">
        <f t="shared" si="26"/>
        <v>0</v>
      </c>
      <c r="T37" s="60">
        <f t="shared" si="26"/>
        <v>6806997</v>
      </c>
      <c r="U37" s="60">
        <f t="shared" si="26"/>
        <v>267800</v>
      </c>
      <c r="V37" s="60">
        <f t="shared" si="26"/>
        <v>0</v>
      </c>
      <c r="W37" s="60">
        <f t="shared" si="26"/>
        <v>7074797</v>
      </c>
      <c r="X37" s="60">
        <f aca="true" t="shared" si="27" ref="X37:AC37">SUM(X38,X64,X66,X51,X69)</f>
        <v>0</v>
      </c>
      <c r="Y37" s="60">
        <f t="shared" si="27"/>
        <v>0</v>
      </c>
      <c r="Z37" s="60">
        <f t="shared" si="27"/>
        <v>7074797</v>
      </c>
      <c r="AA37" s="60">
        <f t="shared" si="27"/>
        <v>19059</v>
      </c>
      <c r="AB37" s="60">
        <f t="shared" si="27"/>
        <v>19059</v>
      </c>
      <c r="AC37" s="60">
        <f t="shared" si="27"/>
        <v>7074797</v>
      </c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  <c r="DU37" s="256"/>
      <c r="DV37" s="256"/>
      <c r="DW37" s="256"/>
      <c r="DX37" s="256"/>
      <c r="DY37" s="256"/>
      <c r="DZ37" s="256"/>
      <c r="EA37" s="256"/>
      <c r="EB37" s="256"/>
      <c r="EC37" s="256"/>
      <c r="ED37" s="256"/>
      <c r="EE37" s="256"/>
      <c r="EF37" s="256"/>
      <c r="EG37" s="256"/>
      <c r="EH37" s="256"/>
      <c r="EI37" s="256"/>
      <c r="EJ37" s="256"/>
      <c r="EK37" s="256"/>
      <c r="EL37" s="256"/>
      <c r="EM37" s="256"/>
      <c r="EN37" s="256"/>
      <c r="EO37" s="256"/>
      <c r="EP37" s="256"/>
      <c r="EQ37" s="256"/>
      <c r="ER37" s="256"/>
      <c r="ES37" s="256"/>
      <c r="ET37" s="256"/>
      <c r="EU37" s="256"/>
      <c r="EV37" s="256"/>
      <c r="EW37" s="256"/>
      <c r="EX37" s="256"/>
      <c r="EY37" s="256"/>
      <c r="EZ37" s="256"/>
      <c r="FA37" s="256"/>
      <c r="FB37" s="256"/>
      <c r="FC37" s="256"/>
      <c r="FD37" s="256"/>
      <c r="FE37" s="256"/>
      <c r="FF37" s="256"/>
      <c r="FG37" s="256"/>
      <c r="FH37" s="256"/>
      <c r="FI37" s="256"/>
      <c r="FJ37" s="256"/>
      <c r="FK37" s="256"/>
      <c r="FL37" s="256"/>
      <c r="FM37" s="256"/>
      <c r="FN37" s="256"/>
      <c r="FO37" s="256"/>
      <c r="FP37" s="256"/>
      <c r="FQ37" s="256"/>
      <c r="FR37" s="256"/>
      <c r="FS37" s="256"/>
      <c r="FT37" s="256"/>
      <c r="FU37" s="256"/>
      <c r="FV37" s="256"/>
      <c r="FW37" s="256"/>
      <c r="FX37" s="256"/>
      <c r="FY37" s="256"/>
      <c r="FZ37" s="256"/>
      <c r="GA37" s="256"/>
      <c r="GB37" s="256"/>
      <c r="GC37" s="256"/>
      <c r="GD37" s="256"/>
      <c r="GE37" s="256"/>
      <c r="GF37" s="256"/>
      <c r="GG37" s="256"/>
      <c r="GH37" s="256"/>
      <c r="GI37" s="256"/>
      <c r="GJ37" s="256"/>
      <c r="GK37" s="256"/>
      <c r="GL37" s="256"/>
      <c r="GM37" s="256"/>
      <c r="GN37" s="256"/>
      <c r="GO37" s="256"/>
      <c r="GP37" s="256"/>
      <c r="GQ37" s="256"/>
      <c r="GR37" s="256"/>
      <c r="GS37" s="256"/>
      <c r="GT37" s="256"/>
      <c r="GU37" s="256"/>
      <c r="GV37" s="256"/>
      <c r="GW37" s="256"/>
      <c r="GX37" s="256"/>
      <c r="GY37" s="256"/>
      <c r="GZ37" s="256"/>
      <c r="HA37" s="256"/>
      <c r="HB37" s="256"/>
      <c r="HC37" s="256"/>
      <c r="HD37" s="256"/>
      <c r="HE37" s="256"/>
      <c r="HF37" s="256"/>
      <c r="HG37" s="256"/>
      <c r="HH37" s="256"/>
      <c r="HI37" s="256"/>
      <c r="HJ37" s="256"/>
    </row>
    <row r="38" spans="1:218" s="37" customFormat="1" ht="45" hidden="1">
      <c r="A38" s="134"/>
      <c r="B38" s="74">
        <v>85212</v>
      </c>
      <c r="C38" s="112"/>
      <c r="D38" s="110" t="s">
        <v>275</v>
      </c>
      <c r="E38" s="119">
        <f aca="true" t="shared" si="28" ref="E38:K38">SUM(E39:E50)</f>
        <v>5507000</v>
      </c>
      <c r="F38" s="119">
        <f t="shared" si="28"/>
        <v>0</v>
      </c>
      <c r="G38" s="119">
        <f t="shared" si="28"/>
        <v>5507000</v>
      </c>
      <c r="H38" s="119">
        <f t="shared" si="28"/>
        <v>0</v>
      </c>
      <c r="I38" s="119">
        <f t="shared" si="28"/>
        <v>0</v>
      </c>
      <c r="J38" s="119">
        <f t="shared" si="28"/>
        <v>0</v>
      </c>
      <c r="K38" s="119">
        <f t="shared" si="28"/>
        <v>0</v>
      </c>
      <c r="L38" s="119">
        <f aca="true" t="shared" si="29" ref="L38:Q38">SUM(L39:L50)</f>
        <v>0</v>
      </c>
      <c r="M38" s="119">
        <f t="shared" si="29"/>
        <v>0</v>
      </c>
      <c r="N38" s="119">
        <f t="shared" si="29"/>
        <v>0</v>
      </c>
      <c r="O38" s="119">
        <f t="shared" si="29"/>
        <v>0</v>
      </c>
      <c r="P38" s="119">
        <f t="shared" si="29"/>
        <v>0</v>
      </c>
      <c r="Q38" s="119">
        <f t="shared" si="29"/>
        <v>0</v>
      </c>
      <c r="R38" s="119">
        <f aca="true" t="shared" si="30" ref="R38:W38">SUM(R39:R50)</f>
        <v>0</v>
      </c>
      <c r="S38" s="119">
        <f t="shared" si="30"/>
        <v>0</v>
      </c>
      <c r="T38" s="119">
        <f t="shared" si="30"/>
        <v>0</v>
      </c>
      <c r="U38" s="119">
        <f t="shared" si="30"/>
        <v>0</v>
      </c>
      <c r="V38" s="119">
        <f t="shared" si="30"/>
        <v>0</v>
      </c>
      <c r="W38" s="119">
        <f t="shared" si="30"/>
        <v>0</v>
      </c>
      <c r="X38" s="119">
        <f aca="true" t="shared" si="31" ref="X38:AC38">SUM(X39:X50)</f>
        <v>0</v>
      </c>
      <c r="Y38" s="119">
        <f t="shared" si="31"/>
        <v>0</v>
      </c>
      <c r="Z38" s="119">
        <f t="shared" si="31"/>
        <v>0</v>
      </c>
      <c r="AA38" s="119">
        <f t="shared" si="31"/>
        <v>0</v>
      </c>
      <c r="AB38" s="119">
        <f t="shared" si="31"/>
        <v>0</v>
      </c>
      <c r="AC38" s="119">
        <f t="shared" si="31"/>
        <v>0</v>
      </c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  <c r="FL38" s="256"/>
      <c r="FM38" s="256"/>
      <c r="FN38" s="256"/>
      <c r="FO38" s="256"/>
      <c r="FP38" s="256"/>
      <c r="FQ38" s="256"/>
      <c r="FR38" s="256"/>
      <c r="FS38" s="256"/>
      <c r="FT38" s="256"/>
      <c r="FU38" s="256"/>
      <c r="FV38" s="256"/>
      <c r="FW38" s="256"/>
      <c r="FX38" s="256"/>
      <c r="FY38" s="256"/>
      <c r="FZ38" s="256"/>
      <c r="GA38" s="256"/>
      <c r="GB38" s="256"/>
      <c r="GC38" s="256"/>
      <c r="GD38" s="256"/>
      <c r="GE38" s="256"/>
      <c r="GF38" s="256"/>
      <c r="GG38" s="256"/>
      <c r="GH38" s="256"/>
      <c r="GI38" s="256"/>
      <c r="GJ38" s="256"/>
      <c r="GK38" s="256"/>
      <c r="GL38" s="256"/>
      <c r="GM38" s="256"/>
      <c r="GN38" s="256"/>
      <c r="GO38" s="256"/>
      <c r="GP38" s="256"/>
      <c r="GQ38" s="256"/>
      <c r="GR38" s="256"/>
      <c r="GS38" s="256"/>
      <c r="GT38" s="256"/>
      <c r="GU38" s="256"/>
      <c r="GV38" s="256"/>
      <c r="GW38" s="256"/>
      <c r="GX38" s="256"/>
      <c r="GY38" s="256"/>
      <c r="GZ38" s="256"/>
      <c r="HA38" s="256"/>
      <c r="HB38" s="256"/>
      <c r="HC38" s="256"/>
      <c r="HD38" s="256"/>
      <c r="HE38" s="256"/>
      <c r="HF38" s="256"/>
      <c r="HG38" s="256"/>
      <c r="HH38" s="256"/>
      <c r="HI38" s="256"/>
      <c r="HJ38" s="256"/>
    </row>
    <row r="39" spans="1:218" s="37" customFormat="1" ht="22.5" hidden="1">
      <c r="A39" s="134"/>
      <c r="B39" s="74"/>
      <c r="C39" s="112">
        <v>3020</v>
      </c>
      <c r="D39" s="56" t="s">
        <v>293</v>
      </c>
      <c r="E39" s="126">
        <v>2000</v>
      </c>
      <c r="F39" s="126"/>
      <c r="G39" s="126">
        <v>2000</v>
      </c>
      <c r="H39" s="126">
        <f aca="true" t="shared" si="32" ref="H39:H63">SUM(E39+F39-G39)</f>
        <v>0</v>
      </c>
      <c r="I39" s="126"/>
      <c r="J39" s="126"/>
      <c r="K39" s="126">
        <f aca="true" t="shared" si="33" ref="K39:K63">SUM(H39+I39-J39)</f>
        <v>0</v>
      </c>
      <c r="L39" s="126"/>
      <c r="M39" s="126"/>
      <c r="N39" s="126">
        <f aca="true" t="shared" si="34" ref="N39:N63">SUM(K39+L39-M39)</f>
        <v>0</v>
      </c>
      <c r="O39" s="126"/>
      <c r="P39" s="126"/>
      <c r="Q39" s="126">
        <f aca="true" t="shared" si="35" ref="Q39:Q63">SUM(N39+O39-P39)</f>
        <v>0</v>
      </c>
      <c r="R39" s="126"/>
      <c r="S39" s="126"/>
      <c r="T39" s="126">
        <f aca="true" t="shared" si="36" ref="T39:T63">SUM(Q39+R39-S39)</f>
        <v>0</v>
      </c>
      <c r="U39" s="126"/>
      <c r="V39" s="126"/>
      <c r="W39" s="126">
        <f aca="true" t="shared" si="37" ref="W39:W63">SUM(T39+U39-V39)</f>
        <v>0</v>
      </c>
      <c r="X39" s="126"/>
      <c r="Y39" s="126"/>
      <c r="Z39" s="126">
        <f aca="true" t="shared" si="38" ref="Z39:Z63">SUM(W39+X39-Y39)</f>
        <v>0</v>
      </c>
      <c r="AA39" s="126"/>
      <c r="AB39" s="126"/>
      <c r="AC39" s="126">
        <f aca="true" t="shared" si="39" ref="AC39:AC63">SUM(Z39+AA39-AB39)</f>
        <v>0</v>
      </c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6"/>
      <c r="FL39" s="256"/>
      <c r="FM39" s="256"/>
      <c r="FN39" s="256"/>
      <c r="FO39" s="256"/>
      <c r="FP39" s="256"/>
      <c r="FQ39" s="256"/>
      <c r="FR39" s="256"/>
      <c r="FS39" s="256"/>
      <c r="FT39" s="256"/>
      <c r="FU39" s="256"/>
      <c r="FV39" s="256"/>
      <c r="FW39" s="256"/>
      <c r="FX39" s="256"/>
      <c r="FY39" s="256"/>
      <c r="FZ39" s="256"/>
      <c r="GA39" s="256"/>
      <c r="GB39" s="256"/>
      <c r="GC39" s="256"/>
      <c r="GD39" s="256"/>
      <c r="GE39" s="256"/>
      <c r="GF39" s="256"/>
      <c r="GG39" s="256"/>
      <c r="GH39" s="256"/>
      <c r="GI39" s="256"/>
      <c r="GJ39" s="256"/>
      <c r="GK39" s="256"/>
      <c r="GL39" s="256"/>
      <c r="GM39" s="256"/>
      <c r="GN39" s="256"/>
      <c r="GO39" s="256"/>
      <c r="GP39" s="256"/>
      <c r="GQ39" s="256"/>
      <c r="GR39" s="256"/>
      <c r="GS39" s="256"/>
      <c r="GT39" s="256"/>
      <c r="GU39" s="256"/>
      <c r="GV39" s="256"/>
      <c r="GW39" s="256"/>
      <c r="GX39" s="256"/>
      <c r="GY39" s="256"/>
      <c r="GZ39" s="256"/>
      <c r="HA39" s="256"/>
      <c r="HB39" s="256"/>
      <c r="HC39" s="256"/>
      <c r="HD39" s="256"/>
      <c r="HE39" s="256"/>
      <c r="HF39" s="256"/>
      <c r="HG39" s="256"/>
      <c r="HH39" s="256"/>
      <c r="HI39" s="256"/>
      <c r="HJ39" s="256"/>
    </row>
    <row r="40" spans="1:218" s="37" customFormat="1" ht="11.25" hidden="1">
      <c r="A40" s="134"/>
      <c r="B40" s="74"/>
      <c r="C40" s="112">
        <v>3110</v>
      </c>
      <c r="D40" s="110" t="s">
        <v>130</v>
      </c>
      <c r="E40" s="126">
        <f>5346602-4812-23800</f>
        <v>5317990</v>
      </c>
      <c r="F40" s="126"/>
      <c r="G40" s="126">
        <f>5346602-4812-23800</f>
        <v>5317990</v>
      </c>
      <c r="H40" s="126">
        <f t="shared" si="32"/>
        <v>0</v>
      </c>
      <c r="I40" s="126"/>
      <c r="J40" s="126"/>
      <c r="K40" s="126">
        <f t="shared" si="33"/>
        <v>0</v>
      </c>
      <c r="L40" s="126"/>
      <c r="M40" s="126"/>
      <c r="N40" s="126">
        <f t="shared" si="34"/>
        <v>0</v>
      </c>
      <c r="O40" s="126"/>
      <c r="P40" s="126"/>
      <c r="Q40" s="126">
        <f t="shared" si="35"/>
        <v>0</v>
      </c>
      <c r="R40" s="126"/>
      <c r="S40" s="126"/>
      <c r="T40" s="126">
        <f t="shared" si="36"/>
        <v>0</v>
      </c>
      <c r="U40" s="126"/>
      <c r="V40" s="126"/>
      <c r="W40" s="126">
        <f t="shared" si="37"/>
        <v>0</v>
      </c>
      <c r="X40" s="126"/>
      <c r="Y40" s="126"/>
      <c r="Z40" s="126">
        <f t="shared" si="38"/>
        <v>0</v>
      </c>
      <c r="AA40" s="126"/>
      <c r="AB40" s="126"/>
      <c r="AC40" s="126">
        <f t="shared" si="39"/>
        <v>0</v>
      </c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256"/>
      <c r="EO40" s="256"/>
      <c r="EP40" s="256"/>
      <c r="EQ40" s="256"/>
      <c r="ER40" s="256"/>
      <c r="ES40" s="256"/>
      <c r="ET40" s="256"/>
      <c r="EU40" s="256"/>
      <c r="EV40" s="256"/>
      <c r="EW40" s="256"/>
      <c r="EX40" s="256"/>
      <c r="EY40" s="256"/>
      <c r="EZ40" s="256"/>
      <c r="FA40" s="256"/>
      <c r="FB40" s="256"/>
      <c r="FC40" s="256"/>
      <c r="FD40" s="256"/>
      <c r="FE40" s="256"/>
      <c r="FF40" s="256"/>
      <c r="FG40" s="256"/>
      <c r="FH40" s="256"/>
      <c r="FI40" s="256"/>
      <c r="FJ40" s="256"/>
      <c r="FK40" s="256"/>
      <c r="FL40" s="256"/>
      <c r="FM40" s="256"/>
      <c r="FN40" s="256"/>
      <c r="FO40" s="256"/>
      <c r="FP40" s="256"/>
      <c r="FQ40" s="256"/>
      <c r="FR40" s="256"/>
      <c r="FS40" s="256"/>
      <c r="FT40" s="256"/>
      <c r="FU40" s="256"/>
      <c r="FV40" s="256"/>
      <c r="FW40" s="256"/>
      <c r="FX40" s="256"/>
      <c r="FY40" s="256"/>
      <c r="FZ40" s="256"/>
      <c r="GA40" s="256"/>
      <c r="GB40" s="256"/>
      <c r="GC40" s="256"/>
      <c r="GD40" s="256"/>
      <c r="GE40" s="256"/>
      <c r="GF40" s="256"/>
      <c r="GG40" s="256"/>
      <c r="GH40" s="256"/>
      <c r="GI40" s="256"/>
      <c r="GJ40" s="256"/>
      <c r="GK40" s="256"/>
      <c r="GL40" s="256"/>
      <c r="GM40" s="256"/>
      <c r="GN40" s="256"/>
      <c r="GO40" s="256"/>
      <c r="GP40" s="256"/>
      <c r="GQ40" s="256"/>
      <c r="GR40" s="256"/>
      <c r="GS40" s="256"/>
      <c r="GT40" s="256"/>
      <c r="GU40" s="256"/>
      <c r="GV40" s="256"/>
      <c r="GW40" s="256"/>
      <c r="GX40" s="256"/>
      <c r="GY40" s="256"/>
      <c r="GZ40" s="256"/>
      <c r="HA40" s="256"/>
      <c r="HB40" s="256"/>
      <c r="HC40" s="256"/>
      <c r="HD40" s="256"/>
      <c r="HE40" s="256"/>
      <c r="HF40" s="256"/>
      <c r="HG40" s="256"/>
      <c r="HH40" s="256"/>
      <c r="HI40" s="256"/>
      <c r="HJ40" s="256"/>
    </row>
    <row r="41" spans="1:218" s="37" customFormat="1" ht="22.5" hidden="1">
      <c r="A41" s="134"/>
      <c r="B41" s="74"/>
      <c r="C41" s="74">
        <v>4010</v>
      </c>
      <c r="D41" s="19" t="s">
        <v>101</v>
      </c>
      <c r="E41" s="126">
        <v>86691</v>
      </c>
      <c r="F41" s="126"/>
      <c r="G41" s="126">
        <v>86691</v>
      </c>
      <c r="H41" s="126">
        <f t="shared" si="32"/>
        <v>0</v>
      </c>
      <c r="I41" s="126"/>
      <c r="J41" s="126"/>
      <c r="K41" s="126">
        <f t="shared" si="33"/>
        <v>0</v>
      </c>
      <c r="L41" s="126"/>
      <c r="M41" s="126"/>
      <c r="N41" s="126">
        <f t="shared" si="34"/>
        <v>0</v>
      </c>
      <c r="O41" s="126"/>
      <c r="P41" s="126"/>
      <c r="Q41" s="126">
        <f t="shared" si="35"/>
        <v>0</v>
      </c>
      <c r="R41" s="126"/>
      <c r="S41" s="126"/>
      <c r="T41" s="126">
        <f t="shared" si="36"/>
        <v>0</v>
      </c>
      <c r="U41" s="126"/>
      <c r="V41" s="126"/>
      <c r="W41" s="126">
        <f t="shared" si="37"/>
        <v>0</v>
      </c>
      <c r="X41" s="126"/>
      <c r="Y41" s="126"/>
      <c r="Z41" s="126">
        <f t="shared" si="38"/>
        <v>0</v>
      </c>
      <c r="AA41" s="126"/>
      <c r="AB41" s="126"/>
      <c r="AC41" s="126">
        <f t="shared" si="39"/>
        <v>0</v>
      </c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  <c r="DU41" s="256"/>
      <c r="DV41" s="256"/>
      <c r="DW41" s="256"/>
      <c r="DX41" s="256"/>
      <c r="DY41" s="256"/>
      <c r="DZ41" s="256"/>
      <c r="EA41" s="256"/>
      <c r="EB41" s="256"/>
      <c r="EC41" s="256"/>
      <c r="ED41" s="256"/>
      <c r="EE41" s="256"/>
      <c r="EF41" s="256"/>
      <c r="EG41" s="256"/>
      <c r="EH41" s="256"/>
      <c r="EI41" s="256"/>
      <c r="EJ41" s="256"/>
      <c r="EK41" s="256"/>
      <c r="EL41" s="256"/>
      <c r="EM41" s="256"/>
      <c r="EN41" s="256"/>
      <c r="EO41" s="256"/>
      <c r="EP41" s="256"/>
      <c r="EQ41" s="256"/>
      <c r="ER41" s="256"/>
      <c r="ES41" s="256"/>
      <c r="ET41" s="256"/>
      <c r="EU41" s="256"/>
      <c r="EV41" s="256"/>
      <c r="EW41" s="256"/>
      <c r="EX41" s="256"/>
      <c r="EY41" s="256"/>
      <c r="EZ41" s="256"/>
      <c r="FA41" s="256"/>
      <c r="FB41" s="256"/>
      <c r="FC41" s="256"/>
      <c r="FD41" s="256"/>
      <c r="FE41" s="256"/>
      <c r="FF41" s="256"/>
      <c r="FG41" s="256"/>
      <c r="FH41" s="256"/>
      <c r="FI41" s="256"/>
      <c r="FJ41" s="256"/>
      <c r="FK41" s="256"/>
      <c r="FL41" s="256"/>
      <c r="FM41" s="256"/>
      <c r="FN41" s="256"/>
      <c r="FO41" s="256"/>
      <c r="FP41" s="256"/>
      <c r="FQ41" s="256"/>
      <c r="FR41" s="256"/>
      <c r="FS41" s="256"/>
      <c r="FT41" s="256"/>
      <c r="FU41" s="256"/>
      <c r="FV41" s="256"/>
      <c r="FW41" s="256"/>
      <c r="FX41" s="256"/>
      <c r="FY41" s="256"/>
      <c r="FZ41" s="256"/>
      <c r="GA41" s="256"/>
      <c r="GB41" s="256"/>
      <c r="GC41" s="256"/>
      <c r="GD41" s="256"/>
      <c r="GE41" s="256"/>
      <c r="GF41" s="256"/>
      <c r="GG41" s="256"/>
      <c r="GH41" s="256"/>
      <c r="GI41" s="256"/>
      <c r="GJ41" s="256"/>
      <c r="GK41" s="256"/>
      <c r="GL41" s="256"/>
      <c r="GM41" s="256"/>
      <c r="GN41" s="256"/>
      <c r="GO41" s="256"/>
      <c r="GP41" s="256"/>
      <c r="GQ41" s="256"/>
      <c r="GR41" s="256"/>
      <c r="GS41" s="256"/>
      <c r="GT41" s="256"/>
      <c r="GU41" s="256"/>
      <c r="GV41" s="256"/>
      <c r="GW41" s="256"/>
      <c r="GX41" s="256"/>
      <c r="GY41" s="256"/>
      <c r="GZ41" s="256"/>
      <c r="HA41" s="256"/>
      <c r="HB41" s="256"/>
      <c r="HC41" s="256"/>
      <c r="HD41" s="256"/>
      <c r="HE41" s="256"/>
      <c r="HF41" s="256"/>
      <c r="HG41" s="256"/>
      <c r="HH41" s="256"/>
      <c r="HI41" s="256"/>
      <c r="HJ41" s="256"/>
    </row>
    <row r="42" spans="1:218" s="37" customFormat="1" ht="22.5" hidden="1">
      <c r="A42" s="134"/>
      <c r="B42" s="74"/>
      <c r="C42" s="74">
        <v>4040</v>
      </c>
      <c r="D42" s="19" t="s">
        <v>102</v>
      </c>
      <c r="E42" s="126">
        <v>7500</v>
      </c>
      <c r="F42" s="126"/>
      <c r="G42" s="126">
        <v>7500</v>
      </c>
      <c r="H42" s="126">
        <f t="shared" si="32"/>
        <v>0</v>
      </c>
      <c r="I42" s="126"/>
      <c r="J42" s="126"/>
      <c r="K42" s="126">
        <f t="shared" si="33"/>
        <v>0</v>
      </c>
      <c r="L42" s="126"/>
      <c r="M42" s="126"/>
      <c r="N42" s="126">
        <f t="shared" si="34"/>
        <v>0</v>
      </c>
      <c r="O42" s="126"/>
      <c r="P42" s="126"/>
      <c r="Q42" s="126">
        <f t="shared" si="35"/>
        <v>0</v>
      </c>
      <c r="R42" s="126"/>
      <c r="S42" s="126"/>
      <c r="T42" s="126">
        <f t="shared" si="36"/>
        <v>0</v>
      </c>
      <c r="U42" s="126"/>
      <c r="V42" s="126"/>
      <c r="W42" s="126">
        <f t="shared" si="37"/>
        <v>0</v>
      </c>
      <c r="X42" s="126"/>
      <c r="Y42" s="126"/>
      <c r="Z42" s="126">
        <f t="shared" si="38"/>
        <v>0</v>
      </c>
      <c r="AA42" s="126"/>
      <c r="AB42" s="126"/>
      <c r="AC42" s="126">
        <f t="shared" si="39"/>
        <v>0</v>
      </c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6"/>
      <c r="EZ42" s="256"/>
      <c r="FA42" s="256"/>
      <c r="FB42" s="256"/>
      <c r="FC42" s="256"/>
      <c r="FD42" s="256"/>
      <c r="FE42" s="256"/>
      <c r="FF42" s="256"/>
      <c r="FG42" s="256"/>
      <c r="FH42" s="256"/>
      <c r="FI42" s="256"/>
      <c r="FJ42" s="256"/>
      <c r="FK42" s="256"/>
      <c r="FL42" s="256"/>
      <c r="FM42" s="256"/>
      <c r="FN42" s="256"/>
      <c r="FO42" s="256"/>
      <c r="FP42" s="256"/>
      <c r="FQ42" s="256"/>
      <c r="FR42" s="256"/>
      <c r="FS42" s="256"/>
      <c r="FT42" s="256"/>
      <c r="FU42" s="256"/>
      <c r="FV42" s="256"/>
      <c r="FW42" s="256"/>
      <c r="FX42" s="256"/>
      <c r="FY42" s="256"/>
      <c r="FZ42" s="256"/>
      <c r="GA42" s="256"/>
      <c r="GB42" s="256"/>
      <c r="GC42" s="256"/>
      <c r="GD42" s="256"/>
      <c r="GE42" s="256"/>
      <c r="GF42" s="256"/>
      <c r="GG42" s="256"/>
      <c r="GH42" s="256"/>
      <c r="GI42" s="256"/>
      <c r="GJ42" s="256"/>
      <c r="GK42" s="256"/>
      <c r="GL42" s="256"/>
      <c r="GM42" s="256"/>
      <c r="GN42" s="256"/>
      <c r="GO42" s="256"/>
      <c r="GP42" s="256"/>
      <c r="GQ42" s="256"/>
      <c r="GR42" s="256"/>
      <c r="GS42" s="256"/>
      <c r="GT42" s="256"/>
      <c r="GU42" s="256"/>
      <c r="GV42" s="256"/>
      <c r="GW42" s="256"/>
      <c r="GX42" s="256"/>
      <c r="GY42" s="256"/>
      <c r="GZ42" s="256"/>
      <c r="HA42" s="256"/>
      <c r="HB42" s="256"/>
      <c r="HC42" s="256"/>
      <c r="HD42" s="256"/>
      <c r="HE42" s="256"/>
      <c r="HF42" s="256"/>
      <c r="HG42" s="256"/>
      <c r="HH42" s="256"/>
      <c r="HI42" s="256"/>
      <c r="HJ42" s="256"/>
    </row>
    <row r="43" spans="1:218" s="37" customFormat="1" ht="22.5" hidden="1">
      <c r="A43" s="134"/>
      <c r="B43" s="74"/>
      <c r="C43" s="74">
        <v>4110</v>
      </c>
      <c r="D43" s="19" t="s">
        <v>103</v>
      </c>
      <c r="E43" s="126">
        <f>16800+23800</f>
        <v>40600</v>
      </c>
      <c r="F43" s="126"/>
      <c r="G43" s="126">
        <f>16800+23800</f>
        <v>40600</v>
      </c>
      <c r="H43" s="126">
        <f t="shared" si="32"/>
        <v>0</v>
      </c>
      <c r="I43" s="126"/>
      <c r="J43" s="126"/>
      <c r="K43" s="126">
        <f t="shared" si="33"/>
        <v>0</v>
      </c>
      <c r="L43" s="126"/>
      <c r="M43" s="126"/>
      <c r="N43" s="126">
        <f t="shared" si="34"/>
        <v>0</v>
      </c>
      <c r="O43" s="126"/>
      <c r="P43" s="126"/>
      <c r="Q43" s="126">
        <f t="shared" si="35"/>
        <v>0</v>
      </c>
      <c r="R43" s="126"/>
      <c r="S43" s="126"/>
      <c r="T43" s="126">
        <f t="shared" si="36"/>
        <v>0</v>
      </c>
      <c r="U43" s="126"/>
      <c r="V43" s="126"/>
      <c r="W43" s="126">
        <f t="shared" si="37"/>
        <v>0</v>
      </c>
      <c r="X43" s="126"/>
      <c r="Y43" s="126"/>
      <c r="Z43" s="126">
        <f t="shared" si="38"/>
        <v>0</v>
      </c>
      <c r="AA43" s="126"/>
      <c r="AB43" s="126"/>
      <c r="AC43" s="126">
        <f t="shared" si="39"/>
        <v>0</v>
      </c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6"/>
      <c r="EE43" s="256"/>
      <c r="EF43" s="256"/>
      <c r="EG43" s="256"/>
      <c r="EH43" s="256"/>
      <c r="EI43" s="256"/>
      <c r="EJ43" s="256"/>
      <c r="EK43" s="256"/>
      <c r="EL43" s="256"/>
      <c r="EM43" s="256"/>
      <c r="EN43" s="256"/>
      <c r="EO43" s="256"/>
      <c r="EP43" s="256"/>
      <c r="EQ43" s="256"/>
      <c r="ER43" s="256"/>
      <c r="ES43" s="256"/>
      <c r="ET43" s="256"/>
      <c r="EU43" s="256"/>
      <c r="EV43" s="256"/>
      <c r="EW43" s="256"/>
      <c r="EX43" s="256"/>
      <c r="EY43" s="256"/>
      <c r="EZ43" s="256"/>
      <c r="FA43" s="256"/>
      <c r="FB43" s="256"/>
      <c r="FC43" s="256"/>
      <c r="FD43" s="256"/>
      <c r="FE43" s="256"/>
      <c r="FF43" s="256"/>
      <c r="FG43" s="256"/>
      <c r="FH43" s="256"/>
      <c r="FI43" s="256"/>
      <c r="FJ43" s="256"/>
      <c r="FK43" s="256"/>
      <c r="FL43" s="256"/>
      <c r="FM43" s="256"/>
      <c r="FN43" s="256"/>
      <c r="FO43" s="256"/>
      <c r="FP43" s="256"/>
      <c r="FQ43" s="256"/>
      <c r="FR43" s="256"/>
      <c r="FS43" s="256"/>
      <c r="FT43" s="256"/>
      <c r="FU43" s="256"/>
      <c r="FV43" s="256"/>
      <c r="FW43" s="256"/>
      <c r="FX43" s="256"/>
      <c r="FY43" s="256"/>
      <c r="FZ43" s="256"/>
      <c r="GA43" s="256"/>
      <c r="GB43" s="256"/>
      <c r="GC43" s="256"/>
      <c r="GD43" s="256"/>
      <c r="GE43" s="256"/>
      <c r="GF43" s="256"/>
      <c r="GG43" s="256"/>
      <c r="GH43" s="256"/>
      <c r="GI43" s="256"/>
      <c r="GJ43" s="256"/>
      <c r="GK43" s="256"/>
      <c r="GL43" s="256"/>
      <c r="GM43" s="256"/>
      <c r="GN43" s="256"/>
      <c r="GO43" s="256"/>
      <c r="GP43" s="256"/>
      <c r="GQ43" s="256"/>
      <c r="GR43" s="256"/>
      <c r="GS43" s="256"/>
      <c r="GT43" s="256"/>
      <c r="GU43" s="256"/>
      <c r="GV43" s="256"/>
      <c r="GW43" s="256"/>
      <c r="GX43" s="256"/>
      <c r="GY43" s="256"/>
      <c r="GZ43" s="256"/>
      <c r="HA43" s="256"/>
      <c r="HB43" s="256"/>
      <c r="HC43" s="256"/>
      <c r="HD43" s="256"/>
      <c r="HE43" s="256"/>
      <c r="HF43" s="256"/>
      <c r="HG43" s="256"/>
      <c r="HH43" s="256"/>
      <c r="HI43" s="256"/>
      <c r="HJ43" s="256"/>
    </row>
    <row r="44" spans="1:218" s="37" customFormat="1" ht="11.25" hidden="1">
      <c r="A44" s="134"/>
      <c r="B44" s="74"/>
      <c r="C44" s="74">
        <v>4120</v>
      </c>
      <c r="D44" s="19" t="s">
        <v>104</v>
      </c>
      <c r="E44" s="126">
        <v>2300</v>
      </c>
      <c r="F44" s="126"/>
      <c r="G44" s="126">
        <v>2300</v>
      </c>
      <c r="H44" s="126">
        <f t="shared" si="32"/>
        <v>0</v>
      </c>
      <c r="I44" s="126"/>
      <c r="J44" s="126"/>
      <c r="K44" s="126">
        <f t="shared" si="33"/>
        <v>0</v>
      </c>
      <c r="L44" s="126"/>
      <c r="M44" s="126"/>
      <c r="N44" s="126">
        <f t="shared" si="34"/>
        <v>0</v>
      </c>
      <c r="O44" s="126"/>
      <c r="P44" s="126"/>
      <c r="Q44" s="126">
        <f t="shared" si="35"/>
        <v>0</v>
      </c>
      <c r="R44" s="126"/>
      <c r="S44" s="126"/>
      <c r="T44" s="126">
        <f t="shared" si="36"/>
        <v>0</v>
      </c>
      <c r="U44" s="126"/>
      <c r="V44" s="126"/>
      <c r="W44" s="126">
        <f t="shared" si="37"/>
        <v>0</v>
      </c>
      <c r="X44" s="126"/>
      <c r="Y44" s="126"/>
      <c r="Z44" s="126">
        <f t="shared" si="38"/>
        <v>0</v>
      </c>
      <c r="AA44" s="126"/>
      <c r="AB44" s="126"/>
      <c r="AC44" s="126">
        <f t="shared" si="39"/>
        <v>0</v>
      </c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6"/>
      <c r="FF44" s="256"/>
      <c r="FG44" s="256"/>
      <c r="FH44" s="256"/>
      <c r="FI44" s="256"/>
      <c r="FJ44" s="256"/>
      <c r="FK44" s="256"/>
      <c r="FL44" s="256"/>
      <c r="FM44" s="256"/>
      <c r="FN44" s="256"/>
      <c r="FO44" s="256"/>
      <c r="FP44" s="256"/>
      <c r="FQ44" s="256"/>
      <c r="FR44" s="256"/>
      <c r="FS44" s="256"/>
      <c r="FT44" s="256"/>
      <c r="FU44" s="256"/>
      <c r="FV44" s="256"/>
      <c r="FW44" s="256"/>
      <c r="FX44" s="256"/>
      <c r="FY44" s="256"/>
      <c r="FZ44" s="256"/>
      <c r="GA44" s="256"/>
      <c r="GB44" s="256"/>
      <c r="GC44" s="256"/>
      <c r="GD44" s="256"/>
      <c r="GE44" s="256"/>
      <c r="GF44" s="256"/>
      <c r="GG44" s="256"/>
      <c r="GH44" s="256"/>
      <c r="GI44" s="256"/>
      <c r="GJ44" s="256"/>
      <c r="GK44" s="256"/>
      <c r="GL44" s="256"/>
      <c r="GM44" s="256"/>
      <c r="GN44" s="256"/>
      <c r="GO44" s="256"/>
      <c r="GP44" s="256"/>
      <c r="GQ44" s="256"/>
      <c r="GR44" s="256"/>
      <c r="GS44" s="256"/>
      <c r="GT44" s="256"/>
      <c r="GU44" s="256"/>
      <c r="GV44" s="256"/>
      <c r="GW44" s="256"/>
      <c r="GX44" s="256"/>
      <c r="GY44" s="256"/>
      <c r="GZ44" s="256"/>
      <c r="HA44" s="256"/>
      <c r="HB44" s="256"/>
      <c r="HC44" s="256"/>
      <c r="HD44" s="256"/>
      <c r="HE44" s="256"/>
      <c r="HF44" s="256"/>
      <c r="HG44" s="256"/>
      <c r="HH44" s="256"/>
      <c r="HI44" s="256"/>
      <c r="HJ44" s="256"/>
    </row>
    <row r="45" spans="1:218" s="37" customFormat="1" ht="11.25" hidden="1">
      <c r="A45" s="134"/>
      <c r="B45" s="74"/>
      <c r="C45" s="74">
        <v>4170</v>
      </c>
      <c r="D45" s="19" t="s">
        <v>252</v>
      </c>
      <c r="E45" s="126">
        <v>3000</v>
      </c>
      <c r="F45" s="126"/>
      <c r="G45" s="126">
        <v>3000</v>
      </c>
      <c r="H45" s="126">
        <f t="shared" si="32"/>
        <v>0</v>
      </c>
      <c r="I45" s="126"/>
      <c r="J45" s="126"/>
      <c r="K45" s="126">
        <f t="shared" si="33"/>
        <v>0</v>
      </c>
      <c r="L45" s="126"/>
      <c r="M45" s="126"/>
      <c r="N45" s="126">
        <f t="shared" si="34"/>
        <v>0</v>
      </c>
      <c r="O45" s="126"/>
      <c r="P45" s="126"/>
      <c r="Q45" s="126">
        <f t="shared" si="35"/>
        <v>0</v>
      </c>
      <c r="R45" s="126"/>
      <c r="S45" s="126"/>
      <c r="T45" s="126">
        <f t="shared" si="36"/>
        <v>0</v>
      </c>
      <c r="U45" s="126"/>
      <c r="V45" s="126"/>
      <c r="W45" s="126">
        <f t="shared" si="37"/>
        <v>0</v>
      </c>
      <c r="X45" s="126"/>
      <c r="Y45" s="126"/>
      <c r="Z45" s="126">
        <f t="shared" si="38"/>
        <v>0</v>
      </c>
      <c r="AA45" s="126"/>
      <c r="AB45" s="126"/>
      <c r="AC45" s="126">
        <f t="shared" si="39"/>
        <v>0</v>
      </c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  <c r="FF45" s="256"/>
      <c r="FG45" s="256"/>
      <c r="FH45" s="256"/>
      <c r="FI45" s="256"/>
      <c r="FJ45" s="256"/>
      <c r="FK45" s="256"/>
      <c r="FL45" s="256"/>
      <c r="FM45" s="256"/>
      <c r="FN45" s="256"/>
      <c r="FO45" s="256"/>
      <c r="FP45" s="256"/>
      <c r="FQ45" s="256"/>
      <c r="FR45" s="256"/>
      <c r="FS45" s="256"/>
      <c r="FT45" s="256"/>
      <c r="FU45" s="256"/>
      <c r="FV45" s="256"/>
      <c r="FW45" s="256"/>
      <c r="FX45" s="256"/>
      <c r="FY45" s="256"/>
      <c r="FZ45" s="256"/>
      <c r="GA45" s="256"/>
      <c r="GB45" s="256"/>
      <c r="GC45" s="256"/>
      <c r="GD45" s="256"/>
      <c r="GE45" s="256"/>
      <c r="GF45" s="256"/>
      <c r="GG45" s="256"/>
      <c r="GH45" s="256"/>
      <c r="GI45" s="256"/>
      <c r="GJ45" s="256"/>
      <c r="GK45" s="256"/>
      <c r="GL45" s="256"/>
      <c r="GM45" s="256"/>
      <c r="GN45" s="256"/>
      <c r="GO45" s="256"/>
      <c r="GP45" s="256"/>
      <c r="GQ45" s="256"/>
      <c r="GR45" s="256"/>
      <c r="GS45" s="256"/>
      <c r="GT45" s="256"/>
      <c r="GU45" s="256"/>
      <c r="GV45" s="256"/>
      <c r="GW45" s="256"/>
      <c r="GX45" s="256"/>
      <c r="GY45" s="256"/>
      <c r="GZ45" s="256"/>
      <c r="HA45" s="256"/>
      <c r="HB45" s="256"/>
      <c r="HC45" s="256"/>
      <c r="HD45" s="256"/>
      <c r="HE45" s="256"/>
      <c r="HF45" s="256"/>
      <c r="HG45" s="256"/>
      <c r="HH45" s="256"/>
      <c r="HI45" s="256"/>
      <c r="HJ45" s="256"/>
    </row>
    <row r="46" spans="1:218" s="37" customFormat="1" ht="11.25" hidden="1">
      <c r="A46" s="134"/>
      <c r="B46" s="74"/>
      <c r="C46" s="74">
        <v>4210</v>
      </c>
      <c r="D46" s="19" t="s">
        <v>109</v>
      </c>
      <c r="E46" s="126">
        <f>9000+4812</f>
        <v>13812</v>
      </c>
      <c r="F46" s="126"/>
      <c r="G46" s="126">
        <f>9000+4812</f>
        <v>13812</v>
      </c>
      <c r="H46" s="126">
        <f t="shared" si="32"/>
        <v>0</v>
      </c>
      <c r="I46" s="126"/>
      <c r="J46" s="126"/>
      <c r="K46" s="126">
        <f t="shared" si="33"/>
        <v>0</v>
      </c>
      <c r="L46" s="126"/>
      <c r="M46" s="126"/>
      <c r="N46" s="126">
        <f t="shared" si="34"/>
        <v>0</v>
      </c>
      <c r="O46" s="126"/>
      <c r="P46" s="126"/>
      <c r="Q46" s="126">
        <f t="shared" si="35"/>
        <v>0</v>
      </c>
      <c r="R46" s="126"/>
      <c r="S46" s="126"/>
      <c r="T46" s="126">
        <f t="shared" si="36"/>
        <v>0</v>
      </c>
      <c r="U46" s="126"/>
      <c r="V46" s="126"/>
      <c r="W46" s="126">
        <f t="shared" si="37"/>
        <v>0</v>
      </c>
      <c r="X46" s="126"/>
      <c r="Y46" s="126"/>
      <c r="Z46" s="126">
        <f t="shared" si="38"/>
        <v>0</v>
      </c>
      <c r="AA46" s="126"/>
      <c r="AB46" s="126"/>
      <c r="AC46" s="126">
        <f t="shared" si="39"/>
        <v>0</v>
      </c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6"/>
      <c r="FK46" s="256"/>
      <c r="FL46" s="256"/>
      <c r="FM46" s="256"/>
      <c r="FN46" s="256"/>
      <c r="FO46" s="256"/>
      <c r="FP46" s="256"/>
      <c r="FQ46" s="256"/>
      <c r="FR46" s="256"/>
      <c r="FS46" s="256"/>
      <c r="FT46" s="256"/>
      <c r="FU46" s="256"/>
      <c r="FV46" s="256"/>
      <c r="FW46" s="256"/>
      <c r="FX46" s="256"/>
      <c r="FY46" s="256"/>
      <c r="FZ46" s="256"/>
      <c r="GA46" s="256"/>
      <c r="GB46" s="256"/>
      <c r="GC46" s="256"/>
      <c r="GD46" s="256"/>
      <c r="GE46" s="256"/>
      <c r="GF46" s="256"/>
      <c r="GG46" s="256"/>
      <c r="GH46" s="256"/>
      <c r="GI46" s="256"/>
      <c r="GJ46" s="256"/>
      <c r="GK46" s="256"/>
      <c r="GL46" s="256"/>
      <c r="GM46" s="256"/>
      <c r="GN46" s="256"/>
      <c r="GO46" s="256"/>
      <c r="GP46" s="256"/>
      <c r="GQ46" s="256"/>
      <c r="GR46" s="256"/>
      <c r="GS46" s="256"/>
      <c r="GT46" s="256"/>
      <c r="GU46" s="256"/>
      <c r="GV46" s="256"/>
      <c r="GW46" s="256"/>
      <c r="GX46" s="256"/>
      <c r="GY46" s="256"/>
      <c r="GZ46" s="256"/>
      <c r="HA46" s="256"/>
      <c r="HB46" s="256"/>
      <c r="HC46" s="256"/>
      <c r="HD46" s="256"/>
      <c r="HE46" s="256"/>
      <c r="HF46" s="256"/>
      <c r="HG46" s="256"/>
      <c r="HH46" s="256"/>
      <c r="HI46" s="256"/>
      <c r="HJ46" s="256"/>
    </row>
    <row r="47" spans="1:218" s="37" customFormat="1" ht="11.25" hidden="1">
      <c r="A47" s="134"/>
      <c r="B47" s="74"/>
      <c r="C47" s="74">
        <v>4300</v>
      </c>
      <c r="D47" s="19" t="s">
        <v>96</v>
      </c>
      <c r="E47" s="126">
        <v>24307</v>
      </c>
      <c r="F47" s="126"/>
      <c r="G47" s="126">
        <v>24307</v>
      </c>
      <c r="H47" s="126">
        <f t="shared" si="32"/>
        <v>0</v>
      </c>
      <c r="I47" s="126"/>
      <c r="J47" s="126"/>
      <c r="K47" s="126">
        <f t="shared" si="33"/>
        <v>0</v>
      </c>
      <c r="L47" s="126"/>
      <c r="M47" s="126"/>
      <c r="N47" s="126">
        <f t="shared" si="34"/>
        <v>0</v>
      </c>
      <c r="O47" s="126"/>
      <c r="P47" s="126"/>
      <c r="Q47" s="126">
        <f t="shared" si="35"/>
        <v>0</v>
      </c>
      <c r="R47" s="126"/>
      <c r="S47" s="126"/>
      <c r="T47" s="126">
        <f t="shared" si="36"/>
        <v>0</v>
      </c>
      <c r="U47" s="126"/>
      <c r="V47" s="126"/>
      <c r="W47" s="126">
        <f t="shared" si="37"/>
        <v>0</v>
      </c>
      <c r="X47" s="126"/>
      <c r="Y47" s="126"/>
      <c r="Z47" s="126">
        <f t="shared" si="38"/>
        <v>0</v>
      </c>
      <c r="AA47" s="126"/>
      <c r="AB47" s="126"/>
      <c r="AC47" s="126">
        <f t="shared" si="39"/>
        <v>0</v>
      </c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256"/>
      <c r="BV47" s="256"/>
      <c r="BW47" s="256"/>
      <c r="BX47" s="256"/>
      <c r="BY47" s="256"/>
      <c r="BZ47" s="256"/>
      <c r="CA47" s="256"/>
      <c r="CB47" s="256"/>
      <c r="CC47" s="256"/>
      <c r="CD47" s="2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256"/>
      <c r="CP47" s="256"/>
      <c r="CQ47" s="256"/>
      <c r="CR47" s="256"/>
      <c r="CS47" s="256"/>
      <c r="CT47" s="256"/>
      <c r="CU47" s="256"/>
      <c r="CV47" s="256"/>
      <c r="CW47" s="256"/>
      <c r="CX47" s="256"/>
      <c r="CY47" s="256"/>
      <c r="CZ47" s="256"/>
      <c r="DA47" s="256"/>
      <c r="DB47" s="256"/>
      <c r="DC47" s="256"/>
      <c r="DD47" s="256"/>
      <c r="DE47" s="256"/>
      <c r="DF47" s="256"/>
      <c r="DG47" s="256"/>
      <c r="DH47" s="256"/>
      <c r="DI47" s="256"/>
      <c r="DJ47" s="256"/>
      <c r="DK47" s="256"/>
      <c r="DL47" s="256"/>
      <c r="DM47" s="256"/>
      <c r="DN47" s="256"/>
      <c r="DO47" s="256"/>
      <c r="DP47" s="256"/>
      <c r="DQ47" s="256"/>
      <c r="DR47" s="256"/>
      <c r="DS47" s="256"/>
      <c r="DT47" s="256"/>
      <c r="DU47" s="256"/>
      <c r="DV47" s="256"/>
      <c r="DW47" s="256"/>
      <c r="DX47" s="256"/>
      <c r="DY47" s="256"/>
      <c r="DZ47" s="256"/>
      <c r="EA47" s="256"/>
      <c r="EB47" s="256"/>
      <c r="EC47" s="256"/>
      <c r="ED47" s="256"/>
      <c r="EE47" s="256"/>
      <c r="EF47" s="256"/>
      <c r="EG47" s="256"/>
      <c r="EH47" s="256"/>
      <c r="EI47" s="256"/>
      <c r="EJ47" s="256"/>
      <c r="EK47" s="256"/>
      <c r="EL47" s="256"/>
      <c r="EM47" s="256"/>
      <c r="EN47" s="256"/>
      <c r="EO47" s="256"/>
      <c r="EP47" s="256"/>
      <c r="EQ47" s="256"/>
      <c r="ER47" s="256"/>
      <c r="ES47" s="256"/>
      <c r="ET47" s="256"/>
      <c r="EU47" s="256"/>
      <c r="EV47" s="256"/>
      <c r="EW47" s="256"/>
      <c r="EX47" s="256"/>
      <c r="EY47" s="256"/>
      <c r="EZ47" s="256"/>
      <c r="FA47" s="256"/>
      <c r="FB47" s="256"/>
      <c r="FC47" s="256"/>
      <c r="FD47" s="256"/>
      <c r="FE47" s="256"/>
      <c r="FF47" s="256"/>
      <c r="FG47" s="256"/>
      <c r="FH47" s="256"/>
      <c r="FI47" s="256"/>
      <c r="FJ47" s="256"/>
      <c r="FK47" s="256"/>
      <c r="FL47" s="256"/>
      <c r="FM47" s="256"/>
      <c r="FN47" s="256"/>
      <c r="FO47" s="256"/>
      <c r="FP47" s="256"/>
      <c r="FQ47" s="256"/>
      <c r="FR47" s="256"/>
      <c r="FS47" s="256"/>
      <c r="FT47" s="256"/>
      <c r="FU47" s="256"/>
      <c r="FV47" s="256"/>
      <c r="FW47" s="256"/>
      <c r="FX47" s="256"/>
      <c r="FY47" s="256"/>
      <c r="FZ47" s="256"/>
      <c r="GA47" s="256"/>
      <c r="GB47" s="256"/>
      <c r="GC47" s="256"/>
      <c r="GD47" s="256"/>
      <c r="GE47" s="256"/>
      <c r="GF47" s="256"/>
      <c r="GG47" s="256"/>
      <c r="GH47" s="256"/>
      <c r="GI47" s="256"/>
      <c r="GJ47" s="256"/>
      <c r="GK47" s="256"/>
      <c r="GL47" s="256"/>
      <c r="GM47" s="256"/>
      <c r="GN47" s="256"/>
      <c r="GO47" s="256"/>
      <c r="GP47" s="256"/>
      <c r="GQ47" s="256"/>
      <c r="GR47" s="256"/>
      <c r="GS47" s="256"/>
      <c r="GT47" s="256"/>
      <c r="GU47" s="256"/>
      <c r="GV47" s="256"/>
      <c r="GW47" s="256"/>
      <c r="GX47" s="256"/>
      <c r="GY47" s="256"/>
      <c r="GZ47" s="256"/>
      <c r="HA47" s="256"/>
      <c r="HB47" s="256"/>
      <c r="HC47" s="256"/>
      <c r="HD47" s="256"/>
      <c r="HE47" s="256"/>
      <c r="HF47" s="256"/>
      <c r="HG47" s="256"/>
      <c r="HH47" s="256"/>
      <c r="HI47" s="256"/>
      <c r="HJ47" s="256"/>
    </row>
    <row r="48" spans="1:218" s="37" customFormat="1" ht="11.25" hidden="1">
      <c r="A48" s="134"/>
      <c r="B48" s="74"/>
      <c r="C48" s="74">
        <v>4410</v>
      </c>
      <c r="D48" s="19" t="s">
        <v>107</v>
      </c>
      <c r="E48" s="126">
        <v>3000</v>
      </c>
      <c r="F48" s="126"/>
      <c r="G48" s="126">
        <v>3000</v>
      </c>
      <c r="H48" s="126">
        <f t="shared" si="32"/>
        <v>0</v>
      </c>
      <c r="I48" s="126"/>
      <c r="J48" s="126"/>
      <c r="K48" s="126">
        <f t="shared" si="33"/>
        <v>0</v>
      </c>
      <c r="L48" s="126"/>
      <c r="M48" s="126"/>
      <c r="N48" s="126">
        <f t="shared" si="34"/>
        <v>0</v>
      </c>
      <c r="O48" s="126"/>
      <c r="P48" s="126"/>
      <c r="Q48" s="126">
        <f t="shared" si="35"/>
        <v>0</v>
      </c>
      <c r="R48" s="126"/>
      <c r="S48" s="126"/>
      <c r="T48" s="126">
        <f t="shared" si="36"/>
        <v>0</v>
      </c>
      <c r="U48" s="126"/>
      <c r="V48" s="126"/>
      <c r="W48" s="126">
        <f t="shared" si="37"/>
        <v>0</v>
      </c>
      <c r="X48" s="126"/>
      <c r="Y48" s="126"/>
      <c r="Z48" s="126">
        <f t="shared" si="38"/>
        <v>0</v>
      </c>
      <c r="AA48" s="126"/>
      <c r="AB48" s="126"/>
      <c r="AC48" s="126">
        <f t="shared" si="39"/>
        <v>0</v>
      </c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6"/>
      <c r="FK48" s="256"/>
      <c r="FL48" s="256"/>
      <c r="FM48" s="256"/>
      <c r="FN48" s="256"/>
      <c r="FO48" s="256"/>
      <c r="FP48" s="256"/>
      <c r="FQ48" s="256"/>
      <c r="FR48" s="256"/>
      <c r="FS48" s="256"/>
      <c r="FT48" s="256"/>
      <c r="FU48" s="256"/>
      <c r="FV48" s="256"/>
      <c r="FW48" s="256"/>
      <c r="FX48" s="256"/>
      <c r="FY48" s="256"/>
      <c r="FZ48" s="256"/>
      <c r="GA48" s="256"/>
      <c r="GB48" s="256"/>
      <c r="GC48" s="256"/>
      <c r="GD48" s="256"/>
      <c r="GE48" s="256"/>
      <c r="GF48" s="256"/>
      <c r="GG48" s="256"/>
      <c r="GH48" s="256"/>
      <c r="GI48" s="256"/>
      <c r="GJ48" s="256"/>
      <c r="GK48" s="256"/>
      <c r="GL48" s="256"/>
      <c r="GM48" s="256"/>
      <c r="GN48" s="256"/>
      <c r="GO48" s="256"/>
      <c r="GP48" s="256"/>
      <c r="GQ48" s="256"/>
      <c r="GR48" s="256"/>
      <c r="GS48" s="256"/>
      <c r="GT48" s="256"/>
      <c r="GU48" s="256"/>
      <c r="GV48" s="256"/>
      <c r="GW48" s="256"/>
      <c r="GX48" s="256"/>
      <c r="GY48" s="256"/>
      <c r="GZ48" s="256"/>
      <c r="HA48" s="256"/>
      <c r="HB48" s="256"/>
      <c r="HC48" s="256"/>
      <c r="HD48" s="256"/>
      <c r="HE48" s="256"/>
      <c r="HF48" s="256"/>
      <c r="HG48" s="256"/>
      <c r="HH48" s="256"/>
      <c r="HI48" s="256"/>
      <c r="HJ48" s="256"/>
    </row>
    <row r="49" spans="1:218" s="37" customFormat="1" ht="11.25" hidden="1">
      <c r="A49" s="134"/>
      <c r="B49" s="74"/>
      <c r="C49" s="74">
        <v>4430</v>
      </c>
      <c r="D49" s="19" t="s">
        <v>111</v>
      </c>
      <c r="E49" s="126">
        <v>2000</v>
      </c>
      <c r="F49" s="126"/>
      <c r="G49" s="126">
        <v>2000</v>
      </c>
      <c r="H49" s="126">
        <f t="shared" si="32"/>
        <v>0</v>
      </c>
      <c r="I49" s="126"/>
      <c r="J49" s="126"/>
      <c r="K49" s="126">
        <f t="shared" si="33"/>
        <v>0</v>
      </c>
      <c r="L49" s="126"/>
      <c r="M49" s="126"/>
      <c r="N49" s="126">
        <f t="shared" si="34"/>
        <v>0</v>
      </c>
      <c r="O49" s="126"/>
      <c r="P49" s="126"/>
      <c r="Q49" s="126">
        <f t="shared" si="35"/>
        <v>0</v>
      </c>
      <c r="R49" s="126"/>
      <c r="S49" s="126"/>
      <c r="T49" s="126">
        <f t="shared" si="36"/>
        <v>0</v>
      </c>
      <c r="U49" s="126"/>
      <c r="V49" s="126"/>
      <c r="W49" s="126">
        <f t="shared" si="37"/>
        <v>0</v>
      </c>
      <c r="X49" s="126"/>
      <c r="Y49" s="126"/>
      <c r="Z49" s="126">
        <f t="shared" si="38"/>
        <v>0</v>
      </c>
      <c r="AA49" s="126"/>
      <c r="AB49" s="126"/>
      <c r="AC49" s="126">
        <f t="shared" si="39"/>
        <v>0</v>
      </c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/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6"/>
      <c r="DL49" s="256"/>
      <c r="DM49" s="256"/>
      <c r="DN49" s="256"/>
      <c r="DO49" s="256"/>
      <c r="DP49" s="256"/>
      <c r="DQ49" s="256"/>
      <c r="DR49" s="256"/>
      <c r="DS49" s="256"/>
      <c r="DT49" s="256"/>
      <c r="DU49" s="256"/>
      <c r="DV49" s="256"/>
      <c r="DW49" s="256"/>
      <c r="DX49" s="256"/>
      <c r="DY49" s="256"/>
      <c r="DZ49" s="256"/>
      <c r="EA49" s="256"/>
      <c r="EB49" s="256"/>
      <c r="EC49" s="256"/>
      <c r="ED49" s="256"/>
      <c r="EE49" s="256"/>
      <c r="EF49" s="256"/>
      <c r="EG49" s="256"/>
      <c r="EH49" s="256"/>
      <c r="EI49" s="256"/>
      <c r="EJ49" s="256"/>
      <c r="EK49" s="256"/>
      <c r="EL49" s="256"/>
      <c r="EM49" s="256"/>
      <c r="EN49" s="256"/>
      <c r="EO49" s="256"/>
      <c r="EP49" s="256"/>
      <c r="EQ49" s="256"/>
      <c r="ER49" s="256"/>
      <c r="ES49" s="256"/>
      <c r="ET49" s="256"/>
      <c r="EU49" s="256"/>
      <c r="EV49" s="256"/>
      <c r="EW49" s="256"/>
      <c r="EX49" s="256"/>
      <c r="EY49" s="256"/>
      <c r="EZ49" s="256"/>
      <c r="FA49" s="256"/>
      <c r="FB49" s="256"/>
      <c r="FC49" s="256"/>
      <c r="FD49" s="256"/>
      <c r="FE49" s="256"/>
      <c r="FF49" s="256"/>
      <c r="FG49" s="256"/>
      <c r="FH49" s="256"/>
      <c r="FI49" s="256"/>
      <c r="FJ49" s="256"/>
      <c r="FK49" s="256"/>
      <c r="FL49" s="256"/>
      <c r="FM49" s="256"/>
      <c r="FN49" s="256"/>
      <c r="FO49" s="256"/>
      <c r="FP49" s="256"/>
      <c r="FQ49" s="256"/>
      <c r="FR49" s="256"/>
      <c r="FS49" s="256"/>
      <c r="FT49" s="256"/>
      <c r="FU49" s="256"/>
      <c r="FV49" s="256"/>
      <c r="FW49" s="256"/>
      <c r="FX49" s="256"/>
      <c r="FY49" s="256"/>
      <c r="FZ49" s="256"/>
      <c r="GA49" s="256"/>
      <c r="GB49" s="256"/>
      <c r="GC49" s="256"/>
      <c r="GD49" s="256"/>
      <c r="GE49" s="256"/>
      <c r="GF49" s="256"/>
      <c r="GG49" s="256"/>
      <c r="GH49" s="256"/>
      <c r="GI49" s="256"/>
      <c r="GJ49" s="256"/>
      <c r="GK49" s="256"/>
      <c r="GL49" s="256"/>
      <c r="GM49" s="256"/>
      <c r="GN49" s="256"/>
      <c r="GO49" s="256"/>
      <c r="GP49" s="256"/>
      <c r="GQ49" s="256"/>
      <c r="GR49" s="256"/>
      <c r="GS49" s="256"/>
      <c r="GT49" s="256"/>
      <c r="GU49" s="256"/>
      <c r="GV49" s="256"/>
      <c r="GW49" s="256"/>
      <c r="GX49" s="256"/>
      <c r="GY49" s="256"/>
      <c r="GZ49" s="256"/>
      <c r="HA49" s="256"/>
      <c r="HB49" s="256"/>
      <c r="HC49" s="256"/>
      <c r="HD49" s="256"/>
      <c r="HE49" s="256"/>
      <c r="HF49" s="256"/>
      <c r="HG49" s="256"/>
      <c r="HH49" s="256"/>
      <c r="HI49" s="256"/>
      <c r="HJ49" s="256"/>
    </row>
    <row r="50" spans="1:218" s="37" customFormat="1" ht="22.5" hidden="1">
      <c r="A50" s="134"/>
      <c r="B50" s="74"/>
      <c r="C50" s="74">
        <v>4440</v>
      </c>
      <c r="D50" s="19" t="s">
        <v>105</v>
      </c>
      <c r="E50" s="126">
        <v>3800</v>
      </c>
      <c r="F50" s="126"/>
      <c r="G50" s="126">
        <v>3800</v>
      </c>
      <c r="H50" s="126">
        <f t="shared" si="32"/>
        <v>0</v>
      </c>
      <c r="I50" s="126"/>
      <c r="J50" s="126"/>
      <c r="K50" s="126">
        <f t="shared" si="33"/>
        <v>0</v>
      </c>
      <c r="L50" s="126"/>
      <c r="M50" s="126"/>
      <c r="N50" s="126">
        <f t="shared" si="34"/>
        <v>0</v>
      </c>
      <c r="O50" s="126"/>
      <c r="P50" s="126"/>
      <c r="Q50" s="126">
        <f t="shared" si="35"/>
        <v>0</v>
      </c>
      <c r="R50" s="126"/>
      <c r="S50" s="126"/>
      <c r="T50" s="126">
        <f t="shared" si="36"/>
        <v>0</v>
      </c>
      <c r="U50" s="126"/>
      <c r="V50" s="126"/>
      <c r="W50" s="126">
        <f t="shared" si="37"/>
        <v>0</v>
      </c>
      <c r="X50" s="126"/>
      <c r="Y50" s="126"/>
      <c r="Z50" s="126">
        <f t="shared" si="38"/>
        <v>0</v>
      </c>
      <c r="AA50" s="126"/>
      <c r="AB50" s="126"/>
      <c r="AC50" s="126">
        <f t="shared" si="39"/>
        <v>0</v>
      </c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  <c r="DE50" s="256"/>
      <c r="DF50" s="256"/>
      <c r="DG50" s="256"/>
      <c r="DH50" s="256"/>
      <c r="DI50" s="256"/>
      <c r="DJ50" s="256"/>
      <c r="DK50" s="256"/>
      <c r="DL50" s="256"/>
      <c r="DM50" s="256"/>
      <c r="DN50" s="256"/>
      <c r="DO50" s="256"/>
      <c r="DP50" s="256"/>
      <c r="DQ50" s="256"/>
      <c r="DR50" s="256"/>
      <c r="DS50" s="256"/>
      <c r="DT50" s="256"/>
      <c r="DU50" s="256"/>
      <c r="DV50" s="256"/>
      <c r="DW50" s="256"/>
      <c r="DX50" s="256"/>
      <c r="DY50" s="256"/>
      <c r="DZ50" s="256"/>
      <c r="EA50" s="256"/>
      <c r="EB50" s="256"/>
      <c r="EC50" s="256"/>
      <c r="ED50" s="256"/>
      <c r="EE50" s="256"/>
      <c r="EF50" s="256"/>
      <c r="EG50" s="256"/>
      <c r="EH50" s="256"/>
      <c r="EI50" s="256"/>
      <c r="EJ50" s="256"/>
      <c r="EK50" s="256"/>
      <c r="EL50" s="256"/>
      <c r="EM50" s="256"/>
      <c r="EN50" s="256"/>
      <c r="EO50" s="256"/>
      <c r="EP50" s="256"/>
      <c r="EQ50" s="256"/>
      <c r="ER50" s="256"/>
      <c r="ES50" s="256"/>
      <c r="ET50" s="256"/>
      <c r="EU50" s="256"/>
      <c r="EV50" s="256"/>
      <c r="EW50" s="256"/>
      <c r="EX50" s="256"/>
      <c r="EY50" s="256"/>
      <c r="EZ50" s="256"/>
      <c r="FA50" s="256"/>
      <c r="FB50" s="256"/>
      <c r="FC50" s="256"/>
      <c r="FD50" s="256"/>
      <c r="FE50" s="256"/>
      <c r="FF50" s="256"/>
      <c r="FG50" s="256"/>
      <c r="FH50" s="256"/>
      <c r="FI50" s="256"/>
      <c r="FJ50" s="256"/>
      <c r="FK50" s="256"/>
      <c r="FL50" s="256"/>
      <c r="FM50" s="256"/>
      <c r="FN50" s="256"/>
      <c r="FO50" s="256"/>
      <c r="FP50" s="256"/>
      <c r="FQ50" s="256"/>
      <c r="FR50" s="256"/>
      <c r="FS50" s="256"/>
      <c r="FT50" s="256"/>
      <c r="FU50" s="256"/>
      <c r="FV50" s="256"/>
      <c r="FW50" s="256"/>
      <c r="FX50" s="256"/>
      <c r="FY50" s="256"/>
      <c r="FZ50" s="256"/>
      <c r="GA50" s="256"/>
      <c r="GB50" s="256"/>
      <c r="GC50" s="256"/>
      <c r="GD50" s="256"/>
      <c r="GE50" s="256"/>
      <c r="GF50" s="256"/>
      <c r="GG50" s="256"/>
      <c r="GH50" s="256"/>
      <c r="GI50" s="256"/>
      <c r="GJ50" s="256"/>
      <c r="GK50" s="256"/>
      <c r="GL50" s="256"/>
      <c r="GM50" s="256"/>
      <c r="GN50" s="256"/>
      <c r="GO50" s="256"/>
      <c r="GP50" s="256"/>
      <c r="GQ50" s="256"/>
      <c r="GR50" s="256"/>
      <c r="GS50" s="256"/>
      <c r="GT50" s="256"/>
      <c r="GU50" s="256"/>
      <c r="GV50" s="256"/>
      <c r="GW50" s="256"/>
      <c r="GX50" s="256"/>
      <c r="GY50" s="256"/>
      <c r="GZ50" s="256"/>
      <c r="HA50" s="256"/>
      <c r="HB50" s="256"/>
      <c r="HC50" s="256"/>
      <c r="HD50" s="256"/>
      <c r="HE50" s="256"/>
      <c r="HF50" s="256"/>
      <c r="HG50" s="256"/>
      <c r="HH50" s="256"/>
      <c r="HI50" s="256"/>
      <c r="HJ50" s="256"/>
    </row>
    <row r="51" spans="1:218" s="37" customFormat="1" ht="48" customHeight="1">
      <c r="A51" s="134"/>
      <c r="B51" s="74">
        <v>85212</v>
      </c>
      <c r="C51" s="112"/>
      <c r="D51" s="110" t="s">
        <v>362</v>
      </c>
      <c r="E51" s="126">
        <f>SUM(E52:E63)</f>
        <v>0</v>
      </c>
      <c r="F51" s="126">
        <f>SUM(F52:F63)</f>
        <v>5507000</v>
      </c>
      <c r="G51" s="126">
        <f>SUM(G52:G63)</f>
        <v>0</v>
      </c>
      <c r="H51" s="126">
        <f t="shared" si="32"/>
        <v>5507000</v>
      </c>
      <c r="I51" s="126">
        <f>SUM(I52:I63)</f>
        <v>48100</v>
      </c>
      <c r="J51" s="126">
        <f>SUM(J52:J63)</f>
        <v>0</v>
      </c>
      <c r="K51" s="126">
        <f t="shared" si="33"/>
        <v>5555100</v>
      </c>
      <c r="L51" s="126">
        <f>SUM(L52:L63)</f>
        <v>0</v>
      </c>
      <c r="M51" s="126">
        <f>SUM(M52:M63)</f>
        <v>0</v>
      </c>
      <c r="N51" s="126">
        <f t="shared" si="34"/>
        <v>5555100</v>
      </c>
      <c r="O51" s="126">
        <f>SUM(O52:O63)</f>
        <v>20000</v>
      </c>
      <c r="P51" s="126">
        <f>SUM(P52:P63)</f>
        <v>20000</v>
      </c>
      <c r="Q51" s="126">
        <f t="shared" si="35"/>
        <v>5555100</v>
      </c>
      <c r="R51" s="126">
        <f>SUM(R52:R63)</f>
        <v>505100</v>
      </c>
      <c r="S51" s="126">
        <f>SUM(S52:S63)</f>
        <v>0</v>
      </c>
      <c r="T51" s="126">
        <f t="shared" si="36"/>
        <v>6060200</v>
      </c>
      <c r="U51" s="126">
        <f>SUM(U52:U63)</f>
        <v>267800</v>
      </c>
      <c r="V51" s="126">
        <f>SUM(V52:V63)</f>
        <v>0</v>
      </c>
      <c r="W51" s="126">
        <f t="shared" si="37"/>
        <v>6328000</v>
      </c>
      <c r="X51" s="126">
        <f>SUM(X52:X63)</f>
        <v>0</v>
      </c>
      <c r="Y51" s="126">
        <f>SUM(Y52:Y63)</f>
        <v>0</v>
      </c>
      <c r="Z51" s="126">
        <f t="shared" si="38"/>
        <v>6328000</v>
      </c>
      <c r="AA51" s="126">
        <f>SUM(AA52:AA63)</f>
        <v>19059</v>
      </c>
      <c r="AB51" s="126">
        <f>SUM(AB52:AB63)</f>
        <v>19059</v>
      </c>
      <c r="AC51" s="126">
        <f t="shared" si="39"/>
        <v>6328000</v>
      </c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6"/>
      <c r="BR51" s="256"/>
      <c r="BS51" s="256"/>
      <c r="BT51" s="256"/>
      <c r="BU51" s="256"/>
      <c r="BV51" s="256"/>
      <c r="BW51" s="256"/>
      <c r="BX51" s="256"/>
      <c r="BY51" s="256"/>
      <c r="BZ51" s="256"/>
      <c r="CA51" s="256"/>
      <c r="CB51" s="256"/>
      <c r="CC51" s="256"/>
      <c r="CD51" s="256"/>
      <c r="CE51" s="256"/>
      <c r="CF51" s="256"/>
      <c r="CG51" s="256"/>
      <c r="CH51" s="256"/>
      <c r="CI51" s="256"/>
      <c r="CJ51" s="256"/>
      <c r="CK51" s="256"/>
      <c r="CL51" s="256"/>
      <c r="CM51" s="256"/>
      <c r="CN51" s="256"/>
      <c r="CO51" s="256"/>
      <c r="CP51" s="256"/>
      <c r="CQ51" s="256"/>
      <c r="CR51" s="256"/>
      <c r="CS51" s="256"/>
      <c r="CT51" s="256"/>
      <c r="CU51" s="256"/>
      <c r="CV51" s="256"/>
      <c r="CW51" s="256"/>
      <c r="CX51" s="256"/>
      <c r="CY51" s="256"/>
      <c r="CZ51" s="256"/>
      <c r="DA51" s="256"/>
      <c r="DB51" s="256"/>
      <c r="DC51" s="256"/>
      <c r="DD51" s="256"/>
      <c r="DE51" s="256"/>
      <c r="DF51" s="256"/>
      <c r="DG51" s="256"/>
      <c r="DH51" s="256"/>
      <c r="DI51" s="256"/>
      <c r="DJ51" s="256"/>
      <c r="DK51" s="256"/>
      <c r="DL51" s="256"/>
      <c r="DM51" s="256"/>
      <c r="DN51" s="256"/>
      <c r="DO51" s="256"/>
      <c r="DP51" s="256"/>
      <c r="DQ51" s="256"/>
      <c r="DR51" s="256"/>
      <c r="DS51" s="256"/>
      <c r="DT51" s="256"/>
      <c r="DU51" s="256"/>
      <c r="DV51" s="256"/>
      <c r="DW51" s="256"/>
      <c r="DX51" s="256"/>
      <c r="DY51" s="256"/>
      <c r="DZ51" s="256"/>
      <c r="EA51" s="256"/>
      <c r="EB51" s="256"/>
      <c r="EC51" s="256"/>
      <c r="ED51" s="256"/>
      <c r="EE51" s="256"/>
      <c r="EF51" s="256"/>
      <c r="EG51" s="256"/>
      <c r="EH51" s="256"/>
      <c r="EI51" s="256"/>
      <c r="EJ51" s="256"/>
      <c r="EK51" s="256"/>
      <c r="EL51" s="256"/>
      <c r="EM51" s="256"/>
      <c r="EN51" s="256"/>
      <c r="EO51" s="256"/>
      <c r="EP51" s="256"/>
      <c r="EQ51" s="256"/>
      <c r="ER51" s="256"/>
      <c r="ES51" s="256"/>
      <c r="ET51" s="256"/>
      <c r="EU51" s="256"/>
      <c r="EV51" s="256"/>
      <c r="EW51" s="256"/>
      <c r="EX51" s="256"/>
      <c r="EY51" s="256"/>
      <c r="EZ51" s="256"/>
      <c r="FA51" s="256"/>
      <c r="FB51" s="256"/>
      <c r="FC51" s="256"/>
      <c r="FD51" s="256"/>
      <c r="FE51" s="256"/>
      <c r="FF51" s="256"/>
      <c r="FG51" s="256"/>
      <c r="FH51" s="256"/>
      <c r="FI51" s="256"/>
      <c r="FJ51" s="256"/>
      <c r="FK51" s="256"/>
      <c r="FL51" s="256"/>
      <c r="FM51" s="256"/>
      <c r="FN51" s="256"/>
      <c r="FO51" s="256"/>
      <c r="FP51" s="256"/>
      <c r="FQ51" s="256"/>
      <c r="FR51" s="256"/>
      <c r="FS51" s="256"/>
      <c r="FT51" s="256"/>
      <c r="FU51" s="256"/>
      <c r="FV51" s="256"/>
      <c r="FW51" s="256"/>
      <c r="FX51" s="256"/>
      <c r="FY51" s="256"/>
      <c r="FZ51" s="256"/>
      <c r="GA51" s="256"/>
      <c r="GB51" s="256"/>
      <c r="GC51" s="256"/>
      <c r="GD51" s="256"/>
      <c r="GE51" s="256"/>
      <c r="GF51" s="256"/>
      <c r="GG51" s="256"/>
      <c r="GH51" s="256"/>
      <c r="GI51" s="256"/>
      <c r="GJ51" s="256"/>
      <c r="GK51" s="256"/>
      <c r="GL51" s="256"/>
      <c r="GM51" s="256"/>
      <c r="GN51" s="256"/>
      <c r="GO51" s="256"/>
      <c r="GP51" s="256"/>
      <c r="GQ51" s="256"/>
      <c r="GR51" s="256"/>
      <c r="GS51" s="256"/>
      <c r="GT51" s="256"/>
      <c r="GU51" s="256"/>
      <c r="GV51" s="256"/>
      <c r="GW51" s="256"/>
      <c r="GX51" s="256"/>
      <c r="GY51" s="256"/>
      <c r="GZ51" s="256"/>
      <c r="HA51" s="256"/>
      <c r="HB51" s="256"/>
      <c r="HC51" s="256"/>
      <c r="HD51" s="256"/>
      <c r="HE51" s="256"/>
      <c r="HF51" s="256"/>
      <c r="HG51" s="256"/>
      <c r="HH51" s="256"/>
      <c r="HI51" s="256"/>
      <c r="HJ51" s="256"/>
    </row>
    <row r="52" spans="1:218" s="37" customFormat="1" ht="23.25" customHeight="1">
      <c r="A52" s="134"/>
      <c r="B52" s="74"/>
      <c r="C52" s="112">
        <v>3020</v>
      </c>
      <c r="D52" s="56" t="s">
        <v>293</v>
      </c>
      <c r="E52" s="126">
        <v>0</v>
      </c>
      <c r="F52" s="126">
        <v>2000</v>
      </c>
      <c r="G52" s="126"/>
      <c r="H52" s="126">
        <f t="shared" si="32"/>
        <v>2000</v>
      </c>
      <c r="I52" s="126"/>
      <c r="J52" s="126"/>
      <c r="K52" s="126">
        <f t="shared" si="33"/>
        <v>2000</v>
      </c>
      <c r="L52" s="126"/>
      <c r="M52" s="126"/>
      <c r="N52" s="126">
        <f t="shared" si="34"/>
        <v>2000</v>
      </c>
      <c r="O52" s="126"/>
      <c r="P52" s="126"/>
      <c r="Q52" s="126">
        <f t="shared" si="35"/>
        <v>2000</v>
      </c>
      <c r="R52" s="126"/>
      <c r="S52" s="126"/>
      <c r="T52" s="126">
        <f t="shared" si="36"/>
        <v>2000</v>
      </c>
      <c r="U52" s="126"/>
      <c r="V52" s="126"/>
      <c r="W52" s="126">
        <f t="shared" si="37"/>
        <v>2000</v>
      </c>
      <c r="X52" s="126"/>
      <c r="Y52" s="126"/>
      <c r="Z52" s="126">
        <f t="shared" si="38"/>
        <v>2000</v>
      </c>
      <c r="AA52" s="126"/>
      <c r="AB52" s="126">
        <v>1465</v>
      </c>
      <c r="AC52" s="126">
        <f t="shared" si="39"/>
        <v>535</v>
      </c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6"/>
      <c r="CC52" s="256"/>
      <c r="CD52" s="256"/>
      <c r="CE52" s="256"/>
      <c r="CF52" s="256"/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 s="256"/>
      <c r="CS52" s="256"/>
      <c r="CT52" s="256"/>
      <c r="CU52" s="256"/>
      <c r="CV52" s="256"/>
      <c r="CW52" s="256"/>
      <c r="CX52" s="256"/>
      <c r="CY52" s="256"/>
      <c r="CZ52" s="256"/>
      <c r="DA52" s="256"/>
      <c r="DB52" s="256"/>
      <c r="DC52" s="256"/>
      <c r="DD52" s="256"/>
      <c r="DE52" s="256"/>
      <c r="DF52" s="256"/>
      <c r="DG52" s="256"/>
      <c r="DH52" s="256"/>
      <c r="DI52" s="256"/>
      <c r="DJ52" s="256"/>
      <c r="DK52" s="256"/>
      <c r="DL52" s="256"/>
      <c r="DM52" s="256"/>
      <c r="DN52" s="256"/>
      <c r="DO52" s="256"/>
      <c r="DP52" s="256"/>
      <c r="DQ52" s="256"/>
      <c r="DR52" s="256"/>
      <c r="DS52" s="256"/>
      <c r="DT52" s="256"/>
      <c r="DU52" s="256"/>
      <c r="DV52" s="256"/>
      <c r="DW52" s="256"/>
      <c r="DX52" s="256"/>
      <c r="DY52" s="256"/>
      <c r="DZ52" s="256"/>
      <c r="EA52" s="256"/>
      <c r="EB52" s="256"/>
      <c r="EC52" s="256"/>
      <c r="ED52" s="256"/>
      <c r="EE52" s="256"/>
      <c r="EF52" s="256"/>
      <c r="EG52" s="256"/>
      <c r="EH52" s="256"/>
      <c r="EI52" s="256"/>
      <c r="EJ52" s="256"/>
      <c r="EK52" s="256"/>
      <c r="EL52" s="256"/>
      <c r="EM52" s="256"/>
      <c r="EN52" s="256"/>
      <c r="EO52" s="256"/>
      <c r="EP52" s="256"/>
      <c r="EQ52" s="256"/>
      <c r="ER52" s="256"/>
      <c r="ES52" s="256"/>
      <c r="ET52" s="256"/>
      <c r="EU52" s="256"/>
      <c r="EV52" s="256"/>
      <c r="EW52" s="256"/>
      <c r="EX52" s="256"/>
      <c r="EY52" s="256"/>
      <c r="EZ52" s="256"/>
      <c r="FA52" s="256"/>
      <c r="FB52" s="256"/>
      <c r="FC52" s="256"/>
      <c r="FD52" s="256"/>
      <c r="FE52" s="256"/>
      <c r="FF52" s="256"/>
      <c r="FG52" s="256"/>
      <c r="FH52" s="256"/>
      <c r="FI52" s="256"/>
      <c r="FJ52" s="256"/>
      <c r="FK52" s="256"/>
      <c r="FL52" s="256"/>
      <c r="FM52" s="256"/>
      <c r="FN52" s="256"/>
      <c r="FO52" s="256"/>
      <c r="FP52" s="256"/>
      <c r="FQ52" s="256"/>
      <c r="FR52" s="256"/>
      <c r="FS52" s="256"/>
      <c r="FT52" s="256"/>
      <c r="FU52" s="256"/>
      <c r="FV52" s="256"/>
      <c r="FW52" s="256"/>
      <c r="FX52" s="256"/>
      <c r="FY52" s="256"/>
      <c r="FZ52" s="256"/>
      <c r="GA52" s="256"/>
      <c r="GB52" s="256"/>
      <c r="GC52" s="256"/>
      <c r="GD52" s="256"/>
      <c r="GE52" s="256"/>
      <c r="GF52" s="256"/>
      <c r="GG52" s="256"/>
      <c r="GH52" s="256"/>
      <c r="GI52" s="256"/>
      <c r="GJ52" s="256"/>
      <c r="GK52" s="256"/>
      <c r="GL52" s="256"/>
      <c r="GM52" s="256"/>
      <c r="GN52" s="256"/>
      <c r="GO52" s="256"/>
      <c r="GP52" s="256"/>
      <c r="GQ52" s="256"/>
      <c r="GR52" s="256"/>
      <c r="GS52" s="256"/>
      <c r="GT52" s="256"/>
      <c r="GU52" s="256"/>
      <c r="GV52" s="256"/>
      <c r="GW52" s="256"/>
      <c r="GX52" s="256"/>
      <c r="GY52" s="256"/>
      <c r="GZ52" s="256"/>
      <c r="HA52" s="256"/>
      <c r="HB52" s="256"/>
      <c r="HC52" s="256"/>
      <c r="HD52" s="256"/>
      <c r="HE52" s="256"/>
      <c r="HF52" s="256"/>
      <c r="HG52" s="256"/>
      <c r="HH52" s="256"/>
      <c r="HI52" s="256"/>
      <c r="HJ52" s="256"/>
    </row>
    <row r="53" spans="1:218" s="37" customFormat="1" ht="21.75" customHeight="1">
      <c r="A53" s="134"/>
      <c r="B53" s="74"/>
      <c r="C53" s="112">
        <v>3110</v>
      </c>
      <c r="D53" s="110" t="s">
        <v>130</v>
      </c>
      <c r="E53" s="126">
        <v>0</v>
      </c>
      <c r="F53" s="126">
        <f>5346602-4812-23800</f>
        <v>5317990</v>
      </c>
      <c r="G53" s="126"/>
      <c r="H53" s="126">
        <f t="shared" si="32"/>
        <v>5317990</v>
      </c>
      <c r="I53" s="126">
        <v>46657</v>
      </c>
      <c r="J53" s="126"/>
      <c r="K53" s="126">
        <f t="shared" si="33"/>
        <v>5364647</v>
      </c>
      <c r="L53" s="126"/>
      <c r="M53" s="126"/>
      <c r="N53" s="126">
        <f t="shared" si="34"/>
        <v>5364647</v>
      </c>
      <c r="O53" s="126"/>
      <c r="P53" s="126">
        <v>20000</v>
      </c>
      <c r="Q53" s="126">
        <f t="shared" si="35"/>
        <v>5344647</v>
      </c>
      <c r="R53" s="126">
        <v>478847</v>
      </c>
      <c r="S53" s="126"/>
      <c r="T53" s="126">
        <f t="shared" si="36"/>
        <v>5823494</v>
      </c>
      <c r="U53" s="119">
        <f>250800+17000-3150</f>
        <v>264650</v>
      </c>
      <c r="V53" s="126"/>
      <c r="W53" s="126">
        <f t="shared" si="37"/>
        <v>6088144</v>
      </c>
      <c r="X53" s="119"/>
      <c r="Y53" s="126"/>
      <c r="Z53" s="126">
        <f t="shared" si="38"/>
        <v>6088144</v>
      </c>
      <c r="AA53" s="119"/>
      <c r="AB53" s="126">
        <v>9154</v>
      </c>
      <c r="AC53" s="126">
        <f t="shared" si="39"/>
        <v>6078990</v>
      </c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6"/>
      <c r="DD53" s="256"/>
      <c r="DE53" s="256"/>
      <c r="DF53" s="256"/>
      <c r="DG53" s="256"/>
      <c r="DH53" s="256"/>
      <c r="DI53" s="256"/>
      <c r="DJ53" s="256"/>
      <c r="DK53" s="256"/>
      <c r="DL53" s="256"/>
      <c r="DM53" s="256"/>
      <c r="DN53" s="256"/>
      <c r="DO53" s="256"/>
      <c r="DP53" s="256"/>
      <c r="DQ53" s="256"/>
      <c r="DR53" s="256"/>
      <c r="DS53" s="256"/>
      <c r="DT53" s="256"/>
      <c r="DU53" s="256"/>
      <c r="DV53" s="256"/>
      <c r="DW53" s="256"/>
      <c r="DX53" s="256"/>
      <c r="DY53" s="256"/>
      <c r="DZ53" s="256"/>
      <c r="EA53" s="256"/>
      <c r="EB53" s="256"/>
      <c r="EC53" s="256"/>
      <c r="ED53" s="256"/>
      <c r="EE53" s="256"/>
      <c r="EF53" s="256"/>
      <c r="EG53" s="256"/>
      <c r="EH53" s="256"/>
      <c r="EI53" s="256"/>
      <c r="EJ53" s="256"/>
      <c r="EK53" s="256"/>
      <c r="EL53" s="256"/>
      <c r="EM53" s="256"/>
      <c r="EN53" s="256"/>
      <c r="EO53" s="256"/>
      <c r="EP53" s="256"/>
      <c r="EQ53" s="256"/>
      <c r="ER53" s="256"/>
      <c r="ES53" s="256"/>
      <c r="ET53" s="256"/>
      <c r="EU53" s="256"/>
      <c r="EV53" s="256"/>
      <c r="EW53" s="256"/>
      <c r="EX53" s="256"/>
      <c r="EY53" s="256"/>
      <c r="EZ53" s="256"/>
      <c r="FA53" s="256"/>
      <c r="FB53" s="256"/>
      <c r="FC53" s="256"/>
      <c r="FD53" s="256"/>
      <c r="FE53" s="256"/>
      <c r="FF53" s="256"/>
      <c r="FG53" s="256"/>
      <c r="FH53" s="256"/>
      <c r="FI53" s="256"/>
      <c r="FJ53" s="256"/>
      <c r="FK53" s="256"/>
      <c r="FL53" s="256"/>
      <c r="FM53" s="256"/>
      <c r="FN53" s="256"/>
      <c r="FO53" s="256"/>
      <c r="FP53" s="256"/>
      <c r="FQ53" s="256"/>
      <c r="FR53" s="256"/>
      <c r="FS53" s="256"/>
      <c r="FT53" s="256"/>
      <c r="FU53" s="256"/>
      <c r="FV53" s="256"/>
      <c r="FW53" s="256"/>
      <c r="FX53" s="256"/>
      <c r="FY53" s="256"/>
      <c r="FZ53" s="256"/>
      <c r="GA53" s="256"/>
      <c r="GB53" s="256"/>
      <c r="GC53" s="256"/>
      <c r="GD53" s="256"/>
      <c r="GE53" s="256"/>
      <c r="GF53" s="256"/>
      <c r="GG53" s="256"/>
      <c r="GH53" s="256"/>
      <c r="GI53" s="256"/>
      <c r="GJ53" s="256"/>
      <c r="GK53" s="256"/>
      <c r="GL53" s="256"/>
      <c r="GM53" s="256"/>
      <c r="GN53" s="256"/>
      <c r="GO53" s="256"/>
      <c r="GP53" s="256"/>
      <c r="GQ53" s="256"/>
      <c r="GR53" s="256"/>
      <c r="GS53" s="256"/>
      <c r="GT53" s="256"/>
      <c r="GU53" s="256"/>
      <c r="GV53" s="256"/>
      <c r="GW53" s="256"/>
      <c r="GX53" s="256"/>
      <c r="GY53" s="256"/>
      <c r="GZ53" s="256"/>
      <c r="HA53" s="256"/>
      <c r="HB53" s="256"/>
      <c r="HC53" s="256"/>
      <c r="HD53" s="256"/>
      <c r="HE53" s="256"/>
      <c r="HF53" s="256"/>
      <c r="HG53" s="256"/>
      <c r="HH53" s="256"/>
      <c r="HI53" s="256"/>
      <c r="HJ53" s="256"/>
    </row>
    <row r="54" spans="1:218" s="37" customFormat="1" ht="21.75" customHeight="1">
      <c r="A54" s="134"/>
      <c r="B54" s="74"/>
      <c r="C54" s="74">
        <v>4010</v>
      </c>
      <c r="D54" s="19" t="s">
        <v>101</v>
      </c>
      <c r="E54" s="126">
        <v>0</v>
      </c>
      <c r="F54" s="126">
        <v>86691</v>
      </c>
      <c r="G54" s="126"/>
      <c r="H54" s="126">
        <f t="shared" si="32"/>
        <v>86691</v>
      </c>
      <c r="I54" s="126"/>
      <c r="J54" s="126"/>
      <c r="K54" s="126">
        <f t="shared" si="33"/>
        <v>86691</v>
      </c>
      <c r="L54" s="126"/>
      <c r="M54" s="126"/>
      <c r="N54" s="126">
        <f t="shared" si="34"/>
        <v>86691</v>
      </c>
      <c r="O54" s="126"/>
      <c r="P54" s="126"/>
      <c r="Q54" s="126">
        <f t="shared" si="35"/>
        <v>86691</v>
      </c>
      <c r="R54" s="126"/>
      <c r="S54" s="126"/>
      <c r="T54" s="126">
        <f t="shared" si="36"/>
        <v>86691</v>
      </c>
      <c r="U54" s="119"/>
      <c r="V54" s="126"/>
      <c r="W54" s="126">
        <f t="shared" si="37"/>
        <v>86691</v>
      </c>
      <c r="X54" s="119"/>
      <c r="Y54" s="126"/>
      <c r="Z54" s="126">
        <f t="shared" si="38"/>
        <v>86691</v>
      </c>
      <c r="AA54" s="119">
        <v>16000</v>
      </c>
      <c r="AB54" s="126"/>
      <c r="AC54" s="126">
        <f t="shared" si="39"/>
        <v>102691</v>
      </c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6"/>
      <c r="CS54" s="256"/>
      <c r="CT54" s="256"/>
      <c r="CU54" s="256"/>
      <c r="CV54" s="256"/>
      <c r="CW54" s="256"/>
      <c r="CX54" s="256"/>
      <c r="CY54" s="256"/>
      <c r="CZ54" s="256"/>
      <c r="DA54" s="256"/>
      <c r="DB54" s="256"/>
      <c r="DC54" s="256"/>
      <c r="DD54" s="256"/>
      <c r="DE54" s="256"/>
      <c r="DF54" s="256"/>
      <c r="DG54" s="256"/>
      <c r="DH54" s="256"/>
      <c r="DI54" s="256"/>
      <c r="DJ54" s="256"/>
      <c r="DK54" s="256"/>
      <c r="DL54" s="256"/>
      <c r="DM54" s="256"/>
      <c r="DN54" s="256"/>
      <c r="DO54" s="256"/>
      <c r="DP54" s="256"/>
      <c r="DQ54" s="256"/>
      <c r="DR54" s="256"/>
      <c r="DS54" s="256"/>
      <c r="DT54" s="256"/>
      <c r="DU54" s="256"/>
      <c r="DV54" s="256"/>
      <c r="DW54" s="256"/>
      <c r="DX54" s="256"/>
      <c r="DY54" s="256"/>
      <c r="DZ54" s="256"/>
      <c r="EA54" s="256"/>
      <c r="EB54" s="256"/>
      <c r="EC54" s="256"/>
      <c r="ED54" s="256"/>
      <c r="EE54" s="256"/>
      <c r="EF54" s="256"/>
      <c r="EG54" s="256"/>
      <c r="EH54" s="256"/>
      <c r="EI54" s="256"/>
      <c r="EJ54" s="256"/>
      <c r="EK54" s="256"/>
      <c r="EL54" s="256"/>
      <c r="EM54" s="256"/>
      <c r="EN54" s="256"/>
      <c r="EO54" s="256"/>
      <c r="EP54" s="256"/>
      <c r="EQ54" s="256"/>
      <c r="ER54" s="256"/>
      <c r="ES54" s="256"/>
      <c r="ET54" s="256"/>
      <c r="EU54" s="256"/>
      <c r="EV54" s="256"/>
      <c r="EW54" s="256"/>
      <c r="EX54" s="256"/>
      <c r="EY54" s="256"/>
      <c r="EZ54" s="256"/>
      <c r="FA54" s="256"/>
      <c r="FB54" s="256"/>
      <c r="FC54" s="256"/>
      <c r="FD54" s="256"/>
      <c r="FE54" s="256"/>
      <c r="FF54" s="256"/>
      <c r="FG54" s="256"/>
      <c r="FH54" s="256"/>
      <c r="FI54" s="256"/>
      <c r="FJ54" s="256"/>
      <c r="FK54" s="256"/>
      <c r="FL54" s="256"/>
      <c r="FM54" s="256"/>
      <c r="FN54" s="256"/>
      <c r="FO54" s="256"/>
      <c r="FP54" s="256"/>
      <c r="FQ54" s="256"/>
      <c r="FR54" s="256"/>
      <c r="FS54" s="256"/>
      <c r="FT54" s="256"/>
      <c r="FU54" s="256"/>
      <c r="FV54" s="256"/>
      <c r="FW54" s="256"/>
      <c r="FX54" s="256"/>
      <c r="FY54" s="256"/>
      <c r="FZ54" s="256"/>
      <c r="GA54" s="256"/>
      <c r="GB54" s="256"/>
      <c r="GC54" s="256"/>
      <c r="GD54" s="256"/>
      <c r="GE54" s="256"/>
      <c r="GF54" s="256"/>
      <c r="GG54" s="256"/>
      <c r="GH54" s="256"/>
      <c r="GI54" s="256"/>
      <c r="GJ54" s="256"/>
      <c r="GK54" s="256"/>
      <c r="GL54" s="256"/>
      <c r="GM54" s="256"/>
      <c r="GN54" s="256"/>
      <c r="GO54" s="256"/>
      <c r="GP54" s="256"/>
      <c r="GQ54" s="256"/>
      <c r="GR54" s="256"/>
      <c r="GS54" s="256"/>
      <c r="GT54" s="256"/>
      <c r="GU54" s="256"/>
      <c r="GV54" s="256"/>
      <c r="GW54" s="256"/>
      <c r="GX54" s="256"/>
      <c r="GY54" s="256"/>
      <c r="GZ54" s="256"/>
      <c r="HA54" s="256"/>
      <c r="HB54" s="256"/>
      <c r="HC54" s="256"/>
      <c r="HD54" s="256"/>
      <c r="HE54" s="256"/>
      <c r="HF54" s="256"/>
      <c r="HG54" s="256"/>
      <c r="HH54" s="256"/>
      <c r="HI54" s="256"/>
      <c r="HJ54" s="256"/>
    </row>
    <row r="55" spans="1:218" s="37" customFormat="1" ht="18.75" customHeight="1">
      <c r="A55" s="134"/>
      <c r="B55" s="74"/>
      <c r="C55" s="74">
        <v>4040</v>
      </c>
      <c r="D55" s="19" t="s">
        <v>102</v>
      </c>
      <c r="E55" s="126">
        <v>0</v>
      </c>
      <c r="F55" s="126">
        <v>7500</v>
      </c>
      <c r="G55" s="126"/>
      <c r="H55" s="126">
        <f t="shared" si="32"/>
        <v>7500</v>
      </c>
      <c r="I55" s="126"/>
      <c r="J55" s="126"/>
      <c r="K55" s="126">
        <f t="shared" si="33"/>
        <v>7500</v>
      </c>
      <c r="L55" s="126"/>
      <c r="M55" s="126"/>
      <c r="N55" s="126">
        <f t="shared" si="34"/>
        <v>7500</v>
      </c>
      <c r="O55" s="126"/>
      <c r="P55" s="126"/>
      <c r="Q55" s="126">
        <f t="shared" si="35"/>
        <v>7500</v>
      </c>
      <c r="R55" s="126"/>
      <c r="S55" s="126"/>
      <c r="T55" s="126">
        <f t="shared" si="36"/>
        <v>7500</v>
      </c>
      <c r="U55" s="119"/>
      <c r="V55" s="126"/>
      <c r="W55" s="126">
        <f t="shared" si="37"/>
        <v>7500</v>
      </c>
      <c r="X55" s="119"/>
      <c r="Y55" s="126"/>
      <c r="Z55" s="126">
        <f t="shared" si="38"/>
        <v>7500</v>
      </c>
      <c r="AA55" s="119"/>
      <c r="AB55" s="126">
        <v>351</v>
      </c>
      <c r="AC55" s="126">
        <f t="shared" si="39"/>
        <v>7149</v>
      </c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6"/>
      <c r="CV55" s="256"/>
      <c r="CW55" s="256"/>
      <c r="CX55" s="256"/>
      <c r="CY55" s="256"/>
      <c r="CZ55" s="256"/>
      <c r="DA55" s="256"/>
      <c r="DB55" s="256"/>
      <c r="DC55" s="256"/>
      <c r="DD55" s="256"/>
      <c r="DE55" s="256"/>
      <c r="DF55" s="256"/>
      <c r="DG55" s="256"/>
      <c r="DH55" s="256"/>
      <c r="DI55" s="256"/>
      <c r="DJ55" s="256"/>
      <c r="DK55" s="256"/>
      <c r="DL55" s="256"/>
      <c r="DM55" s="256"/>
      <c r="DN55" s="256"/>
      <c r="DO55" s="256"/>
      <c r="DP55" s="256"/>
      <c r="DQ55" s="256"/>
      <c r="DR55" s="256"/>
      <c r="DS55" s="256"/>
      <c r="DT55" s="256"/>
      <c r="DU55" s="256"/>
      <c r="DV55" s="256"/>
      <c r="DW55" s="256"/>
      <c r="DX55" s="256"/>
      <c r="DY55" s="256"/>
      <c r="DZ55" s="256"/>
      <c r="EA55" s="256"/>
      <c r="EB55" s="256"/>
      <c r="EC55" s="256"/>
      <c r="ED55" s="256"/>
      <c r="EE55" s="256"/>
      <c r="EF55" s="256"/>
      <c r="EG55" s="256"/>
      <c r="EH55" s="256"/>
      <c r="EI55" s="256"/>
      <c r="EJ55" s="256"/>
      <c r="EK55" s="256"/>
      <c r="EL55" s="256"/>
      <c r="EM55" s="256"/>
      <c r="EN55" s="256"/>
      <c r="EO55" s="256"/>
      <c r="EP55" s="256"/>
      <c r="EQ55" s="256"/>
      <c r="ER55" s="256"/>
      <c r="ES55" s="256"/>
      <c r="ET55" s="256"/>
      <c r="EU55" s="256"/>
      <c r="EV55" s="256"/>
      <c r="EW55" s="256"/>
      <c r="EX55" s="256"/>
      <c r="EY55" s="256"/>
      <c r="EZ55" s="256"/>
      <c r="FA55" s="256"/>
      <c r="FB55" s="256"/>
      <c r="FC55" s="256"/>
      <c r="FD55" s="256"/>
      <c r="FE55" s="256"/>
      <c r="FF55" s="256"/>
      <c r="FG55" s="256"/>
      <c r="FH55" s="256"/>
      <c r="FI55" s="256"/>
      <c r="FJ55" s="256"/>
      <c r="FK55" s="256"/>
      <c r="FL55" s="256"/>
      <c r="FM55" s="256"/>
      <c r="FN55" s="256"/>
      <c r="FO55" s="256"/>
      <c r="FP55" s="256"/>
      <c r="FQ55" s="256"/>
      <c r="FR55" s="256"/>
      <c r="FS55" s="256"/>
      <c r="FT55" s="256"/>
      <c r="FU55" s="256"/>
      <c r="FV55" s="256"/>
      <c r="FW55" s="256"/>
      <c r="FX55" s="256"/>
      <c r="FY55" s="256"/>
      <c r="FZ55" s="256"/>
      <c r="GA55" s="256"/>
      <c r="GB55" s="256"/>
      <c r="GC55" s="256"/>
      <c r="GD55" s="256"/>
      <c r="GE55" s="256"/>
      <c r="GF55" s="256"/>
      <c r="GG55" s="256"/>
      <c r="GH55" s="256"/>
      <c r="GI55" s="256"/>
      <c r="GJ55" s="256"/>
      <c r="GK55" s="256"/>
      <c r="GL55" s="256"/>
      <c r="GM55" s="256"/>
      <c r="GN55" s="256"/>
      <c r="GO55" s="256"/>
      <c r="GP55" s="256"/>
      <c r="GQ55" s="256"/>
      <c r="GR55" s="256"/>
      <c r="GS55" s="256"/>
      <c r="GT55" s="256"/>
      <c r="GU55" s="256"/>
      <c r="GV55" s="256"/>
      <c r="GW55" s="256"/>
      <c r="GX55" s="256"/>
      <c r="GY55" s="256"/>
      <c r="GZ55" s="256"/>
      <c r="HA55" s="256"/>
      <c r="HB55" s="256"/>
      <c r="HC55" s="256"/>
      <c r="HD55" s="256"/>
      <c r="HE55" s="256"/>
      <c r="HF55" s="256"/>
      <c r="HG55" s="256"/>
      <c r="HH55" s="256"/>
      <c r="HI55" s="256"/>
      <c r="HJ55" s="256"/>
    </row>
    <row r="56" spans="1:218" s="37" customFormat="1" ht="21.75" customHeight="1">
      <c r="A56" s="134"/>
      <c r="B56" s="74"/>
      <c r="C56" s="74">
        <v>4110</v>
      </c>
      <c r="D56" s="19" t="s">
        <v>103</v>
      </c>
      <c r="E56" s="126">
        <v>0</v>
      </c>
      <c r="F56" s="126">
        <f>16800+23800</f>
        <v>40600</v>
      </c>
      <c r="G56" s="126"/>
      <c r="H56" s="126">
        <f t="shared" si="32"/>
        <v>40600</v>
      </c>
      <c r="I56" s="126"/>
      <c r="J56" s="126"/>
      <c r="K56" s="126">
        <f t="shared" si="33"/>
        <v>40600</v>
      </c>
      <c r="L56" s="126"/>
      <c r="M56" s="126"/>
      <c r="N56" s="126">
        <f t="shared" si="34"/>
        <v>40600</v>
      </c>
      <c r="O56" s="126">
        <v>20000</v>
      </c>
      <c r="P56" s="126"/>
      <c r="Q56" s="126">
        <f t="shared" si="35"/>
        <v>60600</v>
      </c>
      <c r="R56" s="126">
        <v>17750</v>
      </c>
      <c r="S56" s="126"/>
      <c r="T56" s="126">
        <f t="shared" si="36"/>
        <v>78350</v>
      </c>
      <c r="U56" s="119">
        <v>3150</v>
      </c>
      <c r="V56" s="126"/>
      <c r="W56" s="126">
        <f t="shared" si="37"/>
        <v>81500</v>
      </c>
      <c r="X56" s="119"/>
      <c r="Y56" s="126"/>
      <c r="Z56" s="126">
        <f t="shared" si="38"/>
        <v>81500</v>
      </c>
      <c r="AA56" s="119">
        <v>2600</v>
      </c>
      <c r="AB56" s="126"/>
      <c r="AC56" s="126">
        <f t="shared" si="39"/>
        <v>84100</v>
      </c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256"/>
      <c r="BQ56" s="256"/>
      <c r="BR56" s="256"/>
      <c r="BS56" s="256"/>
      <c r="BT56" s="256"/>
      <c r="BU56" s="256"/>
      <c r="BV56" s="256"/>
      <c r="BW56" s="256"/>
      <c r="BX56" s="256"/>
      <c r="BY56" s="256"/>
      <c r="BZ56" s="256"/>
      <c r="CA56" s="256"/>
      <c r="CB56" s="256"/>
      <c r="CC56" s="256"/>
      <c r="CD56" s="256"/>
      <c r="CE56" s="256"/>
      <c r="CF56" s="256"/>
      <c r="CG56" s="256"/>
      <c r="CH56" s="256"/>
      <c r="CI56" s="256"/>
      <c r="CJ56" s="256"/>
      <c r="CK56" s="256"/>
      <c r="CL56" s="256"/>
      <c r="CM56" s="256"/>
      <c r="CN56" s="256"/>
      <c r="CO56" s="256"/>
      <c r="CP56" s="256"/>
      <c r="CQ56" s="256"/>
      <c r="CR56" s="256"/>
      <c r="CS56" s="256"/>
      <c r="CT56" s="256"/>
      <c r="CU56" s="256"/>
      <c r="CV56" s="256"/>
      <c r="CW56" s="256"/>
      <c r="CX56" s="256"/>
      <c r="CY56" s="256"/>
      <c r="CZ56" s="256"/>
      <c r="DA56" s="256"/>
      <c r="DB56" s="256"/>
      <c r="DC56" s="256"/>
      <c r="DD56" s="256"/>
      <c r="DE56" s="256"/>
      <c r="DF56" s="256"/>
      <c r="DG56" s="256"/>
      <c r="DH56" s="256"/>
      <c r="DI56" s="256"/>
      <c r="DJ56" s="256"/>
      <c r="DK56" s="256"/>
      <c r="DL56" s="256"/>
      <c r="DM56" s="256"/>
      <c r="DN56" s="256"/>
      <c r="DO56" s="256"/>
      <c r="DP56" s="256"/>
      <c r="DQ56" s="256"/>
      <c r="DR56" s="256"/>
      <c r="DS56" s="256"/>
      <c r="DT56" s="256"/>
      <c r="DU56" s="256"/>
      <c r="DV56" s="256"/>
      <c r="DW56" s="256"/>
      <c r="DX56" s="256"/>
      <c r="DY56" s="256"/>
      <c r="DZ56" s="256"/>
      <c r="EA56" s="256"/>
      <c r="EB56" s="256"/>
      <c r="EC56" s="256"/>
      <c r="ED56" s="256"/>
      <c r="EE56" s="256"/>
      <c r="EF56" s="256"/>
      <c r="EG56" s="256"/>
      <c r="EH56" s="256"/>
      <c r="EI56" s="256"/>
      <c r="EJ56" s="256"/>
      <c r="EK56" s="256"/>
      <c r="EL56" s="256"/>
      <c r="EM56" s="256"/>
      <c r="EN56" s="256"/>
      <c r="EO56" s="256"/>
      <c r="EP56" s="256"/>
      <c r="EQ56" s="256"/>
      <c r="ER56" s="256"/>
      <c r="ES56" s="256"/>
      <c r="ET56" s="256"/>
      <c r="EU56" s="256"/>
      <c r="EV56" s="256"/>
      <c r="EW56" s="256"/>
      <c r="EX56" s="256"/>
      <c r="EY56" s="256"/>
      <c r="EZ56" s="256"/>
      <c r="FA56" s="256"/>
      <c r="FB56" s="256"/>
      <c r="FC56" s="256"/>
      <c r="FD56" s="256"/>
      <c r="FE56" s="256"/>
      <c r="FF56" s="256"/>
      <c r="FG56" s="256"/>
      <c r="FH56" s="256"/>
      <c r="FI56" s="256"/>
      <c r="FJ56" s="256"/>
      <c r="FK56" s="256"/>
      <c r="FL56" s="256"/>
      <c r="FM56" s="256"/>
      <c r="FN56" s="256"/>
      <c r="FO56" s="256"/>
      <c r="FP56" s="256"/>
      <c r="FQ56" s="256"/>
      <c r="FR56" s="256"/>
      <c r="FS56" s="256"/>
      <c r="FT56" s="256"/>
      <c r="FU56" s="256"/>
      <c r="FV56" s="256"/>
      <c r="FW56" s="256"/>
      <c r="FX56" s="256"/>
      <c r="FY56" s="256"/>
      <c r="FZ56" s="256"/>
      <c r="GA56" s="256"/>
      <c r="GB56" s="256"/>
      <c r="GC56" s="256"/>
      <c r="GD56" s="256"/>
      <c r="GE56" s="256"/>
      <c r="GF56" s="256"/>
      <c r="GG56" s="256"/>
      <c r="GH56" s="256"/>
      <c r="GI56" s="256"/>
      <c r="GJ56" s="256"/>
      <c r="GK56" s="256"/>
      <c r="GL56" s="256"/>
      <c r="GM56" s="256"/>
      <c r="GN56" s="256"/>
      <c r="GO56" s="256"/>
      <c r="GP56" s="256"/>
      <c r="GQ56" s="256"/>
      <c r="GR56" s="256"/>
      <c r="GS56" s="256"/>
      <c r="GT56" s="256"/>
      <c r="GU56" s="256"/>
      <c r="GV56" s="256"/>
      <c r="GW56" s="256"/>
      <c r="GX56" s="256"/>
      <c r="GY56" s="256"/>
      <c r="GZ56" s="256"/>
      <c r="HA56" s="256"/>
      <c r="HB56" s="256"/>
      <c r="HC56" s="256"/>
      <c r="HD56" s="256"/>
      <c r="HE56" s="256"/>
      <c r="HF56" s="256"/>
      <c r="HG56" s="256"/>
      <c r="HH56" s="256"/>
      <c r="HI56" s="256"/>
      <c r="HJ56" s="256"/>
    </row>
    <row r="57" spans="1:218" s="37" customFormat="1" ht="21.75" customHeight="1">
      <c r="A57" s="134"/>
      <c r="B57" s="74"/>
      <c r="C57" s="74">
        <v>4120</v>
      </c>
      <c r="D57" s="19" t="s">
        <v>104</v>
      </c>
      <c r="E57" s="126">
        <v>0</v>
      </c>
      <c r="F57" s="126">
        <v>2300</v>
      </c>
      <c r="G57" s="126"/>
      <c r="H57" s="126">
        <f t="shared" si="32"/>
        <v>2300</v>
      </c>
      <c r="I57" s="126"/>
      <c r="J57" s="126"/>
      <c r="K57" s="126">
        <f t="shared" si="33"/>
        <v>2300</v>
      </c>
      <c r="L57" s="126"/>
      <c r="M57" s="126"/>
      <c r="N57" s="126">
        <f t="shared" si="34"/>
        <v>2300</v>
      </c>
      <c r="O57" s="126"/>
      <c r="P57" s="126"/>
      <c r="Q57" s="126">
        <f t="shared" si="35"/>
        <v>2300</v>
      </c>
      <c r="R57" s="126"/>
      <c r="S57" s="126"/>
      <c r="T57" s="126">
        <f t="shared" si="36"/>
        <v>2300</v>
      </c>
      <c r="U57" s="126"/>
      <c r="V57" s="126"/>
      <c r="W57" s="126">
        <f t="shared" si="37"/>
        <v>2300</v>
      </c>
      <c r="X57" s="126"/>
      <c r="Y57" s="126"/>
      <c r="Z57" s="126">
        <f t="shared" si="38"/>
        <v>2300</v>
      </c>
      <c r="AA57" s="126">
        <v>437</v>
      </c>
      <c r="AB57" s="126"/>
      <c r="AC57" s="126">
        <f t="shared" si="39"/>
        <v>2737</v>
      </c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6"/>
      <c r="FE57" s="256"/>
      <c r="FF57" s="256"/>
      <c r="FG57" s="256"/>
      <c r="FH57" s="256"/>
      <c r="FI57" s="256"/>
      <c r="FJ57" s="256"/>
      <c r="FK57" s="256"/>
      <c r="FL57" s="256"/>
      <c r="FM57" s="256"/>
      <c r="FN57" s="256"/>
      <c r="FO57" s="256"/>
      <c r="FP57" s="256"/>
      <c r="FQ57" s="256"/>
      <c r="FR57" s="256"/>
      <c r="FS57" s="256"/>
      <c r="FT57" s="256"/>
      <c r="FU57" s="256"/>
      <c r="FV57" s="256"/>
      <c r="FW57" s="256"/>
      <c r="FX57" s="256"/>
      <c r="FY57" s="256"/>
      <c r="FZ57" s="256"/>
      <c r="GA57" s="256"/>
      <c r="GB57" s="256"/>
      <c r="GC57" s="256"/>
      <c r="GD57" s="256"/>
      <c r="GE57" s="256"/>
      <c r="GF57" s="256"/>
      <c r="GG57" s="256"/>
      <c r="GH57" s="256"/>
      <c r="GI57" s="256"/>
      <c r="GJ57" s="256"/>
      <c r="GK57" s="256"/>
      <c r="GL57" s="256"/>
      <c r="GM57" s="256"/>
      <c r="GN57" s="256"/>
      <c r="GO57" s="256"/>
      <c r="GP57" s="256"/>
      <c r="GQ57" s="256"/>
      <c r="GR57" s="256"/>
      <c r="GS57" s="256"/>
      <c r="GT57" s="256"/>
      <c r="GU57" s="256"/>
      <c r="GV57" s="256"/>
      <c r="GW57" s="256"/>
      <c r="GX57" s="256"/>
      <c r="GY57" s="256"/>
      <c r="GZ57" s="256"/>
      <c r="HA57" s="256"/>
      <c r="HB57" s="256"/>
      <c r="HC57" s="256"/>
      <c r="HD57" s="256"/>
      <c r="HE57" s="256"/>
      <c r="HF57" s="256"/>
      <c r="HG57" s="256"/>
      <c r="HH57" s="256"/>
      <c r="HI57" s="256"/>
      <c r="HJ57" s="256"/>
    </row>
    <row r="58" spans="1:218" s="37" customFormat="1" ht="21.75" customHeight="1">
      <c r="A58" s="134"/>
      <c r="B58" s="74"/>
      <c r="C58" s="74">
        <v>4170</v>
      </c>
      <c r="D58" s="19" t="s">
        <v>252</v>
      </c>
      <c r="E58" s="126">
        <v>0</v>
      </c>
      <c r="F58" s="126">
        <v>3000</v>
      </c>
      <c r="G58" s="126"/>
      <c r="H58" s="126">
        <f t="shared" si="32"/>
        <v>3000</v>
      </c>
      <c r="I58" s="126"/>
      <c r="J58" s="126"/>
      <c r="K58" s="126">
        <f t="shared" si="33"/>
        <v>3000</v>
      </c>
      <c r="L58" s="126"/>
      <c r="M58" s="126"/>
      <c r="N58" s="126">
        <f t="shared" si="34"/>
        <v>3000</v>
      </c>
      <c r="O58" s="126"/>
      <c r="P58" s="126"/>
      <c r="Q58" s="126">
        <f t="shared" si="35"/>
        <v>3000</v>
      </c>
      <c r="R58" s="126"/>
      <c r="S58" s="126"/>
      <c r="T58" s="126">
        <f t="shared" si="36"/>
        <v>3000</v>
      </c>
      <c r="U58" s="126"/>
      <c r="V58" s="126"/>
      <c r="W58" s="126">
        <f t="shared" si="37"/>
        <v>3000</v>
      </c>
      <c r="X58" s="126"/>
      <c r="Y58" s="126"/>
      <c r="Z58" s="126">
        <f t="shared" si="38"/>
        <v>3000</v>
      </c>
      <c r="AA58" s="126"/>
      <c r="AB58" s="126"/>
      <c r="AC58" s="126">
        <f t="shared" si="39"/>
        <v>3000</v>
      </c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256"/>
      <c r="BQ58" s="256"/>
      <c r="BR58" s="256"/>
      <c r="BS58" s="256"/>
      <c r="BT58" s="256"/>
      <c r="BU58" s="256"/>
      <c r="BV58" s="256"/>
      <c r="BW58" s="256"/>
      <c r="BX58" s="256"/>
      <c r="BY58" s="256"/>
      <c r="BZ58" s="256"/>
      <c r="CA58" s="256"/>
      <c r="CB58" s="256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6"/>
      <c r="EA58" s="256"/>
      <c r="EB58" s="256"/>
      <c r="EC58" s="256"/>
      <c r="ED58" s="256"/>
      <c r="EE58" s="256"/>
      <c r="EF58" s="256"/>
      <c r="EG58" s="256"/>
      <c r="EH58" s="256"/>
      <c r="EI58" s="256"/>
      <c r="EJ58" s="256"/>
      <c r="EK58" s="256"/>
      <c r="EL58" s="256"/>
      <c r="EM58" s="256"/>
      <c r="EN58" s="256"/>
      <c r="EO58" s="256"/>
      <c r="EP58" s="256"/>
      <c r="EQ58" s="256"/>
      <c r="ER58" s="256"/>
      <c r="ES58" s="256"/>
      <c r="ET58" s="256"/>
      <c r="EU58" s="256"/>
      <c r="EV58" s="256"/>
      <c r="EW58" s="256"/>
      <c r="EX58" s="256"/>
      <c r="EY58" s="256"/>
      <c r="EZ58" s="256"/>
      <c r="FA58" s="256"/>
      <c r="FB58" s="256"/>
      <c r="FC58" s="256"/>
      <c r="FD58" s="256"/>
      <c r="FE58" s="256"/>
      <c r="FF58" s="256"/>
      <c r="FG58" s="256"/>
      <c r="FH58" s="256"/>
      <c r="FI58" s="256"/>
      <c r="FJ58" s="256"/>
      <c r="FK58" s="256"/>
      <c r="FL58" s="256"/>
      <c r="FM58" s="256"/>
      <c r="FN58" s="256"/>
      <c r="FO58" s="256"/>
      <c r="FP58" s="256"/>
      <c r="FQ58" s="256"/>
      <c r="FR58" s="256"/>
      <c r="FS58" s="256"/>
      <c r="FT58" s="256"/>
      <c r="FU58" s="256"/>
      <c r="FV58" s="256"/>
      <c r="FW58" s="256"/>
      <c r="FX58" s="256"/>
      <c r="FY58" s="256"/>
      <c r="FZ58" s="256"/>
      <c r="GA58" s="256"/>
      <c r="GB58" s="256"/>
      <c r="GC58" s="256"/>
      <c r="GD58" s="256"/>
      <c r="GE58" s="256"/>
      <c r="GF58" s="256"/>
      <c r="GG58" s="256"/>
      <c r="GH58" s="256"/>
      <c r="GI58" s="256"/>
      <c r="GJ58" s="256"/>
      <c r="GK58" s="256"/>
      <c r="GL58" s="256"/>
      <c r="GM58" s="256"/>
      <c r="GN58" s="256"/>
      <c r="GO58" s="256"/>
      <c r="GP58" s="256"/>
      <c r="GQ58" s="256"/>
      <c r="GR58" s="256"/>
      <c r="GS58" s="256"/>
      <c r="GT58" s="256"/>
      <c r="GU58" s="256"/>
      <c r="GV58" s="256"/>
      <c r="GW58" s="256"/>
      <c r="GX58" s="256"/>
      <c r="GY58" s="256"/>
      <c r="GZ58" s="256"/>
      <c r="HA58" s="256"/>
      <c r="HB58" s="256"/>
      <c r="HC58" s="256"/>
      <c r="HD58" s="256"/>
      <c r="HE58" s="256"/>
      <c r="HF58" s="256"/>
      <c r="HG58" s="256"/>
      <c r="HH58" s="256"/>
      <c r="HI58" s="256"/>
      <c r="HJ58" s="256"/>
    </row>
    <row r="59" spans="1:218" s="37" customFormat="1" ht="21.75" customHeight="1">
      <c r="A59" s="134"/>
      <c r="B59" s="74"/>
      <c r="C59" s="74">
        <v>4210</v>
      </c>
      <c r="D59" s="19" t="s">
        <v>109</v>
      </c>
      <c r="E59" s="126">
        <v>0</v>
      </c>
      <c r="F59" s="126">
        <f>9000+4812</f>
        <v>13812</v>
      </c>
      <c r="G59" s="126"/>
      <c r="H59" s="126">
        <f t="shared" si="32"/>
        <v>13812</v>
      </c>
      <c r="I59" s="126">
        <v>1443</v>
      </c>
      <c r="J59" s="126"/>
      <c r="K59" s="126">
        <f t="shared" si="33"/>
        <v>15255</v>
      </c>
      <c r="L59" s="126"/>
      <c r="M59" s="126"/>
      <c r="N59" s="126">
        <f t="shared" si="34"/>
        <v>15255</v>
      </c>
      <c r="O59" s="126"/>
      <c r="P59" s="126"/>
      <c r="Q59" s="126">
        <f t="shared" si="35"/>
        <v>15255</v>
      </c>
      <c r="R59" s="126"/>
      <c r="S59" s="126"/>
      <c r="T59" s="126">
        <f t="shared" si="36"/>
        <v>15255</v>
      </c>
      <c r="U59" s="126"/>
      <c r="V59" s="126"/>
      <c r="W59" s="126">
        <f t="shared" si="37"/>
        <v>15255</v>
      </c>
      <c r="X59" s="126"/>
      <c r="Y59" s="126"/>
      <c r="Z59" s="126">
        <f t="shared" si="38"/>
        <v>15255</v>
      </c>
      <c r="AA59" s="126"/>
      <c r="AB59" s="126">
        <v>4344</v>
      </c>
      <c r="AC59" s="126">
        <f t="shared" si="39"/>
        <v>10911</v>
      </c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256"/>
      <c r="BS59" s="256"/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6"/>
      <c r="CI59" s="256"/>
      <c r="CJ59" s="256"/>
      <c r="CK59" s="256"/>
      <c r="CL59" s="256"/>
      <c r="CM59" s="256"/>
      <c r="CN59" s="256"/>
      <c r="CO59" s="256"/>
      <c r="CP59" s="256"/>
      <c r="CQ59" s="256"/>
      <c r="CR59" s="256"/>
      <c r="CS59" s="256"/>
      <c r="CT59" s="256"/>
      <c r="CU59" s="256"/>
      <c r="CV59" s="256"/>
      <c r="CW59" s="256"/>
      <c r="CX59" s="256"/>
      <c r="CY59" s="256"/>
      <c r="CZ59" s="256"/>
      <c r="DA59" s="256"/>
      <c r="DB59" s="256"/>
      <c r="DC59" s="256"/>
      <c r="DD59" s="256"/>
      <c r="DE59" s="256"/>
      <c r="DF59" s="256"/>
      <c r="DG59" s="256"/>
      <c r="DH59" s="256"/>
      <c r="DI59" s="256"/>
      <c r="DJ59" s="256"/>
      <c r="DK59" s="256"/>
      <c r="DL59" s="256"/>
      <c r="DM59" s="256"/>
      <c r="DN59" s="256"/>
      <c r="DO59" s="256"/>
      <c r="DP59" s="256"/>
      <c r="DQ59" s="256"/>
      <c r="DR59" s="256"/>
      <c r="DS59" s="256"/>
      <c r="DT59" s="256"/>
      <c r="DU59" s="256"/>
      <c r="DV59" s="256"/>
      <c r="DW59" s="256"/>
      <c r="DX59" s="256"/>
      <c r="DY59" s="256"/>
      <c r="DZ59" s="256"/>
      <c r="EA59" s="256"/>
      <c r="EB59" s="256"/>
      <c r="EC59" s="256"/>
      <c r="ED59" s="256"/>
      <c r="EE59" s="256"/>
      <c r="EF59" s="256"/>
      <c r="EG59" s="256"/>
      <c r="EH59" s="256"/>
      <c r="EI59" s="256"/>
      <c r="EJ59" s="256"/>
      <c r="EK59" s="256"/>
      <c r="EL59" s="256"/>
      <c r="EM59" s="256"/>
      <c r="EN59" s="256"/>
      <c r="EO59" s="256"/>
      <c r="EP59" s="256"/>
      <c r="EQ59" s="256"/>
      <c r="ER59" s="256"/>
      <c r="ES59" s="256"/>
      <c r="ET59" s="256"/>
      <c r="EU59" s="256"/>
      <c r="EV59" s="256"/>
      <c r="EW59" s="256"/>
      <c r="EX59" s="256"/>
      <c r="EY59" s="256"/>
      <c r="EZ59" s="256"/>
      <c r="FA59" s="256"/>
      <c r="FB59" s="256"/>
      <c r="FC59" s="256"/>
      <c r="FD59" s="256"/>
      <c r="FE59" s="256"/>
      <c r="FF59" s="256"/>
      <c r="FG59" s="256"/>
      <c r="FH59" s="256"/>
      <c r="FI59" s="256"/>
      <c r="FJ59" s="256"/>
      <c r="FK59" s="256"/>
      <c r="FL59" s="256"/>
      <c r="FM59" s="256"/>
      <c r="FN59" s="256"/>
      <c r="FO59" s="256"/>
      <c r="FP59" s="256"/>
      <c r="FQ59" s="256"/>
      <c r="FR59" s="256"/>
      <c r="FS59" s="256"/>
      <c r="FT59" s="256"/>
      <c r="FU59" s="256"/>
      <c r="FV59" s="256"/>
      <c r="FW59" s="256"/>
      <c r="FX59" s="256"/>
      <c r="FY59" s="256"/>
      <c r="FZ59" s="256"/>
      <c r="GA59" s="256"/>
      <c r="GB59" s="256"/>
      <c r="GC59" s="256"/>
      <c r="GD59" s="256"/>
      <c r="GE59" s="256"/>
      <c r="GF59" s="256"/>
      <c r="GG59" s="256"/>
      <c r="GH59" s="256"/>
      <c r="GI59" s="256"/>
      <c r="GJ59" s="256"/>
      <c r="GK59" s="256"/>
      <c r="GL59" s="256"/>
      <c r="GM59" s="256"/>
      <c r="GN59" s="256"/>
      <c r="GO59" s="256"/>
      <c r="GP59" s="256"/>
      <c r="GQ59" s="256"/>
      <c r="GR59" s="256"/>
      <c r="GS59" s="256"/>
      <c r="GT59" s="256"/>
      <c r="GU59" s="256"/>
      <c r="GV59" s="256"/>
      <c r="GW59" s="256"/>
      <c r="GX59" s="256"/>
      <c r="GY59" s="256"/>
      <c r="GZ59" s="256"/>
      <c r="HA59" s="256"/>
      <c r="HB59" s="256"/>
      <c r="HC59" s="256"/>
      <c r="HD59" s="256"/>
      <c r="HE59" s="256"/>
      <c r="HF59" s="256"/>
      <c r="HG59" s="256"/>
      <c r="HH59" s="256"/>
      <c r="HI59" s="256"/>
      <c r="HJ59" s="256"/>
    </row>
    <row r="60" spans="1:218" s="37" customFormat="1" ht="21.75" customHeight="1">
      <c r="A60" s="134"/>
      <c r="B60" s="74"/>
      <c r="C60" s="74">
        <v>4300</v>
      </c>
      <c r="D60" s="19" t="s">
        <v>96</v>
      </c>
      <c r="E60" s="126">
        <v>0</v>
      </c>
      <c r="F60" s="126">
        <v>24307</v>
      </c>
      <c r="G60" s="126"/>
      <c r="H60" s="126">
        <f t="shared" si="32"/>
        <v>24307</v>
      </c>
      <c r="I60" s="126"/>
      <c r="J60" s="126"/>
      <c r="K60" s="126">
        <f t="shared" si="33"/>
        <v>24307</v>
      </c>
      <c r="L60" s="126"/>
      <c r="M60" s="126"/>
      <c r="N60" s="126">
        <f t="shared" si="34"/>
        <v>24307</v>
      </c>
      <c r="O60" s="126"/>
      <c r="P60" s="126"/>
      <c r="Q60" s="126">
        <f t="shared" si="35"/>
        <v>24307</v>
      </c>
      <c r="R60" s="126">
        <v>8503</v>
      </c>
      <c r="S60" s="126"/>
      <c r="T60" s="126">
        <f t="shared" si="36"/>
        <v>32810</v>
      </c>
      <c r="U60" s="126"/>
      <c r="V60" s="126"/>
      <c r="W60" s="126">
        <f t="shared" si="37"/>
        <v>32810</v>
      </c>
      <c r="X60" s="126"/>
      <c r="Y60" s="126"/>
      <c r="Z60" s="126">
        <f t="shared" si="38"/>
        <v>32810</v>
      </c>
      <c r="AA60" s="126"/>
      <c r="AB60" s="126">
        <v>2536</v>
      </c>
      <c r="AC60" s="126">
        <f t="shared" si="39"/>
        <v>30274</v>
      </c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256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6"/>
      <c r="CI60" s="256"/>
      <c r="CJ60" s="256"/>
      <c r="CK60" s="256"/>
      <c r="CL60" s="256"/>
      <c r="CM60" s="256"/>
      <c r="CN60" s="256"/>
      <c r="CO60" s="256"/>
      <c r="CP60" s="256"/>
      <c r="CQ60" s="256"/>
      <c r="CR60" s="256"/>
      <c r="CS60" s="256"/>
      <c r="CT60" s="256"/>
      <c r="CU60" s="256"/>
      <c r="CV60" s="256"/>
      <c r="CW60" s="256"/>
      <c r="CX60" s="256"/>
      <c r="CY60" s="256"/>
      <c r="CZ60" s="256"/>
      <c r="DA60" s="256"/>
      <c r="DB60" s="256"/>
      <c r="DC60" s="256"/>
      <c r="DD60" s="256"/>
      <c r="DE60" s="256"/>
      <c r="DF60" s="256"/>
      <c r="DG60" s="256"/>
      <c r="DH60" s="256"/>
      <c r="DI60" s="256"/>
      <c r="DJ60" s="256"/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6"/>
      <c r="EI60" s="256"/>
      <c r="EJ60" s="256"/>
      <c r="EK60" s="256"/>
      <c r="EL60" s="256"/>
      <c r="EM60" s="256"/>
      <c r="EN60" s="256"/>
      <c r="EO60" s="256"/>
      <c r="EP60" s="256"/>
      <c r="EQ60" s="256"/>
      <c r="ER60" s="256"/>
      <c r="ES60" s="256"/>
      <c r="ET60" s="256"/>
      <c r="EU60" s="256"/>
      <c r="EV60" s="256"/>
      <c r="EW60" s="256"/>
      <c r="EX60" s="256"/>
      <c r="EY60" s="256"/>
      <c r="EZ60" s="256"/>
      <c r="FA60" s="256"/>
      <c r="FB60" s="256"/>
      <c r="FC60" s="256"/>
      <c r="FD60" s="256"/>
      <c r="FE60" s="256"/>
      <c r="FF60" s="256"/>
      <c r="FG60" s="256"/>
      <c r="FH60" s="256"/>
      <c r="FI60" s="256"/>
      <c r="FJ60" s="256"/>
      <c r="FK60" s="256"/>
      <c r="FL60" s="256"/>
      <c r="FM60" s="256"/>
      <c r="FN60" s="256"/>
      <c r="FO60" s="256"/>
      <c r="FP60" s="256"/>
      <c r="FQ60" s="256"/>
      <c r="FR60" s="256"/>
      <c r="FS60" s="256"/>
      <c r="FT60" s="256"/>
      <c r="FU60" s="256"/>
      <c r="FV60" s="256"/>
      <c r="FW60" s="256"/>
      <c r="FX60" s="256"/>
      <c r="FY60" s="256"/>
      <c r="FZ60" s="256"/>
      <c r="GA60" s="256"/>
      <c r="GB60" s="256"/>
      <c r="GC60" s="256"/>
      <c r="GD60" s="256"/>
      <c r="GE60" s="256"/>
      <c r="GF60" s="256"/>
      <c r="GG60" s="256"/>
      <c r="GH60" s="256"/>
      <c r="GI60" s="256"/>
      <c r="GJ60" s="256"/>
      <c r="GK60" s="256"/>
      <c r="GL60" s="256"/>
      <c r="GM60" s="256"/>
      <c r="GN60" s="256"/>
      <c r="GO60" s="256"/>
      <c r="GP60" s="256"/>
      <c r="GQ60" s="256"/>
      <c r="GR60" s="256"/>
      <c r="GS60" s="256"/>
      <c r="GT60" s="256"/>
      <c r="GU60" s="256"/>
      <c r="GV60" s="256"/>
      <c r="GW60" s="256"/>
      <c r="GX60" s="256"/>
      <c r="GY60" s="256"/>
      <c r="GZ60" s="256"/>
      <c r="HA60" s="256"/>
      <c r="HB60" s="256"/>
      <c r="HC60" s="256"/>
      <c r="HD60" s="256"/>
      <c r="HE60" s="256"/>
      <c r="HF60" s="256"/>
      <c r="HG60" s="256"/>
      <c r="HH60" s="256"/>
      <c r="HI60" s="256"/>
      <c r="HJ60" s="256"/>
    </row>
    <row r="61" spans="1:218" s="37" customFormat="1" ht="21.75" customHeight="1">
      <c r="A61" s="134"/>
      <c r="B61" s="74"/>
      <c r="C61" s="74">
        <v>4410</v>
      </c>
      <c r="D61" s="19" t="s">
        <v>107</v>
      </c>
      <c r="E61" s="126">
        <v>0</v>
      </c>
      <c r="F61" s="126">
        <v>3000</v>
      </c>
      <c r="G61" s="126"/>
      <c r="H61" s="126">
        <f t="shared" si="32"/>
        <v>3000</v>
      </c>
      <c r="I61" s="126"/>
      <c r="J61" s="126"/>
      <c r="K61" s="126">
        <f t="shared" si="33"/>
        <v>3000</v>
      </c>
      <c r="L61" s="126"/>
      <c r="M61" s="126"/>
      <c r="N61" s="126">
        <f t="shared" si="34"/>
        <v>3000</v>
      </c>
      <c r="O61" s="126"/>
      <c r="P61" s="126"/>
      <c r="Q61" s="126">
        <f t="shared" si="35"/>
        <v>3000</v>
      </c>
      <c r="R61" s="126"/>
      <c r="S61" s="126"/>
      <c r="T61" s="126">
        <f t="shared" si="36"/>
        <v>3000</v>
      </c>
      <c r="U61" s="126"/>
      <c r="V61" s="126"/>
      <c r="W61" s="126">
        <f t="shared" si="37"/>
        <v>3000</v>
      </c>
      <c r="X61" s="126"/>
      <c r="Y61" s="126"/>
      <c r="Z61" s="126">
        <f t="shared" si="38"/>
        <v>3000</v>
      </c>
      <c r="AA61" s="126"/>
      <c r="AB61" s="126">
        <v>1200</v>
      </c>
      <c r="AC61" s="126">
        <f t="shared" si="39"/>
        <v>1800</v>
      </c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/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6"/>
      <c r="EI61" s="256"/>
      <c r="EJ61" s="256"/>
      <c r="EK61" s="256"/>
      <c r="EL61" s="256"/>
      <c r="EM61" s="256"/>
      <c r="EN61" s="256"/>
      <c r="EO61" s="256"/>
      <c r="EP61" s="256"/>
      <c r="EQ61" s="256"/>
      <c r="ER61" s="256"/>
      <c r="ES61" s="256"/>
      <c r="ET61" s="256"/>
      <c r="EU61" s="256"/>
      <c r="EV61" s="256"/>
      <c r="EW61" s="256"/>
      <c r="EX61" s="256"/>
      <c r="EY61" s="256"/>
      <c r="EZ61" s="256"/>
      <c r="FA61" s="256"/>
      <c r="FB61" s="256"/>
      <c r="FC61" s="256"/>
      <c r="FD61" s="256"/>
      <c r="FE61" s="256"/>
      <c r="FF61" s="256"/>
      <c r="FG61" s="256"/>
      <c r="FH61" s="256"/>
      <c r="FI61" s="256"/>
      <c r="FJ61" s="256"/>
      <c r="FK61" s="256"/>
      <c r="FL61" s="256"/>
      <c r="FM61" s="256"/>
      <c r="FN61" s="256"/>
      <c r="FO61" s="256"/>
      <c r="FP61" s="256"/>
      <c r="FQ61" s="256"/>
      <c r="FR61" s="256"/>
      <c r="FS61" s="256"/>
      <c r="FT61" s="256"/>
      <c r="FU61" s="256"/>
      <c r="FV61" s="256"/>
      <c r="FW61" s="256"/>
      <c r="FX61" s="256"/>
      <c r="FY61" s="256"/>
      <c r="FZ61" s="256"/>
      <c r="GA61" s="256"/>
      <c r="GB61" s="256"/>
      <c r="GC61" s="256"/>
      <c r="GD61" s="256"/>
      <c r="GE61" s="256"/>
      <c r="GF61" s="256"/>
      <c r="GG61" s="256"/>
      <c r="GH61" s="256"/>
      <c r="GI61" s="256"/>
      <c r="GJ61" s="256"/>
      <c r="GK61" s="256"/>
      <c r="GL61" s="256"/>
      <c r="GM61" s="256"/>
      <c r="GN61" s="256"/>
      <c r="GO61" s="256"/>
      <c r="GP61" s="256"/>
      <c r="GQ61" s="256"/>
      <c r="GR61" s="256"/>
      <c r="GS61" s="256"/>
      <c r="GT61" s="256"/>
      <c r="GU61" s="256"/>
      <c r="GV61" s="256"/>
      <c r="GW61" s="256"/>
      <c r="GX61" s="256"/>
      <c r="GY61" s="256"/>
      <c r="GZ61" s="256"/>
      <c r="HA61" s="256"/>
      <c r="HB61" s="256"/>
      <c r="HC61" s="256"/>
      <c r="HD61" s="256"/>
      <c r="HE61" s="256"/>
      <c r="HF61" s="256"/>
      <c r="HG61" s="256"/>
      <c r="HH61" s="256"/>
      <c r="HI61" s="256"/>
      <c r="HJ61" s="256"/>
    </row>
    <row r="62" spans="1:218" s="37" customFormat="1" ht="21.75" customHeight="1">
      <c r="A62" s="134"/>
      <c r="B62" s="74"/>
      <c r="C62" s="74">
        <v>4430</v>
      </c>
      <c r="D62" s="19" t="s">
        <v>111</v>
      </c>
      <c r="E62" s="126">
        <v>0</v>
      </c>
      <c r="F62" s="126">
        <v>2000</v>
      </c>
      <c r="G62" s="126"/>
      <c r="H62" s="126">
        <f t="shared" si="32"/>
        <v>2000</v>
      </c>
      <c r="I62" s="126"/>
      <c r="J62" s="126"/>
      <c r="K62" s="126">
        <f t="shared" si="33"/>
        <v>2000</v>
      </c>
      <c r="L62" s="126"/>
      <c r="M62" s="126"/>
      <c r="N62" s="126">
        <f t="shared" si="34"/>
        <v>2000</v>
      </c>
      <c r="O62" s="126"/>
      <c r="P62" s="126"/>
      <c r="Q62" s="126">
        <f t="shared" si="35"/>
        <v>2000</v>
      </c>
      <c r="R62" s="126"/>
      <c r="S62" s="126"/>
      <c r="T62" s="126">
        <f t="shared" si="36"/>
        <v>2000</v>
      </c>
      <c r="U62" s="126"/>
      <c r="V62" s="126"/>
      <c r="W62" s="126">
        <f t="shared" si="37"/>
        <v>2000</v>
      </c>
      <c r="X62" s="126"/>
      <c r="Y62" s="126"/>
      <c r="Z62" s="126">
        <f t="shared" si="38"/>
        <v>2000</v>
      </c>
      <c r="AA62" s="126"/>
      <c r="AB62" s="126">
        <v>9</v>
      </c>
      <c r="AC62" s="126">
        <f t="shared" si="39"/>
        <v>1991</v>
      </c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256"/>
      <c r="BQ62" s="256"/>
      <c r="BR62" s="256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6"/>
      <c r="CJ62" s="256"/>
      <c r="CK62" s="256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6"/>
      <c r="DF62" s="256"/>
      <c r="DG62" s="256"/>
      <c r="DH62" s="256"/>
      <c r="DI62" s="256"/>
      <c r="DJ62" s="256"/>
      <c r="DK62" s="256"/>
      <c r="DL62" s="256"/>
      <c r="DM62" s="256"/>
      <c r="DN62" s="256"/>
      <c r="DO62" s="256"/>
      <c r="DP62" s="256"/>
      <c r="DQ62" s="256"/>
      <c r="DR62" s="256"/>
      <c r="DS62" s="256"/>
      <c r="DT62" s="256"/>
      <c r="DU62" s="256"/>
      <c r="DV62" s="256"/>
      <c r="DW62" s="256"/>
      <c r="DX62" s="256"/>
      <c r="DY62" s="256"/>
      <c r="DZ62" s="256"/>
      <c r="EA62" s="256"/>
      <c r="EB62" s="256"/>
      <c r="EC62" s="256"/>
      <c r="ED62" s="256"/>
      <c r="EE62" s="256"/>
      <c r="EF62" s="256"/>
      <c r="EG62" s="256"/>
      <c r="EH62" s="256"/>
      <c r="EI62" s="256"/>
      <c r="EJ62" s="256"/>
      <c r="EK62" s="256"/>
      <c r="EL62" s="256"/>
      <c r="EM62" s="256"/>
      <c r="EN62" s="256"/>
      <c r="EO62" s="256"/>
      <c r="EP62" s="256"/>
      <c r="EQ62" s="256"/>
      <c r="ER62" s="256"/>
      <c r="ES62" s="256"/>
      <c r="ET62" s="256"/>
      <c r="EU62" s="256"/>
      <c r="EV62" s="256"/>
      <c r="EW62" s="256"/>
      <c r="EX62" s="256"/>
      <c r="EY62" s="256"/>
      <c r="EZ62" s="256"/>
      <c r="FA62" s="256"/>
      <c r="FB62" s="256"/>
      <c r="FC62" s="256"/>
      <c r="FD62" s="256"/>
      <c r="FE62" s="256"/>
      <c r="FF62" s="256"/>
      <c r="FG62" s="256"/>
      <c r="FH62" s="256"/>
      <c r="FI62" s="256"/>
      <c r="FJ62" s="256"/>
      <c r="FK62" s="256"/>
      <c r="FL62" s="256"/>
      <c r="FM62" s="256"/>
      <c r="FN62" s="256"/>
      <c r="FO62" s="256"/>
      <c r="FP62" s="256"/>
      <c r="FQ62" s="256"/>
      <c r="FR62" s="256"/>
      <c r="FS62" s="256"/>
      <c r="FT62" s="256"/>
      <c r="FU62" s="256"/>
      <c r="FV62" s="256"/>
      <c r="FW62" s="256"/>
      <c r="FX62" s="256"/>
      <c r="FY62" s="256"/>
      <c r="FZ62" s="256"/>
      <c r="GA62" s="256"/>
      <c r="GB62" s="256"/>
      <c r="GC62" s="256"/>
      <c r="GD62" s="256"/>
      <c r="GE62" s="256"/>
      <c r="GF62" s="256"/>
      <c r="GG62" s="256"/>
      <c r="GH62" s="256"/>
      <c r="GI62" s="256"/>
      <c r="GJ62" s="256"/>
      <c r="GK62" s="256"/>
      <c r="GL62" s="256"/>
      <c r="GM62" s="256"/>
      <c r="GN62" s="256"/>
      <c r="GO62" s="256"/>
      <c r="GP62" s="256"/>
      <c r="GQ62" s="256"/>
      <c r="GR62" s="256"/>
      <c r="GS62" s="256"/>
      <c r="GT62" s="256"/>
      <c r="GU62" s="256"/>
      <c r="GV62" s="256"/>
      <c r="GW62" s="256"/>
      <c r="GX62" s="256"/>
      <c r="GY62" s="256"/>
      <c r="GZ62" s="256"/>
      <c r="HA62" s="256"/>
      <c r="HB62" s="256"/>
      <c r="HC62" s="256"/>
      <c r="HD62" s="256"/>
      <c r="HE62" s="256"/>
      <c r="HF62" s="256"/>
      <c r="HG62" s="256"/>
      <c r="HH62" s="256"/>
      <c r="HI62" s="256"/>
      <c r="HJ62" s="256"/>
    </row>
    <row r="63" spans="1:218" s="37" customFormat="1" ht="30" customHeight="1">
      <c r="A63" s="134"/>
      <c r="B63" s="74"/>
      <c r="C63" s="74">
        <v>4440</v>
      </c>
      <c r="D63" s="19" t="s">
        <v>105</v>
      </c>
      <c r="E63" s="126">
        <v>0</v>
      </c>
      <c r="F63" s="126">
        <v>3800</v>
      </c>
      <c r="G63" s="126"/>
      <c r="H63" s="126">
        <f t="shared" si="32"/>
        <v>3800</v>
      </c>
      <c r="I63" s="126"/>
      <c r="J63" s="126"/>
      <c r="K63" s="126">
        <f t="shared" si="33"/>
        <v>3800</v>
      </c>
      <c r="L63" s="126"/>
      <c r="M63" s="126"/>
      <c r="N63" s="126">
        <f t="shared" si="34"/>
        <v>3800</v>
      </c>
      <c r="O63" s="126"/>
      <c r="P63" s="126"/>
      <c r="Q63" s="126">
        <f t="shared" si="35"/>
        <v>3800</v>
      </c>
      <c r="R63" s="126"/>
      <c r="S63" s="126"/>
      <c r="T63" s="126">
        <f t="shared" si="36"/>
        <v>3800</v>
      </c>
      <c r="U63" s="126"/>
      <c r="V63" s="126"/>
      <c r="W63" s="126">
        <f t="shared" si="37"/>
        <v>3800</v>
      </c>
      <c r="X63" s="126"/>
      <c r="Y63" s="126"/>
      <c r="Z63" s="126">
        <f t="shared" si="38"/>
        <v>3800</v>
      </c>
      <c r="AA63" s="126">
        <v>22</v>
      </c>
      <c r="AB63" s="126"/>
      <c r="AC63" s="126">
        <f t="shared" si="39"/>
        <v>3822</v>
      </c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256"/>
      <c r="BQ63" s="256"/>
      <c r="BR63" s="256"/>
      <c r="BS63" s="256"/>
      <c r="BT63" s="256"/>
      <c r="BU63" s="256"/>
      <c r="BV63" s="256"/>
      <c r="BW63" s="256"/>
      <c r="BX63" s="256"/>
      <c r="BY63" s="256"/>
      <c r="BZ63" s="256"/>
      <c r="CA63" s="256"/>
      <c r="CB63" s="256"/>
      <c r="CC63" s="256"/>
      <c r="CD63" s="256"/>
      <c r="CE63" s="256"/>
      <c r="CF63" s="256"/>
      <c r="CG63" s="256"/>
      <c r="CH63" s="256"/>
      <c r="CI63" s="256"/>
      <c r="CJ63" s="256"/>
      <c r="CK63" s="256"/>
      <c r="CL63" s="256"/>
      <c r="CM63" s="256"/>
      <c r="CN63" s="256"/>
      <c r="CO63" s="256"/>
      <c r="CP63" s="256"/>
      <c r="CQ63" s="256"/>
      <c r="CR63" s="256"/>
      <c r="CS63" s="256"/>
      <c r="CT63" s="256"/>
      <c r="CU63" s="256"/>
      <c r="CV63" s="256"/>
      <c r="CW63" s="256"/>
      <c r="CX63" s="256"/>
      <c r="CY63" s="256"/>
      <c r="CZ63" s="256"/>
      <c r="DA63" s="256"/>
      <c r="DB63" s="256"/>
      <c r="DC63" s="256"/>
      <c r="DD63" s="256"/>
      <c r="DE63" s="256"/>
      <c r="DF63" s="256"/>
      <c r="DG63" s="256"/>
      <c r="DH63" s="256"/>
      <c r="DI63" s="256"/>
      <c r="DJ63" s="256"/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6"/>
      <c r="EI63" s="256"/>
      <c r="EJ63" s="256"/>
      <c r="EK63" s="256"/>
      <c r="EL63" s="256"/>
      <c r="EM63" s="256"/>
      <c r="EN63" s="256"/>
      <c r="EO63" s="256"/>
      <c r="EP63" s="256"/>
      <c r="EQ63" s="256"/>
      <c r="ER63" s="256"/>
      <c r="ES63" s="256"/>
      <c r="ET63" s="256"/>
      <c r="EU63" s="256"/>
      <c r="EV63" s="256"/>
      <c r="EW63" s="256"/>
      <c r="EX63" s="256"/>
      <c r="EY63" s="256"/>
      <c r="EZ63" s="256"/>
      <c r="FA63" s="256"/>
      <c r="FB63" s="256"/>
      <c r="FC63" s="256"/>
      <c r="FD63" s="256"/>
      <c r="FE63" s="256"/>
      <c r="FF63" s="256"/>
      <c r="FG63" s="256"/>
      <c r="FH63" s="256"/>
      <c r="FI63" s="256"/>
      <c r="FJ63" s="256"/>
      <c r="FK63" s="256"/>
      <c r="FL63" s="256"/>
      <c r="FM63" s="256"/>
      <c r="FN63" s="256"/>
      <c r="FO63" s="256"/>
      <c r="FP63" s="256"/>
      <c r="FQ63" s="256"/>
      <c r="FR63" s="256"/>
      <c r="FS63" s="256"/>
      <c r="FT63" s="256"/>
      <c r="FU63" s="256"/>
      <c r="FV63" s="256"/>
      <c r="FW63" s="256"/>
      <c r="FX63" s="256"/>
      <c r="FY63" s="256"/>
      <c r="FZ63" s="256"/>
      <c r="GA63" s="256"/>
      <c r="GB63" s="256"/>
      <c r="GC63" s="256"/>
      <c r="GD63" s="256"/>
      <c r="GE63" s="256"/>
      <c r="GF63" s="256"/>
      <c r="GG63" s="256"/>
      <c r="GH63" s="256"/>
      <c r="GI63" s="256"/>
      <c r="GJ63" s="256"/>
      <c r="GK63" s="256"/>
      <c r="GL63" s="256"/>
      <c r="GM63" s="256"/>
      <c r="GN63" s="256"/>
      <c r="GO63" s="256"/>
      <c r="GP63" s="256"/>
      <c r="GQ63" s="256"/>
      <c r="GR63" s="256"/>
      <c r="GS63" s="256"/>
      <c r="GT63" s="256"/>
      <c r="GU63" s="256"/>
      <c r="GV63" s="256"/>
      <c r="GW63" s="256"/>
      <c r="GX63" s="256"/>
      <c r="GY63" s="256"/>
      <c r="GZ63" s="256"/>
      <c r="HA63" s="256"/>
      <c r="HB63" s="256"/>
      <c r="HC63" s="256"/>
      <c r="HD63" s="256"/>
      <c r="HE63" s="256"/>
      <c r="HF63" s="256"/>
      <c r="HG63" s="256"/>
      <c r="HH63" s="256"/>
      <c r="HI63" s="256"/>
      <c r="HJ63" s="256"/>
    </row>
    <row r="64" spans="1:218" s="37" customFormat="1" ht="60" customHeight="1">
      <c r="A64" s="104"/>
      <c r="B64" s="74">
        <v>85213</v>
      </c>
      <c r="C64" s="113"/>
      <c r="D64" s="110" t="s">
        <v>236</v>
      </c>
      <c r="E64" s="126">
        <f aca="true" t="shared" si="40" ref="E64:AC64">SUM(E65)</f>
        <v>74700</v>
      </c>
      <c r="F64" s="126">
        <f t="shared" si="40"/>
        <v>0</v>
      </c>
      <c r="G64" s="126">
        <f t="shared" si="40"/>
        <v>0</v>
      </c>
      <c r="H64" s="126">
        <f t="shared" si="40"/>
        <v>74700</v>
      </c>
      <c r="I64" s="126">
        <f t="shared" si="40"/>
        <v>0</v>
      </c>
      <c r="J64" s="126">
        <f t="shared" si="40"/>
        <v>0</v>
      </c>
      <c r="K64" s="126">
        <f t="shared" si="40"/>
        <v>74700</v>
      </c>
      <c r="L64" s="126">
        <f t="shared" si="40"/>
        <v>0</v>
      </c>
      <c r="M64" s="126">
        <f t="shared" si="40"/>
        <v>0</v>
      </c>
      <c r="N64" s="126">
        <f t="shared" si="40"/>
        <v>74700</v>
      </c>
      <c r="O64" s="126">
        <f t="shared" si="40"/>
        <v>0</v>
      </c>
      <c r="P64" s="126">
        <f t="shared" si="40"/>
        <v>0</v>
      </c>
      <c r="Q64" s="126">
        <f t="shared" si="40"/>
        <v>74700</v>
      </c>
      <c r="R64" s="126">
        <f t="shared" si="40"/>
        <v>0</v>
      </c>
      <c r="S64" s="126">
        <f t="shared" si="40"/>
        <v>0</v>
      </c>
      <c r="T64" s="126">
        <f t="shared" si="40"/>
        <v>74700</v>
      </c>
      <c r="U64" s="126">
        <f t="shared" si="40"/>
        <v>0</v>
      </c>
      <c r="V64" s="126">
        <f t="shared" si="40"/>
        <v>0</v>
      </c>
      <c r="W64" s="126">
        <f t="shared" si="40"/>
        <v>74700</v>
      </c>
      <c r="X64" s="126">
        <f t="shared" si="40"/>
        <v>0</v>
      </c>
      <c r="Y64" s="126">
        <f t="shared" si="40"/>
        <v>0</v>
      </c>
      <c r="Z64" s="126">
        <f t="shared" si="40"/>
        <v>74700</v>
      </c>
      <c r="AA64" s="126">
        <f t="shared" si="40"/>
        <v>0</v>
      </c>
      <c r="AB64" s="126">
        <f t="shared" si="40"/>
        <v>0</v>
      </c>
      <c r="AC64" s="126">
        <f t="shared" si="40"/>
        <v>74700</v>
      </c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256"/>
      <c r="BL64" s="256"/>
      <c r="BM64" s="256"/>
      <c r="BN64" s="256"/>
      <c r="BO64" s="256"/>
      <c r="BP64" s="256"/>
      <c r="BQ64" s="256"/>
      <c r="BR64" s="256"/>
      <c r="BS64" s="256"/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256"/>
      <c r="CE64" s="256"/>
      <c r="CF64" s="256"/>
      <c r="CG64" s="256"/>
      <c r="CH64" s="256"/>
      <c r="CI64" s="256"/>
      <c r="CJ64" s="256"/>
      <c r="CK64" s="256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256"/>
      <c r="DC64" s="256"/>
      <c r="DD64" s="256"/>
      <c r="DE64" s="256"/>
      <c r="DF64" s="256"/>
      <c r="DG64" s="256"/>
      <c r="DH64" s="256"/>
      <c r="DI64" s="256"/>
      <c r="DJ64" s="256"/>
      <c r="DK64" s="256"/>
      <c r="DL64" s="256"/>
      <c r="DM64" s="256"/>
      <c r="DN64" s="256"/>
      <c r="DO64" s="256"/>
      <c r="DP64" s="256"/>
      <c r="DQ64" s="256"/>
      <c r="DR64" s="256"/>
      <c r="DS64" s="256"/>
      <c r="DT64" s="256"/>
      <c r="DU64" s="256"/>
      <c r="DV64" s="256"/>
      <c r="DW64" s="256"/>
      <c r="DX64" s="256"/>
      <c r="DY64" s="256"/>
      <c r="DZ64" s="256"/>
      <c r="EA64" s="256"/>
      <c r="EB64" s="256"/>
      <c r="EC64" s="256"/>
      <c r="ED64" s="256"/>
      <c r="EE64" s="256"/>
      <c r="EF64" s="256"/>
      <c r="EG64" s="256"/>
      <c r="EH64" s="256"/>
      <c r="EI64" s="256"/>
      <c r="EJ64" s="256"/>
      <c r="EK64" s="256"/>
      <c r="EL64" s="256"/>
      <c r="EM64" s="256"/>
      <c r="EN64" s="256"/>
      <c r="EO64" s="256"/>
      <c r="EP64" s="256"/>
      <c r="EQ64" s="256"/>
      <c r="ER64" s="256"/>
      <c r="ES64" s="256"/>
      <c r="ET64" s="256"/>
      <c r="EU64" s="256"/>
      <c r="EV64" s="256"/>
      <c r="EW64" s="256"/>
      <c r="EX64" s="256"/>
      <c r="EY64" s="256"/>
      <c r="EZ64" s="256"/>
      <c r="FA64" s="256"/>
      <c r="FB64" s="256"/>
      <c r="FC64" s="256"/>
      <c r="FD64" s="256"/>
      <c r="FE64" s="256"/>
      <c r="FF64" s="256"/>
      <c r="FG64" s="256"/>
      <c r="FH64" s="256"/>
      <c r="FI64" s="256"/>
      <c r="FJ64" s="256"/>
      <c r="FK64" s="256"/>
      <c r="FL64" s="256"/>
      <c r="FM64" s="256"/>
      <c r="FN64" s="256"/>
      <c r="FO64" s="256"/>
      <c r="FP64" s="256"/>
      <c r="FQ64" s="256"/>
      <c r="FR64" s="256"/>
      <c r="FS64" s="256"/>
      <c r="FT64" s="256"/>
      <c r="FU64" s="256"/>
      <c r="FV64" s="256"/>
      <c r="FW64" s="256"/>
      <c r="FX64" s="256"/>
      <c r="FY64" s="256"/>
      <c r="FZ64" s="256"/>
      <c r="GA64" s="256"/>
      <c r="GB64" s="256"/>
      <c r="GC64" s="256"/>
      <c r="GD64" s="256"/>
      <c r="GE64" s="256"/>
      <c r="GF64" s="256"/>
      <c r="GG64" s="256"/>
      <c r="GH64" s="256"/>
      <c r="GI64" s="256"/>
      <c r="GJ64" s="256"/>
      <c r="GK64" s="256"/>
      <c r="GL64" s="256"/>
      <c r="GM64" s="256"/>
      <c r="GN64" s="256"/>
      <c r="GO64" s="256"/>
      <c r="GP64" s="256"/>
      <c r="GQ64" s="256"/>
      <c r="GR64" s="256"/>
      <c r="GS64" s="256"/>
      <c r="GT64" s="256"/>
      <c r="GU64" s="256"/>
      <c r="GV64" s="256"/>
      <c r="GW64" s="256"/>
      <c r="GX64" s="256"/>
      <c r="GY64" s="256"/>
      <c r="GZ64" s="256"/>
      <c r="HA64" s="256"/>
      <c r="HB64" s="256"/>
      <c r="HC64" s="256"/>
      <c r="HD64" s="256"/>
      <c r="HE64" s="256"/>
      <c r="HF64" s="256"/>
      <c r="HG64" s="256"/>
      <c r="HH64" s="256"/>
      <c r="HI64" s="256"/>
      <c r="HJ64" s="256"/>
    </row>
    <row r="65" spans="1:218" s="37" customFormat="1" ht="21.75" customHeight="1">
      <c r="A65" s="104"/>
      <c r="B65" s="74"/>
      <c r="C65" s="113">
        <v>4130</v>
      </c>
      <c r="D65" s="110" t="s">
        <v>139</v>
      </c>
      <c r="E65" s="126">
        <v>74700</v>
      </c>
      <c r="F65" s="126"/>
      <c r="G65" s="126"/>
      <c r="H65" s="126">
        <f>SUM(E65+F65-G65)</f>
        <v>74700</v>
      </c>
      <c r="I65" s="126"/>
      <c r="J65" s="126"/>
      <c r="K65" s="126">
        <f>SUM(H65+I65-J65)</f>
        <v>74700</v>
      </c>
      <c r="L65" s="126"/>
      <c r="M65" s="126"/>
      <c r="N65" s="126">
        <f>SUM(K65+L65-M65)</f>
        <v>74700</v>
      </c>
      <c r="O65" s="126"/>
      <c r="P65" s="126"/>
      <c r="Q65" s="126">
        <f>SUM(N65+O65-P65)</f>
        <v>74700</v>
      </c>
      <c r="R65" s="126"/>
      <c r="S65" s="126"/>
      <c r="T65" s="126">
        <f>SUM(Q65+R65-S65)</f>
        <v>74700</v>
      </c>
      <c r="U65" s="126"/>
      <c r="V65" s="126"/>
      <c r="W65" s="126">
        <f>SUM(T65+U65-V65)</f>
        <v>74700</v>
      </c>
      <c r="X65" s="126"/>
      <c r="Y65" s="126"/>
      <c r="Z65" s="126">
        <f>SUM(W65+X65-Y65)</f>
        <v>74700</v>
      </c>
      <c r="AA65" s="126"/>
      <c r="AB65" s="126"/>
      <c r="AC65" s="126">
        <f>SUM(Z65+AA65-AB65)</f>
        <v>74700</v>
      </c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256"/>
      <c r="BL65" s="256"/>
      <c r="BM65" s="256"/>
      <c r="BN65" s="256"/>
      <c r="BO65" s="256"/>
      <c r="BP65" s="256"/>
      <c r="BQ65" s="256"/>
      <c r="BR65" s="256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6"/>
      <c r="DD65" s="256"/>
      <c r="DE65" s="256"/>
      <c r="DF65" s="256"/>
      <c r="DG65" s="256"/>
      <c r="DH65" s="256"/>
      <c r="DI65" s="256"/>
      <c r="DJ65" s="256"/>
      <c r="DK65" s="256"/>
      <c r="DL65" s="256"/>
      <c r="DM65" s="256"/>
      <c r="DN65" s="256"/>
      <c r="DO65" s="256"/>
      <c r="DP65" s="256"/>
      <c r="DQ65" s="256"/>
      <c r="DR65" s="256"/>
      <c r="DS65" s="256"/>
      <c r="DT65" s="256"/>
      <c r="DU65" s="256"/>
      <c r="DV65" s="256"/>
      <c r="DW65" s="256"/>
      <c r="DX65" s="256"/>
      <c r="DY65" s="256"/>
      <c r="DZ65" s="256"/>
      <c r="EA65" s="256"/>
      <c r="EB65" s="256"/>
      <c r="EC65" s="256"/>
      <c r="ED65" s="256"/>
      <c r="EE65" s="256"/>
      <c r="EF65" s="256"/>
      <c r="EG65" s="256"/>
      <c r="EH65" s="256"/>
      <c r="EI65" s="256"/>
      <c r="EJ65" s="256"/>
      <c r="EK65" s="256"/>
      <c r="EL65" s="256"/>
      <c r="EM65" s="256"/>
      <c r="EN65" s="256"/>
      <c r="EO65" s="256"/>
      <c r="EP65" s="256"/>
      <c r="EQ65" s="256"/>
      <c r="ER65" s="256"/>
      <c r="ES65" s="256"/>
      <c r="ET65" s="256"/>
      <c r="EU65" s="256"/>
      <c r="EV65" s="256"/>
      <c r="EW65" s="256"/>
      <c r="EX65" s="256"/>
      <c r="EY65" s="256"/>
      <c r="EZ65" s="256"/>
      <c r="FA65" s="256"/>
      <c r="FB65" s="256"/>
      <c r="FC65" s="256"/>
      <c r="FD65" s="256"/>
      <c r="FE65" s="256"/>
      <c r="FF65" s="256"/>
      <c r="FG65" s="256"/>
      <c r="FH65" s="256"/>
      <c r="FI65" s="256"/>
      <c r="FJ65" s="256"/>
      <c r="FK65" s="256"/>
      <c r="FL65" s="256"/>
      <c r="FM65" s="256"/>
      <c r="FN65" s="256"/>
      <c r="FO65" s="256"/>
      <c r="FP65" s="256"/>
      <c r="FQ65" s="256"/>
      <c r="FR65" s="256"/>
      <c r="FS65" s="256"/>
      <c r="FT65" s="256"/>
      <c r="FU65" s="256"/>
      <c r="FV65" s="256"/>
      <c r="FW65" s="256"/>
      <c r="FX65" s="256"/>
      <c r="FY65" s="256"/>
      <c r="FZ65" s="256"/>
      <c r="GA65" s="256"/>
      <c r="GB65" s="256"/>
      <c r="GC65" s="256"/>
      <c r="GD65" s="256"/>
      <c r="GE65" s="256"/>
      <c r="GF65" s="256"/>
      <c r="GG65" s="256"/>
      <c r="GH65" s="256"/>
      <c r="GI65" s="256"/>
      <c r="GJ65" s="256"/>
      <c r="GK65" s="256"/>
      <c r="GL65" s="256"/>
      <c r="GM65" s="256"/>
      <c r="GN65" s="256"/>
      <c r="GO65" s="256"/>
      <c r="GP65" s="256"/>
      <c r="GQ65" s="256"/>
      <c r="GR65" s="256"/>
      <c r="GS65" s="256"/>
      <c r="GT65" s="256"/>
      <c r="GU65" s="256"/>
      <c r="GV65" s="256"/>
      <c r="GW65" s="256"/>
      <c r="GX65" s="256"/>
      <c r="GY65" s="256"/>
      <c r="GZ65" s="256"/>
      <c r="HA65" s="256"/>
      <c r="HB65" s="256"/>
      <c r="HC65" s="256"/>
      <c r="HD65" s="256"/>
      <c r="HE65" s="256"/>
      <c r="HF65" s="256"/>
      <c r="HG65" s="256"/>
      <c r="HH65" s="256"/>
      <c r="HI65" s="256"/>
      <c r="HJ65" s="256"/>
    </row>
    <row r="66" spans="1:218" s="257" customFormat="1" ht="35.25" customHeight="1">
      <c r="A66" s="98"/>
      <c r="B66" s="98">
        <v>85214</v>
      </c>
      <c r="C66" s="99"/>
      <c r="D66" s="97" t="s">
        <v>285</v>
      </c>
      <c r="E66" s="128">
        <f aca="true" t="shared" si="41" ref="E66:K66">SUM(E67:E68)</f>
        <v>569300</v>
      </c>
      <c r="F66" s="128">
        <f t="shared" si="41"/>
        <v>0</v>
      </c>
      <c r="G66" s="128">
        <f t="shared" si="41"/>
        <v>0</v>
      </c>
      <c r="H66" s="128">
        <f t="shared" si="41"/>
        <v>569300</v>
      </c>
      <c r="I66" s="128">
        <f t="shared" si="41"/>
        <v>0</v>
      </c>
      <c r="J66" s="128">
        <f t="shared" si="41"/>
        <v>69300</v>
      </c>
      <c r="K66" s="128">
        <f t="shared" si="41"/>
        <v>500000</v>
      </c>
      <c r="L66" s="128">
        <f aca="true" t="shared" si="42" ref="L66:Q66">SUM(L67:L68)</f>
        <v>0</v>
      </c>
      <c r="M66" s="128">
        <f t="shared" si="42"/>
        <v>70000</v>
      </c>
      <c r="N66" s="128">
        <f t="shared" si="42"/>
        <v>430000</v>
      </c>
      <c r="O66" s="128">
        <f t="shared" si="42"/>
        <v>0</v>
      </c>
      <c r="P66" s="128">
        <f t="shared" si="42"/>
        <v>0</v>
      </c>
      <c r="Q66" s="128">
        <f t="shared" si="42"/>
        <v>430000</v>
      </c>
      <c r="R66" s="128">
        <f aca="true" t="shared" si="43" ref="R66:W66">SUM(R67:R68)</f>
        <v>0</v>
      </c>
      <c r="S66" s="128">
        <f t="shared" si="43"/>
        <v>0</v>
      </c>
      <c r="T66" s="128">
        <f t="shared" si="43"/>
        <v>430000</v>
      </c>
      <c r="U66" s="128">
        <f t="shared" si="43"/>
        <v>0</v>
      </c>
      <c r="V66" s="128">
        <f t="shared" si="43"/>
        <v>0</v>
      </c>
      <c r="W66" s="128">
        <f t="shared" si="43"/>
        <v>430000</v>
      </c>
      <c r="X66" s="128">
        <f aca="true" t="shared" si="44" ref="X66:AC66">SUM(X67:X68)</f>
        <v>0</v>
      </c>
      <c r="Y66" s="128">
        <f t="shared" si="44"/>
        <v>0</v>
      </c>
      <c r="Z66" s="128">
        <f t="shared" si="44"/>
        <v>430000</v>
      </c>
      <c r="AA66" s="128">
        <f t="shared" si="44"/>
        <v>0</v>
      </c>
      <c r="AB66" s="128">
        <f t="shared" si="44"/>
        <v>0</v>
      </c>
      <c r="AC66" s="128">
        <f t="shared" si="44"/>
        <v>430000</v>
      </c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6"/>
      <c r="FF66" s="256"/>
      <c r="FG66" s="256"/>
      <c r="FH66" s="256"/>
      <c r="FI66" s="256"/>
      <c r="FJ66" s="256"/>
      <c r="FK66" s="256"/>
      <c r="FL66" s="256"/>
      <c r="FM66" s="256"/>
      <c r="FN66" s="256"/>
      <c r="FO66" s="256"/>
      <c r="FP66" s="256"/>
      <c r="FQ66" s="256"/>
      <c r="FR66" s="256"/>
      <c r="FS66" s="256"/>
      <c r="FT66" s="256"/>
      <c r="FU66" s="256"/>
      <c r="FV66" s="256"/>
      <c r="FW66" s="256"/>
      <c r="FX66" s="256"/>
      <c r="FY66" s="256"/>
      <c r="FZ66" s="256"/>
      <c r="GA66" s="256"/>
      <c r="GB66" s="256"/>
      <c r="GC66" s="256"/>
      <c r="GD66" s="256"/>
      <c r="GE66" s="256"/>
      <c r="GF66" s="256"/>
      <c r="GG66" s="256"/>
      <c r="GH66" s="256"/>
      <c r="GI66" s="256"/>
      <c r="GJ66" s="256"/>
      <c r="GK66" s="256"/>
      <c r="GL66" s="256"/>
      <c r="GM66" s="256"/>
      <c r="GN66" s="256"/>
      <c r="GO66" s="256"/>
      <c r="GP66" s="256"/>
      <c r="GQ66" s="256"/>
      <c r="GR66" s="256"/>
      <c r="GS66" s="256"/>
      <c r="GT66" s="256"/>
      <c r="GU66" s="256"/>
      <c r="GV66" s="256"/>
      <c r="GW66" s="256"/>
      <c r="GX66" s="256"/>
      <c r="GY66" s="256"/>
      <c r="GZ66" s="256"/>
      <c r="HA66" s="256"/>
      <c r="HB66" s="256"/>
      <c r="HC66" s="256"/>
      <c r="HD66" s="256"/>
      <c r="HE66" s="256"/>
      <c r="HF66" s="256"/>
      <c r="HG66" s="256"/>
      <c r="HH66" s="256"/>
      <c r="HI66" s="256"/>
      <c r="HJ66" s="256"/>
    </row>
    <row r="67" spans="1:218" s="257" customFormat="1" ht="16.5" customHeight="1">
      <c r="A67" s="98"/>
      <c r="B67" s="120"/>
      <c r="C67" s="99">
        <v>3110</v>
      </c>
      <c r="D67" s="97" t="s">
        <v>130</v>
      </c>
      <c r="E67" s="128">
        <v>566300</v>
      </c>
      <c r="F67" s="128"/>
      <c r="G67" s="128"/>
      <c r="H67" s="128">
        <f>SUM(E67+F67-G67)</f>
        <v>566300</v>
      </c>
      <c r="I67" s="128"/>
      <c r="J67" s="128">
        <v>69300</v>
      </c>
      <c r="K67" s="128">
        <f>SUM(H67+I67-J67)</f>
        <v>497000</v>
      </c>
      <c r="L67" s="128"/>
      <c r="M67" s="128">
        <v>70000</v>
      </c>
      <c r="N67" s="128">
        <f>SUM(K67+L67-M67)</f>
        <v>427000</v>
      </c>
      <c r="O67" s="128"/>
      <c r="P67" s="128"/>
      <c r="Q67" s="128">
        <f>SUM(N67+O67-P67)</f>
        <v>427000</v>
      </c>
      <c r="R67" s="128"/>
      <c r="S67" s="128"/>
      <c r="T67" s="128">
        <f>SUM(Q67+R67-S67)</f>
        <v>427000</v>
      </c>
      <c r="U67" s="128"/>
      <c r="V67" s="128"/>
      <c r="W67" s="128">
        <f>SUM(T67+U67-V67)</f>
        <v>427000</v>
      </c>
      <c r="X67" s="128"/>
      <c r="Y67" s="128"/>
      <c r="Z67" s="128">
        <f>SUM(W67+X67-Y67)</f>
        <v>427000</v>
      </c>
      <c r="AA67" s="128"/>
      <c r="AB67" s="128"/>
      <c r="AC67" s="128">
        <f>SUM(Z67+AA67-AB67)</f>
        <v>427000</v>
      </c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6"/>
      <c r="CL67" s="256"/>
      <c r="CM67" s="256"/>
      <c r="CN67" s="256"/>
      <c r="CO67" s="256"/>
      <c r="CP67" s="256"/>
      <c r="CQ67" s="256"/>
      <c r="CR67" s="256"/>
      <c r="CS67" s="256"/>
      <c r="CT67" s="256"/>
      <c r="CU67" s="256"/>
      <c r="CV67" s="256"/>
      <c r="CW67" s="256"/>
      <c r="CX67" s="256"/>
      <c r="CY67" s="256"/>
      <c r="CZ67" s="256"/>
      <c r="DA67" s="256"/>
      <c r="DB67" s="256"/>
      <c r="DC67" s="256"/>
      <c r="DD67" s="256"/>
      <c r="DE67" s="256"/>
      <c r="DF67" s="256"/>
      <c r="DG67" s="256"/>
      <c r="DH67" s="256"/>
      <c r="DI67" s="256"/>
      <c r="DJ67" s="256"/>
      <c r="DK67" s="256"/>
      <c r="DL67" s="256"/>
      <c r="DM67" s="256"/>
      <c r="DN67" s="256"/>
      <c r="DO67" s="256"/>
      <c r="DP67" s="256"/>
      <c r="DQ67" s="256"/>
      <c r="DR67" s="256"/>
      <c r="DS67" s="256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6"/>
      <c r="EE67" s="256"/>
      <c r="EF67" s="256"/>
      <c r="EG67" s="256"/>
      <c r="EH67" s="256"/>
      <c r="EI67" s="256"/>
      <c r="EJ67" s="256"/>
      <c r="EK67" s="256"/>
      <c r="EL67" s="256"/>
      <c r="EM67" s="256"/>
      <c r="EN67" s="256"/>
      <c r="EO67" s="256"/>
      <c r="EP67" s="256"/>
      <c r="EQ67" s="256"/>
      <c r="ER67" s="256"/>
      <c r="ES67" s="256"/>
      <c r="ET67" s="256"/>
      <c r="EU67" s="256"/>
      <c r="EV67" s="256"/>
      <c r="EW67" s="256"/>
      <c r="EX67" s="256"/>
      <c r="EY67" s="256"/>
      <c r="EZ67" s="256"/>
      <c r="FA67" s="256"/>
      <c r="FB67" s="256"/>
      <c r="FC67" s="256"/>
      <c r="FD67" s="256"/>
      <c r="FE67" s="256"/>
      <c r="FF67" s="256"/>
      <c r="FG67" s="256"/>
      <c r="FH67" s="256"/>
      <c r="FI67" s="256"/>
      <c r="FJ67" s="256"/>
      <c r="FK67" s="256"/>
      <c r="FL67" s="256"/>
      <c r="FM67" s="256"/>
      <c r="FN67" s="256"/>
      <c r="FO67" s="256"/>
      <c r="FP67" s="256"/>
      <c r="FQ67" s="256"/>
      <c r="FR67" s="256"/>
      <c r="FS67" s="256"/>
      <c r="FT67" s="256"/>
      <c r="FU67" s="256"/>
      <c r="FV67" s="256"/>
      <c r="FW67" s="256"/>
      <c r="FX67" s="256"/>
      <c r="FY67" s="256"/>
      <c r="FZ67" s="256"/>
      <c r="GA67" s="256"/>
      <c r="GB67" s="256"/>
      <c r="GC67" s="256"/>
      <c r="GD67" s="256"/>
      <c r="GE67" s="256"/>
      <c r="GF67" s="256"/>
      <c r="GG67" s="256"/>
      <c r="GH67" s="256"/>
      <c r="GI67" s="256"/>
      <c r="GJ67" s="256"/>
      <c r="GK67" s="256"/>
      <c r="GL67" s="256"/>
      <c r="GM67" s="256"/>
      <c r="GN67" s="256"/>
      <c r="GO67" s="256"/>
      <c r="GP67" s="256"/>
      <c r="GQ67" s="256"/>
      <c r="GR67" s="256"/>
      <c r="GS67" s="256"/>
      <c r="GT67" s="256"/>
      <c r="GU67" s="256"/>
      <c r="GV67" s="256"/>
      <c r="GW67" s="256"/>
      <c r="GX67" s="256"/>
      <c r="GY67" s="256"/>
      <c r="GZ67" s="256"/>
      <c r="HA67" s="256"/>
      <c r="HB67" s="256"/>
      <c r="HC67" s="256"/>
      <c r="HD67" s="256"/>
      <c r="HE67" s="256"/>
      <c r="HF67" s="256"/>
      <c r="HG67" s="256"/>
      <c r="HH67" s="256"/>
      <c r="HI67" s="256"/>
      <c r="HJ67" s="256"/>
    </row>
    <row r="68" spans="1:218" s="257" customFormat="1" ht="18" customHeight="1">
      <c r="A68" s="98"/>
      <c r="B68" s="120"/>
      <c r="C68" s="120">
        <v>4110</v>
      </c>
      <c r="D68" s="19" t="s">
        <v>103</v>
      </c>
      <c r="E68" s="128">
        <v>3000</v>
      </c>
      <c r="F68" s="128"/>
      <c r="G68" s="128"/>
      <c r="H68" s="128">
        <f>SUM(E68+F68-G68)</f>
        <v>3000</v>
      </c>
      <c r="I68" s="128"/>
      <c r="J68" s="128"/>
      <c r="K68" s="128">
        <f>SUM(H68+I68-J68)</f>
        <v>3000</v>
      </c>
      <c r="L68" s="128"/>
      <c r="M68" s="128"/>
      <c r="N68" s="128">
        <f>SUM(K68+L68-M68)</f>
        <v>3000</v>
      </c>
      <c r="O68" s="128"/>
      <c r="P68" s="128"/>
      <c r="Q68" s="128">
        <f>SUM(N68+O68-P68)</f>
        <v>3000</v>
      </c>
      <c r="R68" s="128"/>
      <c r="S68" s="128"/>
      <c r="T68" s="128">
        <f>SUM(Q68+R68-S68)</f>
        <v>3000</v>
      </c>
      <c r="U68" s="128"/>
      <c r="V68" s="128"/>
      <c r="W68" s="128">
        <f>SUM(T68+U68-V68)</f>
        <v>3000</v>
      </c>
      <c r="X68" s="128"/>
      <c r="Y68" s="128"/>
      <c r="Z68" s="128">
        <f>SUM(W68+X68-Y68)</f>
        <v>3000</v>
      </c>
      <c r="AA68" s="128"/>
      <c r="AB68" s="128"/>
      <c r="AC68" s="128">
        <f>SUM(Z68+AA68-AB68)</f>
        <v>3000</v>
      </c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6"/>
      <c r="BX68" s="256"/>
      <c r="BY68" s="256"/>
      <c r="BZ68" s="256"/>
      <c r="CA68" s="256"/>
      <c r="CB68" s="256"/>
      <c r="CC68" s="256"/>
      <c r="CD68" s="256"/>
      <c r="CE68" s="256"/>
      <c r="CF68" s="256"/>
      <c r="CG68" s="256"/>
      <c r="CH68" s="256"/>
      <c r="CI68" s="256"/>
      <c r="CJ68" s="256"/>
      <c r="CK68" s="256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256"/>
      <c r="CY68" s="256"/>
      <c r="CZ68" s="256"/>
      <c r="DA68" s="256"/>
      <c r="DB68" s="256"/>
      <c r="DC68" s="256"/>
      <c r="DD68" s="256"/>
      <c r="DE68" s="256"/>
      <c r="DF68" s="256"/>
      <c r="DG68" s="256"/>
      <c r="DH68" s="256"/>
      <c r="DI68" s="256"/>
      <c r="DJ68" s="256"/>
      <c r="DK68" s="256"/>
      <c r="DL68" s="256"/>
      <c r="DM68" s="256"/>
      <c r="DN68" s="256"/>
      <c r="DO68" s="256"/>
      <c r="DP68" s="256"/>
      <c r="DQ68" s="256"/>
      <c r="DR68" s="256"/>
      <c r="DS68" s="256"/>
      <c r="DT68" s="256"/>
      <c r="DU68" s="256"/>
      <c r="DV68" s="256"/>
      <c r="DW68" s="256"/>
      <c r="DX68" s="256"/>
      <c r="DY68" s="256"/>
      <c r="DZ68" s="256"/>
      <c r="EA68" s="256"/>
      <c r="EB68" s="256"/>
      <c r="EC68" s="256"/>
      <c r="ED68" s="256"/>
      <c r="EE68" s="256"/>
      <c r="EF68" s="256"/>
      <c r="EG68" s="256"/>
      <c r="EH68" s="256"/>
      <c r="EI68" s="256"/>
      <c r="EJ68" s="256"/>
      <c r="EK68" s="256"/>
      <c r="EL68" s="256"/>
      <c r="EM68" s="256"/>
      <c r="EN68" s="256"/>
      <c r="EO68" s="256"/>
      <c r="EP68" s="256"/>
      <c r="EQ68" s="256"/>
      <c r="ER68" s="256"/>
      <c r="ES68" s="256"/>
      <c r="ET68" s="256"/>
      <c r="EU68" s="256"/>
      <c r="EV68" s="256"/>
      <c r="EW68" s="256"/>
      <c r="EX68" s="256"/>
      <c r="EY68" s="256"/>
      <c r="EZ68" s="256"/>
      <c r="FA68" s="256"/>
      <c r="FB68" s="256"/>
      <c r="FC68" s="256"/>
      <c r="FD68" s="256"/>
      <c r="FE68" s="256"/>
      <c r="FF68" s="256"/>
      <c r="FG68" s="256"/>
      <c r="FH68" s="256"/>
      <c r="FI68" s="256"/>
      <c r="FJ68" s="256"/>
      <c r="FK68" s="256"/>
      <c r="FL68" s="256"/>
      <c r="FM68" s="256"/>
      <c r="FN68" s="256"/>
      <c r="FO68" s="256"/>
      <c r="FP68" s="256"/>
      <c r="FQ68" s="256"/>
      <c r="FR68" s="256"/>
      <c r="FS68" s="256"/>
      <c r="FT68" s="256"/>
      <c r="FU68" s="256"/>
      <c r="FV68" s="256"/>
      <c r="FW68" s="256"/>
      <c r="FX68" s="256"/>
      <c r="FY68" s="256"/>
      <c r="FZ68" s="256"/>
      <c r="GA68" s="256"/>
      <c r="GB68" s="256"/>
      <c r="GC68" s="256"/>
      <c r="GD68" s="256"/>
      <c r="GE68" s="256"/>
      <c r="GF68" s="256"/>
      <c r="GG68" s="256"/>
      <c r="GH68" s="256"/>
      <c r="GI68" s="256"/>
      <c r="GJ68" s="256"/>
      <c r="GK68" s="256"/>
      <c r="GL68" s="256"/>
      <c r="GM68" s="256"/>
      <c r="GN68" s="256"/>
      <c r="GO68" s="256"/>
      <c r="GP68" s="256"/>
      <c r="GQ68" s="256"/>
      <c r="GR68" s="256"/>
      <c r="GS68" s="256"/>
      <c r="GT68" s="256"/>
      <c r="GU68" s="256"/>
      <c r="GV68" s="256"/>
      <c r="GW68" s="256"/>
      <c r="GX68" s="256"/>
      <c r="GY68" s="256"/>
      <c r="GZ68" s="256"/>
      <c r="HA68" s="256"/>
      <c r="HB68" s="256"/>
      <c r="HC68" s="256"/>
      <c r="HD68" s="256"/>
      <c r="HE68" s="256"/>
      <c r="HF68" s="256"/>
      <c r="HG68" s="256"/>
      <c r="HH68" s="256"/>
      <c r="HI68" s="256"/>
      <c r="HJ68" s="256"/>
    </row>
    <row r="69" spans="1:218" s="257" customFormat="1" ht="25.5" customHeight="1">
      <c r="A69" s="98"/>
      <c r="B69" s="120">
        <v>85278</v>
      </c>
      <c r="C69" s="120"/>
      <c r="D69" s="110" t="s">
        <v>657</v>
      </c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>
        <f aca="true" t="shared" si="45" ref="Q69:AC69">SUM(Q70)</f>
        <v>0</v>
      </c>
      <c r="R69" s="128">
        <f t="shared" si="45"/>
        <v>242097</v>
      </c>
      <c r="S69" s="128">
        <f t="shared" si="45"/>
        <v>0</v>
      </c>
      <c r="T69" s="128">
        <f t="shared" si="45"/>
        <v>242097</v>
      </c>
      <c r="U69" s="128">
        <f t="shared" si="45"/>
        <v>0</v>
      </c>
      <c r="V69" s="128">
        <f t="shared" si="45"/>
        <v>0</v>
      </c>
      <c r="W69" s="128">
        <f t="shared" si="45"/>
        <v>242097</v>
      </c>
      <c r="X69" s="128">
        <f t="shared" si="45"/>
        <v>0</v>
      </c>
      <c r="Y69" s="128">
        <f t="shared" si="45"/>
        <v>0</v>
      </c>
      <c r="Z69" s="128">
        <f t="shared" si="45"/>
        <v>242097</v>
      </c>
      <c r="AA69" s="128">
        <f t="shared" si="45"/>
        <v>0</v>
      </c>
      <c r="AB69" s="128">
        <f t="shared" si="45"/>
        <v>0</v>
      </c>
      <c r="AC69" s="128">
        <f t="shared" si="45"/>
        <v>242097</v>
      </c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256"/>
      <c r="BL69" s="256"/>
      <c r="BM69" s="256"/>
      <c r="BN69" s="256"/>
      <c r="BO69" s="256"/>
      <c r="BP69" s="256"/>
      <c r="BQ69" s="256"/>
      <c r="BR69" s="256"/>
      <c r="BS69" s="256"/>
      <c r="BT69" s="256"/>
      <c r="BU69" s="256"/>
      <c r="BV69" s="256"/>
      <c r="BW69" s="256"/>
      <c r="BX69" s="256"/>
      <c r="BY69" s="256"/>
      <c r="BZ69" s="256"/>
      <c r="CA69" s="256"/>
      <c r="CB69" s="256"/>
      <c r="CC69" s="256"/>
      <c r="CD69" s="256"/>
      <c r="CE69" s="256"/>
      <c r="CF69" s="256"/>
      <c r="CG69" s="256"/>
      <c r="CH69" s="256"/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256"/>
      <c r="CY69" s="256"/>
      <c r="CZ69" s="256"/>
      <c r="DA69" s="256"/>
      <c r="DB69" s="256"/>
      <c r="DC69" s="256"/>
      <c r="DD69" s="256"/>
      <c r="DE69" s="256"/>
      <c r="DF69" s="256"/>
      <c r="DG69" s="256"/>
      <c r="DH69" s="256"/>
      <c r="DI69" s="256"/>
      <c r="DJ69" s="256"/>
      <c r="DK69" s="256"/>
      <c r="DL69" s="256"/>
      <c r="DM69" s="256"/>
      <c r="DN69" s="256"/>
      <c r="DO69" s="256"/>
      <c r="DP69" s="256"/>
      <c r="DQ69" s="256"/>
      <c r="DR69" s="256"/>
      <c r="DS69" s="256"/>
      <c r="DT69" s="256"/>
      <c r="DU69" s="256"/>
      <c r="DV69" s="256"/>
      <c r="DW69" s="256"/>
      <c r="DX69" s="256"/>
      <c r="DY69" s="256"/>
      <c r="DZ69" s="256"/>
      <c r="EA69" s="256"/>
      <c r="EB69" s="256"/>
      <c r="EC69" s="256"/>
      <c r="ED69" s="256"/>
      <c r="EE69" s="256"/>
      <c r="EF69" s="256"/>
      <c r="EG69" s="256"/>
      <c r="EH69" s="256"/>
      <c r="EI69" s="256"/>
      <c r="EJ69" s="256"/>
      <c r="EK69" s="256"/>
      <c r="EL69" s="256"/>
      <c r="EM69" s="256"/>
      <c r="EN69" s="256"/>
      <c r="EO69" s="256"/>
      <c r="EP69" s="256"/>
      <c r="EQ69" s="256"/>
      <c r="ER69" s="256"/>
      <c r="ES69" s="256"/>
      <c r="ET69" s="256"/>
      <c r="EU69" s="256"/>
      <c r="EV69" s="256"/>
      <c r="EW69" s="256"/>
      <c r="EX69" s="256"/>
      <c r="EY69" s="256"/>
      <c r="EZ69" s="256"/>
      <c r="FA69" s="256"/>
      <c r="FB69" s="256"/>
      <c r="FC69" s="256"/>
      <c r="FD69" s="256"/>
      <c r="FE69" s="256"/>
      <c r="FF69" s="256"/>
      <c r="FG69" s="256"/>
      <c r="FH69" s="256"/>
      <c r="FI69" s="256"/>
      <c r="FJ69" s="256"/>
      <c r="FK69" s="256"/>
      <c r="FL69" s="256"/>
      <c r="FM69" s="256"/>
      <c r="FN69" s="256"/>
      <c r="FO69" s="256"/>
      <c r="FP69" s="256"/>
      <c r="FQ69" s="256"/>
      <c r="FR69" s="256"/>
      <c r="FS69" s="256"/>
      <c r="FT69" s="256"/>
      <c r="FU69" s="256"/>
      <c r="FV69" s="256"/>
      <c r="FW69" s="256"/>
      <c r="FX69" s="256"/>
      <c r="FY69" s="256"/>
      <c r="FZ69" s="256"/>
      <c r="GA69" s="256"/>
      <c r="GB69" s="256"/>
      <c r="GC69" s="256"/>
      <c r="GD69" s="256"/>
      <c r="GE69" s="256"/>
      <c r="GF69" s="256"/>
      <c r="GG69" s="256"/>
      <c r="GH69" s="256"/>
      <c r="GI69" s="256"/>
      <c r="GJ69" s="256"/>
      <c r="GK69" s="256"/>
      <c r="GL69" s="256"/>
      <c r="GM69" s="256"/>
      <c r="GN69" s="256"/>
      <c r="GO69" s="256"/>
      <c r="GP69" s="256"/>
      <c r="GQ69" s="256"/>
      <c r="GR69" s="256"/>
      <c r="GS69" s="256"/>
      <c r="GT69" s="256"/>
      <c r="GU69" s="256"/>
      <c r="GV69" s="256"/>
      <c r="GW69" s="256"/>
      <c r="GX69" s="256"/>
      <c r="GY69" s="256"/>
      <c r="GZ69" s="256"/>
      <c r="HA69" s="256"/>
      <c r="HB69" s="256"/>
      <c r="HC69" s="256"/>
      <c r="HD69" s="256"/>
      <c r="HE69" s="256"/>
      <c r="HF69" s="256"/>
      <c r="HG69" s="256"/>
      <c r="HH69" s="256"/>
      <c r="HI69" s="256"/>
      <c r="HJ69" s="256"/>
    </row>
    <row r="70" spans="1:218" s="257" customFormat="1" ht="19.5" customHeight="1">
      <c r="A70" s="98"/>
      <c r="B70" s="120"/>
      <c r="C70" s="120">
        <v>3110</v>
      </c>
      <c r="D70" s="97" t="s">
        <v>130</v>
      </c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>
        <v>0</v>
      </c>
      <c r="R70" s="128">
        <v>242097</v>
      </c>
      <c r="S70" s="128"/>
      <c r="T70" s="128">
        <f>SUM(Q70+R70-S70)</f>
        <v>242097</v>
      </c>
      <c r="U70" s="128"/>
      <c r="V70" s="128"/>
      <c r="W70" s="128">
        <f>SUM(T70+U70-V70)</f>
        <v>242097</v>
      </c>
      <c r="X70" s="128"/>
      <c r="Y70" s="128"/>
      <c r="Z70" s="128">
        <f>SUM(W70+X70-Y70)</f>
        <v>242097</v>
      </c>
      <c r="AA70" s="128"/>
      <c r="AB70" s="128"/>
      <c r="AC70" s="128">
        <f>SUM(Z70+AA70-AB70)</f>
        <v>242097</v>
      </c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6"/>
      <c r="CG70" s="256"/>
      <c r="CH70" s="256"/>
      <c r="CI70" s="256"/>
      <c r="CJ70" s="256"/>
      <c r="CK70" s="256"/>
      <c r="CL70" s="256"/>
      <c r="CM70" s="256"/>
      <c r="CN70" s="256"/>
      <c r="CO70" s="256"/>
      <c r="CP70" s="256"/>
      <c r="CQ70" s="256"/>
      <c r="CR70" s="256"/>
      <c r="CS70" s="256"/>
      <c r="CT70" s="256"/>
      <c r="CU70" s="256"/>
      <c r="CV70" s="256"/>
      <c r="CW70" s="256"/>
      <c r="CX70" s="256"/>
      <c r="CY70" s="256"/>
      <c r="CZ70" s="256"/>
      <c r="DA70" s="256"/>
      <c r="DB70" s="256"/>
      <c r="DC70" s="256"/>
      <c r="DD70" s="256"/>
      <c r="DE70" s="256"/>
      <c r="DF70" s="256"/>
      <c r="DG70" s="256"/>
      <c r="DH70" s="256"/>
      <c r="DI70" s="256"/>
      <c r="DJ70" s="256"/>
      <c r="DK70" s="256"/>
      <c r="DL70" s="256"/>
      <c r="DM70" s="256"/>
      <c r="DN70" s="256"/>
      <c r="DO70" s="256"/>
      <c r="DP70" s="256"/>
      <c r="DQ70" s="256"/>
      <c r="DR70" s="256"/>
      <c r="DS70" s="256"/>
      <c r="DT70" s="256"/>
      <c r="DU70" s="256"/>
      <c r="DV70" s="256"/>
      <c r="DW70" s="256"/>
      <c r="DX70" s="256"/>
      <c r="DY70" s="256"/>
      <c r="DZ70" s="256"/>
      <c r="EA70" s="256"/>
      <c r="EB70" s="256"/>
      <c r="EC70" s="256"/>
      <c r="ED70" s="256"/>
      <c r="EE70" s="256"/>
      <c r="EF70" s="256"/>
      <c r="EG70" s="256"/>
      <c r="EH70" s="256"/>
      <c r="EI70" s="256"/>
      <c r="EJ70" s="256"/>
      <c r="EK70" s="256"/>
      <c r="EL70" s="256"/>
      <c r="EM70" s="256"/>
      <c r="EN70" s="256"/>
      <c r="EO70" s="256"/>
      <c r="EP70" s="256"/>
      <c r="EQ70" s="256"/>
      <c r="ER70" s="256"/>
      <c r="ES70" s="256"/>
      <c r="ET70" s="256"/>
      <c r="EU70" s="256"/>
      <c r="EV70" s="256"/>
      <c r="EW70" s="256"/>
      <c r="EX70" s="256"/>
      <c r="EY70" s="256"/>
      <c r="EZ70" s="256"/>
      <c r="FA70" s="256"/>
      <c r="FB70" s="256"/>
      <c r="FC70" s="256"/>
      <c r="FD70" s="256"/>
      <c r="FE70" s="256"/>
      <c r="FF70" s="256"/>
      <c r="FG70" s="256"/>
      <c r="FH70" s="256"/>
      <c r="FI70" s="256"/>
      <c r="FJ70" s="256"/>
      <c r="FK70" s="256"/>
      <c r="FL70" s="256"/>
      <c r="FM70" s="256"/>
      <c r="FN70" s="256"/>
      <c r="FO70" s="256"/>
      <c r="FP70" s="256"/>
      <c r="FQ70" s="256"/>
      <c r="FR70" s="256"/>
      <c r="FS70" s="256"/>
      <c r="FT70" s="256"/>
      <c r="FU70" s="256"/>
      <c r="FV70" s="256"/>
      <c r="FW70" s="256"/>
      <c r="FX70" s="256"/>
      <c r="FY70" s="256"/>
      <c r="FZ70" s="256"/>
      <c r="GA70" s="256"/>
      <c r="GB70" s="256"/>
      <c r="GC70" s="256"/>
      <c r="GD70" s="256"/>
      <c r="GE70" s="256"/>
      <c r="GF70" s="256"/>
      <c r="GG70" s="256"/>
      <c r="GH70" s="256"/>
      <c r="GI70" s="256"/>
      <c r="GJ70" s="256"/>
      <c r="GK70" s="256"/>
      <c r="GL70" s="256"/>
      <c r="GM70" s="256"/>
      <c r="GN70" s="256"/>
      <c r="GO70" s="256"/>
      <c r="GP70" s="256"/>
      <c r="GQ70" s="256"/>
      <c r="GR70" s="256"/>
      <c r="GS70" s="256"/>
      <c r="GT70" s="256"/>
      <c r="GU70" s="256"/>
      <c r="GV70" s="256"/>
      <c r="GW70" s="256"/>
      <c r="GX70" s="256"/>
      <c r="GY70" s="256"/>
      <c r="GZ70" s="256"/>
      <c r="HA70" s="256"/>
      <c r="HB70" s="256"/>
      <c r="HC70" s="256"/>
      <c r="HD70" s="256"/>
      <c r="HE70" s="256"/>
      <c r="HF70" s="256"/>
      <c r="HG70" s="256"/>
      <c r="HH70" s="256"/>
      <c r="HI70" s="256"/>
      <c r="HJ70" s="256"/>
    </row>
    <row r="71" spans="1:218" ht="23.25" customHeight="1">
      <c r="A71" s="4"/>
      <c r="B71" s="4"/>
      <c r="C71" s="4"/>
      <c r="D71" s="23" t="s">
        <v>85</v>
      </c>
      <c r="E71" s="60">
        <f aca="true" t="shared" si="46" ref="E71:P71">SUM(E37,E33,E19,E12,)</f>
        <v>6300130</v>
      </c>
      <c r="F71" s="60">
        <f t="shared" si="46"/>
        <v>5507000</v>
      </c>
      <c r="G71" s="60">
        <f t="shared" si="46"/>
        <v>5507100</v>
      </c>
      <c r="H71" s="60">
        <f t="shared" si="46"/>
        <v>6300030</v>
      </c>
      <c r="I71" s="60">
        <f t="shared" si="46"/>
        <v>48100</v>
      </c>
      <c r="J71" s="60">
        <f t="shared" si="46"/>
        <v>69300</v>
      </c>
      <c r="K71" s="60">
        <f t="shared" si="46"/>
        <v>6278830</v>
      </c>
      <c r="L71" s="60">
        <f t="shared" si="46"/>
        <v>0</v>
      </c>
      <c r="M71" s="60">
        <f t="shared" si="46"/>
        <v>70000</v>
      </c>
      <c r="N71" s="60">
        <f t="shared" si="46"/>
        <v>6208830</v>
      </c>
      <c r="O71" s="60">
        <f t="shared" si="46"/>
        <v>99240</v>
      </c>
      <c r="P71" s="60">
        <f t="shared" si="46"/>
        <v>20000</v>
      </c>
      <c r="Q71" s="60">
        <f aca="true" t="shared" si="47" ref="Q71:W71">SUM(Q37,Q33,Q19,Q12,Q7,)</f>
        <v>6288070</v>
      </c>
      <c r="R71" s="60">
        <f t="shared" si="47"/>
        <v>812768</v>
      </c>
      <c r="S71" s="60">
        <f t="shared" si="47"/>
        <v>0</v>
      </c>
      <c r="T71" s="60">
        <f t="shared" si="47"/>
        <v>7100838</v>
      </c>
      <c r="U71" s="60">
        <f t="shared" si="47"/>
        <v>288493</v>
      </c>
      <c r="V71" s="60">
        <f t="shared" si="47"/>
        <v>3527</v>
      </c>
      <c r="W71" s="60">
        <f t="shared" si="47"/>
        <v>7385804</v>
      </c>
      <c r="X71" s="60">
        <f aca="true" t="shared" si="48" ref="X71:AC71">SUM(X37,X33,X19,X12,X7,)</f>
        <v>248</v>
      </c>
      <c r="Y71" s="60">
        <f t="shared" si="48"/>
        <v>248</v>
      </c>
      <c r="Z71" s="60">
        <f t="shared" si="48"/>
        <v>7385804</v>
      </c>
      <c r="AA71" s="60">
        <f t="shared" si="48"/>
        <v>19825</v>
      </c>
      <c r="AB71" s="60">
        <f t="shared" si="48"/>
        <v>19825</v>
      </c>
      <c r="AC71" s="60">
        <f t="shared" si="48"/>
        <v>7385804</v>
      </c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/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  <c r="HH71" s="178"/>
      <c r="HI71" s="178"/>
      <c r="HJ71" s="178"/>
    </row>
    <row r="73" spans="5:28" ht="12.75">
      <c r="E73" s="37"/>
      <c r="G73" s="76"/>
      <c r="J73" s="76"/>
      <c r="M73" s="76"/>
      <c r="P73" s="76"/>
      <c r="S73" s="76"/>
      <c r="V73" s="76"/>
      <c r="Y73" s="76"/>
      <c r="AB73" s="76"/>
    </row>
    <row r="74" spans="5:28" ht="12.75">
      <c r="E74" s="206"/>
      <c r="G74" s="76">
        <f>SUM(F71-G71)</f>
        <v>-100</v>
      </c>
      <c r="J74" s="76"/>
      <c r="M74" s="76"/>
      <c r="P74" s="76"/>
      <c r="S74" s="76"/>
      <c r="V74" s="76"/>
      <c r="Y74" s="76"/>
      <c r="AB74" s="76"/>
    </row>
    <row r="75" spans="5:28" ht="12.75">
      <c r="E75" s="37"/>
      <c r="V75" s="76">
        <f>SUM(U71-V71)</f>
        <v>284966</v>
      </c>
      <c r="Y75" s="76">
        <f>SUM(X71-Y71)</f>
        <v>0</v>
      </c>
      <c r="AB75" s="76">
        <f>SUM(AA71-AB71)</f>
        <v>0</v>
      </c>
    </row>
    <row r="76" ht="12.75">
      <c r="E76" s="206"/>
    </row>
    <row r="77" ht="12.75">
      <c r="E77" s="37"/>
    </row>
    <row r="78" ht="12.75">
      <c r="E78" s="206"/>
    </row>
    <row r="79" ht="12.75">
      <c r="E79" s="37"/>
    </row>
    <row r="80" ht="12.75">
      <c r="E80" s="206"/>
    </row>
    <row r="81" ht="12.75">
      <c r="E81" s="206"/>
    </row>
    <row r="82" spans="5:27" ht="12.75">
      <c r="E82" s="37"/>
      <c r="F82" s="16"/>
      <c r="I82" s="16"/>
      <c r="L82" s="16"/>
      <c r="O82" s="16"/>
      <c r="R82" s="16"/>
      <c r="U82" s="16"/>
      <c r="X82" s="16"/>
      <c r="AA82" s="16"/>
    </row>
    <row r="83" ht="12.75">
      <c r="E83" s="37"/>
    </row>
    <row r="84" ht="12.75">
      <c r="E84" s="206"/>
    </row>
    <row r="85" ht="12.75">
      <c r="E85" s="37"/>
    </row>
    <row r="86" ht="12.75">
      <c r="E86" s="37"/>
    </row>
    <row r="87" ht="12.75">
      <c r="E87" s="37"/>
    </row>
    <row r="88" ht="12.75">
      <c r="E88" s="37"/>
    </row>
    <row r="89" ht="12.75">
      <c r="E89" s="37"/>
    </row>
  </sheetData>
  <sheetProtection/>
  <mergeCells count="1">
    <mergeCell ref="A5:D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24">
      <selection activeCell="A1" sqref="A1:T26"/>
    </sheetView>
  </sheetViews>
  <sheetFormatPr defaultColWidth="9.00390625" defaultRowHeight="12.75"/>
  <cols>
    <col min="1" max="1" width="6.75390625" style="9" customWidth="1"/>
    <col min="2" max="2" width="7.25390625" style="9" bestFit="1" customWidth="1"/>
    <col min="3" max="3" width="4.375" style="9" bestFit="1" customWidth="1"/>
    <col min="4" max="4" width="25.00390625" style="9" customWidth="1"/>
    <col min="5" max="5" width="35.75390625" style="9" hidden="1" customWidth="1"/>
    <col min="6" max="6" width="11.00390625" style="76" hidden="1" customWidth="1"/>
    <col min="7" max="7" width="11.625" style="76" hidden="1" customWidth="1"/>
    <col min="8" max="8" width="9.875" style="0" hidden="1" customWidth="1"/>
    <col min="9" max="9" width="11.00390625" style="76" hidden="1" customWidth="1"/>
    <col min="10" max="10" width="11.625" style="76" hidden="1" customWidth="1"/>
    <col min="11" max="11" width="9.875" style="0" hidden="1" customWidth="1"/>
    <col min="12" max="12" width="35.25390625" style="76" hidden="1" customWidth="1"/>
    <col min="13" max="13" width="11.625" style="76" hidden="1" customWidth="1"/>
    <col min="14" max="14" width="9.875" style="0" hidden="1" customWidth="1"/>
    <col min="15" max="15" width="11.00390625" style="76" hidden="1" customWidth="1"/>
    <col min="16" max="16" width="11.625" style="76" hidden="1" customWidth="1"/>
    <col min="17" max="17" width="9.875" style="0" customWidth="1"/>
    <col min="18" max="18" width="11.00390625" style="76" customWidth="1"/>
    <col min="19" max="19" width="11.625" style="76" customWidth="1"/>
    <col min="20" max="20" width="9.875" style="0" customWidth="1"/>
  </cols>
  <sheetData>
    <row r="1" spans="5:18" ht="12.75">
      <c r="E1" s="160" t="s">
        <v>426</v>
      </c>
      <c r="F1" s="160"/>
      <c r="H1" s="160"/>
      <c r="I1" s="160" t="s">
        <v>505</v>
      </c>
      <c r="L1" s="160" t="s">
        <v>540</v>
      </c>
      <c r="O1" s="160" t="s">
        <v>586</v>
      </c>
      <c r="R1" s="160" t="s">
        <v>721</v>
      </c>
    </row>
    <row r="2" spans="5:18" ht="12.75">
      <c r="E2" s="160" t="s">
        <v>390</v>
      </c>
      <c r="F2" s="160"/>
      <c r="H2" s="160"/>
      <c r="I2" s="160" t="s">
        <v>478</v>
      </c>
      <c r="L2" s="160" t="s">
        <v>510</v>
      </c>
      <c r="O2" s="160" t="s">
        <v>576</v>
      </c>
      <c r="R2" s="160" t="s">
        <v>695</v>
      </c>
    </row>
    <row r="3" spans="5:18" ht="12.75">
      <c r="E3" s="160" t="s">
        <v>400</v>
      </c>
      <c r="F3" s="160"/>
      <c r="H3" s="160"/>
      <c r="I3" s="160" t="s">
        <v>426</v>
      </c>
      <c r="L3" s="160" t="s">
        <v>505</v>
      </c>
      <c r="O3" s="160" t="s">
        <v>540</v>
      </c>
      <c r="R3" s="160" t="s">
        <v>586</v>
      </c>
    </row>
    <row r="4" spans="5:18" ht="12.75">
      <c r="E4" s="160" t="s">
        <v>392</v>
      </c>
      <c r="F4" s="160"/>
      <c r="H4" s="160"/>
      <c r="I4" s="160" t="s">
        <v>459</v>
      </c>
      <c r="L4" s="160" t="s">
        <v>514</v>
      </c>
      <c r="O4" s="160" t="s">
        <v>542</v>
      </c>
      <c r="R4" s="160" t="s">
        <v>591</v>
      </c>
    </row>
    <row r="5" ht="12.75"/>
    <row r="6" spans="1:18" ht="77.25" customHeight="1">
      <c r="A6" s="371" t="s">
        <v>401</v>
      </c>
      <c r="B6" s="371"/>
      <c r="C6" s="371"/>
      <c r="D6" s="371"/>
      <c r="E6" s="371"/>
      <c r="F6" s="371"/>
      <c r="G6" s="371"/>
      <c r="H6" s="371"/>
      <c r="I6"/>
      <c r="L6"/>
      <c r="O6"/>
      <c r="R6"/>
    </row>
    <row r="7" spans="1:5" ht="12.75">
      <c r="A7" s="45"/>
      <c r="B7" s="45"/>
      <c r="C7" s="45"/>
      <c r="D7" s="61"/>
      <c r="E7" s="62"/>
    </row>
    <row r="8" spans="1:20" s="9" customFormat="1" ht="24.75" customHeight="1">
      <c r="A8" s="2" t="s">
        <v>4</v>
      </c>
      <c r="B8" s="2" t="s">
        <v>5</v>
      </c>
      <c r="C8" s="2" t="s">
        <v>6</v>
      </c>
      <c r="D8" s="2" t="s">
        <v>7</v>
      </c>
      <c r="E8" s="32" t="s">
        <v>166</v>
      </c>
      <c r="F8" s="29" t="s">
        <v>260</v>
      </c>
      <c r="G8" s="29" t="s">
        <v>261</v>
      </c>
      <c r="H8" s="163" t="s">
        <v>169</v>
      </c>
      <c r="I8" s="29" t="s">
        <v>260</v>
      </c>
      <c r="J8" s="29" t="s">
        <v>261</v>
      </c>
      <c r="K8" s="163" t="s">
        <v>169</v>
      </c>
      <c r="L8" s="29" t="s">
        <v>260</v>
      </c>
      <c r="M8" s="29" t="s">
        <v>261</v>
      </c>
      <c r="N8" s="163" t="s">
        <v>169</v>
      </c>
      <c r="O8" s="29" t="s">
        <v>260</v>
      </c>
      <c r="P8" s="29" t="s">
        <v>261</v>
      </c>
      <c r="Q8" s="163" t="s">
        <v>169</v>
      </c>
      <c r="R8" s="29" t="s">
        <v>260</v>
      </c>
      <c r="S8" s="29" t="s">
        <v>261</v>
      </c>
      <c r="T8" s="163" t="s">
        <v>270</v>
      </c>
    </row>
    <row r="9" spans="1:20" s="9" customFormat="1" ht="24.75" customHeight="1">
      <c r="A9" s="51" t="s">
        <v>127</v>
      </c>
      <c r="B9" s="52"/>
      <c r="C9" s="53"/>
      <c r="D9" s="54" t="s">
        <v>128</v>
      </c>
      <c r="E9" s="242">
        <f aca="true" t="shared" si="0" ref="E9:K9">SUM(E10,E13,)</f>
        <v>0</v>
      </c>
      <c r="F9" s="242">
        <f t="shared" si="0"/>
        <v>1200</v>
      </c>
      <c r="G9" s="242">
        <f t="shared" si="0"/>
        <v>0</v>
      </c>
      <c r="H9" s="242">
        <f t="shared" si="0"/>
        <v>1200</v>
      </c>
      <c r="I9" s="242">
        <f t="shared" si="0"/>
        <v>0</v>
      </c>
      <c r="J9" s="242">
        <f t="shared" si="0"/>
        <v>0</v>
      </c>
      <c r="K9" s="242">
        <f t="shared" si="0"/>
        <v>1200</v>
      </c>
      <c r="L9" s="242">
        <f aca="true" t="shared" si="1" ref="L9:Q9">SUM(L10,L13,)</f>
        <v>0</v>
      </c>
      <c r="M9" s="242">
        <f t="shared" si="1"/>
        <v>0</v>
      </c>
      <c r="N9" s="242">
        <f t="shared" si="1"/>
        <v>1200</v>
      </c>
      <c r="O9" s="242">
        <f t="shared" si="1"/>
        <v>0</v>
      </c>
      <c r="P9" s="242">
        <f t="shared" si="1"/>
        <v>0</v>
      </c>
      <c r="Q9" s="242">
        <f t="shared" si="1"/>
        <v>1200</v>
      </c>
      <c r="R9" s="242">
        <f>SUM(R10,R13,)</f>
        <v>980</v>
      </c>
      <c r="S9" s="242">
        <f>SUM(S10,S13,)</f>
        <v>0</v>
      </c>
      <c r="T9" s="242">
        <f>SUM(T10,T13,)</f>
        <v>2180</v>
      </c>
    </row>
    <row r="10" spans="1:20" s="37" customFormat="1" ht="24.75" customHeight="1">
      <c r="A10" s="98"/>
      <c r="B10" s="116" t="s">
        <v>129</v>
      </c>
      <c r="C10" s="120"/>
      <c r="D10" s="56" t="s">
        <v>66</v>
      </c>
      <c r="E10" s="225">
        <f aca="true" t="shared" si="2" ref="E10:P10">SUM(E12)</f>
        <v>0</v>
      </c>
      <c r="F10" s="225">
        <f t="shared" si="2"/>
        <v>600</v>
      </c>
      <c r="G10" s="225">
        <f t="shared" si="2"/>
        <v>0</v>
      </c>
      <c r="H10" s="225">
        <f t="shared" si="2"/>
        <v>600</v>
      </c>
      <c r="I10" s="225">
        <f t="shared" si="2"/>
        <v>0</v>
      </c>
      <c r="J10" s="225">
        <f t="shared" si="2"/>
        <v>0</v>
      </c>
      <c r="K10" s="225">
        <f t="shared" si="2"/>
        <v>600</v>
      </c>
      <c r="L10" s="225">
        <f t="shared" si="2"/>
        <v>0</v>
      </c>
      <c r="M10" s="225">
        <f t="shared" si="2"/>
        <v>0</v>
      </c>
      <c r="N10" s="225">
        <f t="shared" si="2"/>
        <v>600</v>
      </c>
      <c r="O10" s="225">
        <f t="shared" si="2"/>
        <v>0</v>
      </c>
      <c r="P10" s="225">
        <f t="shared" si="2"/>
        <v>0</v>
      </c>
      <c r="Q10" s="225">
        <f>SUM(Q11:Q12)</f>
        <v>600</v>
      </c>
      <c r="R10" s="225">
        <f>SUM(R11:R12)</f>
        <v>980</v>
      </c>
      <c r="S10" s="225">
        <f>SUM(S11:S12)</f>
        <v>0</v>
      </c>
      <c r="T10" s="225">
        <f>SUM(T11:T12)</f>
        <v>1580</v>
      </c>
    </row>
    <row r="11" spans="1:20" s="37" customFormat="1" ht="24.75" customHeight="1">
      <c r="A11" s="98"/>
      <c r="B11" s="116"/>
      <c r="C11" s="120">
        <v>4010</v>
      </c>
      <c r="D11" s="110" t="s">
        <v>101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>
        <v>0</v>
      </c>
      <c r="R11" s="225">
        <f>140+840</f>
        <v>980</v>
      </c>
      <c r="S11" s="225"/>
      <c r="T11" s="225">
        <f>SUM(Q11+R11-S11)</f>
        <v>980</v>
      </c>
    </row>
    <row r="12" spans="1:20" s="37" customFormat="1" ht="24.75" customHeight="1">
      <c r="A12" s="81"/>
      <c r="B12" s="81"/>
      <c r="C12" s="81">
        <v>4210</v>
      </c>
      <c r="D12" s="78" t="s">
        <v>89</v>
      </c>
      <c r="E12" s="225">
        <v>0</v>
      </c>
      <c r="F12" s="126">
        <f>300+300</f>
        <v>600</v>
      </c>
      <c r="G12" s="126"/>
      <c r="H12" s="225">
        <f>SUM(E12+F12-G12)</f>
        <v>600</v>
      </c>
      <c r="I12" s="126"/>
      <c r="J12" s="126"/>
      <c r="K12" s="225">
        <f>SUM(H12+I12-J12)</f>
        <v>600</v>
      </c>
      <c r="L12" s="126"/>
      <c r="M12" s="126"/>
      <c r="N12" s="225">
        <f>SUM(K12+L12-M12)</f>
        <v>600</v>
      </c>
      <c r="O12" s="126"/>
      <c r="P12" s="126"/>
      <c r="Q12" s="225">
        <f>SUM(N12+O12-P12)</f>
        <v>600</v>
      </c>
      <c r="R12" s="126"/>
      <c r="S12" s="126"/>
      <c r="T12" s="225">
        <f>SUM(Q12+R12-S12)</f>
        <v>600</v>
      </c>
    </row>
    <row r="13" spans="1:20" s="37" customFormat="1" ht="24.75" customHeight="1">
      <c r="A13" s="81"/>
      <c r="B13" s="116" t="s">
        <v>402</v>
      </c>
      <c r="C13" s="120"/>
      <c r="D13" s="78" t="s">
        <v>67</v>
      </c>
      <c r="E13" s="225">
        <f aca="true" t="shared" si="3" ref="E13:T13">SUM(E14)</f>
        <v>0</v>
      </c>
      <c r="F13" s="225">
        <f t="shared" si="3"/>
        <v>600</v>
      </c>
      <c r="G13" s="225">
        <f t="shared" si="3"/>
        <v>0</v>
      </c>
      <c r="H13" s="225">
        <f t="shared" si="3"/>
        <v>600</v>
      </c>
      <c r="I13" s="225">
        <f t="shared" si="3"/>
        <v>0</v>
      </c>
      <c r="J13" s="225">
        <f t="shared" si="3"/>
        <v>0</v>
      </c>
      <c r="K13" s="225">
        <f t="shared" si="3"/>
        <v>600</v>
      </c>
      <c r="L13" s="225">
        <f t="shared" si="3"/>
        <v>0</v>
      </c>
      <c r="M13" s="225">
        <f t="shared" si="3"/>
        <v>0</v>
      </c>
      <c r="N13" s="225">
        <f t="shared" si="3"/>
        <v>600</v>
      </c>
      <c r="O13" s="225">
        <f t="shared" si="3"/>
        <v>0</v>
      </c>
      <c r="P13" s="225">
        <f t="shared" si="3"/>
        <v>0</v>
      </c>
      <c r="Q13" s="225">
        <f t="shared" si="3"/>
        <v>600</v>
      </c>
      <c r="R13" s="225">
        <f t="shared" si="3"/>
        <v>0</v>
      </c>
      <c r="S13" s="225">
        <f t="shared" si="3"/>
        <v>0</v>
      </c>
      <c r="T13" s="225">
        <f t="shared" si="3"/>
        <v>600</v>
      </c>
    </row>
    <row r="14" spans="1:20" s="37" customFormat="1" ht="24.75" customHeight="1">
      <c r="A14" s="81"/>
      <c r="B14" s="81"/>
      <c r="C14" s="81">
        <v>4210</v>
      </c>
      <c r="D14" s="78" t="s">
        <v>89</v>
      </c>
      <c r="E14" s="225">
        <v>0</v>
      </c>
      <c r="F14" s="126">
        <f>300+300</f>
        <v>600</v>
      </c>
      <c r="G14" s="126"/>
      <c r="H14" s="225">
        <f>SUM(E14+F14-G14)</f>
        <v>600</v>
      </c>
      <c r="I14" s="126"/>
      <c r="J14" s="126"/>
      <c r="K14" s="225">
        <f>SUM(H14+I14-J14)</f>
        <v>600</v>
      </c>
      <c r="L14" s="126"/>
      <c r="M14" s="126"/>
      <c r="N14" s="225">
        <f>SUM(K14+L14-M14)</f>
        <v>600</v>
      </c>
      <c r="O14" s="126"/>
      <c r="P14" s="126"/>
      <c r="Q14" s="225">
        <f>SUM(N14+O14-P14)</f>
        <v>600</v>
      </c>
      <c r="R14" s="126"/>
      <c r="S14" s="126"/>
      <c r="T14" s="225">
        <f>SUM(Q14+R14-S14)</f>
        <v>600</v>
      </c>
    </row>
    <row r="15" spans="1:20" s="8" customFormat="1" ht="24.75" customHeight="1">
      <c r="A15" s="49" t="s">
        <v>80</v>
      </c>
      <c r="B15" s="6"/>
      <c r="C15" s="6"/>
      <c r="D15" s="31" t="s">
        <v>86</v>
      </c>
      <c r="E15" s="25">
        <f aca="true" t="shared" si="4" ref="E15:K15">SUM(E16,E18,E20,)</f>
        <v>45000</v>
      </c>
      <c r="F15" s="25">
        <f t="shared" si="4"/>
        <v>6000</v>
      </c>
      <c r="G15" s="25">
        <f t="shared" si="4"/>
        <v>0</v>
      </c>
      <c r="H15" s="25">
        <f t="shared" si="4"/>
        <v>51000</v>
      </c>
      <c r="I15" s="25">
        <f t="shared" si="4"/>
        <v>0</v>
      </c>
      <c r="J15" s="25">
        <f t="shared" si="4"/>
        <v>0</v>
      </c>
      <c r="K15" s="25">
        <f t="shared" si="4"/>
        <v>51000</v>
      </c>
      <c r="L15" s="25">
        <f aca="true" t="shared" si="5" ref="L15:Q15">SUM(L16,L18,L20,)</f>
        <v>0</v>
      </c>
      <c r="M15" s="25">
        <f t="shared" si="5"/>
        <v>0</v>
      </c>
      <c r="N15" s="25">
        <f t="shared" si="5"/>
        <v>51000</v>
      </c>
      <c r="O15" s="25">
        <f t="shared" si="5"/>
        <v>0</v>
      </c>
      <c r="P15" s="25">
        <f t="shared" si="5"/>
        <v>0</v>
      </c>
      <c r="Q15" s="25">
        <f t="shared" si="5"/>
        <v>51000</v>
      </c>
      <c r="R15" s="25">
        <f>SUM(R16,R18,R20,)</f>
        <v>0</v>
      </c>
      <c r="S15" s="25">
        <f>SUM(S16,S18,S20,)</f>
        <v>0</v>
      </c>
      <c r="T15" s="25">
        <f>SUM(T16,T18,T20,)</f>
        <v>51000</v>
      </c>
    </row>
    <row r="16" spans="1:20" s="37" customFormat="1" ht="24.75" customHeight="1">
      <c r="A16" s="104"/>
      <c r="B16" s="74">
        <v>92109</v>
      </c>
      <c r="C16" s="74"/>
      <c r="D16" s="56" t="s">
        <v>190</v>
      </c>
      <c r="E16" s="119">
        <f aca="true" t="shared" si="6" ref="E16:T16">SUM(E17)</f>
        <v>0</v>
      </c>
      <c r="F16" s="119">
        <f t="shared" si="6"/>
        <v>4000</v>
      </c>
      <c r="G16" s="119">
        <f t="shared" si="6"/>
        <v>0</v>
      </c>
      <c r="H16" s="119">
        <f t="shared" si="6"/>
        <v>4000</v>
      </c>
      <c r="I16" s="119">
        <f t="shared" si="6"/>
        <v>0</v>
      </c>
      <c r="J16" s="119">
        <f t="shared" si="6"/>
        <v>0</v>
      </c>
      <c r="K16" s="119">
        <f t="shared" si="6"/>
        <v>4000</v>
      </c>
      <c r="L16" s="119">
        <f t="shared" si="6"/>
        <v>0</v>
      </c>
      <c r="M16" s="119">
        <f t="shared" si="6"/>
        <v>0</v>
      </c>
      <c r="N16" s="119">
        <f t="shared" si="6"/>
        <v>4000</v>
      </c>
      <c r="O16" s="119">
        <f t="shared" si="6"/>
        <v>0</v>
      </c>
      <c r="P16" s="119">
        <f t="shared" si="6"/>
        <v>0</v>
      </c>
      <c r="Q16" s="119">
        <f t="shared" si="6"/>
        <v>4000</v>
      </c>
      <c r="R16" s="119">
        <f t="shared" si="6"/>
        <v>0</v>
      </c>
      <c r="S16" s="119">
        <f t="shared" si="6"/>
        <v>0</v>
      </c>
      <c r="T16" s="119">
        <f t="shared" si="6"/>
        <v>4000</v>
      </c>
    </row>
    <row r="17" spans="1:20" s="37" customFormat="1" ht="24.75" customHeight="1">
      <c r="A17" s="104"/>
      <c r="B17" s="74"/>
      <c r="C17" s="120">
        <v>2480</v>
      </c>
      <c r="D17" s="56" t="s">
        <v>244</v>
      </c>
      <c r="E17" s="119">
        <v>0</v>
      </c>
      <c r="F17" s="119">
        <f>3500+500</f>
        <v>4000</v>
      </c>
      <c r="G17" s="119"/>
      <c r="H17" s="119">
        <f>SUM(E17+F17-G17)</f>
        <v>4000</v>
      </c>
      <c r="I17" s="119"/>
      <c r="J17" s="119"/>
      <c r="K17" s="119">
        <f>SUM(H17+I17-J17)</f>
        <v>4000</v>
      </c>
      <c r="L17" s="119"/>
      <c r="M17" s="119"/>
      <c r="N17" s="119">
        <f>SUM(K17+L17-M17)</f>
        <v>4000</v>
      </c>
      <c r="O17" s="119"/>
      <c r="P17" s="119"/>
      <c r="Q17" s="119">
        <f>SUM(N17+O17-P17)</f>
        <v>4000</v>
      </c>
      <c r="R17" s="119"/>
      <c r="S17" s="119"/>
      <c r="T17" s="119">
        <f>SUM(Q17+R17-S17)</f>
        <v>4000</v>
      </c>
    </row>
    <row r="18" spans="1:20" s="37" customFormat="1" ht="24.75" customHeight="1">
      <c r="A18" s="104"/>
      <c r="B18" s="104" t="s">
        <v>81</v>
      </c>
      <c r="C18" s="74"/>
      <c r="D18" s="19" t="s">
        <v>82</v>
      </c>
      <c r="E18" s="119">
        <f aca="true" t="shared" si="7" ref="E18:T18">E19</f>
        <v>45000</v>
      </c>
      <c r="F18" s="119">
        <f t="shared" si="7"/>
        <v>0</v>
      </c>
      <c r="G18" s="119">
        <f t="shared" si="7"/>
        <v>0</v>
      </c>
      <c r="H18" s="119">
        <f t="shared" si="7"/>
        <v>45000</v>
      </c>
      <c r="I18" s="119">
        <f t="shared" si="7"/>
        <v>0</v>
      </c>
      <c r="J18" s="119">
        <f t="shared" si="7"/>
        <v>0</v>
      </c>
      <c r="K18" s="119">
        <f t="shared" si="7"/>
        <v>45000</v>
      </c>
      <c r="L18" s="119">
        <f t="shared" si="7"/>
        <v>0</v>
      </c>
      <c r="M18" s="119">
        <f t="shared" si="7"/>
        <v>0</v>
      </c>
      <c r="N18" s="119">
        <f t="shared" si="7"/>
        <v>45000</v>
      </c>
      <c r="O18" s="119">
        <f t="shared" si="7"/>
        <v>0</v>
      </c>
      <c r="P18" s="119">
        <f t="shared" si="7"/>
        <v>0</v>
      </c>
      <c r="Q18" s="119">
        <f t="shared" si="7"/>
        <v>45000</v>
      </c>
      <c r="R18" s="119">
        <f t="shared" si="7"/>
        <v>0</v>
      </c>
      <c r="S18" s="119">
        <f t="shared" si="7"/>
        <v>0</v>
      </c>
      <c r="T18" s="119">
        <f t="shared" si="7"/>
        <v>45000</v>
      </c>
    </row>
    <row r="19" spans="1:20" s="37" customFormat="1" ht="24.75" customHeight="1">
      <c r="A19" s="104"/>
      <c r="B19" s="104"/>
      <c r="C19" s="74">
        <v>2480</v>
      </c>
      <c r="D19" s="19" t="s">
        <v>162</v>
      </c>
      <c r="E19" s="119">
        <v>45000</v>
      </c>
      <c r="F19" s="126"/>
      <c r="G19" s="126"/>
      <c r="H19" s="126">
        <f>SUM(E19+F19-G19)</f>
        <v>45000</v>
      </c>
      <c r="I19" s="126"/>
      <c r="J19" s="126"/>
      <c r="K19" s="126">
        <f>SUM(H19+I19-J19)</f>
        <v>45000</v>
      </c>
      <c r="L19" s="126"/>
      <c r="M19" s="126"/>
      <c r="N19" s="126">
        <f>SUM(K19+L19-M19)</f>
        <v>45000</v>
      </c>
      <c r="O19" s="126"/>
      <c r="P19" s="126"/>
      <c r="Q19" s="126">
        <f>SUM(N19+O19-P19)</f>
        <v>45000</v>
      </c>
      <c r="R19" s="126"/>
      <c r="S19" s="126"/>
      <c r="T19" s="126">
        <f>SUM(Q19+R19-S19)</f>
        <v>45000</v>
      </c>
    </row>
    <row r="20" spans="1:20" s="37" customFormat="1" ht="24.75" customHeight="1">
      <c r="A20" s="104"/>
      <c r="B20" s="103">
        <v>92118</v>
      </c>
      <c r="C20" s="74"/>
      <c r="D20" s="56" t="s">
        <v>164</v>
      </c>
      <c r="E20" s="119">
        <f aca="true" t="shared" si="8" ref="E20:T20">SUM(E21)</f>
        <v>0</v>
      </c>
      <c r="F20" s="119">
        <f t="shared" si="8"/>
        <v>2000</v>
      </c>
      <c r="G20" s="119">
        <f t="shared" si="8"/>
        <v>0</v>
      </c>
      <c r="H20" s="119">
        <f t="shared" si="8"/>
        <v>2000</v>
      </c>
      <c r="I20" s="119">
        <f t="shared" si="8"/>
        <v>0</v>
      </c>
      <c r="J20" s="119">
        <f t="shared" si="8"/>
        <v>0</v>
      </c>
      <c r="K20" s="119">
        <f t="shared" si="8"/>
        <v>2000</v>
      </c>
      <c r="L20" s="119">
        <f t="shared" si="8"/>
        <v>0</v>
      </c>
      <c r="M20" s="119">
        <f t="shared" si="8"/>
        <v>0</v>
      </c>
      <c r="N20" s="119">
        <f t="shared" si="8"/>
        <v>2000</v>
      </c>
      <c r="O20" s="119">
        <f t="shared" si="8"/>
        <v>0</v>
      </c>
      <c r="P20" s="119">
        <f t="shared" si="8"/>
        <v>0</v>
      </c>
      <c r="Q20" s="119">
        <f t="shared" si="8"/>
        <v>2000</v>
      </c>
      <c r="R20" s="119">
        <f t="shared" si="8"/>
        <v>0</v>
      </c>
      <c r="S20" s="119">
        <f t="shared" si="8"/>
        <v>0</v>
      </c>
      <c r="T20" s="119">
        <f t="shared" si="8"/>
        <v>2000</v>
      </c>
    </row>
    <row r="21" spans="1:20" s="37" customFormat="1" ht="24.75" customHeight="1">
      <c r="A21" s="104"/>
      <c r="B21" s="103"/>
      <c r="C21" s="120">
        <v>2480</v>
      </c>
      <c r="D21" s="56" t="s">
        <v>244</v>
      </c>
      <c r="E21" s="119">
        <v>0</v>
      </c>
      <c r="F21" s="126">
        <f>500+1000+500</f>
        <v>2000</v>
      </c>
      <c r="G21" s="126"/>
      <c r="H21" s="126">
        <f>SUM(E21+F21-G21)</f>
        <v>2000</v>
      </c>
      <c r="I21" s="126"/>
      <c r="J21" s="126"/>
      <c r="K21" s="126">
        <f>SUM(H21+I21-J21)</f>
        <v>2000</v>
      </c>
      <c r="L21" s="126"/>
      <c r="M21" s="126"/>
      <c r="N21" s="126">
        <f>SUM(K21+L21-M21)</f>
        <v>2000</v>
      </c>
      <c r="O21" s="126"/>
      <c r="P21" s="126"/>
      <c r="Q21" s="126">
        <f>SUM(N21+O21-P21)</f>
        <v>2000</v>
      </c>
      <c r="R21" s="126"/>
      <c r="S21" s="126"/>
      <c r="T21" s="126">
        <f>SUM(Q21+R21-S21)</f>
        <v>2000</v>
      </c>
    </row>
    <row r="22" spans="1:20" s="9" customFormat="1" ht="24.75" customHeight="1">
      <c r="A22" s="51" t="s">
        <v>165</v>
      </c>
      <c r="B22" s="52"/>
      <c r="C22" s="53"/>
      <c r="D22" s="54" t="s">
        <v>83</v>
      </c>
      <c r="E22" s="25">
        <f>SUM(E23)</f>
        <v>0</v>
      </c>
      <c r="F22" s="25">
        <f>SUM(F23)</f>
        <v>4600</v>
      </c>
      <c r="G22" s="25">
        <f>SUM(G23)</f>
        <v>0</v>
      </c>
      <c r="H22" s="60">
        <f>SUM(E22+F22-G22)</f>
        <v>4600</v>
      </c>
      <c r="I22" s="25">
        <f>SUM(I23)</f>
        <v>2100</v>
      </c>
      <c r="J22" s="25">
        <f>SUM(J23)</f>
        <v>2100</v>
      </c>
      <c r="K22" s="60">
        <f>SUM(H22+I22-J22)</f>
        <v>4600</v>
      </c>
      <c r="L22" s="25">
        <f>SUM(L23)</f>
        <v>1500</v>
      </c>
      <c r="M22" s="25">
        <f>SUM(M23)</f>
        <v>2500</v>
      </c>
      <c r="N22" s="60">
        <f>SUM(K22+L22-M22)</f>
        <v>3600</v>
      </c>
      <c r="O22" s="25">
        <f>SUM(O23)</f>
        <v>2100</v>
      </c>
      <c r="P22" s="25">
        <f>SUM(P23)</f>
        <v>2100</v>
      </c>
      <c r="Q22" s="60">
        <f>SUM(N22+O22-P22)</f>
        <v>3600</v>
      </c>
      <c r="R22" s="25">
        <f>SUM(R23)</f>
        <v>0</v>
      </c>
      <c r="S22" s="25">
        <f>SUM(S23)</f>
        <v>0</v>
      </c>
      <c r="T22" s="60">
        <f>SUM(Q22+R22-S22)</f>
        <v>3600</v>
      </c>
    </row>
    <row r="23" spans="1:20" s="37" customFormat="1" ht="24.75" customHeight="1">
      <c r="A23" s="104"/>
      <c r="B23" s="101">
        <v>92605</v>
      </c>
      <c r="C23" s="120"/>
      <c r="D23" s="56" t="s">
        <v>84</v>
      </c>
      <c r="E23" s="119">
        <f aca="true" t="shared" si="9" ref="E23:K23">SUM(E24:E25)</f>
        <v>0</v>
      </c>
      <c r="F23" s="119">
        <f t="shared" si="9"/>
        <v>4600</v>
      </c>
      <c r="G23" s="119">
        <f t="shared" si="9"/>
        <v>0</v>
      </c>
      <c r="H23" s="119">
        <f t="shared" si="9"/>
        <v>4600</v>
      </c>
      <c r="I23" s="119">
        <f t="shared" si="9"/>
        <v>2100</v>
      </c>
      <c r="J23" s="119">
        <f t="shared" si="9"/>
        <v>2100</v>
      </c>
      <c r="K23" s="119">
        <f t="shared" si="9"/>
        <v>4600</v>
      </c>
      <c r="L23" s="119">
        <f aca="true" t="shared" si="10" ref="L23:Q23">SUM(L24:L25)</f>
        <v>1500</v>
      </c>
      <c r="M23" s="119">
        <f t="shared" si="10"/>
        <v>2500</v>
      </c>
      <c r="N23" s="119">
        <f t="shared" si="10"/>
        <v>3600</v>
      </c>
      <c r="O23" s="119">
        <f t="shared" si="10"/>
        <v>2100</v>
      </c>
      <c r="P23" s="119">
        <f t="shared" si="10"/>
        <v>2100</v>
      </c>
      <c r="Q23" s="119">
        <f t="shared" si="10"/>
        <v>3600</v>
      </c>
      <c r="R23" s="119">
        <f>SUM(R24:R25)</f>
        <v>0</v>
      </c>
      <c r="S23" s="119">
        <f>SUM(S24:S25)</f>
        <v>0</v>
      </c>
      <c r="T23" s="119">
        <f>SUM(T24:T25)</f>
        <v>3600</v>
      </c>
    </row>
    <row r="24" spans="1:20" s="37" customFormat="1" ht="24.75" customHeight="1">
      <c r="A24" s="104"/>
      <c r="B24" s="101"/>
      <c r="C24" s="120">
        <v>4210</v>
      </c>
      <c r="D24" s="78" t="s">
        <v>89</v>
      </c>
      <c r="E24" s="119">
        <v>0</v>
      </c>
      <c r="F24" s="119"/>
      <c r="G24" s="119"/>
      <c r="H24" s="126">
        <f>SUM(E24+F24-G24)</f>
        <v>0</v>
      </c>
      <c r="I24" s="119">
        <f>1500+600</f>
        <v>2100</v>
      </c>
      <c r="J24" s="119"/>
      <c r="K24" s="126">
        <f>SUM(H24+I24-J24)</f>
        <v>2100</v>
      </c>
      <c r="L24" s="119"/>
      <c r="M24" s="119"/>
      <c r="N24" s="126">
        <f>SUM(K24+L24-M24)</f>
        <v>2100</v>
      </c>
      <c r="O24" s="119">
        <v>1500</v>
      </c>
      <c r="P24" s="119">
        <v>600</v>
      </c>
      <c r="Q24" s="126">
        <f>SUM(N24+O24-P24)</f>
        <v>3000</v>
      </c>
      <c r="R24" s="119"/>
      <c r="S24" s="119"/>
      <c r="T24" s="126">
        <f>SUM(Q24+R24-S24)</f>
        <v>3000</v>
      </c>
    </row>
    <row r="25" spans="1:20" s="37" customFormat="1" ht="24.75" customHeight="1">
      <c r="A25" s="104"/>
      <c r="B25" s="104"/>
      <c r="C25" s="74">
        <v>4300</v>
      </c>
      <c r="D25" s="19" t="s">
        <v>96</v>
      </c>
      <c r="E25" s="119">
        <v>0</v>
      </c>
      <c r="F25" s="126">
        <f>1500+2500+600</f>
        <v>4600</v>
      </c>
      <c r="G25" s="126"/>
      <c r="H25" s="126">
        <f>SUM(E25+F25-G25)</f>
        <v>4600</v>
      </c>
      <c r="I25" s="126"/>
      <c r="J25" s="126">
        <f>1500+600</f>
        <v>2100</v>
      </c>
      <c r="K25" s="126">
        <f>SUM(H25+I25-J25)</f>
        <v>2500</v>
      </c>
      <c r="L25" s="126">
        <v>1500</v>
      </c>
      <c r="M25" s="126">
        <v>2500</v>
      </c>
      <c r="N25" s="126">
        <f>SUM(K25+L25-M25)</f>
        <v>1500</v>
      </c>
      <c r="O25" s="126">
        <v>600</v>
      </c>
      <c r="P25" s="126">
        <v>1500</v>
      </c>
      <c r="Q25" s="126">
        <f>SUM(N25+O25-P25)</f>
        <v>600</v>
      </c>
      <c r="R25" s="126"/>
      <c r="S25" s="126"/>
      <c r="T25" s="126">
        <f>SUM(Q25+R25-S25)</f>
        <v>600</v>
      </c>
    </row>
    <row r="26" spans="1:20" s="8" customFormat="1" ht="24.75" customHeight="1">
      <c r="A26" s="28"/>
      <c r="B26" s="28"/>
      <c r="C26" s="28"/>
      <c r="D26" s="6" t="s">
        <v>85</v>
      </c>
      <c r="E26" s="25">
        <f aca="true" t="shared" si="11" ref="E26:K26">SUM(E22,E15,E9,)</f>
        <v>45000</v>
      </c>
      <c r="F26" s="25">
        <f t="shared" si="11"/>
        <v>11800</v>
      </c>
      <c r="G26" s="25">
        <f t="shared" si="11"/>
        <v>0</v>
      </c>
      <c r="H26" s="25">
        <f t="shared" si="11"/>
        <v>56800</v>
      </c>
      <c r="I26" s="25">
        <f t="shared" si="11"/>
        <v>2100</v>
      </c>
      <c r="J26" s="25">
        <f t="shared" si="11"/>
        <v>2100</v>
      </c>
      <c r="K26" s="25">
        <f t="shared" si="11"/>
        <v>56800</v>
      </c>
      <c r="L26" s="25">
        <f aca="true" t="shared" si="12" ref="L26:Q26">SUM(L22,L15,L9,)</f>
        <v>1500</v>
      </c>
      <c r="M26" s="25">
        <f t="shared" si="12"/>
        <v>2500</v>
      </c>
      <c r="N26" s="25">
        <f t="shared" si="12"/>
        <v>55800</v>
      </c>
      <c r="O26" s="25">
        <f t="shared" si="12"/>
        <v>2100</v>
      </c>
      <c r="P26" s="25">
        <f t="shared" si="12"/>
        <v>2100</v>
      </c>
      <c r="Q26" s="25">
        <f t="shared" si="12"/>
        <v>55800</v>
      </c>
      <c r="R26" s="25">
        <f>SUM(R22,R15,R9,)</f>
        <v>980</v>
      </c>
      <c r="S26" s="25">
        <f>SUM(S22,S15,S9,)</f>
        <v>0</v>
      </c>
      <c r="T26" s="25">
        <f>SUM(T22,T15,T9,)</f>
        <v>56780</v>
      </c>
    </row>
    <row r="29" ht="12.75">
      <c r="E29" s="40"/>
    </row>
    <row r="30" spans="5:19" ht="12.75">
      <c r="E30" s="40"/>
      <c r="M30" s="76">
        <f>SUM(L26-M26)</f>
        <v>-1000</v>
      </c>
      <c r="P30" s="76">
        <f>SUM(O26-P26)</f>
        <v>0</v>
      </c>
      <c r="S30" s="76">
        <f>SUM(R26-S26)</f>
        <v>980</v>
      </c>
    </row>
    <row r="31" ht="12.75">
      <c r="E31" s="57"/>
    </row>
    <row r="32" ht="12.75">
      <c r="E32" s="40"/>
    </row>
    <row r="33" ht="12.75">
      <c r="E33" s="40"/>
    </row>
  </sheetData>
  <sheetProtection/>
  <mergeCells count="1">
    <mergeCell ref="A6:H6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13"/>
  <sheetViews>
    <sheetView zoomScalePageLayoutView="0" workbookViewId="0" topLeftCell="A80">
      <selection activeCell="A1" sqref="A1:AF95"/>
    </sheetView>
  </sheetViews>
  <sheetFormatPr defaultColWidth="9.00390625" defaultRowHeight="12.75"/>
  <cols>
    <col min="1" max="1" width="5.125" style="9" customWidth="1"/>
    <col min="2" max="2" width="7.25390625" style="9" bestFit="1" customWidth="1"/>
    <col min="3" max="3" width="5.00390625" style="9" bestFit="1" customWidth="1"/>
    <col min="4" max="4" width="29.125" style="9" customWidth="1"/>
    <col min="5" max="5" width="11.25390625" style="0" hidden="1" customWidth="1"/>
    <col min="6" max="6" width="11.00390625" style="0" hidden="1" customWidth="1"/>
    <col min="7" max="7" width="4.00390625" style="0" hidden="1" customWidth="1"/>
    <col min="8" max="8" width="11.25390625" style="0" hidden="1" customWidth="1"/>
    <col min="9" max="9" width="35.75390625" style="0" hidden="1" customWidth="1"/>
    <col min="10" max="10" width="12.00390625" style="0" hidden="1" customWidth="1"/>
    <col min="11" max="11" width="11.25390625" style="0" hidden="1" customWidth="1"/>
    <col min="12" max="12" width="34.625" style="0" hidden="1" customWidth="1"/>
    <col min="13" max="13" width="10.25390625" style="0" hidden="1" customWidth="1"/>
    <col min="14" max="14" width="12.125" style="0" hidden="1" customWidth="1"/>
    <col min="15" max="15" width="11.00390625" style="0" hidden="1" customWidth="1"/>
    <col min="16" max="16" width="12.00390625" style="0" hidden="1" customWidth="1"/>
    <col min="17" max="17" width="12.125" style="0" hidden="1" customWidth="1"/>
    <col min="18" max="18" width="11.00390625" style="0" hidden="1" customWidth="1"/>
    <col min="19" max="19" width="12.00390625" style="0" hidden="1" customWidth="1"/>
    <col min="20" max="20" width="12.25390625" style="0" hidden="1" customWidth="1"/>
    <col min="21" max="21" width="35.25390625" style="0" hidden="1" customWidth="1"/>
    <col min="22" max="22" width="0.12890625" style="0" hidden="1" customWidth="1"/>
    <col min="23" max="23" width="12.25390625" style="0" hidden="1" customWidth="1"/>
    <col min="24" max="24" width="35.25390625" style="0" hidden="1" customWidth="1"/>
    <col min="25" max="25" width="12.00390625" style="0" hidden="1" customWidth="1"/>
    <col min="26" max="26" width="12.125" style="0" hidden="1" customWidth="1"/>
    <col min="27" max="27" width="11.00390625" style="0" hidden="1" customWidth="1"/>
    <col min="28" max="28" width="12.00390625" style="0" hidden="1" customWidth="1"/>
    <col min="29" max="29" width="12.25390625" style="0" bestFit="1" customWidth="1"/>
    <col min="30" max="30" width="11.00390625" style="0" customWidth="1"/>
    <col min="31" max="31" width="12.00390625" style="0" customWidth="1"/>
    <col min="32" max="32" width="12.25390625" style="0" customWidth="1"/>
  </cols>
  <sheetData>
    <row r="1" spans="5:32" ht="12.75">
      <c r="E1" s="86"/>
      <c r="F1" s="86" t="s">
        <v>242</v>
      </c>
      <c r="G1" s="86"/>
      <c r="H1" s="86"/>
      <c r="I1" s="160" t="s">
        <v>427</v>
      </c>
      <c r="J1" s="86"/>
      <c r="K1" s="86"/>
      <c r="L1" s="160" t="s">
        <v>491</v>
      </c>
      <c r="M1" s="86"/>
      <c r="N1" s="86"/>
      <c r="O1" s="160" t="s">
        <v>504</v>
      </c>
      <c r="P1" s="86"/>
      <c r="Q1" s="86"/>
      <c r="R1" s="160" t="s">
        <v>539</v>
      </c>
      <c r="S1" s="86"/>
      <c r="T1" s="86"/>
      <c r="U1" s="160" t="s">
        <v>558</v>
      </c>
      <c r="V1" s="86"/>
      <c r="W1" s="86"/>
      <c r="X1" s="160" t="s">
        <v>587</v>
      </c>
      <c r="Y1" s="86"/>
      <c r="Z1" s="86"/>
      <c r="AA1" s="160" t="s">
        <v>643</v>
      </c>
      <c r="AB1" s="86"/>
      <c r="AC1" s="86"/>
      <c r="AD1" s="160" t="s">
        <v>722</v>
      </c>
      <c r="AE1" s="86"/>
      <c r="AF1" s="86"/>
    </row>
    <row r="2" spans="5:32" ht="12.75">
      <c r="E2" s="86"/>
      <c r="F2" s="86" t="s">
        <v>384</v>
      </c>
      <c r="G2" s="86"/>
      <c r="H2" s="86"/>
      <c r="I2" s="160" t="s">
        <v>390</v>
      </c>
      <c r="J2" s="86"/>
      <c r="K2" s="86"/>
      <c r="L2" s="160" t="s">
        <v>478</v>
      </c>
      <c r="M2" s="86"/>
      <c r="N2" s="86"/>
      <c r="O2" s="160" t="s">
        <v>478</v>
      </c>
      <c r="P2" s="86"/>
      <c r="Q2" s="86"/>
      <c r="R2" s="160" t="s">
        <v>510</v>
      </c>
      <c r="S2" s="86"/>
      <c r="T2" s="86"/>
      <c r="U2" s="160" t="s">
        <v>551</v>
      </c>
      <c r="V2" s="86"/>
      <c r="W2" s="86"/>
      <c r="X2" s="160" t="s">
        <v>576</v>
      </c>
      <c r="Y2" s="86"/>
      <c r="Z2" s="86"/>
      <c r="AA2" s="160" t="s">
        <v>604</v>
      </c>
      <c r="AB2" s="86"/>
      <c r="AC2" s="86"/>
      <c r="AD2" s="160" t="s">
        <v>695</v>
      </c>
      <c r="AE2" s="86"/>
      <c r="AF2" s="86"/>
    </row>
    <row r="3" spans="5:32" ht="12.75">
      <c r="E3" s="86"/>
      <c r="F3" s="86" t="s">
        <v>184</v>
      </c>
      <c r="G3" s="86"/>
      <c r="H3" s="86"/>
      <c r="I3" s="160" t="s">
        <v>411</v>
      </c>
      <c r="J3" s="86"/>
      <c r="K3" s="86"/>
      <c r="L3" s="160" t="s">
        <v>471</v>
      </c>
      <c r="M3" s="86"/>
      <c r="N3" s="86"/>
      <c r="O3" s="160" t="s">
        <v>471</v>
      </c>
      <c r="P3" s="86"/>
      <c r="Q3" s="86"/>
      <c r="R3" s="160" t="s">
        <v>504</v>
      </c>
      <c r="S3" s="86"/>
      <c r="T3" s="86"/>
      <c r="U3" s="160" t="s">
        <v>539</v>
      </c>
      <c r="V3" s="86"/>
      <c r="W3" s="86"/>
      <c r="X3" s="160" t="s">
        <v>558</v>
      </c>
      <c r="Y3" s="86"/>
      <c r="Z3" s="86"/>
      <c r="AA3" s="160" t="s">
        <v>587</v>
      </c>
      <c r="AB3" s="86"/>
      <c r="AC3" s="86"/>
      <c r="AD3" s="160" t="s">
        <v>643</v>
      </c>
      <c r="AE3" s="86"/>
      <c r="AF3" s="86"/>
    </row>
    <row r="4" spans="5:32" ht="12.75">
      <c r="E4" s="86"/>
      <c r="F4" s="86" t="s">
        <v>385</v>
      </c>
      <c r="G4" s="86"/>
      <c r="H4" s="86"/>
      <c r="I4" s="160" t="s">
        <v>392</v>
      </c>
      <c r="J4" s="86"/>
      <c r="K4" s="86"/>
      <c r="L4" s="160" t="s">
        <v>473</v>
      </c>
      <c r="M4" s="86"/>
      <c r="N4" s="86"/>
      <c r="O4" s="160" t="s">
        <v>473</v>
      </c>
      <c r="P4" s="86"/>
      <c r="Q4" s="86"/>
      <c r="R4" s="160" t="s">
        <v>514</v>
      </c>
      <c r="S4" s="86"/>
      <c r="T4" s="86"/>
      <c r="U4" s="160" t="s">
        <v>542</v>
      </c>
      <c r="V4" s="86"/>
      <c r="W4" s="86"/>
      <c r="X4" s="160" t="s">
        <v>559</v>
      </c>
      <c r="Y4" s="86"/>
      <c r="Z4" s="86"/>
      <c r="AA4" s="160" t="s">
        <v>591</v>
      </c>
      <c r="AB4" s="86"/>
      <c r="AC4" s="86"/>
      <c r="AD4" s="160" t="s">
        <v>650</v>
      </c>
      <c r="AE4" s="86"/>
      <c r="AF4" s="86"/>
    </row>
    <row r="5" spans="1:4" ht="26.25" customHeight="1">
      <c r="A5" s="372" t="s">
        <v>463</v>
      </c>
      <c r="B5" s="372"/>
      <c r="C5" s="372"/>
      <c r="D5" s="372"/>
    </row>
    <row r="6" spans="1:32" s="9" customFormat="1" ht="27.75" customHeight="1">
      <c r="A6" s="7" t="s">
        <v>4</v>
      </c>
      <c r="B6" s="6" t="s">
        <v>5</v>
      </c>
      <c r="C6" s="33" t="s">
        <v>6</v>
      </c>
      <c r="D6" s="6" t="s">
        <v>7</v>
      </c>
      <c r="E6" s="163" t="s">
        <v>166</v>
      </c>
      <c r="F6" s="2" t="s">
        <v>260</v>
      </c>
      <c r="G6" s="2" t="s">
        <v>264</v>
      </c>
      <c r="H6" s="163" t="s">
        <v>169</v>
      </c>
      <c r="I6" s="2" t="s">
        <v>260</v>
      </c>
      <c r="J6" s="2" t="s">
        <v>264</v>
      </c>
      <c r="K6" s="163" t="s">
        <v>169</v>
      </c>
      <c r="L6" s="2" t="s">
        <v>260</v>
      </c>
      <c r="M6" s="2" t="s">
        <v>264</v>
      </c>
      <c r="N6" s="163" t="s">
        <v>169</v>
      </c>
      <c r="O6" s="2" t="s">
        <v>260</v>
      </c>
      <c r="P6" s="2" t="s">
        <v>264</v>
      </c>
      <c r="Q6" s="163" t="s">
        <v>166</v>
      </c>
      <c r="R6" s="2" t="s">
        <v>260</v>
      </c>
      <c r="S6" s="2" t="s">
        <v>264</v>
      </c>
      <c r="T6" s="163" t="s">
        <v>169</v>
      </c>
      <c r="U6" s="2" t="s">
        <v>260</v>
      </c>
      <c r="V6" s="2" t="s">
        <v>264</v>
      </c>
      <c r="W6" s="163" t="s">
        <v>169</v>
      </c>
      <c r="X6" s="2" t="s">
        <v>260</v>
      </c>
      <c r="Y6" s="2" t="s">
        <v>264</v>
      </c>
      <c r="Z6" s="163" t="s">
        <v>169</v>
      </c>
      <c r="AA6" s="2" t="s">
        <v>260</v>
      </c>
      <c r="AB6" s="2" t="s">
        <v>264</v>
      </c>
      <c r="AC6" s="163" t="s">
        <v>169</v>
      </c>
      <c r="AD6" s="2" t="s">
        <v>260</v>
      </c>
      <c r="AE6" s="2" t="s">
        <v>264</v>
      </c>
      <c r="AF6" s="163" t="s">
        <v>276</v>
      </c>
    </row>
    <row r="7" spans="1:32" s="8" customFormat="1" ht="27" customHeight="1">
      <c r="A7" s="46" t="s">
        <v>91</v>
      </c>
      <c r="B7" s="6"/>
      <c r="C7" s="33"/>
      <c r="D7" s="31" t="s">
        <v>92</v>
      </c>
      <c r="E7" s="58">
        <f aca="true" t="shared" si="0" ref="E7:P7">E13</f>
        <v>609000</v>
      </c>
      <c r="F7" s="58">
        <f t="shared" si="0"/>
        <v>50000</v>
      </c>
      <c r="G7" s="58">
        <f t="shared" si="0"/>
        <v>0</v>
      </c>
      <c r="H7" s="58">
        <f t="shared" si="0"/>
        <v>659000</v>
      </c>
      <c r="I7" s="58">
        <f t="shared" si="0"/>
        <v>11000</v>
      </c>
      <c r="J7" s="58">
        <f t="shared" si="0"/>
        <v>19000</v>
      </c>
      <c r="K7" s="58">
        <f t="shared" si="0"/>
        <v>651000</v>
      </c>
      <c r="L7" s="58">
        <f t="shared" si="0"/>
        <v>487080</v>
      </c>
      <c r="M7" s="58">
        <f t="shared" si="0"/>
        <v>0</v>
      </c>
      <c r="N7" s="58">
        <f t="shared" si="0"/>
        <v>1138080</v>
      </c>
      <c r="O7" s="58">
        <f t="shared" si="0"/>
        <v>0</v>
      </c>
      <c r="P7" s="58">
        <f t="shared" si="0"/>
        <v>0</v>
      </c>
      <c r="Q7" s="58">
        <f aca="true" t="shared" si="1" ref="Q7:Z7">Q13+Q8</f>
        <v>1138080</v>
      </c>
      <c r="R7" s="58">
        <f t="shared" si="1"/>
        <v>450000</v>
      </c>
      <c r="S7" s="58">
        <f t="shared" si="1"/>
        <v>450000</v>
      </c>
      <c r="T7" s="58">
        <f t="shared" si="1"/>
        <v>1138080</v>
      </c>
      <c r="U7" s="58">
        <f t="shared" si="1"/>
        <v>318700</v>
      </c>
      <c r="V7" s="58">
        <f t="shared" si="1"/>
        <v>112000</v>
      </c>
      <c r="W7" s="58">
        <f t="shared" si="1"/>
        <v>1344780</v>
      </c>
      <c r="X7" s="58">
        <f t="shared" si="1"/>
        <v>63250</v>
      </c>
      <c r="Y7" s="58">
        <f t="shared" si="1"/>
        <v>50000</v>
      </c>
      <c r="Z7" s="58">
        <f t="shared" si="1"/>
        <v>1358030</v>
      </c>
      <c r="AA7" s="58">
        <f aca="true" t="shared" si="2" ref="AA7:AF7">AA13+AA8</f>
        <v>0</v>
      </c>
      <c r="AB7" s="58">
        <f t="shared" si="2"/>
        <v>5458</v>
      </c>
      <c r="AC7" s="58">
        <f t="shared" si="2"/>
        <v>1352572</v>
      </c>
      <c r="AD7" s="58">
        <f t="shared" si="2"/>
        <v>0</v>
      </c>
      <c r="AE7" s="58">
        <f t="shared" si="2"/>
        <v>55</v>
      </c>
      <c r="AF7" s="58">
        <f t="shared" si="2"/>
        <v>1352517</v>
      </c>
    </row>
    <row r="8" spans="1:32" s="37" customFormat="1" ht="25.5" customHeight="1">
      <c r="A8" s="103"/>
      <c r="B8" s="74">
        <v>60013</v>
      </c>
      <c r="C8" s="113"/>
      <c r="D8" s="19" t="s">
        <v>523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>
        <f aca="true" t="shared" si="3" ref="Q8:V8">SUM(Q9)</f>
        <v>0</v>
      </c>
      <c r="R8" s="83">
        <f t="shared" si="3"/>
        <v>50000</v>
      </c>
      <c r="S8" s="83">
        <f t="shared" si="3"/>
        <v>0</v>
      </c>
      <c r="T8" s="83">
        <f t="shared" si="3"/>
        <v>50000</v>
      </c>
      <c r="U8" s="83">
        <f t="shared" si="3"/>
        <v>0</v>
      </c>
      <c r="V8" s="83">
        <f t="shared" si="3"/>
        <v>0</v>
      </c>
      <c r="W8" s="83">
        <f aca="true" t="shared" si="4" ref="W8:AC8">SUM(W9,W11)</f>
        <v>50000</v>
      </c>
      <c r="X8" s="83">
        <f t="shared" si="4"/>
        <v>50000</v>
      </c>
      <c r="Y8" s="83">
        <f t="shared" si="4"/>
        <v>50000</v>
      </c>
      <c r="Z8" s="83">
        <f t="shared" si="4"/>
        <v>50000</v>
      </c>
      <c r="AA8" s="83">
        <f t="shared" si="4"/>
        <v>0</v>
      </c>
      <c r="AB8" s="83">
        <f t="shared" si="4"/>
        <v>0</v>
      </c>
      <c r="AC8" s="83">
        <f t="shared" si="4"/>
        <v>50000</v>
      </c>
      <c r="AD8" s="83">
        <f>SUM(AD9,AD11)</f>
        <v>0</v>
      </c>
      <c r="AE8" s="83">
        <f>SUM(AE9,AE11)</f>
        <v>0</v>
      </c>
      <c r="AF8" s="83">
        <f>SUM(AF9,AF11)</f>
        <v>50000</v>
      </c>
    </row>
    <row r="9" spans="1:32" s="37" customFormat="1" ht="67.5" hidden="1">
      <c r="A9" s="103"/>
      <c r="B9" s="74"/>
      <c r="C9" s="113">
        <v>6300</v>
      </c>
      <c r="D9" s="19" t="s">
        <v>522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>
        <f>SUM(Q10)</f>
        <v>0</v>
      </c>
      <c r="R9" s="83">
        <f aca="true" t="shared" si="5" ref="R9:AF9">SUM(R10)</f>
        <v>50000</v>
      </c>
      <c r="S9" s="83">
        <f t="shared" si="5"/>
        <v>0</v>
      </c>
      <c r="T9" s="83">
        <f t="shared" si="5"/>
        <v>50000</v>
      </c>
      <c r="U9" s="83">
        <f t="shared" si="5"/>
        <v>0</v>
      </c>
      <c r="V9" s="83">
        <f t="shared" si="5"/>
        <v>0</v>
      </c>
      <c r="W9" s="83">
        <f t="shared" si="5"/>
        <v>50000</v>
      </c>
      <c r="X9" s="83">
        <f t="shared" si="5"/>
        <v>0</v>
      </c>
      <c r="Y9" s="83">
        <f t="shared" si="5"/>
        <v>50000</v>
      </c>
      <c r="Z9" s="83">
        <f t="shared" si="5"/>
        <v>0</v>
      </c>
      <c r="AA9" s="83">
        <f t="shared" si="5"/>
        <v>0</v>
      </c>
      <c r="AB9" s="83">
        <f t="shared" si="5"/>
        <v>0</v>
      </c>
      <c r="AC9" s="83">
        <f t="shared" si="5"/>
        <v>0</v>
      </c>
      <c r="AD9" s="83">
        <f t="shared" si="5"/>
        <v>0</v>
      </c>
      <c r="AE9" s="83">
        <f t="shared" si="5"/>
        <v>0</v>
      </c>
      <c r="AF9" s="83">
        <f t="shared" si="5"/>
        <v>0</v>
      </c>
    </row>
    <row r="10" spans="1:32" s="41" customFormat="1" ht="33.75" hidden="1">
      <c r="A10" s="70"/>
      <c r="B10" s="67"/>
      <c r="C10" s="68"/>
      <c r="D10" s="72" t="s">
        <v>524</v>
      </c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>
        <v>0</v>
      </c>
      <c r="R10" s="272">
        <v>50000</v>
      </c>
      <c r="S10" s="272"/>
      <c r="T10" s="272">
        <f>SUM(Q10+R10-S10)</f>
        <v>50000</v>
      </c>
      <c r="U10" s="272"/>
      <c r="V10" s="272"/>
      <c r="W10" s="272">
        <f>SUM(T10+U10-V10)</f>
        <v>50000</v>
      </c>
      <c r="X10" s="272"/>
      <c r="Y10" s="272">
        <v>50000</v>
      </c>
      <c r="Z10" s="272">
        <f>SUM(W10+X10-Y10)</f>
        <v>0</v>
      </c>
      <c r="AA10" s="272"/>
      <c r="AB10" s="272"/>
      <c r="AC10" s="272">
        <f>SUM(Z10+AA10-AB10)</f>
        <v>0</v>
      </c>
      <c r="AD10" s="272"/>
      <c r="AE10" s="272"/>
      <c r="AF10" s="272">
        <f>SUM(AC10+AD10-AE10)</f>
        <v>0</v>
      </c>
    </row>
    <row r="11" spans="1:32" s="41" customFormat="1" ht="82.5" customHeight="1">
      <c r="A11" s="70"/>
      <c r="B11" s="67"/>
      <c r="C11" s="113">
        <v>6300</v>
      </c>
      <c r="D11" s="19" t="s">
        <v>568</v>
      </c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83">
        <f>SUM(W12)</f>
        <v>0</v>
      </c>
      <c r="X11" s="83">
        <f>SUM(X12)</f>
        <v>50000</v>
      </c>
      <c r="Y11" s="83">
        <f>SUM(Y12)</f>
        <v>0</v>
      </c>
      <c r="Z11" s="272">
        <f>SUM(W11+X11-Y11)</f>
        <v>50000</v>
      </c>
      <c r="AA11" s="83">
        <f>SUM(AA12)</f>
        <v>0</v>
      </c>
      <c r="AB11" s="83">
        <f>SUM(AB12)</f>
        <v>0</v>
      </c>
      <c r="AC11" s="272">
        <f>SUM(Z11+AA11-AB11)</f>
        <v>50000</v>
      </c>
      <c r="AD11" s="83">
        <f>SUM(AD12)</f>
        <v>0</v>
      </c>
      <c r="AE11" s="83">
        <f>SUM(AE12)</f>
        <v>0</v>
      </c>
      <c r="AF11" s="272">
        <f>SUM(AC11+AD11-AE11)</f>
        <v>50000</v>
      </c>
    </row>
    <row r="12" spans="1:32" s="41" customFormat="1" ht="38.25" customHeight="1">
      <c r="A12" s="70"/>
      <c r="B12" s="67"/>
      <c r="C12" s="68"/>
      <c r="D12" s="72" t="s">
        <v>524</v>
      </c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>
        <v>0</v>
      </c>
      <c r="X12" s="272">
        <v>50000</v>
      </c>
      <c r="Y12" s="272"/>
      <c r="Z12" s="272">
        <f>SUM(W12+X12-Y12)</f>
        <v>50000</v>
      </c>
      <c r="AA12" s="272"/>
      <c r="AB12" s="272"/>
      <c r="AC12" s="272">
        <f>SUM(Z12+AA12-AB12)</f>
        <v>50000</v>
      </c>
      <c r="AD12" s="272"/>
      <c r="AE12" s="272"/>
      <c r="AF12" s="272">
        <f>SUM(AC12+AD12-AE12)</f>
        <v>50000</v>
      </c>
    </row>
    <row r="13" spans="1:32" s="37" customFormat="1" ht="24.75" customHeight="1">
      <c r="A13" s="103"/>
      <c r="B13" s="104" t="s">
        <v>93</v>
      </c>
      <c r="C13" s="113"/>
      <c r="D13" s="19" t="s">
        <v>94</v>
      </c>
      <c r="E13" s="83">
        <f>SUM(E14,E31)</f>
        <v>609000</v>
      </c>
      <c r="F13" s="83">
        <f>SUM(F14,F31)</f>
        <v>50000</v>
      </c>
      <c r="G13" s="83">
        <f>SUM(G14,G31)</f>
        <v>0</v>
      </c>
      <c r="H13" s="83">
        <f aca="true" t="shared" si="6" ref="H13:N13">SUM(H14,H31,H29)</f>
        <v>659000</v>
      </c>
      <c r="I13" s="83">
        <f t="shared" si="6"/>
        <v>11000</v>
      </c>
      <c r="J13" s="83">
        <f t="shared" si="6"/>
        <v>19000</v>
      </c>
      <c r="K13" s="83">
        <f t="shared" si="6"/>
        <v>651000</v>
      </c>
      <c r="L13" s="83">
        <f t="shared" si="6"/>
        <v>487080</v>
      </c>
      <c r="M13" s="83">
        <f t="shared" si="6"/>
        <v>0</v>
      </c>
      <c r="N13" s="83">
        <f t="shared" si="6"/>
        <v>1138080</v>
      </c>
      <c r="O13" s="83">
        <f aca="true" t="shared" si="7" ref="O13:T13">SUM(O14,O31,O29)</f>
        <v>0</v>
      </c>
      <c r="P13" s="83">
        <f t="shared" si="7"/>
        <v>0</v>
      </c>
      <c r="Q13" s="83">
        <f t="shared" si="7"/>
        <v>1138080</v>
      </c>
      <c r="R13" s="83">
        <f t="shared" si="7"/>
        <v>400000</v>
      </c>
      <c r="S13" s="83">
        <f t="shared" si="7"/>
        <v>450000</v>
      </c>
      <c r="T13" s="83">
        <f t="shared" si="7"/>
        <v>1088080</v>
      </c>
      <c r="U13" s="83">
        <f aca="true" t="shared" si="8" ref="U13:Z13">SUM(U14,U31,U29)</f>
        <v>318700</v>
      </c>
      <c r="V13" s="83">
        <f t="shared" si="8"/>
        <v>112000</v>
      </c>
      <c r="W13" s="83">
        <f t="shared" si="8"/>
        <v>1294780</v>
      </c>
      <c r="X13" s="83">
        <f t="shared" si="8"/>
        <v>13250</v>
      </c>
      <c r="Y13" s="83">
        <f t="shared" si="8"/>
        <v>0</v>
      </c>
      <c r="Z13" s="83">
        <f t="shared" si="8"/>
        <v>1308030</v>
      </c>
      <c r="AA13" s="83">
        <f aca="true" t="shared" si="9" ref="AA13:AF13">SUM(AA14,AA31,AA29)</f>
        <v>0</v>
      </c>
      <c r="AB13" s="83">
        <f t="shared" si="9"/>
        <v>5458</v>
      </c>
      <c r="AC13" s="83">
        <f t="shared" si="9"/>
        <v>1302572</v>
      </c>
      <c r="AD13" s="83">
        <f t="shared" si="9"/>
        <v>0</v>
      </c>
      <c r="AE13" s="83">
        <f t="shared" si="9"/>
        <v>55</v>
      </c>
      <c r="AF13" s="83">
        <f t="shared" si="9"/>
        <v>1302517</v>
      </c>
    </row>
    <row r="14" spans="1:32" s="37" customFormat="1" ht="24" customHeight="1">
      <c r="A14" s="111"/>
      <c r="B14" s="74"/>
      <c r="C14" s="113">
        <v>6050</v>
      </c>
      <c r="D14" s="19" t="s">
        <v>90</v>
      </c>
      <c r="E14" s="83">
        <f aca="true" t="shared" si="10" ref="E14:J14">SUM(E15:E25)</f>
        <v>609000</v>
      </c>
      <c r="F14" s="83">
        <f t="shared" si="10"/>
        <v>0</v>
      </c>
      <c r="G14" s="83">
        <f t="shared" si="10"/>
        <v>0</v>
      </c>
      <c r="H14" s="83">
        <f t="shared" si="10"/>
        <v>609000</v>
      </c>
      <c r="I14" s="83">
        <f t="shared" si="10"/>
        <v>0</v>
      </c>
      <c r="J14" s="83">
        <f t="shared" si="10"/>
        <v>19000</v>
      </c>
      <c r="K14" s="83">
        <f aca="true" t="shared" si="11" ref="K14:Q14">SUM(K15:K28)</f>
        <v>590000</v>
      </c>
      <c r="L14" s="83">
        <f t="shared" si="11"/>
        <v>487080</v>
      </c>
      <c r="M14" s="83">
        <f t="shared" si="11"/>
        <v>0</v>
      </c>
      <c r="N14" s="83">
        <f t="shared" si="11"/>
        <v>1077080</v>
      </c>
      <c r="O14" s="83">
        <f t="shared" si="11"/>
        <v>0</v>
      </c>
      <c r="P14" s="83">
        <f t="shared" si="11"/>
        <v>0</v>
      </c>
      <c r="Q14" s="83">
        <f t="shared" si="11"/>
        <v>1077080</v>
      </c>
      <c r="R14" s="83">
        <f aca="true" t="shared" si="12" ref="R14:Z14">SUM(R15:R28)</f>
        <v>400000</v>
      </c>
      <c r="S14" s="83">
        <f t="shared" si="12"/>
        <v>400000</v>
      </c>
      <c r="T14" s="83">
        <f t="shared" si="12"/>
        <v>1077080</v>
      </c>
      <c r="U14" s="83">
        <f t="shared" si="12"/>
        <v>318700</v>
      </c>
      <c r="V14" s="83">
        <f t="shared" si="12"/>
        <v>112000</v>
      </c>
      <c r="W14" s="83">
        <f t="shared" si="12"/>
        <v>1283780</v>
      </c>
      <c r="X14" s="83">
        <f t="shared" si="12"/>
        <v>13250</v>
      </c>
      <c r="Y14" s="83">
        <f t="shared" si="12"/>
        <v>0</v>
      </c>
      <c r="Z14" s="83">
        <f t="shared" si="12"/>
        <v>1297030</v>
      </c>
      <c r="AA14" s="83">
        <f aca="true" t="shared" si="13" ref="AA14:AF14">SUM(AA15:AA28)</f>
        <v>0</v>
      </c>
      <c r="AB14" s="83">
        <f t="shared" si="13"/>
        <v>5458</v>
      </c>
      <c r="AC14" s="83">
        <f t="shared" si="13"/>
        <v>1291572</v>
      </c>
      <c r="AD14" s="83">
        <f t="shared" si="13"/>
        <v>0</v>
      </c>
      <c r="AE14" s="83">
        <f t="shared" si="13"/>
        <v>55</v>
      </c>
      <c r="AF14" s="83">
        <f t="shared" si="13"/>
        <v>1291517</v>
      </c>
    </row>
    <row r="15" spans="1:32" s="41" customFormat="1" ht="19.5" customHeight="1">
      <c r="A15" s="66"/>
      <c r="B15" s="67"/>
      <c r="C15" s="68"/>
      <c r="D15" s="72" t="s">
        <v>225</v>
      </c>
      <c r="E15" s="130">
        <v>31000</v>
      </c>
      <c r="F15" s="157"/>
      <c r="G15" s="130"/>
      <c r="H15" s="130">
        <f aca="true" t="shared" si="14" ref="H15:H32">SUM(E15+F15-G15)</f>
        <v>31000</v>
      </c>
      <c r="I15" s="157"/>
      <c r="J15" s="130"/>
      <c r="K15" s="130">
        <f aca="true" t="shared" si="15" ref="K15:K25">SUM(H15+I15-J15)</f>
        <v>31000</v>
      </c>
      <c r="L15" s="157"/>
      <c r="M15" s="130"/>
      <c r="N15" s="130">
        <f aca="true" t="shared" si="16" ref="N15:N28">SUM(K15+L15-M15)</f>
        <v>31000</v>
      </c>
      <c r="O15" s="157"/>
      <c r="P15" s="130"/>
      <c r="Q15" s="130">
        <f aca="true" t="shared" si="17" ref="Q15:Q28">SUM(N15+O15-P15)</f>
        <v>31000</v>
      </c>
      <c r="R15" s="157"/>
      <c r="S15" s="130"/>
      <c r="T15" s="130">
        <f aca="true" t="shared" si="18" ref="T15:T28">SUM(Q15+R15-S15)</f>
        <v>31000</v>
      </c>
      <c r="U15" s="157"/>
      <c r="V15" s="130"/>
      <c r="W15" s="130">
        <f aca="true" t="shared" si="19" ref="W15:W28">SUM(T15+U15-V15)</f>
        <v>31000</v>
      </c>
      <c r="X15" s="157"/>
      <c r="Y15" s="130"/>
      <c r="Z15" s="130">
        <f aca="true" t="shared" si="20" ref="Z15:Z28">SUM(W15+X15-Y15)</f>
        <v>31000</v>
      </c>
      <c r="AA15" s="157"/>
      <c r="AB15" s="130"/>
      <c r="AC15" s="130">
        <f aca="true" t="shared" si="21" ref="AC15:AC28">SUM(Z15+AA15-AB15)</f>
        <v>31000</v>
      </c>
      <c r="AD15" s="157"/>
      <c r="AE15" s="130"/>
      <c r="AF15" s="130">
        <f aca="true" t="shared" si="22" ref="AF15:AF28">SUM(AC15+AD15-AE15)</f>
        <v>31000</v>
      </c>
    </row>
    <row r="16" spans="1:32" s="41" customFormat="1" ht="19.5" customHeight="1">
      <c r="A16" s="66"/>
      <c r="B16" s="67"/>
      <c r="C16" s="68"/>
      <c r="D16" s="72" t="s">
        <v>271</v>
      </c>
      <c r="E16" s="130">
        <v>19000</v>
      </c>
      <c r="F16" s="130"/>
      <c r="G16" s="130"/>
      <c r="H16" s="130">
        <f t="shared" si="14"/>
        <v>19000</v>
      </c>
      <c r="I16" s="130"/>
      <c r="J16" s="130">
        <v>19000</v>
      </c>
      <c r="K16" s="130">
        <f t="shared" si="15"/>
        <v>0</v>
      </c>
      <c r="L16" s="130"/>
      <c r="M16" s="130"/>
      <c r="N16" s="130">
        <f t="shared" si="16"/>
        <v>0</v>
      </c>
      <c r="O16" s="130"/>
      <c r="P16" s="130"/>
      <c r="Q16" s="130">
        <f t="shared" si="17"/>
        <v>0</v>
      </c>
      <c r="R16" s="130"/>
      <c r="S16" s="130"/>
      <c r="T16" s="130">
        <f t="shared" si="18"/>
        <v>0</v>
      </c>
      <c r="U16" s="130"/>
      <c r="V16" s="130"/>
      <c r="W16" s="130">
        <f t="shared" si="19"/>
        <v>0</v>
      </c>
      <c r="X16" s="130"/>
      <c r="Y16" s="130"/>
      <c r="Z16" s="130">
        <f t="shared" si="20"/>
        <v>0</v>
      </c>
      <c r="AA16" s="130"/>
      <c r="AB16" s="130"/>
      <c r="AC16" s="130">
        <f t="shared" si="21"/>
        <v>0</v>
      </c>
      <c r="AD16" s="130"/>
      <c r="AE16" s="130"/>
      <c r="AF16" s="130">
        <f t="shared" si="22"/>
        <v>0</v>
      </c>
    </row>
    <row r="17" spans="1:32" s="41" customFormat="1" ht="19.5" customHeight="1">
      <c r="A17" s="66"/>
      <c r="B17" s="67"/>
      <c r="C17" s="68"/>
      <c r="D17" s="72" t="s">
        <v>305</v>
      </c>
      <c r="E17" s="130">
        <v>19000</v>
      </c>
      <c r="F17" s="130"/>
      <c r="G17" s="130"/>
      <c r="H17" s="130">
        <f t="shared" si="14"/>
        <v>19000</v>
      </c>
      <c r="I17" s="130"/>
      <c r="J17" s="130"/>
      <c r="K17" s="130">
        <f t="shared" si="15"/>
        <v>19000</v>
      </c>
      <c r="L17" s="130"/>
      <c r="M17" s="130"/>
      <c r="N17" s="130">
        <f t="shared" si="16"/>
        <v>19000</v>
      </c>
      <c r="O17" s="130"/>
      <c r="P17" s="130"/>
      <c r="Q17" s="130">
        <f t="shared" si="17"/>
        <v>19000</v>
      </c>
      <c r="R17" s="130"/>
      <c r="S17" s="130"/>
      <c r="T17" s="130">
        <f t="shared" si="18"/>
        <v>19000</v>
      </c>
      <c r="U17" s="130"/>
      <c r="V17" s="130"/>
      <c r="W17" s="130">
        <f t="shared" si="19"/>
        <v>19000</v>
      </c>
      <c r="X17" s="130"/>
      <c r="Y17" s="130"/>
      <c r="Z17" s="130">
        <f t="shared" si="20"/>
        <v>19000</v>
      </c>
      <c r="AA17" s="130"/>
      <c r="AB17" s="130">
        <v>318</v>
      </c>
      <c r="AC17" s="130">
        <f t="shared" si="21"/>
        <v>18682</v>
      </c>
      <c r="AD17" s="130"/>
      <c r="AE17" s="130"/>
      <c r="AF17" s="130">
        <f t="shared" si="22"/>
        <v>18682</v>
      </c>
    </row>
    <row r="18" spans="1:32" s="41" customFormat="1" ht="19.5" customHeight="1">
      <c r="A18" s="66"/>
      <c r="B18" s="67"/>
      <c r="C18" s="68"/>
      <c r="D18" s="72" t="s">
        <v>580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>
        <v>0</v>
      </c>
      <c r="X18" s="130">
        <f>5000+750</f>
        <v>5750</v>
      </c>
      <c r="Y18" s="130"/>
      <c r="Z18" s="130">
        <f t="shared" si="20"/>
        <v>5750</v>
      </c>
      <c r="AA18" s="130"/>
      <c r="AB18" s="130"/>
      <c r="AC18" s="130">
        <f t="shared" si="21"/>
        <v>5750</v>
      </c>
      <c r="AD18" s="130"/>
      <c r="AE18" s="130"/>
      <c r="AF18" s="130">
        <f t="shared" si="22"/>
        <v>5750</v>
      </c>
    </row>
    <row r="19" spans="1:32" s="41" customFormat="1" ht="19.5" customHeight="1">
      <c r="A19" s="66"/>
      <c r="B19" s="67"/>
      <c r="C19" s="68"/>
      <c r="D19" s="72" t="s">
        <v>582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>
        <v>0</v>
      </c>
      <c r="X19" s="130">
        <v>7500</v>
      </c>
      <c r="Y19" s="130"/>
      <c r="Z19" s="130">
        <f t="shared" si="20"/>
        <v>7500</v>
      </c>
      <c r="AA19" s="130"/>
      <c r="AB19" s="130"/>
      <c r="AC19" s="130">
        <f t="shared" si="21"/>
        <v>7500</v>
      </c>
      <c r="AD19" s="130"/>
      <c r="AE19" s="130">
        <v>55</v>
      </c>
      <c r="AF19" s="130">
        <f t="shared" si="22"/>
        <v>7445</v>
      </c>
    </row>
    <row r="20" spans="1:32" s="41" customFormat="1" ht="30" customHeight="1">
      <c r="A20" s="66"/>
      <c r="B20" s="67"/>
      <c r="C20" s="68"/>
      <c r="D20" s="72" t="s">
        <v>467</v>
      </c>
      <c r="E20" s="130">
        <v>20000</v>
      </c>
      <c r="F20" s="130"/>
      <c r="G20" s="130"/>
      <c r="H20" s="130">
        <f t="shared" si="14"/>
        <v>20000</v>
      </c>
      <c r="I20" s="130"/>
      <c r="J20" s="130"/>
      <c r="K20" s="130">
        <f t="shared" si="15"/>
        <v>20000</v>
      </c>
      <c r="L20" s="130">
        <v>20000</v>
      </c>
      <c r="M20" s="130"/>
      <c r="N20" s="130">
        <f t="shared" si="16"/>
        <v>40000</v>
      </c>
      <c r="O20" s="130"/>
      <c r="P20" s="130"/>
      <c r="Q20" s="130">
        <f t="shared" si="17"/>
        <v>40000</v>
      </c>
      <c r="R20" s="130"/>
      <c r="S20" s="130"/>
      <c r="T20" s="130">
        <f t="shared" si="18"/>
        <v>40000</v>
      </c>
      <c r="U20" s="130"/>
      <c r="V20" s="130"/>
      <c r="W20" s="130">
        <f t="shared" si="19"/>
        <v>40000</v>
      </c>
      <c r="X20" s="130"/>
      <c r="Y20" s="130"/>
      <c r="Z20" s="130">
        <f t="shared" si="20"/>
        <v>40000</v>
      </c>
      <c r="AA20" s="130"/>
      <c r="AB20" s="130"/>
      <c r="AC20" s="130">
        <f t="shared" si="21"/>
        <v>40000</v>
      </c>
      <c r="AD20" s="130"/>
      <c r="AE20" s="130"/>
      <c r="AF20" s="130">
        <f t="shared" si="22"/>
        <v>40000</v>
      </c>
    </row>
    <row r="21" spans="1:32" s="41" customFormat="1" ht="73.5" customHeight="1">
      <c r="A21" s="66"/>
      <c r="B21" s="67"/>
      <c r="C21" s="68"/>
      <c r="D21" s="72" t="s">
        <v>383</v>
      </c>
      <c r="E21" s="130">
        <v>190000</v>
      </c>
      <c r="F21" s="130"/>
      <c r="G21" s="130"/>
      <c r="H21" s="130">
        <f t="shared" si="14"/>
        <v>190000</v>
      </c>
      <c r="I21" s="130"/>
      <c r="J21" s="130"/>
      <c r="K21" s="130">
        <f t="shared" si="15"/>
        <v>190000</v>
      </c>
      <c r="L21" s="130">
        <v>170000</v>
      </c>
      <c r="M21" s="130"/>
      <c r="N21" s="130">
        <f t="shared" si="16"/>
        <v>360000</v>
      </c>
      <c r="O21" s="130"/>
      <c r="P21" s="130"/>
      <c r="Q21" s="130">
        <f t="shared" si="17"/>
        <v>360000</v>
      </c>
      <c r="R21" s="130"/>
      <c r="S21" s="130"/>
      <c r="T21" s="130">
        <f t="shared" si="18"/>
        <v>360000</v>
      </c>
      <c r="U21" s="130"/>
      <c r="V21" s="130">
        <v>112000</v>
      </c>
      <c r="W21" s="130">
        <f t="shared" si="19"/>
        <v>248000</v>
      </c>
      <c r="X21" s="130"/>
      <c r="Y21" s="130"/>
      <c r="Z21" s="130">
        <f t="shared" si="20"/>
        <v>248000</v>
      </c>
      <c r="AA21" s="130"/>
      <c r="AB21" s="130">
        <v>5140</v>
      </c>
      <c r="AC21" s="130">
        <f t="shared" si="21"/>
        <v>242860</v>
      </c>
      <c r="AD21" s="130"/>
      <c r="AE21" s="130"/>
      <c r="AF21" s="130">
        <f t="shared" si="22"/>
        <v>242860</v>
      </c>
    </row>
    <row r="22" spans="1:32" s="41" customFormat="1" ht="27" customHeight="1">
      <c r="A22" s="66"/>
      <c r="B22" s="67"/>
      <c r="C22" s="68"/>
      <c r="D22" s="72" t="s">
        <v>548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>
        <v>0</v>
      </c>
      <c r="U22" s="130">
        <f>387000-275000+110000</f>
        <v>222000</v>
      </c>
      <c r="V22" s="130"/>
      <c r="W22" s="130">
        <f t="shared" si="19"/>
        <v>222000</v>
      </c>
      <c r="X22" s="130"/>
      <c r="Y22" s="130"/>
      <c r="Z22" s="130">
        <f t="shared" si="20"/>
        <v>222000</v>
      </c>
      <c r="AA22" s="130"/>
      <c r="AB22" s="130"/>
      <c r="AC22" s="130">
        <f t="shared" si="21"/>
        <v>222000</v>
      </c>
      <c r="AD22" s="130"/>
      <c r="AE22" s="130"/>
      <c r="AF22" s="130">
        <f t="shared" si="22"/>
        <v>222000</v>
      </c>
    </row>
    <row r="23" spans="1:32" s="41" customFormat="1" ht="19.5" customHeight="1">
      <c r="A23" s="66"/>
      <c r="B23" s="67"/>
      <c r="C23" s="68"/>
      <c r="D23" s="72" t="s">
        <v>307</v>
      </c>
      <c r="E23" s="130">
        <v>40000</v>
      </c>
      <c r="F23" s="130"/>
      <c r="G23" s="130"/>
      <c r="H23" s="130">
        <f t="shared" si="14"/>
        <v>40000</v>
      </c>
      <c r="I23" s="130"/>
      <c r="J23" s="130"/>
      <c r="K23" s="130">
        <f t="shared" si="15"/>
        <v>40000</v>
      </c>
      <c r="L23" s="130"/>
      <c r="M23" s="130"/>
      <c r="N23" s="130">
        <f t="shared" si="16"/>
        <v>40000</v>
      </c>
      <c r="O23" s="130"/>
      <c r="P23" s="130"/>
      <c r="Q23" s="130">
        <f t="shared" si="17"/>
        <v>40000</v>
      </c>
      <c r="R23" s="130"/>
      <c r="S23" s="130"/>
      <c r="T23" s="130">
        <f t="shared" si="18"/>
        <v>40000</v>
      </c>
      <c r="U23" s="130">
        <v>1200</v>
      </c>
      <c r="V23" s="130"/>
      <c r="W23" s="130">
        <f t="shared" si="19"/>
        <v>41200</v>
      </c>
      <c r="X23" s="130"/>
      <c r="Y23" s="130"/>
      <c r="Z23" s="130">
        <f t="shared" si="20"/>
        <v>41200</v>
      </c>
      <c r="AA23" s="130"/>
      <c r="AB23" s="130"/>
      <c r="AC23" s="130">
        <f t="shared" si="21"/>
        <v>41200</v>
      </c>
      <c r="AD23" s="130"/>
      <c r="AE23" s="130"/>
      <c r="AF23" s="130">
        <f t="shared" si="22"/>
        <v>41200</v>
      </c>
    </row>
    <row r="24" spans="1:32" s="41" customFormat="1" ht="19.5" customHeight="1">
      <c r="A24" s="66"/>
      <c r="B24" s="67"/>
      <c r="C24" s="68"/>
      <c r="D24" s="72" t="s">
        <v>308</v>
      </c>
      <c r="E24" s="130">
        <v>70000</v>
      </c>
      <c r="F24" s="130"/>
      <c r="G24" s="130"/>
      <c r="H24" s="130">
        <f t="shared" si="14"/>
        <v>70000</v>
      </c>
      <c r="I24" s="130"/>
      <c r="J24" s="130"/>
      <c r="K24" s="130">
        <f t="shared" si="15"/>
        <v>70000</v>
      </c>
      <c r="L24" s="130"/>
      <c r="M24" s="130"/>
      <c r="N24" s="130">
        <f t="shared" si="16"/>
        <v>70000</v>
      </c>
      <c r="O24" s="130"/>
      <c r="P24" s="130"/>
      <c r="Q24" s="130">
        <f t="shared" si="17"/>
        <v>70000</v>
      </c>
      <c r="R24" s="130"/>
      <c r="S24" s="130"/>
      <c r="T24" s="130">
        <f t="shared" si="18"/>
        <v>70000</v>
      </c>
      <c r="U24" s="130">
        <v>95500</v>
      </c>
      <c r="V24" s="130"/>
      <c r="W24" s="130">
        <f t="shared" si="19"/>
        <v>165500</v>
      </c>
      <c r="X24" s="130"/>
      <c r="Y24" s="130"/>
      <c r="Z24" s="130">
        <f t="shared" si="20"/>
        <v>165500</v>
      </c>
      <c r="AA24" s="130"/>
      <c r="AB24" s="130"/>
      <c r="AC24" s="130">
        <f t="shared" si="21"/>
        <v>165500</v>
      </c>
      <c r="AD24" s="130"/>
      <c r="AE24" s="130"/>
      <c r="AF24" s="130">
        <f t="shared" si="22"/>
        <v>165500</v>
      </c>
    </row>
    <row r="25" spans="1:32" s="41" customFormat="1" ht="19.5" customHeight="1">
      <c r="A25" s="66"/>
      <c r="B25" s="67"/>
      <c r="C25" s="68"/>
      <c r="D25" s="69" t="s">
        <v>229</v>
      </c>
      <c r="E25" s="130">
        <v>220000</v>
      </c>
      <c r="F25" s="157"/>
      <c r="G25" s="130"/>
      <c r="H25" s="130">
        <f t="shared" si="14"/>
        <v>220000</v>
      </c>
      <c r="I25" s="157"/>
      <c r="J25" s="130"/>
      <c r="K25" s="130">
        <f t="shared" si="15"/>
        <v>220000</v>
      </c>
      <c r="L25" s="130">
        <v>180000</v>
      </c>
      <c r="M25" s="130"/>
      <c r="N25" s="130">
        <f t="shared" si="16"/>
        <v>400000</v>
      </c>
      <c r="O25" s="130"/>
      <c r="P25" s="130"/>
      <c r="Q25" s="130">
        <f t="shared" si="17"/>
        <v>400000</v>
      </c>
      <c r="R25" s="130"/>
      <c r="S25" s="130">
        <v>400000</v>
      </c>
      <c r="T25" s="130">
        <f t="shared" si="18"/>
        <v>0</v>
      </c>
      <c r="U25" s="130"/>
      <c r="V25" s="130"/>
      <c r="W25" s="130">
        <f t="shared" si="19"/>
        <v>0</v>
      </c>
      <c r="X25" s="130"/>
      <c r="Y25" s="130"/>
      <c r="Z25" s="130">
        <f t="shared" si="20"/>
        <v>0</v>
      </c>
      <c r="AA25" s="130"/>
      <c r="AB25" s="130"/>
      <c r="AC25" s="130">
        <f t="shared" si="21"/>
        <v>0</v>
      </c>
      <c r="AD25" s="130"/>
      <c r="AE25" s="130"/>
      <c r="AF25" s="130">
        <f t="shared" si="22"/>
        <v>0</v>
      </c>
    </row>
    <row r="26" spans="1:32" s="41" customFormat="1" ht="23.25" customHeight="1">
      <c r="A26" s="66"/>
      <c r="B26" s="67"/>
      <c r="C26" s="68"/>
      <c r="D26" s="72" t="s">
        <v>526</v>
      </c>
      <c r="E26" s="130"/>
      <c r="F26" s="157"/>
      <c r="G26" s="130"/>
      <c r="H26" s="130"/>
      <c r="I26" s="157"/>
      <c r="J26" s="130"/>
      <c r="K26" s="130"/>
      <c r="L26" s="130"/>
      <c r="M26" s="130"/>
      <c r="N26" s="130"/>
      <c r="O26" s="130"/>
      <c r="P26" s="130"/>
      <c r="Q26" s="130">
        <v>0</v>
      </c>
      <c r="R26" s="130">
        <v>400000</v>
      </c>
      <c r="S26" s="130"/>
      <c r="T26" s="130">
        <f t="shared" si="18"/>
        <v>400000</v>
      </c>
      <c r="U26" s="130"/>
      <c r="V26" s="130"/>
      <c r="W26" s="130">
        <f t="shared" si="19"/>
        <v>400000</v>
      </c>
      <c r="X26" s="130"/>
      <c r="Y26" s="130"/>
      <c r="Z26" s="130">
        <f t="shared" si="20"/>
        <v>400000</v>
      </c>
      <c r="AA26" s="130"/>
      <c r="AB26" s="130"/>
      <c r="AC26" s="130">
        <f t="shared" si="21"/>
        <v>400000</v>
      </c>
      <c r="AD26" s="130"/>
      <c r="AE26" s="130"/>
      <c r="AF26" s="130">
        <f t="shared" si="22"/>
        <v>400000</v>
      </c>
    </row>
    <row r="27" spans="1:32" s="37" customFormat="1" ht="27.75" customHeight="1">
      <c r="A27" s="111"/>
      <c r="B27" s="74"/>
      <c r="C27" s="113"/>
      <c r="D27" s="72" t="s">
        <v>460</v>
      </c>
      <c r="E27" s="126"/>
      <c r="F27" s="156"/>
      <c r="G27" s="126"/>
      <c r="H27" s="126"/>
      <c r="I27" s="156"/>
      <c r="J27" s="126"/>
      <c r="K27" s="130">
        <v>0</v>
      </c>
      <c r="L27" s="130">
        <v>17080</v>
      </c>
      <c r="M27" s="130"/>
      <c r="N27" s="130">
        <f t="shared" si="16"/>
        <v>17080</v>
      </c>
      <c r="O27" s="130"/>
      <c r="P27" s="130"/>
      <c r="Q27" s="130">
        <f t="shared" si="17"/>
        <v>17080</v>
      </c>
      <c r="R27" s="130"/>
      <c r="S27" s="130"/>
      <c r="T27" s="130">
        <f t="shared" si="18"/>
        <v>17080</v>
      </c>
      <c r="U27" s="130"/>
      <c r="V27" s="130"/>
      <c r="W27" s="130">
        <f t="shared" si="19"/>
        <v>17080</v>
      </c>
      <c r="X27" s="130"/>
      <c r="Y27" s="130"/>
      <c r="Z27" s="130">
        <f t="shared" si="20"/>
        <v>17080</v>
      </c>
      <c r="AA27" s="130"/>
      <c r="AB27" s="130"/>
      <c r="AC27" s="130">
        <f t="shared" si="21"/>
        <v>17080</v>
      </c>
      <c r="AD27" s="130"/>
      <c r="AE27" s="130"/>
      <c r="AF27" s="130">
        <f t="shared" si="22"/>
        <v>17080</v>
      </c>
    </row>
    <row r="28" spans="1:32" s="37" customFormat="1" ht="24.75" customHeight="1">
      <c r="A28" s="111"/>
      <c r="B28" s="74"/>
      <c r="C28" s="113"/>
      <c r="D28" s="72" t="s">
        <v>461</v>
      </c>
      <c r="E28" s="126"/>
      <c r="F28" s="156"/>
      <c r="G28" s="126"/>
      <c r="H28" s="126"/>
      <c r="I28" s="156"/>
      <c r="J28" s="126"/>
      <c r="K28" s="130">
        <v>0</v>
      </c>
      <c r="L28" s="130">
        <v>100000</v>
      </c>
      <c r="M28" s="130"/>
      <c r="N28" s="130">
        <f t="shared" si="16"/>
        <v>100000</v>
      </c>
      <c r="O28" s="130"/>
      <c r="P28" s="130"/>
      <c r="Q28" s="130">
        <f t="shared" si="17"/>
        <v>100000</v>
      </c>
      <c r="R28" s="130"/>
      <c r="S28" s="130"/>
      <c r="T28" s="130">
        <f t="shared" si="18"/>
        <v>100000</v>
      </c>
      <c r="U28" s="130"/>
      <c r="V28" s="130"/>
      <c r="W28" s="130">
        <f t="shared" si="19"/>
        <v>100000</v>
      </c>
      <c r="X28" s="130"/>
      <c r="Y28" s="130"/>
      <c r="Z28" s="130">
        <f t="shared" si="20"/>
        <v>100000</v>
      </c>
      <c r="AA28" s="130"/>
      <c r="AB28" s="130"/>
      <c r="AC28" s="130">
        <f t="shared" si="21"/>
        <v>100000</v>
      </c>
      <c r="AD28" s="130"/>
      <c r="AE28" s="130">
        <f>100000-100000</f>
        <v>0</v>
      </c>
      <c r="AF28" s="130">
        <f t="shared" si="22"/>
        <v>100000</v>
      </c>
    </row>
    <row r="29" spans="1:32" s="37" customFormat="1" ht="25.5" customHeight="1">
      <c r="A29" s="111"/>
      <c r="B29" s="74"/>
      <c r="C29" s="113">
        <v>6060</v>
      </c>
      <c r="D29" s="19" t="s">
        <v>113</v>
      </c>
      <c r="E29" s="126"/>
      <c r="F29" s="156"/>
      <c r="G29" s="126"/>
      <c r="H29" s="126">
        <f aca="true" t="shared" si="23" ref="H29:AF29">SUM(H30)</f>
        <v>0</v>
      </c>
      <c r="I29" s="126">
        <f t="shared" si="23"/>
        <v>11000</v>
      </c>
      <c r="J29" s="126">
        <f t="shared" si="23"/>
        <v>0</v>
      </c>
      <c r="K29" s="126">
        <f t="shared" si="23"/>
        <v>11000</v>
      </c>
      <c r="L29" s="126">
        <f t="shared" si="23"/>
        <v>0</v>
      </c>
      <c r="M29" s="126">
        <f t="shared" si="23"/>
        <v>0</v>
      </c>
      <c r="N29" s="126">
        <f t="shared" si="23"/>
        <v>11000</v>
      </c>
      <c r="O29" s="126">
        <f t="shared" si="23"/>
        <v>0</v>
      </c>
      <c r="P29" s="126">
        <f t="shared" si="23"/>
        <v>0</v>
      </c>
      <c r="Q29" s="126">
        <f t="shared" si="23"/>
        <v>11000</v>
      </c>
      <c r="R29" s="126">
        <f t="shared" si="23"/>
        <v>0</v>
      </c>
      <c r="S29" s="126">
        <f t="shared" si="23"/>
        <v>0</v>
      </c>
      <c r="T29" s="126">
        <f t="shared" si="23"/>
        <v>11000</v>
      </c>
      <c r="U29" s="126">
        <f t="shared" si="23"/>
        <v>0</v>
      </c>
      <c r="V29" s="126">
        <f t="shared" si="23"/>
        <v>0</v>
      </c>
      <c r="W29" s="126">
        <f t="shared" si="23"/>
        <v>11000</v>
      </c>
      <c r="X29" s="126">
        <f t="shared" si="23"/>
        <v>0</v>
      </c>
      <c r="Y29" s="126">
        <f t="shared" si="23"/>
        <v>0</v>
      </c>
      <c r="Z29" s="126">
        <f t="shared" si="23"/>
        <v>11000</v>
      </c>
      <c r="AA29" s="126">
        <f t="shared" si="23"/>
        <v>0</v>
      </c>
      <c r="AB29" s="126">
        <f t="shared" si="23"/>
        <v>0</v>
      </c>
      <c r="AC29" s="126">
        <f t="shared" si="23"/>
        <v>11000</v>
      </c>
      <c r="AD29" s="126">
        <f t="shared" si="23"/>
        <v>0</v>
      </c>
      <c r="AE29" s="126">
        <f t="shared" si="23"/>
        <v>0</v>
      </c>
      <c r="AF29" s="126">
        <f t="shared" si="23"/>
        <v>11000</v>
      </c>
    </row>
    <row r="30" spans="1:32" s="41" customFormat="1" ht="25.5" customHeight="1">
      <c r="A30" s="66"/>
      <c r="B30" s="67"/>
      <c r="C30" s="68"/>
      <c r="D30" s="72" t="s">
        <v>410</v>
      </c>
      <c r="E30" s="130"/>
      <c r="F30" s="157"/>
      <c r="G30" s="130"/>
      <c r="H30" s="130">
        <v>0</v>
      </c>
      <c r="I30" s="130">
        <v>11000</v>
      </c>
      <c r="J30" s="130"/>
      <c r="K30" s="130">
        <f>SUM(H30+I30-J30)</f>
        <v>11000</v>
      </c>
      <c r="L30" s="130"/>
      <c r="M30" s="130"/>
      <c r="N30" s="130">
        <f>SUM(K30+L30-M30)</f>
        <v>11000</v>
      </c>
      <c r="O30" s="130"/>
      <c r="P30" s="130"/>
      <c r="Q30" s="130">
        <f>SUM(N30+O30-P30)</f>
        <v>11000</v>
      </c>
      <c r="R30" s="130"/>
      <c r="S30" s="130"/>
      <c r="T30" s="130">
        <f>SUM(Q30+R30-S30)</f>
        <v>11000</v>
      </c>
      <c r="U30" s="130"/>
      <c r="V30" s="130"/>
      <c r="W30" s="130">
        <f>SUM(T30+U30-V30)</f>
        <v>11000</v>
      </c>
      <c r="X30" s="130"/>
      <c r="Y30" s="130"/>
      <c r="Z30" s="130">
        <f>SUM(W30+X30-Y30)</f>
        <v>11000</v>
      </c>
      <c r="AA30" s="130"/>
      <c r="AB30" s="130"/>
      <c r="AC30" s="130">
        <f>SUM(Z30+AA30-AB30)</f>
        <v>11000</v>
      </c>
      <c r="AD30" s="130"/>
      <c r="AE30" s="130"/>
      <c r="AF30" s="130">
        <f>SUM(AC30+AD30-AE30)</f>
        <v>11000</v>
      </c>
    </row>
    <row r="31" spans="1:32" s="37" customFormat="1" ht="22.5" hidden="1">
      <c r="A31" s="111"/>
      <c r="B31" s="74"/>
      <c r="C31" s="113">
        <v>6800</v>
      </c>
      <c r="D31" s="19" t="s">
        <v>363</v>
      </c>
      <c r="E31" s="126">
        <f aca="true" t="shared" si="24" ref="E31:AF31">SUM(E32)</f>
        <v>0</v>
      </c>
      <c r="F31" s="126">
        <f t="shared" si="24"/>
        <v>50000</v>
      </c>
      <c r="G31" s="126">
        <f t="shared" si="24"/>
        <v>0</v>
      </c>
      <c r="H31" s="126">
        <f t="shared" si="24"/>
        <v>50000</v>
      </c>
      <c r="I31" s="126">
        <f t="shared" si="24"/>
        <v>0</v>
      </c>
      <c r="J31" s="126">
        <f t="shared" si="24"/>
        <v>0</v>
      </c>
      <c r="K31" s="126">
        <f t="shared" si="24"/>
        <v>50000</v>
      </c>
      <c r="L31" s="126">
        <f t="shared" si="24"/>
        <v>0</v>
      </c>
      <c r="M31" s="126">
        <f t="shared" si="24"/>
        <v>0</v>
      </c>
      <c r="N31" s="126">
        <f t="shared" si="24"/>
        <v>50000</v>
      </c>
      <c r="O31" s="126">
        <f t="shared" si="24"/>
        <v>0</v>
      </c>
      <c r="P31" s="126">
        <f t="shared" si="24"/>
        <v>0</v>
      </c>
      <c r="Q31" s="126">
        <f t="shared" si="24"/>
        <v>50000</v>
      </c>
      <c r="R31" s="126">
        <f t="shared" si="24"/>
        <v>0</v>
      </c>
      <c r="S31" s="126">
        <f t="shared" si="24"/>
        <v>50000</v>
      </c>
      <c r="T31" s="126">
        <f t="shared" si="24"/>
        <v>0</v>
      </c>
      <c r="U31" s="126">
        <f t="shared" si="24"/>
        <v>0</v>
      </c>
      <c r="V31" s="126">
        <f t="shared" si="24"/>
        <v>0</v>
      </c>
      <c r="W31" s="126">
        <f t="shared" si="24"/>
        <v>0</v>
      </c>
      <c r="X31" s="126">
        <f t="shared" si="24"/>
        <v>0</v>
      </c>
      <c r="Y31" s="126">
        <f t="shared" si="24"/>
        <v>0</v>
      </c>
      <c r="Z31" s="126">
        <f t="shared" si="24"/>
        <v>0</v>
      </c>
      <c r="AA31" s="126">
        <f t="shared" si="24"/>
        <v>0</v>
      </c>
      <c r="AB31" s="126">
        <f t="shared" si="24"/>
        <v>0</v>
      </c>
      <c r="AC31" s="126">
        <f t="shared" si="24"/>
        <v>0</v>
      </c>
      <c r="AD31" s="126">
        <f t="shared" si="24"/>
        <v>0</v>
      </c>
      <c r="AE31" s="126">
        <f t="shared" si="24"/>
        <v>0</v>
      </c>
      <c r="AF31" s="126">
        <f t="shared" si="24"/>
        <v>0</v>
      </c>
    </row>
    <row r="32" spans="1:32" s="41" customFormat="1" ht="33.75" hidden="1">
      <c r="A32" s="66"/>
      <c r="B32" s="67"/>
      <c r="C32" s="68"/>
      <c r="D32" s="72" t="s">
        <v>382</v>
      </c>
      <c r="E32" s="130">
        <v>0</v>
      </c>
      <c r="F32" s="130">
        <v>50000</v>
      </c>
      <c r="G32" s="130"/>
      <c r="H32" s="130">
        <f t="shared" si="14"/>
        <v>50000</v>
      </c>
      <c r="I32" s="130"/>
      <c r="J32" s="130"/>
      <c r="K32" s="130">
        <f>SUM(H32+I32-J32)</f>
        <v>50000</v>
      </c>
      <c r="L32" s="130"/>
      <c r="M32" s="130"/>
      <c r="N32" s="130">
        <f>SUM(K32+L32-M32)</f>
        <v>50000</v>
      </c>
      <c r="O32" s="130"/>
      <c r="P32" s="130"/>
      <c r="Q32" s="130">
        <f>SUM(N32+O32-P32)</f>
        <v>50000</v>
      </c>
      <c r="R32" s="130"/>
      <c r="S32" s="130">
        <v>50000</v>
      </c>
      <c r="T32" s="130">
        <f>SUM(Q32+R32-S32)</f>
        <v>0</v>
      </c>
      <c r="U32" s="130"/>
      <c r="V32" s="130"/>
      <c r="W32" s="130">
        <f>SUM(T32+U32-V32)</f>
        <v>0</v>
      </c>
      <c r="X32" s="130"/>
      <c r="Y32" s="130"/>
      <c r="Z32" s="130">
        <f>SUM(W32+X32-Y32)</f>
        <v>0</v>
      </c>
      <c r="AA32" s="130"/>
      <c r="AB32" s="130"/>
      <c r="AC32" s="130">
        <f>SUM(Z32+AA32-AB32)</f>
        <v>0</v>
      </c>
      <c r="AD32" s="130"/>
      <c r="AE32" s="130"/>
      <c r="AF32" s="130">
        <f>SUM(AC32+AD32-AE32)</f>
        <v>0</v>
      </c>
    </row>
    <row r="33" spans="1:32" s="16" customFormat="1" ht="22.5" customHeight="1">
      <c r="A33" s="46" t="s">
        <v>15</v>
      </c>
      <c r="B33" s="6"/>
      <c r="C33" s="33"/>
      <c r="D33" s="31" t="s">
        <v>16</v>
      </c>
      <c r="E33" s="25">
        <f aca="true" t="shared" si="25" ref="E33:K33">SUM(E36)</f>
        <v>100000</v>
      </c>
      <c r="F33" s="25">
        <f t="shared" si="25"/>
        <v>0</v>
      </c>
      <c r="G33" s="25">
        <f t="shared" si="25"/>
        <v>0</v>
      </c>
      <c r="H33" s="25">
        <f t="shared" si="25"/>
        <v>100000</v>
      </c>
      <c r="I33" s="25">
        <f t="shared" si="25"/>
        <v>0</v>
      </c>
      <c r="J33" s="25">
        <f t="shared" si="25"/>
        <v>0</v>
      </c>
      <c r="K33" s="25">
        <f t="shared" si="25"/>
        <v>100000</v>
      </c>
      <c r="L33" s="25">
        <f aca="true" t="shared" si="26" ref="L33:Q33">SUM(L36)</f>
        <v>0</v>
      </c>
      <c r="M33" s="25">
        <f t="shared" si="26"/>
        <v>0</v>
      </c>
      <c r="N33" s="25">
        <f t="shared" si="26"/>
        <v>100000</v>
      </c>
      <c r="O33" s="25">
        <f t="shared" si="26"/>
        <v>0</v>
      </c>
      <c r="P33" s="25">
        <f t="shared" si="26"/>
        <v>0</v>
      </c>
      <c r="Q33" s="25">
        <f t="shared" si="26"/>
        <v>100000</v>
      </c>
      <c r="R33" s="25">
        <f aca="true" t="shared" si="27" ref="R33:W33">SUM(R36)</f>
        <v>0</v>
      </c>
      <c r="S33" s="25">
        <f t="shared" si="27"/>
        <v>0</v>
      </c>
      <c r="T33" s="25">
        <f t="shared" si="27"/>
        <v>100000</v>
      </c>
      <c r="U33" s="25">
        <f t="shared" si="27"/>
        <v>0</v>
      </c>
      <c r="V33" s="25">
        <f t="shared" si="27"/>
        <v>0</v>
      </c>
      <c r="W33" s="25">
        <f t="shared" si="27"/>
        <v>100000</v>
      </c>
      <c r="X33" s="25">
        <f aca="true" t="shared" si="28" ref="X33:AC33">SUM(X36)</f>
        <v>0</v>
      </c>
      <c r="Y33" s="25">
        <f t="shared" si="28"/>
        <v>0</v>
      </c>
      <c r="Z33" s="25">
        <f t="shared" si="28"/>
        <v>100000</v>
      </c>
      <c r="AA33" s="25">
        <f t="shared" si="28"/>
        <v>0</v>
      </c>
      <c r="AB33" s="25">
        <f t="shared" si="28"/>
        <v>0</v>
      </c>
      <c r="AC33" s="25">
        <f t="shared" si="28"/>
        <v>100000</v>
      </c>
      <c r="AD33" s="25">
        <f>SUM(AD36)</f>
        <v>10000</v>
      </c>
      <c r="AE33" s="25">
        <f>SUM(AE36)</f>
        <v>0</v>
      </c>
      <c r="AF33" s="25">
        <f>SUM(AF36)</f>
        <v>110000</v>
      </c>
    </row>
    <row r="34" spans="1:32" s="37" customFormat="1" ht="22.5" hidden="1">
      <c r="A34" s="103"/>
      <c r="B34" s="74"/>
      <c r="C34" s="104">
        <v>6050</v>
      </c>
      <c r="D34" s="19" t="s">
        <v>90</v>
      </c>
      <c r="E34" s="119" t="e">
        <f aca="true" t="shared" si="29" ref="E34:AF34">SUM(E35)</f>
        <v>#REF!</v>
      </c>
      <c r="F34" s="119">
        <f t="shared" si="29"/>
        <v>0</v>
      </c>
      <c r="G34" s="119">
        <f t="shared" si="29"/>
        <v>0</v>
      </c>
      <c r="H34" s="119" t="e">
        <f t="shared" si="29"/>
        <v>#REF!</v>
      </c>
      <c r="I34" s="119">
        <f t="shared" si="29"/>
        <v>0</v>
      </c>
      <c r="J34" s="119">
        <f t="shared" si="29"/>
        <v>0</v>
      </c>
      <c r="K34" s="119" t="e">
        <f t="shared" si="29"/>
        <v>#REF!</v>
      </c>
      <c r="L34" s="119">
        <f t="shared" si="29"/>
        <v>0</v>
      </c>
      <c r="M34" s="119">
        <f t="shared" si="29"/>
        <v>0</v>
      </c>
      <c r="N34" s="119" t="e">
        <f t="shared" si="29"/>
        <v>#REF!</v>
      </c>
      <c r="O34" s="119">
        <f t="shared" si="29"/>
        <v>0</v>
      </c>
      <c r="P34" s="119">
        <f t="shared" si="29"/>
        <v>0</v>
      </c>
      <c r="Q34" s="119" t="e">
        <f t="shared" si="29"/>
        <v>#REF!</v>
      </c>
      <c r="R34" s="119">
        <f t="shared" si="29"/>
        <v>0</v>
      </c>
      <c r="S34" s="119">
        <f t="shared" si="29"/>
        <v>0</v>
      </c>
      <c r="T34" s="119" t="e">
        <f t="shared" si="29"/>
        <v>#REF!</v>
      </c>
      <c r="U34" s="119">
        <f t="shared" si="29"/>
        <v>0</v>
      </c>
      <c r="V34" s="119">
        <f t="shared" si="29"/>
        <v>0</v>
      </c>
      <c r="W34" s="119" t="e">
        <f t="shared" si="29"/>
        <v>#REF!</v>
      </c>
      <c r="X34" s="119">
        <f t="shared" si="29"/>
        <v>0</v>
      </c>
      <c r="Y34" s="119">
        <f t="shared" si="29"/>
        <v>0</v>
      </c>
      <c r="Z34" s="119" t="e">
        <f t="shared" si="29"/>
        <v>#REF!</v>
      </c>
      <c r="AA34" s="119">
        <f t="shared" si="29"/>
        <v>0</v>
      </c>
      <c r="AB34" s="119">
        <f t="shared" si="29"/>
        <v>0</v>
      </c>
      <c r="AC34" s="119" t="e">
        <f t="shared" si="29"/>
        <v>#REF!</v>
      </c>
      <c r="AD34" s="119">
        <f t="shared" si="29"/>
        <v>0</v>
      </c>
      <c r="AE34" s="119">
        <f t="shared" si="29"/>
        <v>0</v>
      </c>
      <c r="AF34" s="119" t="e">
        <f t="shared" si="29"/>
        <v>#REF!</v>
      </c>
    </row>
    <row r="35" spans="1:32" s="41" customFormat="1" ht="27" customHeight="1" hidden="1">
      <c r="A35" s="70"/>
      <c r="B35" s="67"/>
      <c r="C35" s="139"/>
      <c r="D35" s="132" t="s">
        <v>269</v>
      </c>
      <c r="E35" s="130" t="e">
        <f>SUM(#REF!+#REF!-#REF!)</f>
        <v>#REF!</v>
      </c>
      <c r="F35" s="157"/>
      <c r="G35" s="130"/>
      <c r="H35" s="130" t="e">
        <f>SUM(E35+F35-G35)</f>
        <v>#REF!</v>
      </c>
      <c r="I35" s="157"/>
      <c r="J35" s="130"/>
      <c r="K35" s="130" t="e">
        <f>SUM(H35+I35-J35)</f>
        <v>#REF!</v>
      </c>
      <c r="L35" s="157"/>
      <c r="M35" s="130"/>
      <c r="N35" s="130" t="e">
        <f>SUM(K35+L35-M35)</f>
        <v>#REF!</v>
      </c>
      <c r="O35" s="157"/>
      <c r="P35" s="130"/>
      <c r="Q35" s="130" t="e">
        <f>SUM(N35+O35-P35)</f>
        <v>#REF!</v>
      </c>
      <c r="R35" s="157"/>
      <c r="S35" s="130"/>
      <c r="T35" s="130" t="e">
        <f>SUM(Q35+R35-S35)</f>
        <v>#REF!</v>
      </c>
      <c r="U35" s="157"/>
      <c r="V35" s="130"/>
      <c r="W35" s="130" t="e">
        <f>SUM(T35+U35-V35)</f>
        <v>#REF!</v>
      </c>
      <c r="X35" s="157"/>
      <c r="Y35" s="130"/>
      <c r="Z35" s="130" t="e">
        <f>SUM(W35+X35-Y35)</f>
        <v>#REF!</v>
      </c>
      <c r="AA35" s="157"/>
      <c r="AB35" s="130"/>
      <c r="AC35" s="130" t="e">
        <f>SUM(Z35+AA35-AB35)</f>
        <v>#REF!</v>
      </c>
      <c r="AD35" s="157"/>
      <c r="AE35" s="130"/>
      <c r="AF35" s="130" t="e">
        <f>SUM(AC35+AD35-AE35)</f>
        <v>#REF!</v>
      </c>
    </row>
    <row r="36" spans="1:32" s="37" customFormat="1" ht="26.25" customHeight="1">
      <c r="A36" s="103"/>
      <c r="B36" s="104">
        <v>70095</v>
      </c>
      <c r="C36" s="113"/>
      <c r="D36" s="19" t="s">
        <v>10</v>
      </c>
      <c r="E36" s="130">
        <f>E37</f>
        <v>100000</v>
      </c>
      <c r="F36" s="119">
        <f>SUM(F37)</f>
        <v>0</v>
      </c>
      <c r="G36" s="119">
        <f>SUM(G37)</f>
        <v>0</v>
      </c>
      <c r="H36" s="130">
        <f>SUM(E36+F36-G36)</f>
        <v>100000</v>
      </c>
      <c r="I36" s="119">
        <f>SUM(I37)</f>
        <v>0</v>
      </c>
      <c r="J36" s="119">
        <f>SUM(J37)</f>
        <v>0</v>
      </c>
      <c r="K36" s="130">
        <f>SUM(H36+I36-J36)</f>
        <v>100000</v>
      </c>
      <c r="L36" s="119">
        <f>SUM(L37)</f>
        <v>0</v>
      </c>
      <c r="M36" s="119">
        <f>SUM(M37)</f>
        <v>0</v>
      </c>
      <c r="N36" s="130">
        <f>SUM(K36+L36-M36)</f>
        <v>100000</v>
      </c>
      <c r="O36" s="119">
        <f>SUM(O37)</f>
        <v>0</v>
      </c>
      <c r="P36" s="119">
        <f>SUM(P37)</f>
        <v>0</v>
      </c>
      <c r="Q36" s="130">
        <f>SUM(N36+O36-P36)</f>
        <v>100000</v>
      </c>
      <c r="R36" s="119">
        <f>SUM(R37)</f>
        <v>0</v>
      </c>
      <c r="S36" s="119">
        <f>SUM(S37)</f>
        <v>0</v>
      </c>
      <c r="T36" s="126">
        <f aca="true" t="shared" si="30" ref="T36:Z36">SUM(T37,T39,)</f>
        <v>100000</v>
      </c>
      <c r="U36" s="126">
        <f t="shared" si="30"/>
        <v>0</v>
      </c>
      <c r="V36" s="126">
        <f t="shared" si="30"/>
        <v>0</v>
      </c>
      <c r="W36" s="126">
        <f t="shared" si="30"/>
        <v>100000</v>
      </c>
      <c r="X36" s="126">
        <f t="shared" si="30"/>
        <v>0</v>
      </c>
      <c r="Y36" s="126">
        <f t="shared" si="30"/>
        <v>0</v>
      </c>
      <c r="Z36" s="126">
        <f t="shared" si="30"/>
        <v>100000</v>
      </c>
      <c r="AA36" s="126">
        <f aca="true" t="shared" si="31" ref="AA36:AF36">SUM(AA37,AA39,)</f>
        <v>0</v>
      </c>
      <c r="AB36" s="126">
        <f t="shared" si="31"/>
        <v>0</v>
      </c>
      <c r="AC36" s="126">
        <f t="shared" si="31"/>
        <v>100000</v>
      </c>
      <c r="AD36" s="126">
        <f t="shared" si="31"/>
        <v>10000</v>
      </c>
      <c r="AE36" s="126">
        <f t="shared" si="31"/>
        <v>0</v>
      </c>
      <c r="AF36" s="126">
        <f t="shared" si="31"/>
        <v>110000</v>
      </c>
    </row>
    <row r="37" spans="1:32" s="37" customFormat="1" ht="30" customHeight="1">
      <c r="A37" s="103"/>
      <c r="B37" s="104"/>
      <c r="C37" s="105">
        <v>6050</v>
      </c>
      <c r="D37" s="19" t="s">
        <v>90</v>
      </c>
      <c r="E37" s="119">
        <f aca="true" t="shared" si="32" ref="E37:S37">SUM(E40)</f>
        <v>100000</v>
      </c>
      <c r="F37" s="119">
        <f t="shared" si="32"/>
        <v>0</v>
      </c>
      <c r="G37" s="119">
        <f t="shared" si="32"/>
        <v>0</v>
      </c>
      <c r="H37" s="119">
        <f t="shared" si="32"/>
        <v>100000</v>
      </c>
      <c r="I37" s="119">
        <f t="shared" si="32"/>
        <v>0</v>
      </c>
      <c r="J37" s="119">
        <f t="shared" si="32"/>
        <v>0</v>
      </c>
      <c r="K37" s="119">
        <f t="shared" si="32"/>
        <v>100000</v>
      </c>
      <c r="L37" s="119">
        <f t="shared" si="32"/>
        <v>0</v>
      </c>
      <c r="M37" s="119">
        <f t="shared" si="32"/>
        <v>0</v>
      </c>
      <c r="N37" s="119">
        <f t="shared" si="32"/>
        <v>100000</v>
      </c>
      <c r="O37" s="119">
        <f t="shared" si="32"/>
        <v>0</v>
      </c>
      <c r="P37" s="119">
        <f t="shared" si="32"/>
        <v>0</v>
      </c>
      <c r="Q37" s="119">
        <f t="shared" si="32"/>
        <v>100000</v>
      </c>
      <c r="R37" s="119">
        <f t="shared" si="32"/>
        <v>0</v>
      </c>
      <c r="S37" s="119">
        <f t="shared" si="32"/>
        <v>0</v>
      </c>
      <c r="T37" s="119">
        <f aca="true" t="shared" si="33" ref="T37:AF37">SUM(T38)</f>
        <v>100000</v>
      </c>
      <c r="U37" s="119">
        <f t="shared" si="33"/>
        <v>0</v>
      </c>
      <c r="V37" s="119">
        <f t="shared" si="33"/>
        <v>0</v>
      </c>
      <c r="W37" s="119">
        <f t="shared" si="33"/>
        <v>100000</v>
      </c>
      <c r="X37" s="119">
        <f t="shared" si="33"/>
        <v>0</v>
      </c>
      <c r="Y37" s="119">
        <f t="shared" si="33"/>
        <v>0</v>
      </c>
      <c r="Z37" s="119">
        <f t="shared" si="33"/>
        <v>100000</v>
      </c>
      <c r="AA37" s="119">
        <f t="shared" si="33"/>
        <v>0</v>
      </c>
      <c r="AB37" s="119">
        <f t="shared" si="33"/>
        <v>0</v>
      </c>
      <c r="AC37" s="119">
        <f t="shared" si="33"/>
        <v>100000</v>
      </c>
      <c r="AD37" s="119">
        <f t="shared" si="33"/>
        <v>10000</v>
      </c>
      <c r="AE37" s="119">
        <f t="shared" si="33"/>
        <v>0</v>
      </c>
      <c r="AF37" s="119">
        <f t="shared" si="33"/>
        <v>110000</v>
      </c>
    </row>
    <row r="38" spans="1:32" s="41" customFormat="1" ht="24" customHeight="1">
      <c r="A38" s="70"/>
      <c r="B38" s="139"/>
      <c r="C38" s="168"/>
      <c r="D38" s="72" t="s">
        <v>549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>
        <v>100000</v>
      </c>
      <c r="U38" s="73"/>
      <c r="V38" s="73"/>
      <c r="W38" s="130">
        <f>SUM(T38+U38-V38)</f>
        <v>100000</v>
      </c>
      <c r="X38" s="73"/>
      <c r="Y38" s="73"/>
      <c r="Z38" s="130">
        <f>SUM(W38+X38-Y38)</f>
        <v>100000</v>
      </c>
      <c r="AA38" s="73"/>
      <c r="AB38" s="73"/>
      <c r="AC38" s="130">
        <f>SUM(Z38+AA38-AB38)</f>
        <v>100000</v>
      </c>
      <c r="AD38" s="73">
        <f>90000-80000</f>
        <v>10000</v>
      </c>
      <c r="AE38" s="73"/>
      <c r="AF38" s="130">
        <f>SUM(AC38+AD38-AE38)</f>
        <v>110000</v>
      </c>
    </row>
    <row r="39" spans="1:32" s="37" customFormat="1" ht="24" customHeight="1" hidden="1">
      <c r="A39" s="103"/>
      <c r="B39" s="104"/>
      <c r="C39" s="105">
        <v>6060</v>
      </c>
      <c r="D39" s="19" t="s">
        <v>113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>
        <f aca="true" t="shared" si="34" ref="T39:AF39">SUM(T40)</f>
        <v>0</v>
      </c>
      <c r="U39" s="119">
        <f t="shared" si="34"/>
        <v>0</v>
      </c>
      <c r="V39" s="119">
        <f t="shared" si="34"/>
        <v>0</v>
      </c>
      <c r="W39" s="119">
        <f t="shared" si="34"/>
        <v>0</v>
      </c>
      <c r="X39" s="119">
        <f t="shared" si="34"/>
        <v>0</v>
      </c>
      <c r="Y39" s="119">
        <f t="shared" si="34"/>
        <v>0</v>
      </c>
      <c r="Z39" s="119">
        <f t="shared" si="34"/>
        <v>0</v>
      </c>
      <c r="AA39" s="119">
        <f t="shared" si="34"/>
        <v>0</v>
      </c>
      <c r="AB39" s="119">
        <f t="shared" si="34"/>
        <v>0</v>
      </c>
      <c r="AC39" s="119">
        <f t="shared" si="34"/>
        <v>0</v>
      </c>
      <c r="AD39" s="119">
        <f t="shared" si="34"/>
        <v>0</v>
      </c>
      <c r="AE39" s="119">
        <f t="shared" si="34"/>
        <v>0</v>
      </c>
      <c r="AF39" s="119">
        <f t="shared" si="34"/>
        <v>0</v>
      </c>
    </row>
    <row r="40" spans="1:32" s="37" customFormat="1" ht="34.5" customHeight="1" hidden="1">
      <c r="A40" s="70"/>
      <c r="B40" s="67"/>
      <c r="C40" s="71"/>
      <c r="D40" s="72" t="s">
        <v>550</v>
      </c>
      <c r="E40" s="130">
        <v>100000</v>
      </c>
      <c r="F40" s="130"/>
      <c r="G40" s="156"/>
      <c r="H40" s="130">
        <f>SUM(E40+F40-G40)</f>
        <v>100000</v>
      </c>
      <c r="I40" s="130"/>
      <c r="J40" s="156"/>
      <c r="K40" s="130">
        <f>SUM(H40+I40-J40)</f>
        <v>100000</v>
      </c>
      <c r="L40" s="130"/>
      <c r="M40" s="156"/>
      <c r="N40" s="130">
        <f>SUM(K40+L40-M40)</f>
        <v>100000</v>
      </c>
      <c r="O40" s="130"/>
      <c r="P40" s="156"/>
      <c r="Q40" s="130">
        <f>SUM(N40+O40-P40)</f>
        <v>100000</v>
      </c>
      <c r="R40" s="130"/>
      <c r="S40" s="156"/>
      <c r="T40" s="130">
        <v>0</v>
      </c>
      <c r="U40" s="130"/>
      <c r="V40" s="156"/>
      <c r="W40" s="130">
        <f>SUM(T40+U40-V40)</f>
        <v>0</v>
      </c>
      <c r="X40" s="130"/>
      <c r="Y40" s="156"/>
      <c r="Z40" s="130">
        <f>SUM(W40+X40-Y40)</f>
        <v>0</v>
      </c>
      <c r="AA40" s="130"/>
      <c r="AB40" s="156"/>
      <c r="AC40" s="130">
        <f>SUM(Z40+AA40-AB40)</f>
        <v>0</v>
      </c>
      <c r="AD40" s="130"/>
      <c r="AE40" s="156"/>
      <c r="AF40" s="130">
        <f>SUM(AC40+AD40-AE40)</f>
        <v>0</v>
      </c>
    </row>
    <row r="41" spans="1:32" s="59" customFormat="1" ht="22.5" customHeight="1">
      <c r="A41" s="46">
        <v>750</v>
      </c>
      <c r="B41" s="6"/>
      <c r="C41" s="18"/>
      <c r="D41" s="31" t="s">
        <v>100</v>
      </c>
      <c r="E41" s="60">
        <f>E42</f>
        <v>30000</v>
      </c>
      <c r="F41" s="60">
        <f aca="true" t="shared" si="35" ref="F41:U42">F42</f>
        <v>0</v>
      </c>
      <c r="G41" s="60">
        <f t="shared" si="35"/>
        <v>0</v>
      </c>
      <c r="H41" s="60">
        <f t="shared" si="35"/>
        <v>30000</v>
      </c>
      <c r="I41" s="60">
        <f t="shared" si="35"/>
        <v>0</v>
      </c>
      <c r="J41" s="60">
        <f t="shared" si="35"/>
        <v>0</v>
      </c>
      <c r="K41" s="60">
        <f t="shared" si="35"/>
        <v>30000</v>
      </c>
      <c r="L41" s="60">
        <f t="shared" si="35"/>
        <v>0</v>
      </c>
      <c r="M41" s="60">
        <f t="shared" si="35"/>
        <v>0</v>
      </c>
      <c r="N41" s="60">
        <f t="shared" si="35"/>
        <v>30000</v>
      </c>
      <c r="O41" s="60">
        <f t="shared" si="35"/>
        <v>0</v>
      </c>
      <c r="P41" s="60">
        <f t="shared" si="35"/>
        <v>0</v>
      </c>
      <c r="Q41" s="60">
        <f t="shared" si="35"/>
        <v>30000</v>
      </c>
      <c r="R41" s="60">
        <f t="shared" si="35"/>
        <v>0</v>
      </c>
      <c r="S41" s="60">
        <f t="shared" si="35"/>
        <v>0</v>
      </c>
      <c r="T41" s="60">
        <f t="shared" si="35"/>
        <v>30000</v>
      </c>
      <c r="U41" s="60">
        <f t="shared" si="35"/>
        <v>0</v>
      </c>
      <c r="V41" s="60">
        <f aca="true" t="shared" si="36" ref="U41:AF42">V42</f>
        <v>0</v>
      </c>
      <c r="W41" s="60">
        <f t="shared" si="36"/>
        <v>30000</v>
      </c>
      <c r="X41" s="60">
        <f t="shared" si="36"/>
        <v>0</v>
      </c>
      <c r="Y41" s="60">
        <f t="shared" si="36"/>
        <v>0</v>
      </c>
      <c r="Z41" s="60">
        <f t="shared" si="36"/>
        <v>30000</v>
      </c>
      <c r="AA41" s="60">
        <f t="shared" si="36"/>
        <v>0</v>
      </c>
      <c r="AB41" s="60">
        <f t="shared" si="36"/>
        <v>0</v>
      </c>
      <c r="AC41" s="60">
        <f t="shared" si="36"/>
        <v>30000</v>
      </c>
      <c r="AD41" s="60">
        <f t="shared" si="36"/>
        <v>0</v>
      </c>
      <c r="AE41" s="60">
        <f t="shared" si="36"/>
        <v>0</v>
      </c>
      <c r="AF41" s="60">
        <f t="shared" si="36"/>
        <v>30000</v>
      </c>
    </row>
    <row r="42" spans="1:32" s="37" customFormat="1" ht="25.5" customHeight="1">
      <c r="A42" s="103"/>
      <c r="B42" s="116" t="s">
        <v>25</v>
      </c>
      <c r="C42" s="120"/>
      <c r="D42" s="56" t="s">
        <v>26</v>
      </c>
      <c r="E42" s="126">
        <f>E43</f>
        <v>30000</v>
      </c>
      <c r="F42" s="126">
        <f t="shared" si="35"/>
        <v>0</v>
      </c>
      <c r="G42" s="126">
        <f t="shared" si="35"/>
        <v>0</v>
      </c>
      <c r="H42" s="126">
        <f t="shared" si="35"/>
        <v>30000</v>
      </c>
      <c r="I42" s="126">
        <f t="shared" si="35"/>
        <v>0</v>
      </c>
      <c r="J42" s="126">
        <f t="shared" si="35"/>
        <v>0</v>
      </c>
      <c r="K42" s="126">
        <f t="shared" si="35"/>
        <v>30000</v>
      </c>
      <c r="L42" s="126">
        <f t="shared" si="35"/>
        <v>0</v>
      </c>
      <c r="M42" s="126">
        <f t="shared" si="35"/>
        <v>0</v>
      </c>
      <c r="N42" s="126">
        <f t="shared" si="35"/>
        <v>30000</v>
      </c>
      <c r="O42" s="126">
        <f t="shared" si="35"/>
        <v>0</v>
      </c>
      <c r="P42" s="126">
        <f t="shared" si="35"/>
        <v>0</v>
      </c>
      <c r="Q42" s="126">
        <f t="shared" si="35"/>
        <v>30000</v>
      </c>
      <c r="R42" s="126">
        <f t="shared" si="35"/>
        <v>0</v>
      </c>
      <c r="S42" s="126">
        <f t="shared" si="35"/>
        <v>0</v>
      </c>
      <c r="T42" s="126">
        <f t="shared" si="35"/>
        <v>30000</v>
      </c>
      <c r="U42" s="126">
        <f t="shared" si="36"/>
        <v>0</v>
      </c>
      <c r="V42" s="126">
        <f t="shared" si="36"/>
        <v>0</v>
      </c>
      <c r="W42" s="126">
        <f t="shared" si="36"/>
        <v>30000</v>
      </c>
      <c r="X42" s="126">
        <f t="shared" si="36"/>
        <v>0</v>
      </c>
      <c r="Y42" s="126">
        <f t="shared" si="36"/>
        <v>0</v>
      </c>
      <c r="Z42" s="126">
        <f t="shared" si="36"/>
        <v>30000</v>
      </c>
      <c r="AA42" s="126">
        <f t="shared" si="36"/>
        <v>0</v>
      </c>
      <c r="AB42" s="126">
        <f t="shared" si="36"/>
        <v>0</v>
      </c>
      <c r="AC42" s="126">
        <f t="shared" si="36"/>
        <v>30000</v>
      </c>
      <c r="AD42" s="126">
        <f t="shared" si="36"/>
        <v>0</v>
      </c>
      <c r="AE42" s="126">
        <f t="shared" si="36"/>
        <v>0</v>
      </c>
      <c r="AF42" s="126">
        <f t="shared" si="36"/>
        <v>30000</v>
      </c>
    </row>
    <row r="43" spans="1:32" s="37" customFormat="1" ht="23.25" customHeight="1">
      <c r="A43" s="103"/>
      <c r="B43" s="74"/>
      <c r="C43" s="106">
        <v>6060</v>
      </c>
      <c r="D43" s="19" t="s">
        <v>113</v>
      </c>
      <c r="E43" s="126">
        <f aca="true" t="shared" si="37" ref="E43:AF43">SUM(E44)</f>
        <v>30000</v>
      </c>
      <c r="F43" s="126">
        <f t="shared" si="37"/>
        <v>0</v>
      </c>
      <c r="G43" s="126">
        <f t="shared" si="37"/>
        <v>0</v>
      </c>
      <c r="H43" s="126">
        <f t="shared" si="37"/>
        <v>30000</v>
      </c>
      <c r="I43" s="126">
        <f t="shared" si="37"/>
        <v>0</v>
      </c>
      <c r="J43" s="126">
        <f t="shared" si="37"/>
        <v>0</v>
      </c>
      <c r="K43" s="126">
        <f t="shared" si="37"/>
        <v>30000</v>
      </c>
      <c r="L43" s="126">
        <f t="shared" si="37"/>
        <v>0</v>
      </c>
      <c r="M43" s="126">
        <f t="shared" si="37"/>
        <v>0</v>
      </c>
      <c r="N43" s="126">
        <f t="shared" si="37"/>
        <v>30000</v>
      </c>
      <c r="O43" s="126">
        <f t="shared" si="37"/>
        <v>0</v>
      </c>
      <c r="P43" s="126">
        <f t="shared" si="37"/>
        <v>0</v>
      </c>
      <c r="Q43" s="126">
        <f t="shared" si="37"/>
        <v>30000</v>
      </c>
      <c r="R43" s="126">
        <f t="shared" si="37"/>
        <v>0</v>
      </c>
      <c r="S43" s="126">
        <f t="shared" si="37"/>
        <v>0</v>
      </c>
      <c r="T43" s="126">
        <f t="shared" si="37"/>
        <v>30000</v>
      </c>
      <c r="U43" s="126">
        <f t="shared" si="37"/>
        <v>0</v>
      </c>
      <c r="V43" s="126">
        <f t="shared" si="37"/>
        <v>0</v>
      </c>
      <c r="W43" s="126">
        <f t="shared" si="37"/>
        <v>30000</v>
      </c>
      <c r="X43" s="126">
        <f t="shared" si="37"/>
        <v>0</v>
      </c>
      <c r="Y43" s="126">
        <f t="shared" si="37"/>
        <v>0</v>
      </c>
      <c r="Z43" s="126">
        <f t="shared" si="37"/>
        <v>30000</v>
      </c>
      <c r="AA43" s="126">
        <f t="shared" si="37"/>
        <v>0</v>
      </c>
      <c r="AB43" s="126">
        <f t="shared" si="37"/>
        <v>0</v>
      </c>
      <c r="AC43" s="126">
        <f t="shared" si="37"/>
        <v>30000</v>
      </c>
      <c r="AD43" s="126">
        <f t="shared" si="37"/>
        <v>0</v>
      </c>
      <c r="AE43" s="126">
        <f t="shared" si="37"/>
        <v>0</v>
      </c>
      <c r="AF43" s="126">
        <f t="shared" si="37"/>
        <v>30000</v>
      </c>
    </row>
    <row r="44" spans="1:32" s="41" customFormat="1" ht="27" customHeight="1">
      <c r="A44" s="70"/>
      <c r="B44" s="67"/>
      <c r="C44" s="71"/>
      <c r="D44" s="72" t="s">
        <v>179</v>
      </c>
      <c r="E44" s="130">
        <v>30000</v>
      </c>
      <c r="F44" s="157"/>
      <c r="G44" s="157"/>
      <c r="H44" s="130">
        <f>SUM(E44+F44-G44)</f>
        <v>30000</v>
      </c>
      <c r="I44" s="157"/>
      <c r="J44" s="157"/>
      <c r="K44" s="130">
        <f>SUM(H44+I44-J44)</f>
        <v>30000</v>
      </c>
      <c r="L44" s="157"/>
      <c r="M44" s="157"/>
      <c r="N44" s="130">
        <f>SUM(K44+L44-M44)</f>
        <v>30000</v>
      </c>
      <c r="O44" s="157"/>
      <c r="P44" s="157"/>
      <c r="Q44" s="130">
        <f>SUM(N44+O44-P44)</f>
        <v>30000</v>
      </c>
      <c r="R44" s="157"/>
      <c r="S44" s="157"/>
      <c r="T44" s="130">
        <f>SUM(Q44+R44-S44)</f>
        <v>30000</v>
      </c>
      <c r="U44" s="157"/>
      <c r="V44" s="157"/>
      <c r="W44" s="130">
        <f>SUM(T44+U44-V44)</f>
        <v>30000</v>
      </c>
      <c r="X44" s="157"/>
      <c r="Y44" s="157"/>
      <c r="Z44" s="130">
        <f>SUM(W44+X44-Y44)</f>
        <v>30000</v>
      </c>
      <c r="AA44" s="157"/>
      <c r="AB44" s="157"/>
      <c r="AC44" s="130">
        <f>SUM(Z44+AA44-AB44)</f>
        <v>30000</v>
      </c>
      <c r="AD44" s="157"/>
      <c r="AE44" s="157"/>
      <c r="AF44" s="130">
        <f>SUM(AC44+AD44-AE44)</f>
        <v>30000</v>
      </c>
    </row>
    <row r="45" spans="1:32" s="59" customFormat="1" ht="28.5" customHeight="1">
      <c r="A45" s="46">
        <v>754</v>
      </c>
      <c r="B45" s="6"/>
      <c r="C45" s="18"/>
      <c r="D45" s="31" t="s">
        <v>30</v>
      </c>
      <c r="E45" s="60">
        <f aca="true" t="shared" si="38" ref="E45:U47">SUM(E46)</f>
        <v>70000</v>
      </c>
      <c r="F45" s="60">
        <f t="shared" si="38"/>
        <v>0</v>
      </c>
      <c r="G45" s="60">
        <f t="shared" si="38"/>
        <v>0</v>
      </c>
      <c r="H45" s="60">
        <f t="shared" si="38"/>
        <v>70000</v>
      </c>
      <c r="I45" s="60">
        <f t="shared" si="38"/>
        <v>0</v>
      </c>
      <c r="J45" s="60">
        <f t="shared" si="38"/>
        <v>0</v>
      </c>
      <c r="K45" s="60">
        <f t="shared" si="38"/>
        <v>70000</v>
      </c>
      <c r="L45" s="60">
        <f t="shared" si="38"/>
        <v>0</v>
      </c>
      <c r="M45" s="60">
        <f t="shared" si="38"/>
        <v>0</v>
      </c>
      <c r="N45" s="60">
        <f t="shared" si="38"/>
        <v>70000</v>
      </c>
      <c r="O45" s="60">
        <f t="shared" si="38"/>
        <v>0</v>
      </c>
      <c r="P45" s="60">
        <f t="shared" si="38"/>
        <v>0</v>
      </c>
      <c r="Q45" s="60">
        <f t="shared" si="38"/>
        <v>70000</v>
      </c>
      <c r="R45" s="60">
        <f t="shared" si="38"/>
        <v>0</v>
      </c>
      <c r="S45" s="60">
        <f t="shared" si="38"/>
        <v>0</v>
      </c>
      <c r="T45" s="60">
        <f t="shared" si="38"/>
        <v>70000</v>
      </c>
      <c r="U45" s="60">
        <f t="shared" si="38"/>
        <v>0</v>
      </c>
      <c r="V45" s="60">
        <f aca="true" t="shared" si="39" ref="U45:AF47">SUM(V46)</f>
        <v>0</v>
      </c>
      <c r="W45" s="60">
        <f t="shared" si="39"/>
        <v>70000</v>
      </c>
      <c r="X45" s="60">
        <f t="shared" si="39"/>
        <v>1000</v>
      </c>
      <c r="Y45" s="60">
        <f t="shared" si="39"/>
        <v>0</v>
      </c>
      <c r="Z45" s="60">
        <f t="shared" si="39"/>
        <v>71000</v>
      </c>
      <c r="AA45" s="60">
        <f t="shared" si="39"/>
        <v>0</v>
      </c>
      <c r="AB45" s="60">
        <f t="shared" si="39"/>
        <v>0</v>
      </c>
      <c r="AC45" s="60">
        <f t="shared" si="39"/>
        <v>71000</v>
      </c>
      <c r="AD45" s="60">
        <f t="shared" si="39"/>
        <v>0</v>
      </c>
      <c r="AE45" s="60">
        <f t="shared" si="39"/>
        <v>0</v>
      </c>
      <c r="AF45" s="60">
        <f t="shared" si="39"/>
        <v>71000</v>
      </c>
    </row>
    <row r="46" spans="1:32" s="37" customFormat="1" ht="28.5" customHeight="1">
      <c r="A46" s="103"/>
      <c r="B46" s="74">
        <v>75412</v>
      </c>
      <c r="C46" s="106"/>
      <c r="D46" s="19" t="s">
        <v>117</v>
      </c>
      <c r="E46" s="126">
        <f>E47</f>
        <v>70000</v>
      </c>
      <c r="F46" s="126">
        <f t="shared" si="38"/>
        <v>0</v>
      </c>
      <c r="G46" s="126">
        <f t="shared" si="38"/>
        <v>0</v>
      </c>
      <c r="H46" s="126">
        <f>E46+F46-G46</f>
        <v>70000</v>
      </c>
      <c r="I46" s="126">
        <f t="shared" si="38"/>
        <v>0</v>
      </c>
      <c r="J46" s="126">
        <f t="shared" si="38"/>
        <v>0</v>
      </c>
      <c r="K46" s="126">
        <f>H46+I46-J46</f>
        <v>70000</v>
      </c>
      <c r="L46" s="126">
        <f t="shared" si="38"/>
        <v>0</v>
      </c>
      <c r="M46" s="126">
        <f t="shared" si="38"/>
        <v>0</v>
      </c>
      <c r="N46" s="126">
        <f>K46+L46-M46</f>
        <v>70000</v>
      </c>
      <c r="O46" s="126">
        <f t="shared" si="38"/>
        <v>0</v>
      </c>
      <c r="P46" s="126">
        <f t="shared" si="38"/>
        <v>0</v>
      </c>
      <c r="Q46" s="126">
        <f>N46+O46-P46</f>
        <v>70000</v>
      </c>
      <c r="R46" s="126">
        <f t="shared" si="38"/>
        <v>0</v>
      </c>
      <c r="S46" s="126">
        <f t="shared" si="38"/>
        <v>0</v>
      </c>
      <c r="T46" s="126">
        <f>Q46+R46-S46</f>
        <v>70000</v>
      </c>
      <c r="U46" s="126">
        <f t="shared" si="39"/>
        <v>0</v>
      </c>
      <c r="V46" s="126">
        <f t="shared" si="39"/>
        <v>0</v>
      </c>
      <c r="W46" s="126">
        <f>T46+U46-V46</f>
        <v>70000</v>
      </c>
      <c r="X46" s="126">
        <f t="shared" si="39"/>
        <v>1000</v>
      </c>
      <c r="Y46" s="126">
        <f t="shared" si="39"/>
        <v>0</v>
      </c>
      <c r="Z46" s="126">
        <f>W46+X46-Y46</f>
        <v>71000</v>
      </c>
      <c r="AA46" s="126">
        <f t="shared" si="39"/>
        <v>0</v>
      </c>
      <c r="AB46" s="126">
        <f t="shared" si="39"/>
        <v>0</v>
      </c>
      <c r="AC46" s="126">
        <f>Z46+AA46-AB46</f>
        <v>71000</v>
      </c>
      <c r="AD46" s="126">
        <f t="shared" si="39"/>
        <v>0</v>
      </c>
      <c r="AE46" s="126">
        <f t="shared" si="39"/>
        <v>0</v>
      </c>
      <c r="AF46" s="126">
        <f>AC46+AD46-AE46</f>
        <v>71000</v>
      </c>
    </row>
    <row r="47" spans="1:32" s="37" customFormat="1" ht="29.25" customHeight="1">
      <c r="A47" s="70"/>
      <c r="B47" s="67"/>
      <c r="C47" s="106">
        <v>6050</v>
      </c>
      <c r="D47" s="19" t="s">
        <v>90</v>
      </c>
      <c r="E47" s="126">
        <f t="shared" si="38"/>
        <v>70000</v>
      </c>
      <c r="F47" s="126">
        <f t="shared" si="38"/>
        <v>0</v>
      </c>
      <c r="G47" s="126">
        <f t="shared" si="38"/>
        <v>0</v>
      </c>
      <c r="H47" s="126">
        <f t="shared" si="38"/>
        <v>70000</v>
      </c>
      <c r="I47" s="126">
        <f t="shared" si="38"/>
        <v>0</v>
      </c>
      <c r="J47" s="126">
        <f t="shared" si="38"/>
        <v>0</v>
      </c>
      <c r="K47" s="126">
        <f t="shared" si="38"/>
        <v>70000</v>
      </c>
      <c r="L47" s="126">
        <f t="shared" si="38"/>
        <v>0</v>
      </c>
      <c r="M47" s="126">
        <f t="shared" si="38"/>
        <v>0</v>
      </c>
      <c r="N47" s="126">
        <f t="shared" si="38"/>
        <v>70000</v>
      </c>
      <c r="O47" s="126">
        <f t="shared" si="38"/>
        <v>0</v>
      </c>
      <c r="P47" s="126">
        <f t="shared" si="38"/>
        <v>0</v>
      </c>
      <c r="Q47" s="126">
        <f t="shared" si="38"/>
        <v>70000</v>
      </c>
      <c r="R47" s="126">
        <f t="shared" si="38"/>
        <v>0</v>
      </c>
      <c r="S47" s="126">
        <f t="shared" si="38"/>
        <v>0</v>
      </c>
      <c r="T47" s="126">
        <f t="shared" si="38"/>
        <v>70000</v>
      </c>
      <c r="U47" s="126">
        <f t="shared" si="39"/>
        <v>0</v>
      </c>
      <c r="V47" s="126">
        <f t="shared" si="39"/>
        <v>0</v>
      </c>
      <c r="W47" s="126">
        <f t="shared" si="39"/>
        <v>70000</v>
      </c>
      <c r="X47" s="126">
        <f t="shared" si="39"/>
        <v>1000</v>
      </c>
      <c r="Y47" s="126">
        <f t="shared" si="39"/>
        <v>0</v>
      </c>
      <c r="Z47" s="126">
        <f t="shared" si="39"/>
        <v>71000</v>
      </c>
      <c r="AA47" s="126">
        <f t="shared" si="39"/>
        <v>0</v>
      </c>
      <c r="AB47" s="126">
        <f t="shared" si="39"/>
        <v>0</v>
      </c>
      <c r="AC47" s="126">
        <f t="shared" si="39"/>
        <v>71000</v>
      </c>
      <c r="AD47" s="126">
        <f t="shared" si="39"/>
        <v>0</v>
      </c>
      <c r="AE47" s="126">
        <f t="shared" si="39"/>
        <v>0</v>
      </c>
      <c r="AF47" s="126">
        <f t="shared" si="39"/>
        <v>71000</v>
      </c>
    </row>
    <row r="48" spans="1:32" s="37" customFormat="1" ht="19.5" customHeight="1">
      <c r="A48" s="70"/>
      <c r="B48" s="67"/>
      <c r="C48" s="71"/>
      <c r="D48" s="72" t="s">
        <v>289</v>
      </c>
      <c r="E48" s="130">
        <v>70000</v>
      </c>
      <c r="F48" s="130"/>
      <c r="G48" s="157"/>
      <c r="H48" s="130">
        <f>SUM(E48+F48-G48)</f>
        <v>70000</v>
      </c>
      <c r="I48" s="130"/>
      <c r="J48" s="157"/>
      <c r="K48" s="130">
        <f>SUM(H48+I48-J48)</f>
        <v>70000</v>
      </c>
      <c r="L48" s="130"/>
      <c r="M48" s="157"/>
      <c r="N48" s="130">
        <f>SUM(K48+L48-M48)</f>
        <v>70000</v>
      </c>
      <c r="O48" s="130"/>
      <c r="P48" s="157"/>
      <c r="Q48" s="130">
        <f>SUM(N48+O48-P48)</f>
        <v>70000</v>
      </c>
      <c r="R48" s="130"/>
      <c r="S48" s="157"/>
      <c r="T48" s="130">
        <f>SUM(Q48+R48-S48)</f>
        <v>70000</v>
      </c>
      <c r="U48" s="130"/>
      <c r="V48" s="157"/>
      <c r="W48" s="130">
        <f>SUM(T48+U48-V48)</f>
        <v>70000</v>
      </c>
      <c r="X48" s="130">
        <v>1000</v>
      </c>
      <c r="Y48" s="157"/>
      <c r="Z48" s="130">
        <f>SUM(W48+X48-Y48)</f>
        <v>71000</v>
      </c>
      <c r="AA48" s="130"/>
      <c r="AB48" s="157"/>
      <c r="AC48" s="130">
        <f>SUM(Z48+AA48-AB48)</f>
        <v>71000</v>
      </c>
      <c r="AD48" s="130"/>
      <c r="AE48" s="157"/>
      <c r="AF48" s="130">
        <f>SUM(AC48+AD48-AE48)</f>
        <v>71000</v>
      </c>
    </row>
    <row r="49" spans="1:32" s="59" customFormat="1" ht="27" customHeight="1">
      <c r="A49" s="46">
        <v>801</v>
      </c>
      <c r="B49" s="6"/>
      <c r="C49" s="18"/>
      <c r="D49" s="31" t="s">
        <v>128</v>
      </c>
      <c r="E49" s="25">
        <f>SUM(E50)</f>
        <v>3500</v>
      </c>
      <c r="F49" s="25">
        <f>SUM(F50)</f>
        <v>0</v>
      </c>
      <c r="G49" s="25">
        <f>SUM(G50)</f>
        <v>0</v>
      </c>
      <c r="H49" s="130">
        <f>E49+F49-G49</f>
        <v>3500</v>
      </c>
      <c r="I49" s="25">
        <f>SUM(I50)</f>
        <v>0</v>
      </c>
      <c r="J49" s="25">
        <f>SUM(J50)</f>
        <v>0</v>
      </c>
      <c r="K49" s="130">
        <f>H49+I49-J49</f>
        <v>3500</v>
      </c>
      <c r="L49" s="25">
        <f>SUM(L50)</f>
        <v>0</v>
      </c>
      <c r="M49" s="25">
        <f>SUM(M50)</f>
        <v>0</v>
      </c>
      <c r="N49" s="130">
        <f>K49+L49-M49</f>
        <v>3500</v>
      </c>
      <c r="O49" s="25">
        <f>SUM(O50)</f>
        <v>0</v>
      </c>
      <c r="P49" s="25">
        <f>SUM(P50)</f>
        <v>0</v>
      </c>
      <c r="Q49" s="130">
        <f>N49+O49-P49</f>
        <v>3500</v>
      </c>
      <c r="R49" s="25">
        <f>SUM(R50)</f>
        <v>0</v>
      </c>
      <c r="S49" s="25">
        <f>SUM(S50)</f>
        <v>0</v>
      </c>
      <c r="T49" s="130">
        <f>Q49+R49-S49</f>
        <v>3500</v>
      </c>
      <c r="U49" s="25">
        <f>SUM(U50)</f>
        <v>0</v>
      </c>
      <c r="V49" s="25">
        <f>SUM(V50)</f>
        <v>0</v>
      </c>
      <c r="W49" s="130">
        <f>T49+U49-V49</f>
        <v>3500</v>
      </c>
      <c r="X49" s="25">
        <f>SUM(X50)</f>
        <v>0</v>
      </c>
      <c r="Y49" s="25">
        <f>SUM(Y50)</f>
        <v>0</v>
      </c>
      <c r="Z49" s="130">
        <f>W49+X49-Y49</f>
        <v>3500</v>
      </c>
      <c r="AA49" s="25">
        <f>SUM(AA50)</f>
        <v>0</v>
      </c>
      <c r="AB49" s="25">
        <f>SUM(AB50)</f>
        <v>434</v>
      </c>
      <c r="AC49" s="130">
        <f>Z49+AA49-AB49</f>
        <v>3066</v>
      </c>
      <c r="AD49" s="25">
        <f>SUM(AD50)</f>
        <v>0</v>
      </c>
      <c r="AE49" s="25">
        <f>SUM(AE50)</f>
        <v>0</v>
      </c>
      <c r="AF49" s="130">
        <f>AC49+AD49-AE49</f>
        <v>3066</v>
      </c>
    </row>
    <row r="50" spans="1:32" s="37" customFormat="1" ht="22.5" customHeight="1">
      <c r="A50" s="103"/>
      <c r="B50" s="74">
        <v>80110</v>
      </c>
      <c r="C50" s="106"/>
      <c r="D50" s="19" t="s">
        <v>67</v>
      </c>
      <c r="E50" s="119">
        <f aca="true" t="shared" si="40" ref="E50:U51">SUM(E51)</f>
        <v>3500</v>
      </c>
      <c r="F50" s="119">
        <f t="shared" si="40"/>
        <v>0</v>
      </c>
      <c r="G50" s="119">
        <f t="shared" si="40"/>
        <v>0</v>
      </c>
      <c r="H50" s="119">
        <f t="shared" si="40"/>
        <v>3500</v>
      </c>
      <c r="I50" s="119">
        <f t="shared" si="40"/>
        <v>0</v>
      </c>
      <c r="J50" s="119">
        <f t="shared" si="40"/>
        <v>0</v>
      </c>
      <c r="K50" s="119">
        <f t="shared" si="40"/>
        <v>3500</v>
      </c>
      <c r="L50" s="119">
        <f t="shared" si="40"/>
        <v>0</v>
      </c>
      <c r="M50" s="119">
        <f t="shared" si="40"/>
        <v>0</v>
      </c>
      <c r="N50" s="119">
        <f t="shared" si="40"/>
        <v>3500</v>
      </c>
      <c r="O50" s="119">
        <f t="shared" si="40"/>
        <v>0</v>
      </c>
      <c r="P50" s="119">
        <f t="shared" si="40"/>
        <v>0</v>
      </c>
      <c r="Q50" s="119">
        <f t="shared" si="40"/>
        <v>3500</v>
      </c>
      <c r="R50" s="119">
        <f t="shared" si="40"/>
        <v>0</v>
      </c>
      <c r="S50" s="119">
        <f t="shared" si="40"/>
        <v>0</v>
      </c>
      <c r="T50" s="119">
        <f t="shared" si="40"/>
        <v>3500</v>
      </c>
      <c r="U50" s="119">
        <f t="shared" si="40"/>
        <v>0</v>
      </c>
      <c r="V50" s="119">
        <f aca="true" t="shared" si="41" ref="U50:AF51">SUM(V51)</f>
        <v>0</v>
      </c>
      <c r="W50" s="119">
        <f t="shared" si="41"/>
        <v>3500</v>
      </c>
      <c r="X50" s="119">
        <f t="shared" si="41"/>
        <v>0</v>
      </c>
      <c r="Y50" s="119">
        <f t="shared" si="41"/>
        <v>0</v>
      </c>
      <c r="Z50" s="119">
        <f t="shared" si="41"/>
        <v>3500</v>
      </c>
      <c r="AA50" s="119">
        <f t="shared" si="41"/>
        <v>0</v>
      </c>
      <c r="AB50" s="119">
        <f t="shared" si="41"/>
        <v>434</v>
      </c>
      <c r="AC50" s="119">
        <f t="shared" si="41"/>
        <v>3066</v>
      </c>
      <c r="AD50" s="119">
        <f t="shared" si="41"/>
        <v>0</v>
      </c>
      <c r="AE50" s="119">
        <f t="shared" si="41"/>
        <v>0</v>
      </c>
      <c r="AF50" s="119">
        <f t="shared" si="41"/>
        <v>3066</v>
      </c>
    </row>
    <row r="51" spans="1:32" s="37" customFormat="1" ht="21.75" customHeight="1">
      <c r="A51" s="103"/>
      <c r="B51" s="74"/>
      <c r="C51" s="106">
        <v>6060</v>
      </c>
      <c r="D51" s="19" t="s">
        <v>113</v>
      </c>
      <c r="E51" s="119">
        <f t="shared" si="40"/>
        <v>3500</v>
      </c>
      <c r="F51" s="119">
        <f t="shared" si="40"/>
        <v>0</v>
      </c>
      <c r="G51" s="119">
        <f t="shared" si="40"/>
        <v>0</v>
      </c>
      <c r="H51" s="119">
        <f t="shared" si="40"/>
        <v>3500</v>
      </c>
      <c r="I51" s="119">
        <f t="shared" si="40"/>
        <v>0</v>
      </c>
      <c r="J51" s="119">
        <f t="shared" si="40"/>
        <v>0</v>
      </c>
      <c r="K51" s="119">
        <f t="shared" si="40"/>
        <v>3500</v>
      </c>
      <c r="L51" s="119">
        <f t="shared" si="40"/>
        <v>0</v>
      </c>
      <c r="M51" s="119">
        <f t="shared" si="40"/>
        <v>0</v>
      </c>
      <c r="N51" s="119">
        <f t="shared" si="40"/>
        <v>3500</v>
      </c>
      <c r="O51" s="119">
        <f t="shared" si="40"/>
        <v>0</v>
      </c>
      <c r="P51" s="119">
        <f t="shared" si="40"/>
        <v>0</v>
      </c>
      <c r="Q51" s="119">
        <f t="shared" si="40"/>
        <v>3500</v>
      </c>
      <c r="R51" s="119">
        <f t="shared" si="40"/>
        <v>0</v>
      </c>
      <c r="S51" s="119">
        <f t="shared" si="40"/>
        <v>0</v>
      </c>
      <c r="T51" s="119">
        <f t="shared" si="40"/>
        <v>3500</v>
      </c>
      <c r="U51" s="119">
        <f t="shared" si="41"/>
        <v>0</v>
      </c>
      <c r="V51" s="119">
        <f t="shared" si="41"/>
        <v>0</v>
      </c>
      <c r="W51" s="119">
        <f t="shared" si="41"/>
        <v>3500</v>
      </c>
      <c r="X51" s="119">
        <f t="shared" si="41"/>
        <v>0</v>
      </c>
      <c r="Y51" s="119">
        <f t="shared" si="41"/>
        <v>0</v>
      </c>
      <c r="Z51" s="119">
        <f t="shared" si="41"/>
        <v>3500</v>
      </c>
      <c r="AA51" s="119">
        <f t="shared" si="41"/>
        <v>0</v>
      </c>
      <c r="AB51" s="119">
        <f t="shared" si="41"/>
        <v>434</v>
      </c>
      <c r="AC51" s="119">
        <f t="shared" si="41"/>
        <v>3066</v>
      </c>
      <c r="AD51" s="119">
        <f t="shared" si="41"/>
        <v>0</v>
      </c>
      <c r="AE51" s="119">
        <f t="shared" si="41"/>
        <v>0</v>
      </c>
      <c r="AF51" s="119">
        <f t="shared" si="41"/>
        <v>3066</v>
      </c>
    </row>
    <row r="52" spans="1:32" s="41" customFormat="1" ht="29.25" customHeight="1">
      <c r="A52" s="70"/>
      <c r="B52" s="67"/>
      <c r="C52" s="71"/>
      <c r="D52" s="72" t="s">
        <v>179</v>
      </c>
      <c r="E52" s="130">
        <v>3500</v>
      </c>
      <c r="F52" s="157"/>
      <c r="G52" s="157"/>
      <c r="H52" s="130">
        <f>SUM(E52+F52-G52)</f>
        <v>3500</v>
      </c>
      <c r="I52" s="157"/>
      <c r="J52" s="157"/>
      <c r="K52" s="130">
        <f>SUM(H52+I52-J52)</f>
        <v>3500</v>
      </c>
      <c r="L52" s="157"/>
      <c r="M52" s="157"/>
      <c r="N52" s="130">
        <f>SUM(K52+L52-M52)</f>
        <v>3500</v>
      </c>
      <c r="O52" s="157"/>
      <c r="P52" s="157"/>
      <c r="Q52" s="130">
        <f>SUM(N52+O52-P52)</f>
        <v>3500</v>
      </c>
      <c r="R52" s="157"/>
      <c r="S52" s="157"/>
      <c r="T52" s="130">
        <f>SUM(Q52+R52-S52)</f>
        <v>3500</v>
      </c>
      <c r="U52" s="157"/>
      <c r="V52" s="157"/>
      <c r="W52" s="130">
        <f>SUM(T52+U52-V52)</f>
        <v>3500</v>
      </c>
      <c r="X52" s="157"/>
      <c r="Y52" s="157"/>
      <c r="Z52" s="130">
        <f>SUM(W52+X52-Y52)</f>
        <v>3500</v>
      </c>
      <c r="AA52" s="157"/>
      <c r="AB52" s="130">
        <v>434</v>
      </c>
      <c r="AC52" s="130">
        <f>SUM(Z52+AA52-AB52)</f>
        <v>3066</v>
      </c>
      <c r="AD52" s="157"/>
      <c r="AE52" s="130"/>
      <c r="AF52" s="130">
        <f>SUM(AC52+AD52-AE52)</f>
        <v>3066</v>
      </c>
    </row>
    <row r="53" spans="1:32" s="59" customFormat="1" ht="24" customHeight="1">
      <c r="A53" s="46">
        <v>851</v>
      </c>
      <c r="B53" s="6"/>
      <c r="C53" s="18"/>
      <c r="D53" s="31" t="s">
        <v>68</v>
      </c>
      <c r="E53" s="60">
        <f aca="true" t="shared" si="42" ref="E53:K53">E60+E57</f>
        <v>23109</v>
      </c>
      <c r="F53" s="60">
        <f t="shared" si="42"/>
        <v>23109</v>
      </c>
      <c r="G53" s="60">
        <f t="shared" si="42"/>
        <v>23109</v>
      </c>
      <c r="H53" s="60">
        <f t="shared" si="42"/>
        <v>23109</v>
      </c>
      <c r="I53" s="60">
        <f t="shared" si="42"/>
        <v>0</v>
      </c>
      <c r="J53" s="60">
        <f t="shared" si="42"/>
        <v>0</v>
      </c>
      <c r="K53" s="60">
        <f t="shared" si="42"/>
        <v>23109</v>
      </c>
      <c r="L53" s="60">
        <f aca="true" t="shared" si="43" ref="L53:Q53">L60+L57</f>
        <v>0</v>
      </c>
      <c r="M53" s="60">
        <f t="shared" si="43"/>
        <v>0</v>
      </c>
      <c r="N53" s="60">
        <f t="shared" si="43"/>
        <v>23109</v>
      </c>
      <c r="O53" s="60">
        <f t="shared" si="43"/>
        <v>0</v>
      </c>
      <c r="P53" s="60">
        <f t="shared" si="43"/>
        <v>0</v>
      </c>
      <c r="Q53" s="60">
        <f t="shared" si="43"/>
        <v>23109</v>
      </c>
      <c r="R53" s="60">
        <f aca="true" t="shared" si="44" ref="R53:W53">R60+R57</f>
        <v>0</v>
      </c>
      <c r="S53" s="60">
        <f t="shared" si="44"/>
        <v>0</v>
      </c>
      <c r="T53" s="60">
        <f t="shared" si="44"/>
        <v>23109</v>
      </c>
      <c r="U53" s="60">
        <f t="shared" si="44"/>
        <v>0</v>
      </c>
      <c r="V53" s="60">
        <f t="shared" si="44"/>
        <v>0</v>
      </c>
      <c r="W53" s="60">
        <f t="shared" si="44"/>
        <v>23109</v>
      </c>
      <c r="X53" s="60">
        <f>X60+X57</f>
        <v>0</v>
      </c>
      <c r="Y53" s="60">
        <f>Y60+Y57</f>
        <v>0</v>
      </c>
      <c r="Z53" s="60">
        <f aca="true" t="shared" si="45" ref="Z53:AF53">Z60+Z57+Z54</f>
        <v>23109</v>
      </c>
      <c r="AA53" s="60">
        <f t="shared" si="45"/>
        <v>31500</v>
      </c>
      <c r="AB53" s="60">
        <f t="shared" si="45"/>
        <v>0</v>
      </c>
      <c r="AC53" s="60">
        <f t="shared" si="45"/>
        <v>54609</v>
      </c>
      <c r="AD53" s="60">
        <f t="shared" si="45"/>
        <v>0</v>
      </c>
      <c r="AE53" s="60">
        <f t="shared" si="45"/>
        <v>0</v>
      </c>
      <c r="AF53" s="60">
        <f t="shared" si="45"/>
        <v>54609</v>
      </c>
    </row>
    <row r="54" spans="1:32" s="37" customFormat="1" ht="18.75" customHeight="1">
      <c r="A54" s="103"/>
      <c r="B54" s="81">
        <v>85111</v>
      </c>
      <c r="C54" s="81"/>
      <c r="D54" s="78" t="s">
        <v>620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>
        <f>SUM(Z55)</f>
        <v>0</v>
      </c>
      <c r="AA54" s="126">
        <f aca="true" t="shared" si="46" ref="AA54:AF55">SUM(AA55)</f>
        <v>31500</v>
      </c>
      <c r="AB54" s="126">
        <f t="shared" si="46"/>
        <v>0</v>
      </c>
      <c r="AC54" s="126">
        <f t="shared" si="46"/>
        <v>31500</v>
      </c>
      <c r="AD54" s="126">
        <f t="shared" si="46"/>
        <v>0</v>
      </c>
      <c r="AE54" s="126">
        <f t="shared" si="46"/>
        <v>0</v>
      </c>
      <c r="AF54" s="126">
        <f t="shared" si="46"/>
        <v>31500</v>
      </c>
    </row>
    <row r="55" spans="1:32" s="37" customFormat="1" ht="67.5">
      <c r="A55" s="103"/>
      <c r="B55" s="81"/>
      <c r="C55" s="81">
        <v>6300</v>
      </c>
      <c r="D55" s="19" t="s">
        <v>568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>
        <f>SUM(Z56)</f>
        <v>0</v>
      </c>
      <c r="AA55" s="126">
        <f t="shared" si="46"/>
        <v>31500</v>
      </c>
      <c r="AB55" s="126">
        <f t="shared" si="46"/>
        <v>0</v>
      </c>
      <c r="AC55" s="126">
        <f t="shared" si="46"/>
        <v>31500</v>
      </c>
      <c r="AD55" s="126">
        <f t="shared" si="46"/>
        <v>0</v>
      </c>
      <c r="AE55" s="126">
        <f t="shared" si="46"/>
        <v>0</v>
      </c>
      <c r="AF55" s="126">
        <f t="shared" si="46"/>
        <v>31500</v>
      </c>
    </row>
    <row r="56" spans="1:32" s="37" customFormat="1" ht="49.5" customHeight="1">
      <c r="A56" s="103"/>
      <c r="B56" s="81"/>
      <c r="C56" s="307"/>
      <c r="D56" s="373" t="s">
        <v>622</v>
      </c>
      <c r="E56" s="374"/>
      <c r="F56" s="374"/>
      <c r="G56" s="375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30">
        <v>0</v>
      </c>
      <c r="AA56" s="130">
        <f>5000+26500</f>
        <v>31500</v>
      </c>
      <c r="AB56" s="130"/>
      <c r="AC56" s="130">
        <f>SUM(Z56+AA56-AB56)</f>
        <v>31500</v>
      </c>
      <c r="AD56" s="130"/>
      <c r="AE56" s="130"/>
      <c r="AF56" s="130">
        <f>SUM(AC56+AD56-AE56)</f>
        <v>31500</v>
      </c>
    </row>
    <row r="57" spans="1:32" s="37" customFormat="1" ht="24" customHeight="1">
      <c r="A57" s="103"/>
      <c r="B57" s="74">
        <v>85153</v>
      </c>
      <c r="C57" s="106"/>
      <c r="D57" s="19" t="s">
        <v>369</v>
      </c>
      <c r="E57" s="126">
        <f>SUM(E58)</f>
        <v>0</v>
      </c>
      <c r="F57" s="126">
        <f aca="true" t="shared" si="47" ref="F57:U58">SUM(F58)</f>
        <v>23109</v>
      </c>
      <c r="G57" s="126">
        <f t="shared" si="47"/>
        <v>0</v>
      </c>
      <c r="H57" s="126">
        <f t="shared" si="47"/>
        <v>23109</v>
      </c>
      <c r="I57" s="126">
        <f t="shared" si="47"/>
        <v>0</v>
      </c>
      <c r="J57" s="126">
        <f t="shared" si="47"/>
        <v>0</v>
      </c>
      <c r="K57" s="126">
        <f t="shared" si="47"/>
        <v>23109</v>
      </c>
      <c r="L57" s="126">
        <f t="shared" si="47"/>
        <v>0</v>
      </c>
      <c r="M57" s="126">
        <f t="shared" si="47"/>
        <v>0</v>
      </c>
      <c r="N57" s="126">
        <f t="shared" si="47"/>
        <v>23109</v>
      </c>
      <c r="O57" s="126">
        <f t="shared" si="47"/>
        <v>0</v>
      </c>
      <c r="P57" s="126">
        <f t="shared" si="47"/>
        <v>0</v>
      </c>
      <c r="Q57" s="126">
        <f t="shared" si="47"/>
        <v>23109</v>
      </c>
      <c r="R57" s="126">
        <f t="shared" si="47"/>
        <v>0</v>
      </c>
      <c r="S57" s="126">
        <f t="shared" si="47"/>
        <v>0</v>
      </c>
      <c r="T57" s="126">
        <f t="shared" si="47"/>
        <v>23109</v>
      </c>
      <c r="U57" s="126">
        <f t="shared" si="47"/>
        <v>0</v>
      </c>
      <c r="V57" s="126">
        <f aca="true" t="shared" si="48" ref="U57:AF58">SUM(V58)</f>
        <v>0</v>
      </c>
      <c r="W57" s="126">
        <f t="shared" si="48"/>
        <v>23109</v>
      </c>
      <c r="X57" s="126">
        <f t="shared" si="48"/>
        <v>0</v>
      </c>
      <c r="Y57" s="126">
        <f t="shared" si="48"/>
        <v>0</v>
      </c>
      <c r="Z57" s="126">
        <f t="shared" si="48"/>
        <v>23109</v>
      </c>
      <c r="AA57" s="126">
        <f t="shared" si="48"/>
        <v>0</v>
      </c>
      <c r="AB57" s="126">
        <f t="shared" si="48"/>
        <v>0</v>
      </c>
      <c r="AC57" s="126">
        <f t="shared" si="48"/>
        <v>23109</v>
      </c>
      <c r="AD57" s="126">
        <f t="shared" si="48"/>
        <v>0</v>
      </c>
      <c r="AE57" s="126">
        <f t="shared" si="48"/>
        <v>0</v>
      </c>
      <c r="AF57" s="126">
        <f t="shared" si="48"/>
        <v>23109</v>
      </c>
    </row>
    <row r="58" spans="1:32" s="59" customFormat="1" ht="24" customHeight="1">
      <c r="A58" s="46"/>
      <c r="B58" s="6"/>
      <c r="C58" s="106">
        <v>6060</v>
      </c>
      <c r="D58" s="19" t="s">
        <v>113</v>
      </c>
      <c r="E58" s="126">
        <f>SUM(E59)</f>
        <v>0</v>
      </c>
      <c r="F58" s="126">
        <f t="shared" si="47"/>
        <v>23109</v>
      </c>
      <c r="G58" s="126">
        <f t="shared" si="47"/>
        <v>0</v>
      </c>
      <c r="H58" s="126">
        <f t="shared" si="47"/>
        <v>23109</v>
      </c>
      <c r="I58" s="126">
        <f t="shared" si="47"/>
        <v>0</v>
      </c>
      <c r="J58" s="126">
        <f t="shared" si="47"/>
        <v>0</v>
      </c>
      <c r="K58" s="126">
        <f t="shared" si="47"/>
        <v>23109</v>
      </c>
      <c r="L58" s="126">
        <f t="shared" si="47"/>
        <v>0</v>
      </c>
      <c r="M58" s="126">
        <f t="shared" si="47"/>
        <v>0</v>
      </c>
      <c r="N58" s="126">
        <f t="shared" si="47"/>
        <v>23109</v>
      </c>
      <c r="O58" s="126">
        <f t="shared" si="47"/>
        <v>0</v>
      </c>
      <c r="P58" s="126">
        <f t="shared" si="47"/>
        <v>0</v>
      </c>
      <c r="Q58" s="126">
        <f t="shared" si="47"/>
        <v>23109</v>
      </c>
      <c r="R58" s="126">
        <f t="shared" si="47"/>
        <v>0</v>
      </c>
      <c r="S58" s="126">
        <f t="shared" si="47"/>
        <v>0</v>
      </c>
      <c r="T58" s="126">
        <f t="shared" si="47"/>
        <v>23109</v>
      </c>
      <c r="U58" s="126">
        <f t="shared" si="48"/>
        <v>0</v>
      </c>
      <c r="V58" s="126">
        <f t="shared" si="48"/>
        <v>0</v>
      </c>
      <c r="W58" s="126">
        <f t="shared" si="48"/>
        <v>23109</v>
      </c>
      <c r="X58" s="126">
        <f t="shared" si="48"/>
        <v>0</v>
      </c>
      <c r="Y58" s="126">
        <f t="shared" si="48"/>
        <v>0</v>
      </c>
      <c r="Z58" s="126">
        <f t="shared" si="48"/>
        <v>23109</v>
      </c>
      <c r="AA58" s="126">
        <f t="shared" si="48"/>
        <v>0</v>
      </c>
      <c r="AB58" s="126">
        <f t="shared" si="48"/>
        <v>0</v>
      </c>
      <c r="AC58" s="126">
        <f t="shared" si="48"/>
        <v>23109</v>
      </c>
      <c r="AD58" s="126">
        <f t="shared" si="48"/>
        <v>0</v>
      </c>
      <c r="AE58" s="126">
        <f t="shared" si="48"/>
        <v>0</v>
      </c>
      <c r="AF58" s="126">
        <f t="shared" si="48"/>
        <v>23109</v>
      </c>
    </row>
    <row r="59" spans="1:32" s="59" customFormat="1" ht="22.5">
      <c r="A59" s="46"/>
      <c r="B59" s="6"/>
      <c r="C59" s="106"/>
      <c r="D59" s="72" t="s">
        <v>253</v>
      </c>
      <c r="E59" s="130">
        <v>0</v>
      </c>
      <c r="F59" s="130">
        <v>23109</v>
      </c>
      <c r="G59" s="130"/>
      <c r="H59" s="130">
        <f>SUM(E59+F59-G59)</f>
        <v>23109</v>
      </c>
      <c r="I59" s="130"/>
      <c r="J59" s="130"/>
      <c r="K59" s="130">
        <f>SUM(H59+I59-J59)</f>
        <v>23109</v>
      </c>
      <c r="L59" s="130"/>
      <c r="M59" s="130"/>
      <c r="N59" s="130">
        <f>SUM(K59+L59-M59)</f>
        <v>23109</v>
      </c>
      <c r="O59" s="130"/>
      <c r="P59" s="130"/>
      <c r="Q59" s="130">
        <f>SUM(N59+O59-P59)</f>
        <v>23109</v>
      </c>
      <c r="R59" s="130"/>
      <c r="S59" s="130"/>
      <c r="T59" s="130">
        <f>SUM(Q59+R59-S59)</f>
        <v>23109</v>
      </c>
      <c r="U59" s="130"/>
      <c r="V59" s="130"/>
      <c r="W59" s="130">
        <f>SUM(T59+U59-V59)</f>
        <v>23109</v>
      </c>
      <c r="X59" s="130"/>
      <c r="Y59" s="130"/>
      <c r="Z59" s="130">
        <f>SUM(W59+X59-Y59)</f>
        <v>23109</v>
      </c>
      <c r="AA59" s="130"/>
      <c r="AB59" s="130"/>
      <c r="AC59" s="130">
        <f>SUM(Z59+AA59-AB59)</f>
        <v>23109</v>
      </c>
      <c r="AD59" s="130"/>
      <c r="AE59" s="130"/>
      <c r="AF59" s="130">
        <f>SUM(AC59+AD59-AE59)</f>
        <v>23109</v>
      </c>
    </row>
    <row r="60" spans="1:32" s="37" customFormat="1" ht="11.25" hidden="1">
      <c r="A60" s="103"/>
      <c r="B60" s="74">
        <v>85154</v>
      </c>
      <c r="C60" s="106"/>
      <c r="D60" s="19" t="s">
        <v>69</v>
      </c>
      <c r="E60" s="119">
        <f aca="true" t="shared" si="49" ref="E60:AF60">SUM(E61)</f>
        <v>23109</v>
      </c>
      <c r="F60" s="119">
        <f t="shared" si="49"/>
        <v>0</v>
      </c>
      <c r="G60" s="119">
        <f t="shared" si="49"/>
        <v>23109</v>
      </c>
      <c r="H60" s="119">
        <f t="shared" si="49"/>
        <v>0</v>
      </c>
      <c r="I60" s="119">
        <f t="shared" si="49"/>
        <v>0</v>
      </c>
      <c r="J60" s="119">
        <f t="shared" si="49"/>
        <v>0</v>
      </c>
      <c r="K60" s="119">
        <f t="shared" si="49"/>
        <v>0</v>
      </c>
      <c r="L60" s="119">
        <f t="shared" si="49"/>
        <v>0</v>
      </c>
      <c r="M60" s="119">
        <f t="shared" si="49"/>
        <v>0</v>
      </c>
      <c r="N60" s="119">
        <f t="shared" si="49"/>
        <v>0</v>
      </c>
      <c r="O60" s="119">
        <f t="shared" si="49"/>
        <v>0</v>
      </c>
      <c r="P60" s="119">
        <f t="shared" si="49"/>
        <v>0</v>
      </c>
      <c r="Q60" s="119">
        <f t="shared" si="49"/>
        <v>0</v>
      </c>
      <c r="R60" s="119">
        <f t="shared" si="49"/>
        <v>0</v>
      </c>
      <c r="S60" s="119">
        <f t="shared" si="49"/>
        <v>0</v>
      </c>
      <c r="T60" s="119">
        <f t="shared" si="49"/>
        <v>0</v>
      </c>
      <c r="U60" s="119">
        <f t="shared" si="49"/>
        <v>0</v>
      </c>
      <c r="V60" s="119">
        <f t="shared" si="49"/>
        <v>0</v>
      </c>
      <c r="W60" s="119">
        <f t="shared" si="49"/>
        <v>0</v>
      </c>
      <c r="X60" s="119">
        <f t="shared" si="49"/>
        <v>0</v>
      </c>
      <c r="Y60" s="119">
        <f t="shared" si="49"/>
        <v>0</v>
      </c>
      <c r="Z60" s="119">
        <f t="shared" si="49"/>
        <v>0</v>
      </c>
      <c r="AA60" s="119">
        <f t="shared" si="49"/>
        <v>0</v>
      </c>
      <c r="AB60" s="119">
        <f t="shared" si="49"/>
        <v>0</v>
      </c>
      <c r="AC60" s="119">
        <f t="shared" si="49"/>
        <v>0</v>
      </c>
      <c r="AD60" s="119">
        <f t="shared" si="49"/>
        <v>0</v>
      </c>
      <c r="AE60" s="119">
        <f t="shared" si="49"/>
        <v>0</v>
      </c>
      <c r="AF60" s="119">
        <f t="shared" si="49"/>
        <v>0</v>
      </c>
    </row>
    <row r="61" spans="1:32" s="37" customFormat="1" ht="22.5" hidden="1">
      <c r="A61" s="103"/>
      <c r="B61" s="74"/>
      <c r="C61" s="106">
        <v>6060</v>
      </c>
      <c r="D61" s="19" t="s">
        <v>113</v>
      </c>
      <c r="E61" s="126">
        <f>E62</f>
        <v>23109</v>
      </c>
      <c r="F61" s="126">
        <f>SUM(F62)</f>
        <v>0</v>
      </c>
      <c r="G61" s="126">
        <f>SUM(G62)</f>
        <v>23109</v>
      </c>
      <c r="H61" s="126">
        <f>SUM(E61+F61-G61)</f>
        <v>0</v>
      </c>
      <c r="I61" s="126">
        <f>SUM(I62)</f>
        <v>0</v>
      </c>
      <c r="J61" s="126">
        <f>SUM(J62)</f>
        <v>0</v>
      </c>
      <c r="K61" s="126">
        <f>SUM(H61+I61-J61)</f>
        <v>0</v>
      </c>
      <c r="L61" s="126">
        <f>SUM(L62)</f>
        <v>0</v>
      </c>
      <c r="M61" s="126">
        <f>SUM(M62)</f>
        <v>0</v>
      </c>
      <c r="N61" s="126">
        <f>SUM(K61+L61-M61)</f>
        <v>0</v>
      </c>
      <c r="O61" s="126">
        <f>SUM(O62)</f>
        <v>0</v>
      </c>
      <c r="P61" s="126">
        <f>SUM(P62)</f>
        <v>0</v>
      </c>
      <c r="Q61" s="126">
        <f>SUM(N61+O61-P61)</f>
        <v>0</v>
      </c>
      <c r="R61" s="126">
        <f>SUM(R62)</f>
        <v>0</v>
      </c>
      <c r="S61" s="126">
        <f>SUM(S62)</f>
        <v>0</v>
      </c>
      <c r="T61" s="126">
        <f>SUM(Q61+R61-S61)</f>
        <v>0</v>
      </c>
      <c r="U61" s="126">
        <f>SUM(U62)</f>
        <v>0</v>
      </c>
      <c r="V61" s="126">
        <f>SUM(V62)</f>
        <v>0</v>
      </c>
      <c r="W61" s="126">
        <f>SUM(T61+U61-V61)</f>
        <v>0</v>
      </c>
      <c r="X61" s="126">
        <f>SUM(X62)</f>
        <v>0</v>
      </c>
      <c r="Y61" s="126">
        <f>SUM(Y62)</f>
        <v>0</v>
      </c>
      <c r="Z61" s="126">
        <f>SUM(W61+X61-Y61)</f>
        <v>0</v>
      </c>
      <c r="AA61" s="126">
        <f>SUM(AA62)</f>
        <v>0</v>
      </c>
      <c r="AB61" s="126">
        <f>SUM(AB62)</f>
        <v>0</v>
      </c>
      <c r="AC61" s="126">
        <f>SUM(Z61+AA61-AB61)</f>
        <v>0</v>
      </c>
      <c r="AD61" s="126">
        <f>SUM(AD62)</f>
        <v>0</v>
      </c>
      <c r="AE61" s="126">
        <f>SUM(AE62)</f>
        <v>0</v>
      </c>
      <c r="AF61" s="126">
        <f>SUM(AC61+AD61-AE61)</f>
        <v>0</v>
      </c>
    </row>
    <row r="62" spans="1:32" s="37" customFormat="1" ht="22.5" hidden="1">
      <c r="A62" s="103"/>
      <c r="B62" s="74"/>
      <c r="C62" s="106"/>
      <c r="D62" s="72" t="s">
        <v>253</v>
      </c>
      <c r="E62" s="130">
        <v>23109</v>
      </c>
      <c r="F62" s="130"/>
      <c r="G62" s="130">
        <v>23109</v>
      </c>
      <c r="H62" s="130">
        <f>SUM(E62+F62-G62)</f>
        <v>0</v>
      </c>
      <c r="I62" s="130"/>
      <c r="J62" s="130"/>
      <c r="K62" s="130">
        <f>SUM(H62+I62-J62)</f>
        <v>0</v>
      </c>
      <c r="L62" s="130"/>
      <c r="M62" s="130"/>
      <c r="N62" s="130">
        <f>SUM(K62+L62-M62)</f>
        <v>0</v>
      </c>
      <c r="O62" s="130"/>
      <c r="P62" s="130"/>
      <c r="Q62" s="130">
        <f>SUM(N62+O62-P62)</f>
        <v>0</v>
      </c>
      <c r="R62" s="130"/>
      <c r="S62" s="130"/>
      <c r="T62" s="130">
        <f>SUM(Q62+R62-S62)</f>
        <v>0</v>
      </c>
      <c r="U62" s="130"/>
      <c r="V62" s="130"/>
      <c r="W62" s="130">
        <f>SUM(T62+U62-V62)</f>
        <v>0</v>
      </c>
      <c r="X62" s="130"/>
      <c r="Y62" s="130"/>
      <c r="Z62" s="130">
        <f>SUM(W62+X62-Y62)</f>
        <v>0</v>
      </c>
      <c r="AA62" s="130"/>
      <c r="AB62" s="130"/>
      <c r="AC62" s="130">
        <f>SUM(Z62+AA62-AB62)</f>
        <v>0</v>
      </c>
      <c r="AD62" s="130"/>
      <c r="AE62" s="130"/>
      <c r="AF62" s="130">
        <f>SUM(AC62+AD62-AE62)</f>
        <v>0</v>
      </c>
    </row>
    <row r="63" spans="1:32" s="59" customFormat="1" ht="23.25" customHeight="1">
      <c r="A63" s="46">
        <v>854</v>
      </c>
      <c r="B63" s="6"/>
      <c r="C63" s="18"/>
      <c r="D63" s="31" t="s">
        <v>75</v>
      </c>
      <c r="E63" s="253"/>
      <c r="F63" s="253"/>
      <c r="G63" s="253"/>
      <c r="H63" s="60">
        <f aca="true" t="shared" si="50" ref="H63:X65">SUM(H64)</f>
        <v>0</v>
      </c>
      <c r="I63" s="60">
        <f t="shared" si="50"/>
        <v>90000</v>
      </c>
      <c r="J63" s="60">
        <f t="shared" si="50"/>
        <v>0</v>
      </c>
      <c r="K63" s="60">
        <f t="shared" si="50"/>
        <v>90000</v>
      </c>
      <c r="L63" s="60">
        <f t="shared" si="50"/>
        <v>0</v>
      </c>
      <c r="M63" s="60">
        <f t="shared" si="50"/>
        <v>0</v>
      </c>
      <c r="N63" s="60">
        <f t="shared" si="50"/>
        <v>90000</v>
      </c>
      <c r="O63" s="60">
        <f t="shared" si="50"/>
        <v>1930</v>
      </c>
      <c r="P63" s="60">
        <f t="shared" si="50"/>
        <v>0</v>
      </c>
      <c r="Q63" s="60">
        <f t="shared" si="50"/>
        <v>91930</v>
      </c>
      <c r="R63" s="60">
        <f t="shared" si="50"/>
        <v>0</v>
      </c>
      <c r="S63" s="60">
        <f t="shared" si="50"/>
        <v>0</v>
      </c>
      <c r="T63" s="60">
        <f t="shared" si="50"/>
        <v>91930</v>
      </c>
      <c r="U63" s="60">
        <f t="shared" si="50"/>
        <v>0</v>
      </c>
      <c r="V63" s="60">
        <f t="shared" si="50"/>
        <v>0</v>
      </c>
      <c r="W63" s="60">
        <f t="shared" si="50"/>
        <v>91930</v>
      </c>
      <c r="X63" s="60">
        <f t="shared" si="50"/>
        <v>0</v>
      </c>
      <c r="Y63" s="60">
        <f aca="true" t="shared" si="51" ref="X63:AF65">SUM(Y64)</f>
        <v>129</v>
      </c>
      <c r="Z63" s="60">
        <f t="shared" si="51"/>
        <v>91801</v>
      </c>
      <c r="AA63" s="60">
        <f t="shared" si="51"/>
        <v>0</v>
      </c>
      <c r="AB63" s="60">
        <f t="shared" si="51"/>
        <v>0</v>
      </c>
      <c r="AC63" s="60">
        <f t="shared" si="51"/>
        <v>91801</v>
      </c>
      <c r="AD63" s="60">
        <f t="shared" si="51"/>
        <v>0</v>
      </c>
      <c r="AE63" s="60">
        <f t="shared" si="51"/>
        <v>0</v>
      </c>
      <c r="AF63" s="60">
        <f t="shared" si="51"/>
        <v>91801</v>
      </c>
    </row>
    <row r="64" spans="1:32" s="37" customFormat="1" ht="38.25" customHeight="1">
      <c r="A64" s="103"/>
      <c r="B64" s="74">
        <v>85412</v>
      </c>
      <c r="C64" s="106"/>
      <c r="D64" s="19" t="s">
        <v>417</v>
      </c>
      <c r="E64" s="126"/>
      <c r="F64" s="126"/>
      <c r="G64" s="126"/>
      <c r="H64" s="126">
        <f t="shared" si="50"/>
        <v>0</v>
      </c>
      <c r="I64" s="126">
        <f t="shared" si="50"/>
        <v>90000</v>
      </c>
      <c r="J64" s="126">
        <f t="shared" si="50"/>
        <v>0</v>
      </c>
      <c r="K64" s="126">
        <f t="shared" si="50"/>
        <v>90000</v>
      </c>
      <c r="L64" s="126">
        <f t="shared" si="50"/>
        <v>0</v>
      </c>
      <c r="M64" s="126">
        <f t="shared" si="50"/>
        <v>0</v>
      </c>
      <c r="N64" s="126">
        <f t="shared" si="50"/>
        <v>90000</v>
      </c>
      <c r="O64" s="126">
        <f t="shared" si="50"/>
        <v>1930</v>
      </c>
      <c r="P64" s="126">
        <f t="shared" si="50"/>
        <v>0</v>
      </c>
      <c r="Q64" s="126">
        <f t="shared" si="50"/>
        <v>91930</v>
      </c>
      <c r="R64" s="126">
        <f t="shared" si="50"/>
        <v>0</v>
      </c>
      <c r="S64" s="126">
        <f t="shared" si="50"/>
        <v>0</v>
      </c>
      <c r="T64" s="126">
        <f t="shared" si="50"/>
        <v>91930</v>
      </c>
      <c r="U64" s="126">
        <f t="shared" si="50"/>
        <v>0</v>
      </c>
      <c r="V64" s="126">
        <f t="shared" si="50"/>
        <v>0</v>
      </c>
      <c r="W64" s="126">
        <f t="shared" si="50"/>
        <v>91930</v>
      </c>
      <c r="X64" s="126">
        <f t="shared" si="51"/>
        <v>0</v>
      </c>
      <c r="Y64" s="126">
        <f t="shared" si="51"/>
        <v>129</v>
      </c>
      <c r="Z64" s="126">
        <f t="shared" si="51"/>
        <v>91801</v>
      </c>
      <c r="AA64" s="126">
        <f t="shared" si="51"/>
        <v>0</v>
      </c>
      <c r="AB64" s="126">
        <f t="shared" si="51"/>
        <v>0</v>
      </c>
      <c r="AC64" s="126">
        <f t="shared" si="51"/>
        <v>91801</v>
      </c>
      <c r="AD64" s="126">
        <f t="shared" si="51"/>
        <v>0</v>
      </c>
      <c r="AE64" s="126">
        <f t="shared" si="51"/>
        <v>0</v>
      </c>
      <c r="AF64" s="126">
        <f t="shared" si="51"/>
        <v>91801</v>
      </c>
    </row>
    <row r="65" spans="1:32" s="37" customFormat="1" ht="28.5" customHeight="1">
      <c r="A65" s="103"/>
      <c r="B65" s="74"/>
      <c r="C65" s="106">
        <v>6050</v>
      </c>
      <c r="D65" s="19" t="s">
        <v>90</v>
      </c>
      <c r="E65" s="126"/>
      <c r="F65" s="126"/>
      <c r="G65" s="126"/>
      <c r="H65" s="126">
        <f t="shared" si="50"/>
        <v>0</v>
      </c>
      <c r="I65" s="126">
        <f t="shared" si="50"/>
        <v>90000</v>
      </c>
      <c r="J65" s="126">
        <f t="shared" si="50"/>
        <v>0</v>
      </c>
      <c r="K65" s="126">
        <f t="shared" si="50"/>
        <v>90000</v>
      </c>
      <c r="L65" s="126">
        <f t="shared" si="50"/>
        <v>0</v>
      </c>
      <c r="M65" s="126">
        <f t="shared" si="50"/>
        <v>0</v>
      </c>
      <c r="N65" s="126">
        <f t="shared" si="50"/>
        <v>90000</v>
      </c>
      <c r="O65" s="126">
        <f t="shared" si="50"/>
        <v>1930</v>
      </c>
      <c r="P65" s="126">
        <f t="shared" si="50"/>
        <v>0</v>
      </c>
      <c r="Q65" s="126">
        <f t="shared" si="50"/>
        <v>91930</v>
      </c>
      <c r="R65" s="126">
        <f t="shared" si="50"/>
        <v>0</v>
      </c>
      <c r="S65" s="126">
        <f t="shared" si="50"/>
        <v>0</v>
      </c>
      <c r="T65" s="126">
        <f t="shared" si="50"/>
        <v>91930</v>
      </c>
      <c r="U65" s="126">
        <f t="shared" si="50"/>
        <v>0</v>
      </c>
      <c r="V65" s="126">
        <f t="shared" si="50"/>
        <v>0</v>
      </c>
      <c r="W65" s="126">
        <f t="shared" si="50"/>
        <v>91930</v>
      </c>
      <c r="X65" s="126">
        <f t="shared" si="51"/>
        <v>0</v>
      </c>
      <c r="Y65" s="126">
        <f t="shared" si="51"/>
        <v>129</v>
      </c>
      <c r="Z65" s="126">
        <f t="shared" si="51"/>
        <v>91801</v>
      </c>
      <c r="AA65" s="126">
        <f t="shared" si="51"/>
        <v>0</v>
      </c>
      <c r="AB65" s="126">
        <f t="shared" si="51"/>
        <v>0</v>
      </c>
      <c r="AC65" s="126">
        <f t="shared" si="51"/>
        <v>91801</v>
      </c>
      <c r="AD65" s="126">
        <f t="shared" si="51"/>
        <v>0</v>
      </c>
      <c r="AE65" s="126">
        <f t="shared" si="51"/>
        <v>0</v>
      </c>
      <c r="AF65" s="126">
        <f t="shared" si="51"/>
        <v>91801</v>
      </c>
    </row>
    <row r="66" spans="1:32" s="37" customFormat="1" ht="19.5" customHeight="1">
      <c r="A66" s="103"/>
      <c r="B66" s="74"/>
      <c r="C66" s="106"/>
      <c r="D66" s="72" t="s">
        <v>418</v>
      </c>
      <c r="E66" s="130"/>
      <c r="F66" s="130"/>
      <c r="G66" s="130"/>
      <c r="H66" s="130">
        <v>0</v>
      </c>
      <c r="I66" s="130">
        <f>75000+15000</f>
        <v>90000</v>
      </c>
      <c r="J66" s="130"/>
      <c r="K66" s="130">
        <f>SUM(H66+I66-J66)</f>
        <v>90000</v>
      </c>
      <c r="L66" s="130"/>
      <c r="M66" s="130"/>
      <c r="N66" s="130">
        <f>SUM(K66+L66-M66)</f>
        <v>90000</v>
      </c>
      <c r="O66" s="130">
        <v>1930</v>
      </c>
      <c r="P66" s="130"/>
      <c r="Q66" s="130">
        <f>SUM(N66+O66-P66)</f>
        <v>91930</v>
      </c>
      <c r="R66" s="130"/>
      <c r="S66" s="130"/>
      <c r="T66" s="130">
        <f>SUM(Q66+R66-S66)</f>
        <v>91930</v>
      </c>
      <c r="U66" s="130"/>
      <c r="V66" s="130"/>
      <c r="W66" s="130">
        <f>SUM(T66+U66-V66)</f>
        <v>91930</v>
      </c>
      <c r="X66" s="130"/>
      <c r="Y66" s="130">
        <v>129</v>
      </c>
      <c r="Z66" s="130">
        <f>SUM(W66+X66-Y66)</f>
        <v>91801</v>
      </c>
      <c r="AA66" s="130"/>
      <c r="AB66" s="130"/>
      <c r="AC66" s="130">
        <f>SUM(Z66+AA66-AB66)</f>
        <v>91801</v>
      </c>
      <c r="AD66" s="130"/>
      <c r="AE66" s="130"/>
      <c r="AF66" s="130">
        <f>SUM(AC66+AD66-AE66)</f>
        <v>91801</v>
      </c>
    </row>
    <row r="67" spans="1:32" s="59" customFormat="1" ht="24.75" customHeight="1">
      <c r="A67" s="46" t="s">
        <v>147</v>
      </c>
      <c r="B67" s="6"/>
      <c r="C67" s="33"/>
      <c r="D67" s="31" t="s">
        <v>77</v>
      </c>
      <c r="E67" s="25">
        <f aca="true" t="shared" si="52" ref="E67:K67">SUM(E68,E77)</f>
        <v>9037636</v>
      </c>
      <c r="F67" s="25">
        <f t="shared" si="52"/>
        <v>197000</v>
      </c>
      <c r="G67" s="25">
        <f t="shared" si="52"/>
        <v>215000</v>
      </c>
      <c r="H67" s="25">
        <f t="shared" si="52"/>
        <v>9019636</v>
      </c>
      <c r="I67" s="25">
        <f t="shared" si="52"/>
        <v>0</v>
      </c>
      <c r="J67" s="25">
        <f t="shared" si="52"/>
        <v>0</v>
      </c>
      <c r="K67" s="25">
        <f t="shared" si="52"/>
        <v>9019636</v>
      </c>
      <c r="L67" s="25">
        <f aca="true" t="shared" si="53" ref="L67:Q67">SUM(L68,L77)</f>
        <v>7000</v>
      </c>
      <c r="M67" s="25">
        <f t="shared" si="53"/>
        <v>0</v>
      </c>
      <c r="N67" s="25">
        <f t="shared" si="53"/>
        <v>9026636</v>
      </c>
      <c r="O67" s="25">
        <f t="shared" si="53"/>
        <v>0</v>
      </c>
      <c r="P67" s="25">
        <f t="shared" si="53"/>
        <v>0</v>
      </c>
      <c r="Q67" s="25">
        <f t="shared" si="53"/>
        <v>9026636</v>
      </c>
      <c r="R67" s="25">
        <f aca="true" t="shared" si="54" ref="R67:W67">SUM(R68,R77)</f>
        <v>15055</v>
      </c>
      <c r="S67" s="25">
        <f t="shared" si="54"/>
        <v>15000</v>
      </c>
      <c r="T67" s="25">
        <f t="shared" si="54"/>
        <v>9026691</v>
      </c>
      <c r="U67" s="25">
        <f t="shared" si="54"/>
        <v>150000</v>
      </c>
      <c r="V67" s="25">
        <f t="shared" si="54"/>
        <v>0</v>
      </c>
      <c r="W67" s="25">
        <f t="shared" si="54"/>
        <v>9176691</v>
      </c>
      <c r="X67" s="25">
        <f aca="true" t="shared" si="55" ref="X67:AC67">SUM(X68,X77)</f>
        <v>0</v>
      </c>
      <c r="Y67" s="25">
        <f t="shared" si="55"/>
        <v>0</v>
      </c>
      <c r="Z67" s="25">
        <f t="shared" si="55"/>
        <v>9176691</v>
      </c>
      <c r="AA67" s="25">
        <f t="shared" si="55"/>
        <v>143000</v>
      </c>
      <c r="AB67" s="25">
        <f t="shared" si="55"/>
        <v>9730</v>
      </c>
      <c r="AC67" s="25">
        <f t="shared" si="55"/>
        <v>9309961</v>
      </c>
      <c r="AD67" s="25">
        <f>SUM(AD68,AD77)</f>
        <v>2500</v>
      </c>
      <c r="AE67" s="25">
        <f>SUM(AE68,AE77)</f>
        <v>2316</v>
      </c>
      <c r="AF67" s="25">
        <f>SUM(AF68,AF77)</f>
        <v>9310145</v>
      </c>
    </row>
    <row r="68" spans="1:32" s="37" customFormat="1" ht="27" customHeight="1">
      <c r="A68" s="103"/>
      <c r="B68" s="104" t="s">
        <v>148</v>
      </c>
      <c r="C68" s="113"/>
      <c r="D68" s="19" t="s">
        <v>78</v>
      </c>
      <c r="E68" s="119">
        <f aca="true" t="shared" si="56" ref="E68:K68">SUM(E71,E73,E75,)</f>
        <v>8767636</v>
      </c>
      <c r="F68" s="119">
        <f t="shared" si="56"/>
        <v>0</v>
      </c>
      <c r="G68" s="119">
        <f t="shared" si="56"/>
        <v>35000</v>
      </c>
      <c r="H68" s="119">
        <f t="shared" si="56"/>
        <v>8732636</v>
      </c>
      <c r="I68" s="119">
        <f t="shared" si="56"/>
        <v>0</v>
      </c>
      <c r="J68" s="119">
        <f t="shared" si="56"/>
        <v>0</v>
      </c>
      <c r="K68" s="119">
        <f t="shared" si="56"/>
        <v>8732636</v>
      </c>
      <c r="L68" s="119">
        <f>SUM(L71,L73,L75,)</f>
        <v>0</v>
      </c>
      <c r="M68" s="119">
        <f>SUM(M71,M73,M75,)</f>
        <v>0</v>
      </c>
      <c r="N68" s="119">
        <f>SUM(N71,N73,N75,)</f>
        <v>8732636</v>
      </c>
      <c r="O68" s="119">
        <f>SUM(O71,O73,O75,)</f>
        <v>0</v>
      </c>
      <c r="P68" s="119">
        <f>SUM(P71,P73,P75,)</f>
        <v>0</v>
      </c>
      <c r="Q68" s="119">
        <f aca="true" t="shared" si="57" ref="Q68:W68">SUM(Q71,Q73,Q75,Q69)</f>
        <v>8732636</v>
      </c>
      <c r="R68" s="119">
        <f t="shared" si="57"/>
        <v>55</v>
      </c>
      <c r="S68" s="119">
        <f t="shared" si="57"/>
        <v>0</v>
      </c>
      <c r="T68" s="119">
        <f t="shared" si="57"/>
        <v>8732691</v>
      </c>
      <c r="U68" s="119">
        <f t="shared" si="57"/>
        <v>150000</v>
      </c>
      <c r="V68" s="119">
        <f t="shared" si="57"/>
        <v>0</v>
      </c>
      <c r="W68" s="119">
        <f t="shared" si="57"/>
        <v>8882691</v>
      </c>
      <c r="X68" s="119">
        <f aca="true" t="shared" si="58" ref="X68:AC68">SUM(X71,X73,X75,X69)</f>
        <v>0</v>
      </c>
      <c r="Y68" s="119">
        <f t="shared" si="58"/>
        <v>0</v>
      </c>
      <c r="Z68" s="119">
        <f t="shared" si="58"/>
        <v>8882691</v>
      </c>
      <c r="AA68" s="119">
        <f t="shared" si="58"/>
        <v>140000</v>
      </c>
      <c r="AB68" s="119">
        <f t="shared" si="58"/>
        <v>0</v>
      </c>
      <c r="AC68" s="119">
        <f t="shared" si="58"/>
        <v>9022691</v>
      </c>
      <c r="AD68" s="119">
        <f>SUM(AD71,AD73,AD75,AD69)</f>
        <v>2500</v>
      </c>
      <c r="AE68" s="119">
        <f>SUM(AE71,AE73,AE75,AE69)</f>
        <v>0</v>
      </c>
      <c r="AF68" s="119">
        <f>SUM(AF71,AF73,AF75,AF69)</f>
        <v>9025191</v>
      </c>
    </row>
    <row r="69" spans="1:32" s="37" customFormat="1" ht="58.5" customHeight="1">
      <c r="A69" s="103"/>
      <c r="B69" s="104"/>
      <c r="C69" s="113">
        <v>6010</v>
      </c>
      <c r="D69" s="56" t="s">
        <v>528</v>
      </c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>
        <f aca="true" t="shared" si="59" ref="Q69:AF69">SUM(Q70)</f>
        <v>0</v>
      </c>
      <c r="R69" s="119">
        <f t="shared" si="59"/>
        <v>55</v>
      </c>
      <c r="S69" s="119">
        <f t="shared" si="59"/>
        <v>0</v>
      </c>
      <c r="T69" s="119">
        <f t="shared" si="59"/>
        <v>55</v>
      </c>
      <c r="U69" s="119">
        <f t="shared" si="59"/>
        <v>0</v>
      </c>
      <c r="V69" s="119">
        <f t="shared" si="59"/>
        <v>0</v>
      </c>
      <c r="W69" s="119">
        <f t="shared" si="59"/>
        <v>55</v>
      </c>
      <c r="X69" s="119">
        <f t="shared" si="59"/>
        <v>0</v>
      </c>
      <c r="Y69" s="119">
        <f t="shared" si="59"/>
        <v>0</v>
      </c>
      <c r="Z69" s="119">
        <f t="shared" si="59"/>
        <v>55</v>
      </c>
      <c r="AA69" s="119">
        <f t="shared" si="59"/>
        <v>0</v>
      </c>
      <c r="AB69" s="119">
        <f t="shared" si="59"/>
        <v>0</v>
      </c>
      <c r="AC69" s="119">
        <f t="shared" si="59"/>
        <v>55</v>
      </c>
      <c r="AD69" s="119">
        <f t="shared" si="59"/>
        <v>0</v>
      </c>
      <c r="AE69" s="119">
        <f t="shared" si="59"/>
        <v>0</v>
      </c>
      <c r="AF69" s="119">
        <f t="shared" si="59"/>
        <v>55</v>
      </c>
    </row>
    <row r="70" spans="1:32" s="37" customFormat="1" ht="20.25" customHeight="1">
      <c r="A70" s="103"/>
      <c r="B70" s="104"/>
      <c r="C70" s="113"/>
      <c r="D70" s="19" t="s">
        <v>531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>
        <v>0</v>
      </c>
      <c r="R70" s="119">
        <v>55</v>
      </c>
      <c r="S70" s="119"/>
      <c r="T70" s="119">
        <f>SUM(Q70+R70-S70)</f>
        <v>55</v>
      </c>
      <c r="U70" s="119"/>
      <c r="V70" s="119"/>
      <c r="W70" s="119">
        <f>SUM(T70+U70-V70)</f>
        <v>55</v>
      </c>
      <c r="X70" s="119"/>
      <c r="Y70" s="119"/>
      <c r="Z70" s="119">
        <f>SUM(W70+X70-Y70)</f>
        <v>55</v>
      </c>
      <c r="AA70" s="119"/>
      <c r="AB70" s="119"/>
      <c r="AC70" s="119">
        <f>SUM(Z70+AA70-AB70)</f>
        <v>55</v>
      </c>
      <c r="AD70" s="119"/>
      <c r="AE70" s="119"/>
      <c r="AF70" s="119">
        <f>SUM(AC70+AD70-AE70)</f>
        <v>55</v>
      </c>
    </row>
    <row r="71" spans="1:32" s="37" customFormat="1" ht="27" customHeight="1">
      <c r="A71" s="103"/>
      <c r="B71" s="104"/>
      <c r="C71" s="105">
        <v>6050</v>
      </c>
      <c r="D71" s="19" t="s">
        <v>90</v>
      </c>
      <c r="E71" s="126">
        <f aca="true" t="shared" si="60" ref="E71:AF71">SUM(E72)</f>
        <v>100000</v>
      </c>
      <c r="F71" s="126">
        <f t="shared" si="60"/>
        <v>0</v>
      </c>
      <c r="G71" s="126">
        <f t="shared" si="60"/>
        <v>35000</v>
      </c>
      <c r="H71" s="126">
        <f t="shared" si="60"/>
        <v>65000</v>
      </c>
      <c r="I71" s="126">
        <f t="shared" si="60"/>
        <v>0</v>
      </c>
      <c r="J71" s="126">
        <f t="shared" si="60"/>
        <v>0</v>
      </c>
      <c r="K71" s="126">
        <f t="shared" si="60"/>
        <v>65000</v>
      </c>
      <c r="L71" s="126">
        <f t="shared" si="60"/>
        <v>0</v>
      </c>
      <c r="M71" s="126">
        <f t="shared" si="60"/>
        <v>0</v>
      </c>
      <c r="N71" s="126">
        <f t="shared" si="60"/>
        <v>65000</v>
      </c>
      <c r="O71" s="126">
        <f t="shared" si="60"/>
        <v>0</v>
      </c>
      <c r="P71" s="126">
        <f t="shared" si="60"/>
        <v>0</v>
      </c>
      <c r="Q71" s="126">
        <f t="shared" si="60"/>
        <v>65000</v>
      </c>
      <c r="R71" s="126">
        <f t="shared" si="60"/>
        <v>0</v>
      </c>
      <c r="S71" s="126">
        <f t="shared" si="60"/>
        <v>0</v>
      </c>
      <c r="T71" s="126">
        <f t="shared" si="60"/>
        <v>65000</v>
      </c>
      <c r="U71" s="126">
        <f t="shared" si="60"/>
        <v>0</v>
      </c>
      <c r="V71" s="126">
        <f t="shared" si="60"/>
        <v>0</v>
      </c>
      <c r="W71" s="126">
        <f t="shared" si="60"/>
        <v>65000</v>
      </c>
      <c r="X71" s="126">
        <f t="shared" si="60"/>
        <v>0</v>
      </c>
      <c r="Y71" s="126">
        <f t="shared" si="60"/>
        <v>0</v>
      </c>
      <c r="Z71" s="126">
        <f t="shared" si="60"/>
        <v>65000</v>
      </c>
      <c r="AA71" s="126">
        <f t="shared" si="60"/>
        <v>0</v>
      </c>
      <c r="AB71" s="126">
        <f t="shared" si="60"/>
        <v>0</v>
      </c>
      <c r="AC71" s="126">
        <f t="shared" si="60"/>
        <v>65000</v>
      </c>
      <c r="AD71" s="126">
        <f t="shared" si="60"/>
        <v>0</v>
      </c>
      <c r="AE71" s="126">
        <f t="shared" si="60"/>
        <v>0</v>
      </c>
      <c r="AF71" s="126">
        <f t="shared" si="60"/>
        <v>65000</v>
      </c>
    </row>
    <row r="72" spans="1:32" s="41" customFormat="1" ht="21" customHeight="1">
      <c r="A72" s="70"/>
      <c r="B72" s="139"/>
      <c r="C72" s="168"/>
      <c r="D72" s="75" t="s">
        <v>360</v>
      </c>
      <c r="E72" s="130">
        <v>100000</v>
      </c>
      <c r="F72" s="130"/>
      <c r="G72" s="130">
        <v>35000</v>
      </c>
      <c r="H72" s="130">
        <f>SUM(E72+F72-G72)</f>
        <v>65000</v>
      </c>
      <c r="I72" s="130"/>
      <c r="J72" s="130"/>
      <c r="K72" s="130">
        <f>SUM(H72+I72-J72)</f>
        <v>65000</v>
      </c>
      <c r="L72" s="130"/>
      <c r="M72" s="130"/>
      <c r="N72" s="130">
        <f>SUM(K72+L72-M72)</f>
        <v>65000</v>
      </c>
      <c r="O72" s="130"/>
      <c r="P72" s="130"/>
      <c r="Q72" s="130">
        <f>SUM(N72+O72-P72)</f>
        <v>65000</v>
      </c>
      <c r="R72" s="130"/>
      <c r="S72" s="130"/>
      <c r="T72" s="130">
        <f>SUM(Q72+R72-S72)</f>
        <v>65000</v>
      </c>
      <c r="U72" s="130"/>
      <c r="V72" s="130"/>
      <c r="W72" s="130">
        <f>SUM(T72+U72-V72)</f>
        <v>65000</v>
      </c>
      <c r="X72" s="130"/>
      <c r="Y72" s="130"/>
      <c r="Z72" s="130">
        <f>SUM(W72+X72-Y72)</f>
        <v>65000</v>
      </c>
      <c r="AA72" s="130"/>
      <c r="AB72" s="130"/>
      <c r="AC72" s="130">
        <f>SUM(Z72+AA72-AB72)</f>
        <v>65000</v>
      </c>
      <c r="AD72" s="130"/>
      <c r="AE72" s="130"/>
      <c r="AF72" s="130">
        <f>SUM(AC72+AD72-AE72)</f>
        <v>65000</v>
      </c>
    </row>
    <row r="73" spans="1:32" s="37" customFormat="1" ht="24.75" customHeight="1">
      <c r="A73" s="103"/>
      <c r="B73" s="104"/>
      <c r="C73" s="105">
        <v>6058</v>
      </c>
      <c r="D73" s="19" t="s">
        <v>90</v>
      </c>
      <c r="E73" s="119">
        <f aca="true" t="shared" si="61" ref="E73:AF73">SUM(E74)</f>
        <v>5717636</v>
      </c>
      <c r="F73" s="119">
        <f t="shared" si="61"/>
        <v>0</v>
      </c>
      <c r="G73" s="119">
        <f t="shared" si="61"/>
        <v>0</v>
      </c>
      <c r="H73" s="119">
        <f t="shared" si="61"/>
        <v>5717636</v>
      </c>
      <c r="I73" s="119">
        <f t="shared" si="61"/>
        <v>0</v>
      </c>
      <c r="J73" s="119">
        <f t="shared" si="61"/>
        <v>0</v>
      </c>
      <c r="K73" s="119">
        <f t="shared" si="61"/>
        <v>5717636</v>
      </c>
      <c r="L73" s="119">
        <f t="shared" si="61"/>
        <v>0</v>
      </c>
      <c r="M73" s="119">
        <f t="shared" si="61"/>
        <v>0</v>
      </c>
      <c r="N73" s="119">
        <f t="shared" si="61"/>
        <v>5717636</v>
      </c>
      <c r="O73" s="119">
        <f t="shared" si="61"/>
        <v>0</v>
      </c>
      <c r="P73" s="119">
        <f t="shared" si="61"/>
        <v>0</v>
      </c>
      <c r="Q73" s="119">
        <f t="shared" si="61"/>
        <v>5717636</v>
      </c>
      <c r="R73" s="119">
        <f t="shared" si="61"/>
        <v>0</v>
      </c>
      <c r="S73" s="119">
        <f t="shared" si="61"/>
        <v>0</v>
      </c>
      <c r="T73" s="119">
        <f t="shared" si="61"/>
        <v>5717636</v>
      </c>
      <c r="U73" s="119">
        <f t="shared" si="61"/>
        <v>0</v>
      </c>
      <c r="V73" s="119">
        <f t="shared" si="61"/>
        <v>0</v>
      </c>
      <c r="W73" s="119">
        <f t="shared" si="61"/>
        <v>5717636</v>
      </c>
      <c r="X73" s="119">
        <f t="shared" si="61"/>
        <v>0</v>
      </c>
      <c r="Y73" s="119">
        <f t="shared" si="61"/>
        <v>0</v>
      </c>
      <c r="Z73" s="119">
        <f t="shared" si="61"/>
        <v>5717636</v>
      </c>
      <c r="AA73" s="119">
        <f t="shared" si="61"/>
        <v>0</v>
      </c>
      <c r="AB73" s="119">
        <f t="shared" si="61"/>
        <v>0</v>
      </c>
      <c r="AC73" s="119">
        <f t="shared" si="61"/>
        <v>5717636</v>
      </c>
      <c r="AD73" s="119">
        <f t="shared" si="61"/>
        <v>0</v>
      </c>
      <c r="AE73" s="119">
        <f t="shared" si="61"/>
        <v>0</v>
      </c>
      <c r="AF73" s="119">
        <f t="shared" si="61"/>
        <v>5717636</v>
      </c>
    </row>
    <row r="74" spans="1:32" s="37" customFormat="1" ht="49.5" customHeight="1">
      <c r="A74" s="103"/>
      <c r="B74" s="104"/>
      <c r="C74" s="105"/>
      <c r="D74" s="75" t="s">
        <v>258</v>
      </c>
      <c r="E74" s="73">
        <v>5717636</v>
      </c>
      <c r="F74" s="130"/>
      <c r="G74" s="130"/>
      <c r="H74" s="130">
        <f>SUM(E74+F74-G74)</f>
        <v>5717636</v>
      </c>
      <c r="I74" s="130"/>
      <c r="J74" s="130"/>
      <c r="K74" s="130">
        <f>SUM(H74+I74-J74)</f>
        <v>5717636</v>
      </c>
      <c r="L74" s="130"/>
      <c r="M74" s="130"/>
      <c r="N74" s="130">
        <f>SUM(K74+L74-M74)</f>
        <v>5717636</v>
      </c>
      <c r="O74" s="130"/>
      <c r="P74" s="130"/>
      <c r="Q74" s="130">
        <f>SUM(N74+O74-P74)</f>
        <v>5717636</v>
      </c>
      <c r="R74" s="130"/>
      <c r="S74" s="130"/>
      <c r="T74" s="130">
        <f>SUM(Q74+R74-S74)</f>
        <v>5717636</v>
      </c>
      <c r="U74" s="130"/>
      <c r="V74" s="130"/>
      <c r="W74" s="130">
        <f>SUM(T74+U74-V74)</f>
        <v>5717636</v>
      </c>
      <c r="X74" s="130"/>
      <c r="Y74" s="130"/>
      <c r="Z74" s="130">
        <f>SUM(W74+X74-Y74)</f>
        <v>5717636</v>
      </c>
      <c r="AA74" s="130"/>
      <c r="AB74" s="130"/>
      <c r="AC74" s="130">
        <f>SUM(Z74+AA74-AB74)</f>
        <v>5717636</v>
      </c>
      <c r="AD74" s="130"/>
      <c r="AE74" s="130"/>
      <c r="AF74" s="130">
        <f>SUM(AC74+AD74-AE74)</f>
        <v>5717636</v>
      </c>
    </row>
    <row r="75" spans="1:32" s="37" customFormat="1" ht="29.25" customHeight="1">
      <c r="A75" s="103"/>
      <c r="B75" s="104"/>
      <c r="C75" s="105">
        <v>6059</v>
      </c>
      <c r="D75" s="19" t="s">
        <v>90</v>
      </c>
      <c r="E75" s="119">
        <f aca="true" t="shared" si="62" ref="E75:AF75">SUM(E76)</f>
        <v>2950000</v>
      </c>
      <c r="F75" s="119">
        <f t="shared" si="62"/>
        <v>0</v>
      </c>
      <c r="G75" s="119">
        <f t="shared" si="62"/>
        <v>0</v>
      </c>
      <c r="H75" s="119">
        <f t="shared" si="62"/>
        <v>2950000</v>
      </c>
      <c r="I75" s="119">
        <f t="shared" si="62"/>
        <v>0</v>
      </c>
      <c r="J75" s="119">
        <f t="shared" si="62"/>
        <v>0</v>
      </c>
      <c r="K75" s="119">
        <f t="shared" si="62"/>
        <v>2950000</v>
      </c>
      <c r="L75" s="119">
        <f t="shared" si="62"/>
        <v>0</v>
      </c>
      <c r="M75" s="119">
        <f t="shared" si="62"/>
        <v>0</v>
      </c>
      <c r="N75" s="119">
        <f t="shared" si="62"/>
        <v>2950000</v>
      </c>
      <c r="O75" s="119">
        <f t="shared" si="62"/>
        <v>0</v>
      </c>
      <c r="P75" s="119">
        <f t="shared" si="62"/>
        <v>0</v>
      </c>
      <c r="Q75" s="119">
        <f t="shared" si="62"/>
        <v>2950000</v>
      </c>
      <c r="R75" s="119">
        <f t="shared" si="62"/>
        <v>0</v>
      </c>
      <c r="S75" s="119">
        <f t="shared" si="62"/>
        <v>0</v>
      </c>
      <c r="T75" s="119">
        <f t="shared" si="62"/>
        <v>2950000</v>
      </c>
      <c r="U75" s="119">
        <f t="shared" si="62"/>
        <v>150000</v>
      </c>
      <c r="V75" s="119">
        <f t="shared" si="62"/>
        <v>0</v>
      </c>
      <c r="W75" s="119">
        <f t="shared" si="62"/>
        <v>3100000</v>
      </c>
      <c r="X75" s="119">
        <f t="shared" si="62"/>
        <v>0</v>
      </c>
      <c r="Y75" s="119">
        <f t="shared" si="62"/>
        <v>0</v>
      </c>
      <c r="Z75" s="119">
        <f t="shared" si="62"/>
        <v>3100000</v>
      </c>
      <c r="AA75" s="119">
        <f t="shared" si="62"/>
        <v>140000</v>
      </c>
      <c r="AB75" s="119">
        <f t="shared" si="62"/>
        <v>0</v>
      </c>
      <c r="AC75" s="119">
        <f t="shared" si="62"/>
        <v>3240000</v>
      </c>
      <c r="AD75" s="119">
        <f t="shared" si="62"/>
        <v>2500</v>
      </c>
      <c r="AE75" s="119">
        <f t="shared" si="62"/>
        <v>0</v>
      </c>
      <c r="AF75" s="119">
        <f t="shared" si="62"/>
        <v>3242500</v>
      </c>
    </row>
    <row r="76" spans="1:32" s="37" customFormat="1" ht="49.5" customHeight="1">
      <c r="A76" s="103"/>
      <c r="B76" s="104"/>
      <c r="C76" s="105"/>
      <c r="D76" s="75" t="s">
        <v>258</v>
      </c>
      <c r="E76" s="73">
        <v>2950000</v>
      </c>
      <c r="F76" s="130"/>
      <c r="G76" s="130"/>
      <c r="H76" s="130">
        <f>SUM(E76+F76-G76)</f>
        <v>2950000</v>
      </c>
      <c r="I76" s="130"/>
      <c r="J76" s="130"/>
      <c r="K76" s="130">
        <f>SUM(H76+I76-J76)</f>
        <v>2950000</v>
      </c>
      <c r="L76" s="130"/>
      <c r="M76" s="130"/>
      <c r="N76" s="130">
        <f>SUM(K76+L76-M76)</f>
        <v>2950000</v>
      </c>
      <c r="O76" s="130"/>
      <c r="P76" s="130"/>
      <c r="Q76" s="130">
        <f>SUM(N76+O76-P76)</f>
        <v>2950000</v>
      </c>
      <c r="R76" s="130"/>
      <c r="S76" s="130"/>
      <c r="T76" s="130">
        <f>SUM(Q76+R76-S76)</f>
        <v>2950000</v>
      </c>
      <c r="U76" s="130">
        <v>150000</v>
      </c>
      <c r="V76" s="130"/>
      <c r="W76" s="130">
        <f>SUM(T76+U76-V76)</f>
        <v>3100000</v>
      </c>
      <c r="X76" s="130"/>
      <c r="Y76" s="130"/>
      <c r="Z76" s="130">
        <f>SUM(W76+X76-Y76)</f>
        <v>3100000</v>
      </c>
      <c r="AA76" s="130">
        <v>140000</v>
      </c>
      <c r="AB76" s="130"/>
      <c r="AC76" s="130">
        <f>SUM(Z76+AA76-AB76)</f>
        <v>3240000</v>
      </c>
      <c r="AD76" s="130">
        <v>2500</v>
      </c>
      <c r="AE76" s="130"/>
      <c r="AF76" s="130">
        <f>SUM(AC76+AD76-AE76)</f>
        <v>3242500</v>
      </c>
    </row>
    <row r="77" spans="1:32" s="37" customFormat="1" ht="24" customHeight="1">
      <c r="A77" s="103"/>
      <c r="B77" s="104" t="s">
        <v>157</v>
      </c>
      <c r="C77" s="113"/>
      <c r="D77" s="19" t="s">
        <v>158</v>
      </c>
      <c r="E77" s="119">
        <f aca="true" t="shared" si="63" ref="E77:AF77">SUM(E78:E78)</f>
        <v>270000</v>
      </c>
      <c r="F77" s="119">
        <f t="shared" si="63"/>
        <v>197000</v>
      </c>
      <c r="G77" s="119">
        <f t="shared" si="63"/>
        <v>180000</v>
      </c>
      <c r="H77" s="119">
        <f t="shared" si="63"/>
        <v>287000</v>
      </c>
      <c r="I77" s="119">
        <f t="shared" si="63"/>
        <v>0</v>
      </c>
      <c r="J77" s="119">
        <f t="shared" si="63"/>
        <v>0</v>
      </c>
      <c r="K77" s="119">
        <f t="shared" si="63"/>
        <v>287000</v>
      </c>
      <c r="L77" s="119">
        <f t="shared" si="63"/>
        <v>7000</v>
      </c>
      <c r="M77" s="119">
        <f t="shared" si="63"/>
        <v>0</v>
      </c>
      <c r="N77" s="119">
        <f t="shared" si="63"/>
        <v>294000</v>
      </c>
      <c r="O77" s="119">
        <f t="shared" si="63"/>
        <v>0</v>
      </c>
      <c r="P77" s="119">
        <f t="shared" si="63"/>
        <v>0</v>
      </c>
      <c r="Q77" s="119">
        <f t="shared" si="63"/>
        <v>294000</v>
      </c>
      <c r="R77" s="119">
        <f t="shared" si="63"/>
        <v>15000</v>
      </c>
      <c r="S77" s="119">
        <f t="shared" si="63"/>
        <v>15000</v>
      </c>
      <c r="T77" s="119">
        <f t="shared" si="63"/>
        <v>294000</v>
      </c>
      <c r="U77" s="119">
        <f t="shared" si="63"/>
        <v>0</v>
      </c>
      <c r="V77" s="119">
        <f t="shared" si="63"/>
        <v>0</v>
      </c>
      <c r="W77" s="119">
        <f t="shared" si="63"/>
        <v>294000</v>
      </c>
      <c r="X77" s="119">
        <f t="shared" si="63"/>
        <v>0</v>
      </c>
      <c r="Y77" s="119">
        <f t="shared" si="63"/>
        <v>0</v>
      </c>
      <c r="Z77" s="119">
        <f t="shared" si="63"/>
        <v>294000</v>
      </c>
      <c r="AA77" s="119">
        <f t="shared" si="63"/>
        <v>3000</v>
      </c>
      <c r="AB77" s="119">
        <f t="shared" si="63"/>
        <v>9730</v>
      </c>
      <c r="AC77" s="119">
        <f t="shared" si="63"/>
        <v>287270</v>
      </c>
      <c r="AD77" s="119">
        <f t="shared" si="63"/>
        <v>0</v>
      </c>
      <c r="AE77" s="119">
        <f t="shared" si="63"/>
        <v>2316</v>
      </c>
      <c r="AF77" s="119">
        <f t="shared" si="63"/>
        <v>284954</v>
      </c>
    </row>
    <row r="78" spans="1:32" s="37" customFormat="1" ht="24" customHeight="1">
      <c r="A78" s="103"/>
      <c r="B78" s="74"/>
      <c r="C78" s="105">
        <v>6050</v>
      </c>
      <c r="D78" s="19" t="s">
        <v>90</v>
      </c>
      <c r="E78" s="119">
        <f aca="true" t="shared" si="64" ref="E78:J78">SUM(E79:E84)</f>
        <v>270000</v>
      </c>
      <c r="F78" s="119">
        <f t="shared" si="64"/>
        <v>197000</v>
      </c>
      <c r="G78" s="119">
        <f t="shared" si="64"/>
        <v>180000</v>
      </c>
      <c r="H78" s="119">
        <f t="shared" si="64"/>
        <v>287000</v>
      </c>
      <c r="I78" s="119">
        <f t="shared" si="64"/>
        <v>0</v>
      </c>
      <c r="J78" s="119">
        <f t="shared" si="64"/>
        <v>0</v>
      </c>
      <c r="K78" s="119">
        <f aca="true" t="shared" si="65" ref="K78:Q78">SUM(K79:K85)</f>
        <v>287000</v>
      </c>
      <c r="L78" s="119">
        <f t="shared" si="65"/>
        <v>7000</v>
      </c>
      <c r="M78" s="119">
        <f t="shared" si="65"/>
        <v>0</v>
      </c>
      <c r="N78" s="119">
        <f t="shared" si="65"/>
        <v>294000</v>
      </c>
      <c r="O78" s="119">
        <f t="shared" si="65"/>
        <v>0</v>
      </c>
      <c r="P78" s="119">
        <f t="shared" si="65"/>
        <v>0</v>
      </c>
      <c r="Q78" s="119">
        <f t="shared" si="65"/>
        <v>294000</v>
      </c>
      <c r="R78" s="119">
        <f aca="true" t="shared" si="66" ref="R78:W78">SUM(R79:R85)</f>
        <v>15000</v>
      </c>
      <c r="S78" s="119">
        <f t="shared" si="66"/>
        <v>15000</v>
      </c>
      <c r="T78" s="119">
        <f t="shared" si="66"/>
        <v>294000</v>
      </c>
      <c r="U78" s="119">
        <f t="shared" si="66"/>
        <v>0</v>
      </c>
      <c r="V78" s="119">
        <f t="shared" si="66"/>
        <v>0</v>
      </c>
      <c r="W78" s="119">
        <f t="shared" si="66"/>
        <v>294000</v>
      </c>
      <c r="X78" s="119">
        <f aca="true" t="shared" si="67" ref="X78:AC78">SUM(X79:X85)</f>
        <v>0</v>
      </c>
      <c r="Y78" s="119">
        <f t="shared" si="67"/>
        <v>0</v>
      </c>
      <c r="Z78" s="119">
        <f t="shared" si="67"/>
        <v>294000</v>
      </c>
      <c r="AA78" s="119">
        <f t="shared" si="67"/>
        <v>3000</v>
      </c>
      <c r="AB78" s="119">
        <f t="shared" si="67"/>
        <v>9730</v>
      </c>
      <c r="AC78" s="119">
        <f t="shared" si="67"/>
        <v>287270</v>
      </c>
      <c r="AD78" s="119">
        <f>SUM(AD79:AD85)</f>
        <v>0</v>
      </c>
      <c r="AE78" s="119">
        <f>SUM(AE79:AE85)</f>
        <v>2316</v>
      </c>
      <c r="AF78" s="119">
        <f>SUM(AF79:AF85)</f>
        <v>284954</v>
      </c>
    </row>
    <row r="79" spans="1:32" s="41" customFormat="1" ht="22.5" customHeight="1" hidden="1">
      <c r="A79" s="70"/>
      <c r="B79" s="67"/>
      <c r="C79" s="168"/>
      <c r="D79" s="72" t="s">
        <v>306</v>
      </c>
      <c r="E79" s="73">
        <v>180000</v>
      </c>
      <c r="F79" s="73"/>
      <c r="G79" s="73">
        <v>180000</v>
      </c>
      <c r="H79" s="73">
        <f>E79+F79-G79</f>
        <v>0</v>
      </c>
      <c r="I79" s="73"/>
      <c r="J79" s="73"/>
      <c r="K79" s="73">
        <f>H79+I79-J79</f>
        <v>0</v>
      </c>
      <c r="L79" s="73"/>
      <c r="M79" s="73"/>
      <c r="N79" s="73">
        <f>K79+L79-M79</f>
        <v>0</v>
      </c>
      <c r="O79" s="73"/>
      <c r="P79" s="73"/>
      <c r="Q79" s="73">
        <f>N79+O79-P79</f>
        <v>0</v>
      </c>
      <c r="R79" s="73"/>
      <c r="S79" s="73"/>
      <c r="T79" s="73">
        <f>Q79+R79-S79</f>
        <v>0</v>
      </c>
      <c r="U79" s="73"/>
      <c r="V79" s="73"/>
      <c r="W79" s="73">
        <f>T79+U79-V79</f>
        <v>0</v>
      </c>
      <c r="X79" s="73"/>
      <c r="Y79" s="73"/>
      <c r="Z79" s="73">
        <f>W79+X79-Y79</f>
        <v>0</v>
      </c>
      <c r="AA79" s="73"/>
      <c r="AB79" s="73"/>
      <c r="AC79" s="73">
        <f>Z79+AA79-AB79</f>
        <v>0</v>
      </c>
      <c r="AD79" s="73"/>
      <c r="AE79" s="73"/>
      <c r="AF79" s="73">
        <f>AC79+AD79-AE79</f>
        <v>0</v>
      </c>
    </row>
    <row r="80" spans="1:32" s="41" customFormat="1" ht="27" customHeight="1">
      <c r="A80" s="70"/>
      <c r="B80" s="67"/>
      <c r="C80" s="168"/>
      <c r="D80" s="72" t="s">
        <v>381</v>
      </c>
      <c r="E80" s="73">
        <v>0</v>
      </c>
      <c r="F80" s="73">
        <f>180000+3000</f>
        <v>183000</v>
      </c>
      <c r="G80" s="73"/>
      <c r="H80" s="73">
        <f>E80+F80-G80</f>
        <v>183000</v>
      </c>
      <c r="I80" s="73"/>
      <c r="J80" s="73"/>
      <c r="K80" s="73">
        <f>H80+I80-J80</f>
        <v>183000</v>
      </c>
      <c r="L80" s="73"/>
      <c r="M80" s="73"/>
      <c r="N80" s="73">
        <f>K80+L80-M80</f>
        <v>183000</v>
      </c>
      <c r="O80" s="73"/>
      <c r="P80" s="73"/>
      <c r="Q80" s="73">
        <f>N80+O80-P80</f>
        <v>183000</v>
      </c>
      <c r="R80" s="73"/>
      <c r="S80" s="73">
        <v>15000</v>
      </c>
      <c r="T80" s="73">
        <f>Q80+R80-S80</f>
        <v>168000</v>
      </c>
      <c r="U80" s="73"/>
      <c r="V80" s="73"/>
      <c r="W80" s="73">
        <f>T80+U80-V80</f>
        <v>168000</v>
      </c>
      <c r="X80" s="73"/>
      <c r="Y80" s="73"/>
      <c r="Z80" s="73">
        <f>W80+X80-Y80</f>
        <v>168000</v>
      </c>
      <c r="AA80" s="73">
        <v>3000</v>
      </c>
      <c r="AB80" s="73"/>
      <c r="AC80" s="73">
        <f>Z80+AA80-AB80</f>
        <v>171000</v>
      </c>
      <c r="AD80" s="73"/>
      <c r="AE80" s="73"/>
      <c r="AF80" s="73">
        <f>AC80+AD80-AE80</f>
        <v>171000</v>
      </c>
    </row>
    <row r="81" spans="1:32" s="41" customFormat="1" ht="40.5" customHeight="1">
      <c r="A81" s="70"/>
      <c r="B81" s="67"/>
      <c r="C81" s="168"/>
      <c r="D81" s="72" t="s">
        <v>309</v>
      </c>
      <c r="E81" s="73">
        <v>80000</v>
      </c>
      <c r="F81" s="73"/>
      <c r="G81" s="73"/>
      <c r="H81" s="73">
        <f>E81+F81-G81</f>
        <v>80000</v>
      </c>
      <c r="I81" s="73"/>
      <c r="J81" s="73"/>
      <c r="K81" s="73">
        <f>H81+I81-J81</f>
        <v>80000</v>
      </c>
      <c r="L81" s="73"/>
      <c r="M81" s="73"/>
      <c r="N81" s="73">
        <f>K81+L81-M81</f>
        <v>80000</v>
      </c>
      <c r="O81" s="73"/>
      <c r="P81" s="73"/>
      <c r="Q81" s="73">
        <f>N81+O81-P81</f>
        <v>80000</v>
      </c>
      <c r="R81" s="73">
        <v>15000</v>
      </c>
      <c r="S81" s="73"/>
      <c r="T81" s="73">
        <f>Q81+R81-S81</f>
        <v>95000</v>
      </c>
      <c r="U81" s="73"/>
      <c r="V81" s="73"/>
      <c r="W81" s="73">
        <f>T81+U81-V81</f>
        <v>95000</v>
      </c>
      <c r="X81" s="73"/>
      <c r="Y81" s="73"/>
      <c r="Z81" s="73">
        <f>W81+X81-Y81</f>
        <v>95000</v>
      </c>
      <c r="AA81" s="73"/>
      <c r="AB81" s="73">
        <v>1420</v>
      </c>
      <c r="AC81" s="73">
        <f>Z81+AA81-AB81</f>
        <v>93580</v>
      </c>
      <c r="AD81" s="73"/>
      <c r="AE81" s="73"/>
      <c r="AF81" s="73">
        <f>AC81+AD81-AE81</f>
        <v>93580</v>
      </c>
    </row>
    <row r="82" spans="1:32" s="37" customFormat="1" ht="28.5" customHeight="1">
      <c r="A82" s="103"/>
      <c r="B82" s="74"/>
      <c r="C82" s="105"/>
      <c r="D82" s="72" t="s">
        <v>388</v>
      </c>
      <c r="E82" s="130">
        <v>4000</v>
      </c>
      <c r="F82" s="130">
        <v>14000</v>
      </c>
      <c r="G82" s="130"/>
      <c r="H82" s="130">
        <f>SUM(E82+F82-G82)</f>
        <v>18000</v>
      </c>
      <c r="I82" s="130"/>
      <c r="J82" s="130"/>
      <c r="K82" s="130">
        <f>SUM(H82+I82-J82)</f>
        <v>18000</v>
      </c>
      <c r="L82" s="130"/>
      <c r="M82" s="130"/>
      <c r="N82" s="130">
        <f>SUM(K82+L82-M82)</f>
        <v>18000</v>
      </c>
      <c r="O82" s="130"/>
      <c r="P82" s="130"/>
      <c r="Q82" s="130">
        <f>SUM(N82+O82-P82)</f>
        <v>18000</v>
      </c>
      <c r="R82" s="130"/>
      <c r="S82" s="130"/>
      <c r="T82" s="130">
        <f>SUM(Q82+R82-S82)</f>
        <v>18000</v>
      </c>
      <c r="U82" s="130"/>
      <c r="V82" s="130"/>
      <c r="W82" s="130">
        <f>SUM(T82+U82-V82)</f>
        <v>18000</v>
      </c>
      <c r="X82" s="130"/>
      <c r="Y82" s="130"/>
      <c r="Z82" s="130">
        <f>SUM(W82+X82-Y82)</f>
        <v>18000</v>
      </c>
      <c r="AA82" s="130"/>
      <c r="AB82" s="130">
        <v>2090</v>
      </c>
      <c r="AC82" s="130">
        <f>SUM(Z82+AA82-AB82)</f>
        <v>15910</v>
      </c>
      <c r="AD82" s="130"/>
      <c r="AE82" s="130"/>
      <c r="AF82" s="130">
        <f>SUM(AC82+AD82-AE82)</f>
        <v>15910</v>
      </c>
    </row>
    <row r="83" spans="1:32" s="37" customFormat="1" ht="19.5" customHeight="1">
      <c r="A83" s="70"/>
      <c r="B83" s="67"/>
      <c r="C83" s="71"/>
      <c r="D83" s="72" t="s">
        <v>250</v>
      </c>
      <c r="E83" s="130">
        <v>3000</v>
      </c>
      <c r="F83" s="126"/>
      <c r="G83" s="126"/>
      <c r="H83" s="130">
        <f>SUM(E83+F83-G83)</f>
        <v>3000</v>
      </c>
      <c r="I83" s="126"/>
      <c r="J83" s="126"/>
      <c r="K83" s="130">
        <f>SUM(H83+I83-J83)</f>
        <v>3000</v>
      </c>
      <c r="L83" s="126"/>
      <c r="M83" s="126"/>
      <c r="N83" s="130">
        <f>SUM(K83+L83-M83)</f>
        <v>3000</v>
      </c>
      <c r="O83" s="126"/>
      <c r="P83" s="126"/>
      <c r="Q83" s="130">
        <f>SUM(N83+O83-P83)</f>
        <v>3000</v>
      </c>
      <c r="R83" s="126"/>
      <c r="S83" s="126"/>
      <c r="T83" s="130">
        <f>SUM(Q83+R83-S83)</f>
        <v>3000</v>
      </c>
      <c r="U83" s="126"/>
      <c r="V83" s="126"/>
      <c r="W83" s="130">
        <f>SUM(T83+U83-V83)</f>
        <v>3000</v>
      </c>
      <c r="X83" s="126"/>
      <c r="Y83" s="126"/>
      <c r="Z83" s="130">
        <f>SUM(W83+X83-Y83)</f>
        <v>3000</v>
      </c>
      <c r="AA83" s="126"/>
      <c r="AB83" s="126"/>
      <c r="AC83" s="130">
        <f>SUM(Z83+AA83-AB83)</f>
        <v>3000</v>
      </c>
      <c r="AD83" s="126"/>
      <c r="AE83" s="126">
        <v>2316</v>
      </c>
      <c r="AF83" s="130">
        <f>SUM(AC83+AD83-AE83)</f>
        <v>684</v>
      </c>
    </row>
    <row r="84" spans="1:32" s="37" customFormat="1" ht="19.5" customHeight="1">
      <c r="A84" s="70"/>
      <c r="B84" s="67"/>
      <c r="C84" s="71"/>
      <c r="D84" s="72" t="s">
        <v>251</v>
      </c>
      <c r="E84" s="130">
        <v>3000</v>
      </c>
      <c r="F84" s="126"/>
      <c r="G84" s="126"/>
      <c r="H84" s="130">
        <f>SUM(E84+F84-G84)</f>
        <v>3000</v>
      </c>
      <c r="I84" s="126"/>
      <c r="J84" s="126"/>
      <c r="K84" s="130">
        <f>SUM(H84+I84-J84)</f>
        <v>3000</v>
      </c>
      <c r="L84" s="126"/>
      <c r="M84" s="126"/>
      <c r="N84" s="130">
        <f>SUM(K84+L84-M84)</f>
        <v>3000</v>
      </c>
      <c r="O84" s="126"/>
      <c r="P84" s="126"/>
      <c r="Q84" s="130">
        <f>SUM(N84+O84-P84)</f>
        <v>3000</v>
      </c>
      <c r="R84" s="126"/>
      <c r="S84" s="126"/>
      <c r="T84" s="130">
        <f>SUM(Q84+R84-S84)</f>
        <v>3000</v>
      </c>
      <c r="U84" s="126"/>
      <c r="V84" s="126"/>
      <c r="W84" s="130">
        <f>SUM(T84+U84-V84)</f>
        <v>3000</v>
      </c>
      <c r="X84" s="126"/>
      <c r="Y84" s="126"/>
      <c r="Z84" s="130">
        <f>SUM(W84+X84-Y84)</f>
        <v>3000</v>
      </c>
      <c r="AA84" s="126"/>
      <c r="AB84" s="126"/>
      <c r="AC84" s="130">
        <f>SUM(Z84+AA84-AB84)</f>
        <v>3000</v>
      </c>
      <c r="AD84" s="126"/>
      <c r="AE84" s="126"/>
      <c r="AF84" s="130">
        <f>SUM(AC84+AD84-AE84)</f>
        <v>3000</v>
      </c>
    </row>
    <row r="85" spans="1:32" s="41" customFormat="1" ht="19.5" customHeight="1">
      <c r="A85" s="139"/>
      <c r="B85" s="67"/>
      <c r="C85" s="264"/>
      <c r="D85" s="258" t="s">
        <v>462</v>
      </c>
      <c r="E85" s="259"/>
      <c r="F85" s="259"/>
      <c r="G85" s="259"/>
      <c r="H85" s="259"/>
      <c r="I85" s="259"/>
      <c r="J85" s="259"/>
      <c r="K85" s="259">
        <v>0</v>
      </c>
      <c r="L85" s="259">
        <v>7000</v>
      </c>
      <c r="M85" s="259"/>
      <c r="N85" s="130">
        <f>SUM(K85+L85-M85)</f>
        <v>7000</v>
      </c>
      <c r="O85" s="259"/>
      <c r="P85" s="259"/>
      <c r="Q85" s="130">
        <f>SUM(N85+O85-P85)</f>
        <v>7000</v>
      </c>
      <c r="R85" s="259"/>
      <c r="S85" s="259"/>
      <c r="T85" s="130">
        <f>SUM(Q85+R85-S85)</f>
        <v>7000</v>
      </c>
      <c r="U85" s="259"/>
      <c r="V85" s="259"/>
      <c r="W85" s="130">
        <f>SUM(T85+U85-V85)</f>
        <v>7000</v>
      </c>
      <c r="X85" s="259"/>
      <c r="Y85" s="259"/>
      <c r="Z85" s="130">
        <f>SUM(W85+X85-Y85)</f>
        <v>7000</v>
      </c>
      <c r="AA85" s="259"/>
      <c r="AB85" s="259">
        <v>6220</v>
      </c>
      <c r="AC85" s="130">
        <f>SUM(Z85+AA85-AB85)</f>
        <v>780</v>
      </c>
      <c r="AD85" s="259"/>
      <c r="AE85" s="259"/>
      <c r="AF85" s="130">
        <f>SUM(AC85+AD85-AE85)</f>
        <v>780</v>
      </c>
    </row>
    <row r="86" spans="1:32" s="59" customFormat="1" ht="27.75" customHeight="1">
      <c r="A86" s="49">
        <v>921</v>
      </c>
      <c r="B86" s="6"/>
      <c r="C86" s="17"/>
      <c r="D86" s="265" t="s">
        <v>160</v>
      </c>
      <c r="E86" s="266"/>
      <c r="F86" s="266"/>
      <c r="G86" s="266"/>
      <c r="H86" s="266"/>
      <c r="I86" s="266"/>
      <c r="J86" s="266"/>
      <c r="K86" s="266"/>
      <c r="L86" s="266"/>
      <c r="M86" s="266"/>
      <c r="N86" s="266">
        <f>SUM(N87)</f>
        <v>0</v>
      </c>
      <c r="O86" s="266">
        <f aca="true" t="shared" si="68" ref="O86:AD87">SUM(O87)</f>
        <v>4000</v>
      </c>
      <c r="P86" s="266">
        <f t="shared" si="68"/>
        <v>0</v>
      </c>
      <c r="Q86" s="266">
        <f t="shared" si="68"/>
        <v>4000</v>
      </c>
      <c r="R86" s="266">
        <f t="shared" si="68"/>
        <v>0</v>
      </c>
      <c r="S86" s="266">
        <f t="shared" si="68"/>
        <v>0</v>
      </c>
      <c r="T86" s="266">
        <f t="shared" si="68"/>
        <v>4000</v>
      </c>
      <c r="U86" s="266">
        <f t="shared" si="68"/>
        <v>0</v>
      </c>
      <c r="V86" s="266">
        <f t="shared" si="68"/>
        <v>0</v>
      </c>
      <c r="W86" s="266">
        <f t="shared" si="68"/>
        <v>4000</v>
      </c>
      <c r="X86" s="266">
        <f t="shared" si="68"/>
        <v>4750</v>
      </c>
      <c r="Y86" s="266">
        <f t="shared" si="68"/>
        <v>0</v>
      </c>
      <c r="Z86" s="266">
        <f t="shared" si="68"/>
        <v>8750</v>
      </c>
      <c r="AA86" s="266">
        <f t="shared" si="68"/>
        <v>0</v>
      </c>
      <c r="AB86" s="266">
        <f t="shared" si="68"/>
        <v>0</v>
      </c>
      <c r="AC86" s="266">
        <f t="shared" si="68"/>
        <v>8750</v>
      </c>
      <c r="AD86" s="266">
        <f t="shared" si="68"/>
        <v>3136</v>
      </c>
      <c r="AE86" s="266">
        <f aca="true" t="shared" si="69" ref="AD86:AF87">SUM(AE87)</f>
        <v>316</v>
      </c>
      <c r="AF86" s="266">
        <f t="shared" si="69"/>
        <v>11570</v>
      </c>
    </row>
    <row r="87" spans="1:32" s="37" customFormat="1" ht="25.5" customHeight="1">
      <c r="A87" s="104"/>
      <c r="B87" s="74">
        <v>92109</v>
      </c>
      <c r="C87" s="115"/>
      <c r="D87" s="267" t="s">
        <v>497</v>
      </c>
      <c r="E87" s="252"/>
      <c r="F87" s="252"/>
      <c r="G87" s="252"/>
      <c r="H87" s="252"/>
      <c r="I87" s="252"/>
      <c r="J87" s="252"/>
      <c r="K87" s="252"/>
      <c r="L87" s="252"/>
      <c r="M87" s="252"/>
      <c r="N87" s="252">
        <f>SUM(N88)</f>
        <v>0</v>
      </c>
      <c r="O87" s="252">
        <f t="shared" si="68"/>
        <v>4000</v>
      </c>
      <c r="P87" s="252">
        <f t="shared" si="68"/>
        <v>0</v>
      </c>
      <c r="Q87" s="252">
        <f t="shared" si="68"/>
        <v>4000</v>
      </c>
      <c r="R87" s="252">
        <f t="shared" si="68"/>
        <v>0</v>
      </c>
      <c r="S87" s="252">
        <f t="shared" si="68"/>
        <v>0</v>
      </c>
      <c r="T87" s="252">
        <f t="shared" si="68"/>
        <v>4000</v>
      </c>
      <c r="U87" s="252">
        <f t="shared" si="68"/>
        <v>0</v>
      </c>
      <c r="V87" s="252">
        <f t="shared" si="68"/>
        <v>0</v>
      </c>
      <c r="W87" s="252">
        <f t="shared" si="68"/>
        <v>4000</v>
      </c>
      <c r="X87" s="252">
        <f t="shared" si="68"/>
        <v>4750</v>
      </c>
      <c r="Y87" s="252">
        <f t="shared" si="68"/>
        <v>0</v>
      </c>
      <c r="Z87" s="252">
        <f t="shared" si="68"/>
        <v>8750</v>
      </c>
      <c r="AA87" s="252">
        <f t="shared" si="68"/>
        <v>0</v>
      </c>
      <c r="AB87" s="252">
        <f t="shared" si="68"/>
        <v>0</v>
      </c>
      <c r="AC87" s="252">
        <f t="shared" si="68"/>
        <v>8750</v>
      </c>
      <c r="AD87" s="252">
        <f t="shared" si="69"/>
        <v>3136</v>
      </c>
      <c r="AE87" s="252">
        <f t="shared" si="69"/>
        <v>316</v>
      </c>
      <c r="AF87" s="252">
        <f t="shared" si="69"/>
        <v>11570</v>
      </c>
    </row>
    <row r="88" spans="1:32" s="37" customFormat="1" ht="28.5" customHeight="1">
      <c r="A88" s="104"/>
      <c r="B88" s="74"/>
      <c r="C88" s="115">
        <v>6060</v>
      </c>
      <c r="D88" s="19" t="s">
        <v>113</v>
      </c>
      <c r="E88" s="252"/>
      <c r="F88" s="252"/>
      <c r="G88" s="252"/>
      <c r="H88" s="252"/>
      <c r="I88" s="252"/>
      <c r="J88" s="252"/>
      <c r="K88" s="252"/>
      <c r="L88" s="252"/>
      <c r="M88" s="252"/>
      <c r="N88" s="252">
        <f>SUM(N90)</f>
        <v>0</v>
      </c>
      <c r="O88" s="252">
        <f>SUM(O90)</f>
        <v>4000</v>
      </c>
      <c r="P88" s="252">
        <f>SUM(P90)</f>
        <v>0</v>
      </c>
      <c r="Q88" s="252">
        <f>SUM(N88+O88-P88)</f>
        <v>4000</v>
      </c>
      <c r="R88" s="252">
        <f>SUM(R90)</f>
        <v>0</v>
      </c>
      <c r="S88" s="252">
        <f>SUM(S90)</f>
        <v>0</v>
      </c>
      <c r="T88" s="252">
        <f>SUM(Q88+R88-S88)</f>
        <v>4000</v>
      </c>
      <c r="U88" s="252">
        <f>SUM(U90)</f>
        <v>0</v>
      </c>
      <c r="V88" s="252">
        <f>SUM(V90)</f>
        <v>0</v>
      </c>
      <c r="W88" s="252">
        <f aca="true" t="shared" si="70" ref="W88:AC88">SUM(W89:W90)</f>
        <v>4000</v>
      </c>
      <c r="X88" s="252">
        <f t="shared" si="70"/>
        <v>4750</v>
      </c>
      <c r="Y88" s="252">
        <f t="shared" si="70"/>
        <v>0</v>
      </c>
      <c r="Z88" s="252">
        <f t="shared" si="70"/>
        <v>8750</v>
      </c>
      <c r="AA88" s="252">
        <f t="shared" si="70"/>
        <v>0</v>
      </c>
      <c r="AB88" s="252">
        <f t="shared" si="70"/>
        <v>0</v>
      </c>
      <c r="AC88" s="252">
        <f t="shared" si="70"/>
        <v>8750</v>
      </c>
      <c r="AD88" s="252">
        <f>SUM(AD89:AD90)</f>
        <v>3136</v>
      </c>
      <c r="AE88" s="252">
        <f>SUM(AE89:AE90)</f>
        <v>316</v>
      </c>
      <c r="AF88" s="252">
        <f>SUM(AF89:AF90)</f>
        <v>11570</v>
      </c>
    </row>
    <row r="89" spans="1:32" s="37" customFormat="1" ht="27.75" customHeight="1">
      <c r="A89" s="104"/>
      <c r="B89" s="74"/>
      <c r="C89" s="115"/>
      <c r="D89" s="258" t="s">
        <v>579</v>
      </c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9">
        <v>0</v>
      </c>
      <c r="X89" s="259">
        <v>4750</v>
      </c>
      <c r="Y89" s="259"/>
      <c r="Z89" s="259">
        <f>SUM(W89+X89-Y89)</f>
        <v>4750</v>
      </c>
      <c r="AA89" s="259"/>
      <c r="AB89" s="259"/>
      <c r="AC89" s="259">
        <f>SUM(Z89+AA89-AB89)</f>
        <v>4750</v>
      </c>
      <c r="AD89" s="259"/>
      <c r="AE89" s="259">
        <v>316</v>
      </c>
      <c r="AF89" s="259">
        <f>SUM(AC89+AD89-AE89)</f>
        <v>4434</v>
      </c>
    </row>
    <row r="90" spans="1:32" s="41" customFormat="1" ht="27" customHeight="1">
      <c r="A90" s="139"/>
      <c r="B90" s="67"/>
      <c r="C90" s="264"/>
      <c r="D90" s="258" t="s">
        <v>498</v>
      </c>
      <c r="E90" s="259"/>
      <c r="F90" s="259"/>
      <c r="G90" s="259"/>
      <c r="H90" s="259"/>
      <c r="I90" s="259"/>
      <c r="J90" s="259"/>
      <c r="K90" s="259"/>
      <c r="L90" s="259"/>
      <c r="M90" s="259"/>
      <c r="N90" s="259">
        <v>0</v>
      </c>
      <c r="O90" s="259">
        <v>4000</v>
      </c>
      <c r="P90" s="259"/>
      <c r="Q90" s="259">
        <f>SUM(N90+O90-P90)</f>
        <v>4000</v>
      </c>
      <c r="R90" s="259"/>
      <c r="S90" s="259"/>
      <c r="T90" s="259">
        <f>SUM(Q90+R90-S90)</f>
        <v>4000</v>
      </c>
      <c r="U90" s="259"/>
      <c r="V90" s="259"/>
      <c r="W90" s="259">
        <f>SUM(T90+U90-V90)</f>
        <v>4000</v>
      </c>
      <c r="X90" s="259"/>
      <c r="Y90" s="259"/>
      <c r="Z90" s="259">
        <f>SUM(W90+X90-Y90)</f>
        <v>4000</v>
      </c>
      <c r="AA90" s="259"/>
      <c r="AB90" s="259"/>
      <c r="AC90" s="259">
        <f>SUM(Z90+AA90-AB90)</f>
        <v>4000</v>
      </c>
      <c r="AD90" s="259">
        <v>3136</v>
      </c>
      <c r="AE90" s="259"/>
      <c r="AF90" s="259">
        <f>SUM(AC90+AD90-AE90)</f>
        <v>7136</v>
      </c>
    </row>
    <row r="91" spans="1:32" s="59" customFormat="1" ht="27.75" customHeight="1">
      <c r="A91" s="49">
        <v>926</v>
      </c>
      <c r="B91" s="6"/>
      <c r="C91" s="17"/>
      <c r="D91" s="54" t="s">
        <v>83</v>
      </c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>
        <f aca="true" t="shared" si="71" ref="Z91:AF92">SUM(Z92)</f>
        <v>0</v>
      </c>
      <c r="AA91" s="266">
        <f t="shared" si="71"/>
        <v>13160</v>
      </c>
      <c r="AB91" s="266">
        <f t="shared" si="71"/>
        <v>0</v>
      </c>
      <c r="AC91" s="266">
        <f t="shared" si="71"/>
        <v>13160</v>
      </c>
      <c r="AD91" s="266">
        <f t="shared" si="71"/>
        <v>0</v>
      </c>
      <c r="AE91" s="266">
        <f t="shared" si="71"/>
        <v>0</v>
      </c>
      <c r="AF91" s="266">
        <f t="shared" si="71"/>
        <v>13160</v>
      </c>
    </row>
    <row r="92" spans="1:32" s="37" customFormat="1" ht="25.5" customHeight="1">
      <c r="A92" s="104"/>
      <c r="B92" s="74">
        <v>92605</v>
      </c>
      <c r="C92" s="115"/>
      <c r="D92" s="56" t="s">
        <v>84</v>
      </c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>
        <f t="shared" si="71"/>
        <v>0</v>
      </c>
      <c r="AA92" s="252">
        <f t="shared" si="71"/>
        <v>13160</v>
      </c>
      <c r="AB92" s="252">
        <f t="shared" si="71"/>
        <v>0</v>
      </c>
      <c r="AC92" s="252">
        <f t="shared" si="71"/>
        <v>13160</v>
      </c>
      <c r="AD92" s="252">
        <f t="shared" si="71"/>
        <v>0</v>
      </c>
      <c r="AE92" s="252">
        <f t="shared" si="71"/>
        <v>0</v>
      </c>
      <c r="AF92" s="252">
        <f t="shared" si="71"/>
        <v>13160</v>
      </c>
    </row>
    <row r="93" spans="1:32" s="37" customFormat="1" ht="27.75" customHeight="1">
      <c r="A93" s="104"/>
      <c r="B93" s="74"/>
      <c r="C93" s="115">
        <v>6050</v>
      </c>
      <c r="D93" s="19" t="s">
        <v>90</v>
      </c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>
        <f aca="true" t="shared" si="72" ref="Z93:AF93">SUM(Z94:Z94)</f>
        <v>0</v>
      </c>
      <c r="AA93" s="252">
        <f t="shared" si="72"/>
        <v>13160</v>
      </c>
      <c r="AB93" s="252">
        <f t="shared" si="72"/>
        <v>0</v>
      </c>
      <c r="AC93" s="252">
        <f t="shared" si="72"/>
        <v>13160</v>
      </c>
      <c r="AD93" s="252">
        <f t="shared" si="72"/>
        <v>0</v>
      </c>
      <c r="AE93" s="252">
        <f t="shared" si="72"/>
        <v>0</v>
      </c>
      <c r="AF93" s="252">
        <f t="shared" si="72"/>
        <v>13160</v>
      </c>
    </row>
    <row r="94" spans="1:32" s="41" customFormat="1" ht="44.25" customHeight="1">
      <c r="A94" s="139"/>
      <c r="B94" s="67"/>
      <c r="C94" s="264"/>
      <c r="D94" s="258" t="s">
        <v>636</v>
      </c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>
        <v>0</v>
      </c>
      <c r="AA94" s="259">
        <f>5000+8160</f>
        <v>13160</v>
      </c>
      <c r="AB94" s="259"/>
      <c r="AC94" s="259">
        <f>Z94+AA94-AB94</f>
        <v>13160</v>
      </c>
      <c r="AD94" s="259"/>
      <c r="AE94" s="259"/>
      <c r="AF94" s="259">
        <f>AC94+AD94-AE94</f>
        <v>13160</v>
      </c>
    </row>
    <row r="95" spans="1:32" s="9" customFormat="1" ht="23.25" customHeight="1">
      <c r="A95" s="13"/>
      <c r="B95" s="13"/>
      <c r="C95" s="13"/>
      <c r="D95" s="185" t="s">
        <v>85</v>
      </c>
      <c r="E95" s="80">
        <f>E7+E33+E41+E45+E49+E53+E67</f>
        <v>9873245</v>
      </c>
      <c r="F95" s="80">
        <f>F7+F33+F41+F45+F49+F53+F67</f>
        <v>270109</v>
      </c>
      <c r="G95" s="80">
        <f>G7+G33+G41+G45+G49+G53+G67</f>
        <v>238109</v>
      </c>
      <c r="H95" s="80">
        <f aca="true" t="shared" si="73" ref="H95:M95">H7+H33+H41+H45+H49+H53+H67+H63</f>
        <v>9905245</v>
      </c>
      <c r="I95" s="80">
        <f t="shared" si="73"/>
        <v>101000</v>
      </c>
      <c r="J95" s="80">
        <f t="shared" si="73"/>
        <v>19000</v>
      </c>
      <c r="K95" s="80">
        <f t="shared" si="73"/>
        <v>9987245</v>
      </c>
      <c r="L95" s="80">
        <f t="shared" si="73"/>
        <v>494080</v>
      </c>
      <c r="M95" s="80">
        <f t="shared" si="73"/>
        <v>0</v>
      </c>
      <c r="N95" s="80">
        <f aca="true" t="shared" si="74" ref="N95:Y95">N7+N33+N41+N45+N49+N53+N67+N63+N86</f>
        <v>10481325</v>
      </c>
      <c r="O95" s="80">
        <f t="shared" si="74"/>
        <v>5930</v>
      </c>
      <c r="P95" s="80">
        <f t="shared" si="74"/>
        <v>0</v>
      </c>
      <c r="Q95" s="80">
        <f t="shared" si="74"/>
        <v>10487255</v>
      </c>
      <c r="R95" s="80">
        <f t="shared" si="74"/>
        <v>465055</v>
      </c>
      <c r="S95" s="80">
        <f t="shared" si="74"/>
        <v>465000</v>
      </c>
      <c r="T95" s="80">
        <f t="shared" si="74"/>
        <v>10487310</v>
      </c>
      <c r="U95" s="80">
        <f t="shared" si="74"/>
        <v>468700</v>
      </c>
      <c r="V95" s="80">
        <f t="shared" si="74"/>
        <v>112000</v>
      </c>
      <c r="W95" s="80">
        <f t="shared" si="74"/>
        <v>10844010</v>
      </c>
      <c r="X95" s="80">
        <f t="shared" si="74"/>
        <v>69000</v>
      </c>
      <c r="Y95" s="80">
        <f t="shared" si="74"/>
        <v>50129</v>
      </c>
      <c r="Z95" s="80">
        <f aca="true" t="shared" si="75" ref="Z95:AF95">Z7+Z33+Z41+Z45+Z49+Z53+Z67+Z63+Z86+Z91</f>
        <v>10862881</v>
      </c>
      <c r="AA95" s="80">
        <f t="shared" si="75"/>
        <v>187660</v>
      </c>
      <c r="AB95" s="80">
        <f t="shared" si="75"/>
        <v>15622</v>
      </c>
      <c r="AC95" s="80">
        <f t="shared" si="75"/>
        <v>11034919</v>
      </c>
      <c r="AD95" s="80">
        <f t="shared" si="75"/>
        <v>15636</v>
      </c>
      <c r="AE95" s="80">
        <f t="shared" si="75"/>
        <v>2687</v>
      </c>
      <c r="AF95" s="80">
        <f t="shared" si="75"/>
        <v>11047868</v>
      </c>
    </row>
    <row r="96" spans="22:31" ht="12.75">
      <c r="V96" s="76"/>
      <c r="Y96" s="76"/>
      <c r="AB96" s="76"/>
      <c r="AE96" s="76"/>
    </row>
    <row r="97" spans="7:31" ht="12.75">
      <c r="G97" s="76"/>
      <c r="J97" s="76"/>
      <c r="M97" s="76"/>
      <c r="P97" s="76"/>
      <c r="S97" s="76"/>
      <c r="V97" s="76"/>
      <c r="X97">
        <v>1000</v>
      </c>
      <c r="Y97" s="76"/>
      <c r="AB97" s="76"/>
      <c r="AE97" s="76"/>
    </row>
    <row r="98" spans="5:31" ht="12.75">
      <c r="E98" s="76"/>
      <c r="X98" s="76">
        <v>4750</v>
      </c>
      <c r="AA98" s="76"/>
      <c r="AD98" s="76"/>
      <c r="AE98" s="76">
        <f>SUM(AD95-AE95)</f>
        <v>12949</v>
      </c>
    </row>
    <row r="99" spans="5:31" ht="12.75">
      <c r="E99" s="76"/>
      <c r="X99" s="76">
        <v>-129</v>
      </c>
      <c r="AA99" s="76"/>
      <c r="AB99" s="76">
        <f>SUM(AA95-AB95)</f>
        <v>172038</v>
      </c>
      <c r="AD99" s="76"/>
      <c r="AE99" s="76"/>
    </row>
    <row r="100" spans="5:30" ht="12.75">
      <c r="E100" s="76"/>
      <c r="X100" s="76">
        <v>5000</v>
      </c>
      <c r="AA100" s="76"/>
      <c r="AD100" s="76"/>
    </row>
    <row r="101" spans="6:31" ht="12.75">
      <c r="F101" s="76"/>
      <c r="G101" s="76">
        <f>SUM(F95-G95)</f>
        <v>32000</v>
      </c>
      <c r="I101" s="76"/>
      <c r="J101" s="76"/>
      <c r="L101" s="76"/>
      <c r="M101" s="76"/>
      <c r="O101" s="76"/>
      <c r="P101" s="76"/>
      <c r="R101" s="76">
        <v>400000</v>
      </c>
      <c r="S101" s="76">
        <v>400000</v>
      </c>
      <c r="U101" s="76">
        <v>1200</v>
      </c>
      <c r="V101" s="76">
        <v>112000</v>
      </c>
      <c r="X101" s="76">
        <f>SUM(X97:X100)</f>
        <v>10621</v>
      </c>
      <c r="Y101" s="76">
        <f>SUM(X95-Y95)</f>
        <v>18871</v>
      </c>
      <c r="AA101" s="76"/>
      <c r="AB101" s="76"/>
      <c r="AD101" s="76"/>
      <c r="AE101" s="76"/>
    </row>
    <row r="102" spans="6:31" ht="12.75">
      <c r="F102" s="76"/>
      <c r="I102" s="76"/>
      <c r="L102" s="76"/>
      <c r="O102" s="76"/>
      <c r="R102" s="76">
        <v>50000</v>
      </c>
      <c r="S102" s="76">
        <v>50000</v>
      </c>
      <c r="U102" s="76">
        <v>387000</v>
      </c>
      <c r="V102" s="76"/>
      <c r="X102" s="76"/>
      <c r="Y102" s="76"/>
      <c r="AA102" s="76"/>
      <c r="AB102" s="76"/>
      <c r="AD102" s="76"/>
      <c r="AE102" s="76"/>
    </row>
    <row r="103" spans="6:31" ht="12.75">
      <c r="F103" s="76"/>
      <c r="I103" s="76"/>
      <c r="L103" s="76"/>
      <c r="O103" s="76"/>
      <c r="R103" s="76"/>
      <c r="S103" s="76"/>
      <c r="U103" s="76">
        <v>95500</v>
      </c>
      <c r="V103" s="76"/>
      <c r="X103" s="76"/>
      <c r="Y103" s="76"/>
      <c r="AA103" s="76"/>
      <c r="AB103" s="76"/>
      <c r="AD103" s="76"/>
      <c r="AE103" s="76"/>
    </row>
    <row r="104" spans="6:31" ht="12.75">
      <c r="F104" s="76"/>
      <c r="I104" s="76"/>
      <c r="L104" s="76"/>
      <c r="O104" s="76"/>
      <c r="R104" s="76">
        <v>15000</v>
      </c>
      <c r="S104" s="76">
        <v>15000</v>
      </c>
      <c r="U104" s="76"/>
      <c r="V104" s="76"/>
      <c r="X104" s="76"/>
      <c r="Y104" s="76"/>
      <c r="AA104" s="76"/>
      <c r="AB104" s="76"/>
      <c r="AD104" s="76"/>
      <c r="AE104" s="76"/>
    </row>
    <row r="105" spans="6:31" ht="12.75">
      <c r="F105" s="76"/>
      <c r="I105" s="76"/>
      <c r="L105" s="76"/>
      <c r="O105" s="76"/>
      <c r="R105" s="76">
        <v>55</v>
      </c>
      <c r="S105" s="76"/>
      <c r="U105" s="138">
        <f>SUM(U101:U104)</f>
        <v>483700</v>
      </c>
      <c r="V105" s="138">
        <f>SUM(V101:V104)</f>
        <v>112000</v>
      </c>
      <c r="X105" s="138"/>
      <c r="Y105" s="138"/>
      <c r="AA105" s="138"/>
      <c r="AB105" s="138"/>
      <c r="AD105" s="138"/>
      <c r="AE105" s="138"/>
    </row>
    <row r="106" spans="6:31" ht="12.75">
      <c r="F106" s="76"/>
      <c r="I106" s="76"/>
      <c r="L106" s="76"/>
      <c r="O106" s="76"/>
      <c r="R106" s="138">
        <f>SUM(R101:R105)</f>
        <v>465055</v>
      </c>
      <c r="S106" s="138">
        <f>SUM(S101:S104)</f>
        <v>465000</v>
      </c>
      <c r="U106" s="138"/>
      <c r="V106" s="138"/>
      <c r="X106" s="138"/>
      <c r="Y106" s="138"/>
      <c r="AA106" s="138"/>
      <c r="AB106" s="138"/>
      <c r="AD106" s="138"/>
      <c r="AE106" s="138"/>
    </row>
    <row r="107" spans="6:31" ht="12.75">
      <c r="F107" s="76"/>
      <c r="I107" s="76"/>
      <c r="L107" s="76"/>
      <c r="O107" s="76"/>
      <c r="R107" s="76"/>
      <c r="U107" s="76"/>
      <c r="V107" s="76">
        <f>SUM(U105-V105)</f>
        <v>371700</v>
      </c>
      <c r="X107" s="76"/>
      <c r="Y107" s="76"/>
      <c r="AA107" s="76"/>
      <c r="AB107" s="76"/>
      <c r="AD107" s="76"/>
      <c r="AE107" s="76"/>
    </row>
    <row r="108" spans="6:30" ht="12.75">
      <c r="F108" s="138"/>
      <c r="I108" s="138"/>
      <c r="L108" s="138"/>
      <c r="O108" s="138"/>
      <c r="R108" s="138"/>
      <c r="U108" s="138"/>
      <c r="X108" s="138"/>
      <c r="AA108" s="138"/>
      <c r="AD108" s="138"/>
    </row>
    <row r="109" spans="6:31" ht="12.75">
      <c r="F109" s="76"/>
      <c r="I109" s="76"/>
      <c r="L109" s="76"/>
      <c r="O109" s="76"/>
      <c r="R109" s="76"/>
      <c r="S109" s="76">
        <f>SUM(R106-S106)</f>
        <v>55</v>
      </c>
      <c r="U109" s="76"/>
      <c r="V109" s="76"/>
      <c r="X109" s="76"/>
      <c r="Y109" s="76"/>
      <c r="AA109" s="76"/>
      <c r="AB109" s="76"/>
      <c r="AD109" s="76"/>
      <c r="AE109" s="76"/>
    </row>
    <row r="110" spans="6:30" ht="12.75">
      <c r="F110" s="76"/>
      <c r="I110" s="76"/>
      <c r="L110" s="76"/>
      <c r="O110" s="76"/>
      <c r="R110" s="76"/>
      <c r="U110" s="76"/>
      <c r="X110" s="76"/>
      <c r="AA110" s="76"/>
      <c r="AD110" s="76"/>
    </row>
    <row r="111" spans="6:30" ht="12.75">
      <c r="F111" s="138"/>
      <c r="I111" s="138"/>
      <c r="L111" s="138"/>
      <c r="O111" s="138"/>
      <c r="R111" s="138"/>
      <c r="U111" s="138"/>
      <c r="X111" s="138"/>
      <c r="AA111" s="138"/>
      <c r="AD111" s="138"/>
    </row>
    <row r="112" ht="12.75">
      <c r="E112" t="s">
        <v>291</v>
      </c>
    </row>
    <row r="113" spans="5:32" ht="12.75">
      <c r="E113" t="s">
        <v>292</v>
      </c>
      <c r="H113" t="s">
        <v>292</v>
      </c>
      <c r="K113" t="s">
        <v>292</v>
      </c>
      <c r="N113" t="s">
        <v>292</v>
      </c>
      <c r="Q113" t="s">
        <v>292</v>
      </c>
      <c r="T113" t="s">
        <v>292</v>
      </c>
      <c r="W113" t="s">
        <v>292</v>
      </c>
      <c r="Z113" t="s">
        <v>292</v>
      </c>
      <c r="AC113" t="s">
        <v>292</v>
      </c>
      <c r="AF113" t="s">
        <v>292</v>
      </c>
    </row>
  </sheetData>
  <sheetProtection/>
  <mergeCells count="2">
    <mergeCell ref="A5:D5"/>
    <mergeCell ref="D56:G56"/>
  </mergeCells>
  <printOptions horizontalCentered="1"/>
  <pageMargins left="0.57" right="0.43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">
      <selection activeCell="A1" sqref="A1:W61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25.125" style="9" customWidth="1"/>
    <col min="5" max="6" width="11.00390625" style="0" hidden="1" customWidth="1"/>
    <col min="7" max="7" width="1.75390625" style="0" hidden="1" customWidth="1"/>
    <col min="8" max="8" width="12.875" style="0" hidden="1" customWidth="1"/>
    <col min="9" max="9" width="12.25390625" style="0" hidden="1" customWidth="1"/>
    <col min="10" max="10" width="11.625" style="0" hidden="1" customWidth="1"/>
    <col min="11" max="11" width="9.875" style="0" hidden="1" customWidth="1"/>
    <col min="12" max="12" width="36.125" style="0" hidden="1" customWidth="1"/>
    <col min="13" max="13" width="11.625" style="0" hidden="1" customWidth="1"/>
    <col min="14" max="14" width="9.875" style="0" hidden="1" customWidth="1"/>
    <col min="15" max="15" width="36.125" style="0" hidden="1" customWidth="1"/>
    <col min="16" max="16" width="11.625" style="0" hidden="1" customWidth="1"/>
    <col min="17" max="17" width="12.375" style="0" hidden="1" customWidth="1"/>
    <col min="18" max="19" width="12.25390625" style="0" hidden="1" customWidth="1"/>
    <col min="20" max="20" width="12.375" style="0" customWidth="1"/>
    <col min="21" max="22" width="12.25390625" style="0" customWidth="1"/>
    <col min="23" max="23" width="12.375" style="0" customWidth="1"/>
  </cols>
  <sheetData>
    <row r="1" spans="5:23" ht="12">
      <c r="E1" s="86"/>
      <c r="F1" s="86"/>
      <c r="H1" s="86"/>
      <c r="I1" s="160" t="s">
        <v>430</v>
      </c>
      <c r="J1" s="160"/>
      <c r="K1" s="86"/>
      <c r="L1" s="160" t="s">
        <v>541</v>
      </c>
      <c r="M1" s="160"/>
      <c r="N1" s="86"/>
      <c r="O1" s="160" t="s">
        <v>588</v>
      </c>
      <c r="P1" s="160"/>
      <c r="Q1" s="86"/>
      <c r="R1" s="160" t="s">
        <v>644</v>
      </c>
      <c r="S1" s="160"/>
      <c r="T1" s="86"/>
      <c r="U1" s="160" t="s">
        <v>723</v>
      </c>
      <c r="V1" s="160"/>
      <c r="W1" s="86"/>
    </row>
    <row r="2" spans="5:23" ht="12">
      <c r="E2" s="86"/>
      <c r="F2" s="86"/>
      <c r="H2" s="86"/>
      <c r="I2" s="160" t="s">
        <v>421</v>
      </c>
      <c r="J2" s="160"/>
      <c r="K2" s="86"/>
      <c r="L2" s="160" t="s">
        <v>516</v>
      </c>
      <c r="M2" s="160"/>
      <c r="N2" s="86"/>
      <c r="O2" s="160" t="s">
        <v>589</v>
      </c>
      <c r="P2" s="160"/>
      <c r="Q2" s="86"/>
      <c r="R2" s="160" t="s">
        <v>609</v>
      </c>
      <c r="S2" s="160"/>
      <c r="T2" s="86"/>
      <c r="U2" s="160" t="s">
        <v>700</v>
      </c>
      <c r="V2" s="160"/>
      <c r="W2" s="86"/>
    </row>
    <row r="3" spans="5:23" ht="12">
      <c r="E3" s="86"/>
      <c r="F3" s="86"/>
      <c r="H3" s="86"/>
      <c r="I3" s="160" t="s">
        <v>419</v>
      </c>
      <c r="J3" s="160"/>
      <c r="K3" s="86"/>
      <c r="L3" s="160" t="s">
        <v>430</v>
      </c>
      <c r="M3" s="160"/>
      <c r="N3" s="86"/>
      <c r="O3" s="160" t="s">
        <v>541</v>
      </c>
      <c r="P3" s="160"/>
      <c r="Q3" s="86"/>
      <c r="R3" s="160" t="s">
        <v>588</v>
      </c>
      <c r="S3" s="160"/>
      <c r="T3" s="86"/>
      <c r="U3" s="160" t="s">
        <v>644</v>
      </c>
      <c r="V3" s="160"/>
      <c r="W3" s="86"/>
    </row>
    <row r="4" spans="5:23" ht="12">
      <c r="E4" s="86"/>
      <c r="F4" s="86"/>
      <c r="H4" s="86"/>
      <c r="I4" s="160" t="s">
        <v>420</v>
      </c>
      <c r="J4" s="160"/>
      <c r="K4" s="86"/>
      <c r="L4" s="160" t="s">
        <v>515</v>
      </c>
      <c r="M4" s="160"/>
      <c r="N4" s="86"/>
      <c r="O4" s="160" t="s">
        <v>561</v>
      </c>
      <c r="P4" s="160"/>
      <c r="Q4" s="86"/>
      <c r="R4" s="160" t="s">
        <v>608</v>
      </c>
      <c r="S4" s="160"/>
      <c r="T4" s="86"/>
      <c r="U4" s="160" t="s">
        <v>687</v>
      </c>
      <c r="V4" s="160"/>
      <c r="W4" s="86"/>
    </row>
    <row r="5" spans="1:4" ht="80.25" customHeight="1">
      <c r="A5" s="376" t="s">
        <v>422</v>
      </c>
      <c r="B5" s="376"/>
      <c r="C5" s="376"/>
      <c r="D5" s="376"/>
    </row>
    <row r="6" spans="1:4" ht="14.25" customHeight="1">
      <c r="A6" s="186"/>
      <c r="B6" s="186"/>
      <c r="C6" s="186"/>
      <c r="D6" s="186"/>
    </row>
    <row r="7" spans="1:4" ht="39.75" customHeight="1">
      <c r="A7" s="377" t="s">
        <v>518</v>
      </c>
      <c r="B7" s="377"/>
      <c r="C7" s="377"/>
      <c r="D7" s="377"/>
    </row>
    <row r="8" spans="1:23" s="187" customFormat="1" ht="24.75" customHeight="1">
      <c r="A8" s="2" t="s">
        <v>4</v>
      </c>
      <c r="B8" s="2" t="s">
        <v>5</v>
      </c>
      <c r="C8" s="2" t="s">
        <v>6</v>
      </c>
      <c r="D8" s="2" t="s">
        <v>7</v>
      </c>
      <c r="E8" s="163" t="s">
        <v>166</v>
      </c>
      <c r="F8" s="2" t="s">
        <v>260</v>
      </c>
      <c r="G8" s="2" t="s">
        <v>261</v>
      </c>
      <c r="H8" s="163" t="s">
        <v>169</v>
      </c>
      <c r="I8" s="163" t="s">
        <v>260</v>
      </c>
      <c r="J8" s="163" t="s">
        <v>261</v>
      </c>
      <c r="K8" s="163" t="s">
        <v>169</v>
      </c>
      <c r="L8" s="163" t="s">
        <v>260</v>
      </c>
      <c r="M8" s="163" t="s">
        <v>261</v>
      </c>
      <c r="N8" s="163" t="s">
        <v>169</v>
      </c>
      <c r="O8" s="163" t="s">
        <v>260</v>
      </c>
      <c r="P8" s="163" t="s">
        <v>261</v>
      </c>
      <c r="Q8" s="163" t="s">
        <v>169</v>
      </c>
      <c r="R8" s="163" t="s">
        <v>260</v>
      </c>
      <c r="S8" s="163" t="s">
        <v>261</v>
      </c>
      <c r="T8" s="163" t="s">
        <v>166</v>
      </c>
      <c r="U8" s="163" t="s">
        <v>260</v>
      </c>
      <c r="V8" s="163" t="s">
        <v>261</v>
      </c>
      <c r="W8" s="163" t="s">
        <v>276</v>
      </c>
    </row>
    <row r="9" spans="1:23" s="38" customFormat="1" ht="63" customHeight="1">
      <c r="A9" s="2">
        <v>756</v>
      </c>
      <c r="B9" s="2"/>
      <c r="C9" s="2"/>
      <c r="D9" s="64" t="s">
        <v>37</v>
      </c>
      <c r="E9" s="48">
        <f aca="true" t="shared" si="0" ref="E9:U10">SUM(E10)</f>
        <v>280000</v>
      </c>
      <c r="F9" s="48">
        <f t="shared" si="0"/>
        <v>0</v>
      </c>
      <c r="G9" s="48">
        <f t="shared" si="0"/>
        <v>0</v>
      </c>
      <c r="H9" s="48">
        <f t="shared" si="0"/>
        <v>280000</v>
      </c>
      <c r="I9" s="48">
        <f t="shared" si="0"/>
        <v>0</v>
      </c>
      <c r="J9" s="48">
        <f t="shared" si="0"/>
        <v>0</v>
      </c>
      <c r="K9" s="48">
        <f t="shared" si="0"/>
        <v>280000</v>
      </c>
      <c r="L9" s="48">
        <f t="shared" si="0"/>
        <v>0</v>
      </c>
      <c r="M9" s="48">
        <f t="shared" si="0"/>
        <v>0</v>
      </c>
      <c r="N9" s="48">
        <f t="shared" si="0"/>
        <v>280000</v>
      </c>
      <c r="O9" s="48">
        <f t="shared" si="0"/>
        <v>280000</v>
      </c>
      <c r="P9" s="48">
        <f t="shared" si="0"/>
        <v>280000</v>
      </c>
      <c r="Q9" s="48">
        <f t="shared" si="0"/>
        <v>280000</v>
      </c>
      <c r="R9" s="48">
        <f t="shared" si="0"/>
        <v>28561</v>
      </c>
      <c r="S9" s="48">
        <f t="shared" si="0"/>
        <v>0</v>
      </c>
      <c r="T9" s="48">
        <f t="shared" si="0"/>
        <v>308561</v>
      </c>
      <c r="U9" s="48">
        <f t="shared" si="0"/>
        <v>0</v>
      </c>
      <c r="V9" s="48">
        <f>SUM(V10)</f>
        <v>0</v>
      </c>
      <c r="W9" s="48">
        <f>SUM(W10)</f>
        <v>308561</v>
      </c>
    </row>
    <row r="10" spans="1:23" s="191" customFormat="1" ht="55.5" customHeight="1">
      <c r="A10" s="81"/>
      <c r="B10" s="74">
        <v>75618</v>
      </c>
      <c r="C10" s="81"/>
      <c r="D10" s="65" t="s">
        <v>182</v>
      </c>
      <c r="E10" s="174">
        <f t="shared" si="0"/>
        <v>280000</v>
      </c>
      <c r="F10" s="174">
        <f t="shared" si="0"/>
        <v>0</v>
      </c>
      <c r="G10" s="174">
        <f t="shared" si="0"/>
        <v>0</v>
      </c>
      <c r="H10" s="174">
        <f t="shared" si="0"/>
        <v>280000</v>
      </c>
      <c r="I10" s="174">
        <f t="shared" si="0"/>
        <v>0</v>
      </c>
      <c r="J10" s="174">
        <f t="shared" si="0"/>
        <v>0</v>
      </c>
      <c r="K10" s="174">
        <f t="shared" si="0"/>
        <v>280000</v>
      </c>
      <c r="L10" s="174">
        <f t="shared" si="0"/>
        <v>0</v>
      </c>
      <c r="M10" s="174">
        <f t="shared" si="0"/>
        <v>0</v>
      </c>
      <c r="N10" s="174">
        <f aca="true" t="shared" si="1" ref="N10:T10">SUM(N11:N12)</f>
        <v>280000</v>
      </c>
      <c r="O10" s="174">
        <f t="shared" si="1"/>
        <v>280000</v>
      </c>
      <c r="P10" s="174">
        <f t="shared" si="1"/>
        <v>280000</v>
      </c>
      <c r="Q10" s="174">
        <f t="shared" si="1"/>
        <v>280000</v>
      </c>
      <c r="R10" s="174">
        <f t="shared" si="1"/>
        <v>28561</v>
      </c>
      <c r="S10" s="174">
        <f t="shared" si="1"/>
        <v>0</v>
      </c>
      <c r="T10" s="174">
        <f t="shared" si="1"/>
        <v>308561</v>
      </c>
      <c r="U10" s="174">
        <f>SUM(U11:U12)</f>
        <v>0</v>
      </c>
      <c r="V10" s="174">
        <f>SUM(V11:V12)</f>
        <v>0</v>
      </c>
      <c r="W10" s="174">
        <f>SUM(W11:W12)</f>
        <v>308561</v>
      </c>
    </row>
    <row r="11" spans="1:23" s="191" customFormat="1" ht="22.5" hidden="1">
      <c r="A11" s="81"/>
      <c r="B11" s="81"/>
      <c r="C11" s="192" t="s">
        <v>223</v>
      </c>
      <c r="D11" s="65" t="s">
        <v>70</v>
      </c>
      <c r="E11" s="174">
        <v>280000</v>
      </c>
      <c r="F11" s="174"/>
      <c r="G11" s="193"/>
      <c r="H11" s="174">
        <f>SUM(E11+F11-G11)</f>
        <v>280000</v>
      </c>
      <c r="I11" s="174"/>
      <c r="J11" s="174"/>
      <c r="K11" s="174">
        <f>SUM(H11+I11-J11)</f>
        <v>280000</v>
      </c>
      <c r="L11" s="174"/>
      <c r="M11" s="174"/>
      <c r="N11" s="174">
        <f>SUM(K11+L11-M11)</f>
        <v>280000</v>
      </c>
      <c r="O11" s="174"/>
      <c r="P11" s="174">
        <v>280000</v>
      </c>
      <c r="Q11" s="174">
        <f>SUM(N11+O11-P11)</f>
        <v>0</v>
      </c>
      <c r="R11" s="174"/>
      <c r="S11" s="174"/>
      <c r="T11" s="174">
        <f>SUM(Q11+R11-S11)</f>
        <v>0</v>
      </c>
      <c r="U11" s="174"/>
      <c r="V11" s="174"/>
      <c r="W11" s="174">
        <f>SUM(T11+U11-V11)</f>
        <v>0</v>
      </c>
    </row>
    <row r="12" spans="1:23" s="191" customFormat="1" ht="28.5" customHeight="1">
      <c r="A12" s="81"/>
      <c r="B12" s="81"/>
      <c r="C12" s="192" t="s">
        <v>223</v>
      </c>
      <c r="D12" s="65" t="s">
        <v>575</v>
      </c>
      <c r="E12" s="174"/>
      <c r="F12" s="174"/>
      <c r="G12" s="193"/>
      <c r="H12" s="174"/>
      <c r="I12" s="174"/>
      <c r="J12" s="174"/>
      <c r="K12" s="174"/>
      <c r="L12" s="174"/>
      <c r="M12" s="174"/>
      <c r="N12" s="174">
        <v>0</v>
      </c>
      <c r="O12" s="174">
        <v>280000</v>
      </c>
      <c r="P12" s="174"/>
      <c r="Q12" s="174">
        <f>SUM(N12+O12-P12)</f>
        <v>280000</v>
      </c>
      <c r="R12" s="174">
        <v>28561</v>
      </c>
      <c r="S12" s="174"/>
      <c r="T12" s="174">
        <f>SUM(Q12+R12-S12)</f>
        <v>308561</v>
      </c>
      <c r="U12" s="174"/>
      <c r="V12" s="174"/>
      <c r="W12" s="174">
        <f>SUM(T12+U12-V12)</f>
        <v>308561</v>
      </c>
    </row>
    <row r="13" spans="1:23" s="1" customFormat="1" ht="21" customHeight="1">
      <c r="A13" s="63"/>
      <c r="B13" s="63"/>
      <c r="C13" s="63"/>
      <c r="D13" s="2" t="s">
        <v>85</v>
      </c>
      <c r="E13" s="48">
        <f aca="true" t="shared" si="2" ref="E13:K13">SUM(E9)</f>
        <v>280000</v>
      </c>
      <c r="F13" s="48">
        <f t="shared" si="2"/>
        <v>0</v>
      </c>
      <c r="G13" s="48">
        <f t="shared" si="2"/>
        <v>0</v>
      </c>
      <c r="H13" s="48">
        <f t="shared" si="2"/>
        <v>280000</v>
      </c>
      <c r="I13" s="48">
        <f t="shared" si="2"/>
        <v>0</v>
      </c>
      <c r="J13" s="48">
        <f t="shared" si="2"/>
        <v>0</v>
      </c>
      <c r="K13" s="48">
        <f t="shared" si="2"/>
        <v>280000</v>
      </c>
      <c r="L13" s="48">
        <f aca="true" t="shared" si="3" ref="L13:Q13">SUM(L9)</f>
        <v>0</v>
      </c>
      <c r="M13" s="48">
        <f t="shared" si="3"/>
        <v>0</v>
      </c>
      <c r="N13" s="48">
        <f t="shared" si="3"/>
        <v>280000</v>
      </c>
      <c r="O13" s="48">
        <f t="shared" si="3"/>
        <v>280000</v>
      </c>
      <c r="P13" s="48">
        <f t="shared" si="3"/>
        <v>280000</v>
      </c>
      <c r="Q13" s="48">
        <f t="shared" si="3"/>
        <v>280000</v>
      </c>
      <c r="R13" s="48">
        <f aca="true" t="shared" si="4" ref="R13:W13">SUM(R9)</f>
        <v>28561</v>
      </c>
      <c r="S13" s="48">
        <f t="shared" si="4"/>
        <v>0</v>
      </c>
      <c r="T13" s="48">
        <f t="shared" si="4"/>
        <v>308561</v>
      </c>
      <c r="U13" s="48">
        <f t="shared" si="4"/>
        <v>0</v>
      </c>
      <c r="V13" s="48">
        <f t="shared" si="4"/>
        <v>0</v>
      </c>
      <c r="W13" s="48">
        <f t="shared" si="4"/>
        <v>308561</v>
      </c>
    </row>
    <row r="14" spans="1:23" s="1" customFormat="1" ht="22.5" customHeight="1">
      <c r="A14" s="188"/>
      <c r="B14" s="188"/>
      <c r="C14" s="188"/>
      <c r="D14" s="189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</row>
    <row r="15" spans="1:4" ht="44.25" customHeight="1">
      <c r="A15" s="378" t="s">
        <v>517</v>
      </c>
      <c r="B15" s="378"/>
      <c r="C15" s="378"/>
      <c r="D15" s="378"/>
    </row>
    <row r="16" spans="1:23" s="199" customFormat="1" ht="23.25" customHeight="1">
      <c r="A16" s="2" t="s">
        <v>4</v>
      </c>
      <c r="B16" s="2" t="s">
        <v>5</v>
      </c>
      <c r="C16" s="2" t="s">
        <v>6</v>
      </c>
      <c r="D16" s="2" t="s">
        <v>7</v>
      </c>
      <c r="E16" s="163" t="s">
        <v>166</v>
      </c>
      <c r="F16" s="2" t="s">
        <v>260</v>
      </c>
      <c r="G16" s="2" t="s">
        <v>261</v>
      </c>
      <c r="H16" s="163" t="s">
        <v>169</v>
      </c>
      <c r="I16" s="163" t="s">
        <v>260</v>
      </c>
      <c r="J16" s="163" t="s">
        <v>261</v>
      </c>
      <c r="K16" s="163" t="s">
        <v>169</v>
      </c>
      <c r="L16" s="163" t="s">
        <v>260</v>
      </c>
      <c r="M16" s="163" t="s">
        <v>261</v>
      </c>
      <c r="N16" s="163" t="s">
        <v>169</v>
      </c>
      <c r="O16" s="163" t="s">
        <v>260</v>
      </c>
      <c r="P16" s="163" t="s">
        <v>261</v>
      </c>
      <c r="Q16" s="163" t="s">
        <v>169</v>
      </c>
      <c r="R16" s="163" t="s">
        <v>260</v>
      </c>
      <c r="S16" s="163" t="s">
        <v>261</v>
      </c>
      <c r="T16" s="163" t="s">
        <v>169</v>
      </c>
      <c r="U16" s="163" t="s">
        <v>260</v>
      </c>
      <c r="V16" s="163" t="s">
        <v>261</v>
      </c>
      <c r="W16" s="163" t="s">
        <v>276</v>
      </c>
    </row>
    <row r="17" spans="1:23" s="217" customFormat="1" ht="23.25" customHeight="1">
      <c r="A17" s="2">
        <v>750</v>
      </c>
      <c r="B17" s="2"/>
      <c r="C17" s="2"/>
      <c r="D17" s="270" t="s">
        <v>100</v>
      </c>
      <c r="E17" s="163"/>
      <c r="F17" s="2"/>
      <c r="G17" s="2"/>
      <c r="H17" s="163"/>
      <c r="I17" s="163"/>
      <c r="J17" s="163"/>
      <c r="K17" s="242">
        <f aca="true" t="shared" si="5" ref="K17:W17">SUM(K18)</f>
        <v>0</v>
      </c>
      <c r="L17" s="242">
        <f t="shared" si="5"/>
        <v>5652</v>
      </c>
      <c r="M17" s="242">
        <f t="shared" si="5"/>
        <v>0</v>
      </c>
      <c r="N17" s="242">
        <f t="shared" si="5"/>
        <v>5652</v>
      </c>
      <c r="O17" s="242">
        <f t="shared" si="5"/>
        <v>0</v>
      </c>
      <c r="P17" s="242">
        <f t="shared" si="5"/>
        <v>0</v>
      </c>
      <c r="Q17" s="242">
        <f t="shared" si="5"/>
        <v>5652</v>
      </c>
      <c r="R17" s="242">
        <f t="shared" si="5"/>
        <v>0</v>
      </c>
      <c r="S17" s="242">
        <f t="shared" si="5"/>
        <v>0</v>
      </c>
      <c r="T17" s="242">
        <f t="shared" si="5"/>
        <v>5652</v>
      </c>
      <c r="U17" s="242">
        <f t="shared" si="5"/>
        <v>0</v>
      </c>
      <c r="V17" s="242">
        <f t="shared" si="5"/>
        <v>0</v>
      </c>
      <c r="W17" s="242">
        <f t="shared" si="5"/>
        <v>5652</v>
      </c>
    </row>
    <row r="18" spans="1:23" s="199" customFormat="1" ht="23.25" customHeight="1">
      <c r="A18" s="81"/>
      <c r="B18" s="81">
        <v>75023</v>
      </c>
      <c r="C18" s="81"/>
      <c r="D18" s="56" t="s">
        <v>26</v>
      </c>
      <c r="E18" s="271"/>
      <c r="F18" s="81"/>
      <c r="G18" s="81"/>
      <c r="H18" s="271"/>
      <c r="I18" s="271"/>
      <c r="J18" s="271"/>
      <c r="K18" s="225">
        <f aca="true" t="shared" si="6" ref="K18:Q18">SUM(K19:K23)</f>
        <v>0</v>
      </c>
      <c r="L18" s="225">
        <f t="shared" si="6"/>
        <v>5652</v>
      </c>
      <c r="M18" s="225">
        <f t="shared" si="6"/>
        <v>0</v>
      </c>
      <c r="N18" s="225">
        <f t="shared" si="6"/>
        <v>5652</v>
      </c>
      <c r="O18" s="225">
        <f t="shared" si="6"/>
        <v>0</v>
      </c>
      <c r="P18" s="225">
        <f t="shared" si="6"/>
        <v>0</v>
      </c>
      <c r="Q18" s="225">
        <f t="shared" si="6"/>
        <v>5652</v>
      </c>
      <c r="R18" s="225">
        <f aca="true" t="shared" si="7" ref="R18:W18">SUM(R19:R23)</f>
        <v>0</v>
      </c>
      <c r="S18" s="225">
        <f t="shared" si="7"/>
        <v>0</v>
      </c>
      <c r="T18" s="225">
        <f t="shared" si="7"/>
        <v>5652</v>
      </c>
      <c r="U18" s="225">
        <f t="shared" si="7"/>
        <v>0</v>
      </c>
      <c r="V18" s="225">
        <f t="shared" si="7"/>
        <v>0</v>
      </c>
      <c r="W18" s="225">
        <f t="shared" si="7"/>
        <v>5652</v>
      </c>
    </row>
    <row r="19" spans="1:23" s="199" customFormat="1" ht="23.25" customHeight="1">
      <c r="A19" s="81"/>
      <c r="B19" s="81"/>
      <c r="C19" s="81">
        <v>4010</v>
      </c>
      <c r="D19" s="56" t="s">
        <v>101</v>
      </c>
      <c r="E19" s="271"/>
      <c r="F19" s="81"/>
      <c r="G19" s="81"/>
      <c r="H19" s="271"/>
      <c r="I19" s="271"/>
      <c r="J19" s="271"/>
      <c r="K19" s="225">
        <v>0</v>
      </c>
      <c r="L19" s="225">
        <v>4060</v>
      </c>
      <c r="M19" s="225"/>
      <c r="N19" s="225">
        <f>SUM(K19+L19-M19)</f>
        <v>4060</v>
      </c>
      <c r="O19" s="225"/>
      <c r="P19" s="225"/>
      <c r="Q19" s="225">
        <f>SUM(N19+O19-P19)</f>
        <v>4060</v>
      </c>
      <c r="R19" s="225"/>
      <c r="S19" s="225"/>
      <c r="T19" s="225">
        <f>SUM(Q19+R19-S19)</f>
        <v>4060</v>
      </c>
      <c r="U19" s="225"/>
      <c r="V19" s="225"/>
      <c r="W19" s="225">
        <f>SUM(T19+U19-V19)</f>
        <v>4060</v>
      </c>
    </row>
    <row r="20" spans="1:23" s="199" customFormat="1" ht="23.25" customHeight="1">
      <c r="A20" s="81"/>
      <c r="B20" s="81"/>
      <c r="C20" s="81">
        <v>4110</v>
      </c>
      <c r="D20" s="56" t="s">
        <v>103</v>
      </c>
      <c r="E20" s="271"/>
      <c r="F20" s="81"/>
      <c r="G20" s="81"/>
      <c r="H20" s="271"/>
      <c r="I20" s="271"/>
      <c r="J20" s="271"/>
      <c r="K20" s="225">
        <v>0</v>
      </c>
      <c r="L20" s="225">
        <v>706</v>
      </c>
      <c r="M20" s="225"/>
      <c r="N20" s="225">
        <f>SUM(K20+L20-M20)</f>
        <v>706</v>
      </c>
      <c r="O20" s="225"/>
      <c r="P20" s="225"/>
      <c r="Q20" s="225">
        <f>SUM(N20+O20-P20)</f>
        <v>706</v>
      </c>
      <c r="R20" s="225"/>
      <c r="S20" s="225"/>
      <c r="T20" s="225">
        <f>SUM(Q20+R20-S20)</f>
        <v>706</v>
      </c>
      <c r="U20" s="225"/>
      <c r="V20" s="225"/>
      <c r="W20" s="225">
        <f>SUM(T20+U20-V20)</f>
        <v>706</v>
      </c>
    </row>
    <row r="21" spans="1:23" s="199" customFormat="1" ht="23.25" customHeight="1">
      <c r="A21" s="81"/>
      <c r="B21" s="81"/>
      <c r="C21" s="81">
        <v>4120</v>
      </c>
      <c r="D21" s="56" t="s">
        <v>104</v>
      </c>
      <c r="E21" s="271"/>
      <c r="F21" s="81"/>
      <c r="G21" s="81"/>
      <c r="H21" s="271"/>
      <c r="I21" s="271"/>
      <c r="J21" s="271"/>
      <c r="K21" s="225">
        <v>0</v>
      </c>
      <c r="L21" s="225">
        <v>186</v>
      </c>
      <c r="M21" s="225"/>
      <c r="N21" s="225">
        <f>SUM(K21+L21-M21)</f>
        <v>186</v>
      </c>
      <c r="O21" s="225"/>
      <c r="P21" s="225"/>
      <c r="Q21" s="225">
        <f>SUM(N21+O21-P21)</f>
        <v>186</v>
      </c>
      <c r="R21" s="225"/>
      <c r="S21" s="225"/>
      <c r="T21" s="225">
        <f>SUM(Q21+R21-S21)</f>
        <v>186</v>
      </c>
      <c r="U21" s="225"/>
      <c r="V21" s="225"/>
      <c r="W21" s="225">
        <f>SUM(T21+U21-V21)</f>
        <v>186</v>
      </c>
    </row>
    <row r="22" spans="1:23" s="199" customFormat="1" ht="23.25" customHeight="1">
      <c r="A22" s="81"/>
      <c r="B22" s="81"/>
      <c r="C22" s="81">
        <v>4280</v>
      </c>
      <c r="D22" s="56" t="s">
        <v>267</v>
      </c>
      <c r="E22" s="271"/>
      <c r="F22" s="81"/>
      <c r="G22" s="81"/>
      <c r="H22" s="271"/>
      <c r="I22" s="271"/>
      <c r="J22" s="271"/>
      <c r="K22" s="225">
        <v>0</v>
      </c>
      <c r="L22" s="225">
        <v>245</v>
      </c>
      <c r="M22" s="225"/>
      <c r="N22" s="225">
        <f>SUM(K22+L22-M22)</f>
        <v>245</v>
      </c>
      <c r="O22" s="225"/>
      <c r="P22" s="225"/>
      <c r="Q22" s="225">
        <f>SUM(N22+O22-P22)</f>
        <v>245</v>
      </c>
      <c r="R22" s="225"/>
      <c r="S22" s="225"/>
      <c r="T22" s="225">
        <f>SUM(Q22+R22-S22)</f>
        <v>245</v>
      </c>
      <c r="U22" s="225"/>
      <c r="V22" s="225"/>
      <c r="W22" s="225">
        <f>SUM(T22+U22-V22)</f>
        <v>245</v>
      </c>
    </row>
    <row r="23" spans="1:23" s="199" customFormat="1" ht="23.25" customHeight="1">
      <c r="A23" s="81"/>
      <c r="B23" s="81"/>
      <c r="C23" s="81">
        <v>4440</v>
      </c>
      <c r="D23" s="56" t="s">
        <v>105</v>
      </c>
      <c r="E23" s="271"/>
      <c r="F23" s="81"/>
      <c r="G23" s="81"/>
      <c r="H23" s="271"/>
      <c r="I23" s="271"/>
      <c r="J23" s="271"/>
      <c r="K23" s="225">
        <v>0</v>
      </c>
      <c r="L23" s="225">
        <v>455</v>
      </c>
      <c r="M23" s="225"/>
      <c r="N23" s="225">
        <f>SUM(K23+L23-M23)</f>
        <v>455</v>
      </c>
      <c r="O23" s="225"/>
      <c r="P23" s="225"/>
      <c r="Q23" s="225">
        <f>SUM(N23+O23-P23)</f>
        <v>455</v>
      </c>
      <c r="R23" s="225"/>
      <c r="S23" s="225"/>
      <c r="T23" s="225">
        <f>SUM(Q23+R23-S23)</f>
        <v>455</v>
      </c>
      <c r="U23" s="225"/>
      <c r="V23" s="225"/>
      <c r="W23" s="225">
        <f>SUM(T23+U23-V23)</f>
        <v>455</v>
      </c>
    </row>
    <row r="24" spans="1:23" s="217" customFormat="1" ht="23.25" customHeight="1">
      <c r="A24" s="2">
        <v>851</v>
      </c>
      <c r="B24" s="2"/>
      <c r="C24" s="2"/>
      <c r="D24" s="218" t="s">
        <v>338</v>
      </c>
      <c r="E24" s="219">
        <f aca="true" t="shared" si="8" ref="E24:K24">E30+E27</f>
        <v>76829</v>
      </c>
      <c r="F24" s="219">
        <f t="shared" si="8"/>
        <v>82959</v>
      </c>
      <c r="G24" s="219">
        <f t="shared" si="8"/>
        <v>42959</v>
      </c>
      <c r="H24" s="219">
        <f t="shared" si="8"/>
        <v>116829</v>
      </c>
      <c r="I24" s="219">
        <f t="shared" si="8"/>
        <v>0</v>
      </c>
      <c r="J24" s="219">
        <f t="shared" si="8"/>
        <v>0</v>
      </c>
      <c r="K24" s="219">
        <f t="shared" si="8"/>
        <v>116829</v>
      </c>
      <c r="L24" s="219">
        <f>L30+L27</f>
        <v>10940</v>
      </c>
      <c r="M24" s="219">
        <f>M30+M27</f>
        <v>10940</v>
      </c>
      <c r="N24" s="219">
        <f>N30+N27</f>
        <v>116829</v>
      </c>
      <c r="O24" s="219">
        <f>O30+O27</f>
        <v>11881</v>
      </c>
      <c r="P24" s="219">
        <f>P30+P27</f>
        <v>10940</v>
      </c>
      <c r="Q24" s="219">
        <f aca="true" t="shared" si="9" ref="Q24:W24">Q30+Q27+Q25</f>
        <v>117770</v>
      </c>
      <c r="R24" s="219">
        <f t="shared" si="9"/>
        <v>31500</v>
      </c>
      <c r="S24" s="219">
        <f t="shared" si="9"/>
        <v>0</v>
      </c>
      <c r="T24" s="219">
        <f t="shared" si="9"/>
        <v>149270</v>
      </c>
      <c r="U24" s="219">
        <f t="shared" si="9"/>
        <v>0</v>
      </c>
      <c r="V24" s="219">
        <f t="shared" si="9"/>
        <v>20150</v>
      </c>
      <c r="W24" s="219">
        <f t="shared" si="9"/>
        <v>129120</v>
      </c>
    </row>
    <row r="25" spans="1:23" s="199" customFormat="1" ht="23.25" customHeight="1">
      <c r="A25" s="211"/>
      <c r="B25" s="211">
        <v>85111</v>
      </c>
      <c r="C25" s="211"/>
      <c r="D25" s="78" t="s">
        <v>620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>
        <f aca="true" t="shared" si="10" ref="Q25:W25">SUM(Q26)</f>
        <v>0</v>
      </c>
      <c r="R25" s="235">
        <f t="shared" si="10"/>
        <v>31500</v>
      </c>
      <c r="S25" s="235">
        <f t="shared" si="10"/>
        <v>0</v>
      </c>
      <c r="T25" s="235">
        <f t="shared" si="10"/>
        <v>31500</v>
      </c>
      <c r="U25" s="235">
        <f t="shared" si="10"/>
        <v>0</v>
      </c>
      <c r="V25" s="235">
        <f t="shared" si="10"/>
        <v>0</v>
      </c>
      <c r="W25" s="235">
        <f t="shared" si="10"/>
        <v>31500</v>
      </c>
    </row>
    <row r="26" spans="1:23" s="303" customFormat="1" ht="72">
      <c r="A26" s="81"/>
      <c r="B26" s="81"/>
      <c r="C26" s="81">
        <v>6300</v>
      </c>
      <c r="D26" s="19" t="s">
        <v>568</v>
      </c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>
        <v>0</v>
      </c>
      <c r="R26" s="236">
        <f>5000+26500</f>
        <v>31500</v>
      </c>
      <c r="S26" s="236"/>
      <c r="T26" s="236">
        <f>SUM(Q26+R26-S26)</f>
        <v>31500</v>
      </c>
      <c r="U26" s="236"/>
      <c r="V26" s="236"/>
      <c r="W26" s="236">
        <f>SUM(T26+U26-V26)</f>
        <v>31500</v>
      </c>
    </row>
    <row r="27" spans="1:23" s="217" customFormat="1" ht="23.25" customHeight="1">
      <c r="A27" s="2"/>
      <c r="B27" s="81">
        <v>85153</v>
      </c>
      <c r="C27" s="2"/>
      <c r="D27" s="78" t="s">
        <v>389</v>
      </c>
      <c r="E27" s="235">
        <f aca="true" t="shared" si="11" ref="E27:K27">SUM(E28:E29)</f>
        <v>0</v>
      </c>
      <c r="F27" s="236">
        <f t="shared" si="11"/>
        <v>24109</v>
      </c>
      <c r="G27" s="236">
        <f t="shared" si="11"/>
        <v>0</v>
      </c>
      <c r="H27" s="236">
        <f t="shared" si="11"/>
        <v>24109</v>
      </c>
      <c r="I27" s="236">
        <f t="shared" si="11"/>
        <v>0</v>
      </c>
      <c r="J27" s="236">
        <f t="shared" si="11"/>
        <v>0</v>
      </c>
      <c r="K27" s="236">
        <f t="shared" si="11"/>
        <v>24109</v>
      </c>
      <c r="L27" s="236">
        <f aca="true" t="shared" si="12" ref="L27:Q27">SUM(L28:L29)</f>
        <v>0</v>
      </c>
      <c r="M27" s="236">
        <f t="shared" si="12"/>
        <v>0</v>
      </c>
      <c r="N27" s="236">
        <f t="shared" si="12"/>
        <v>24109</v>
      </c>
      <c r="O27" s="236">
        <f t="shared" si="12"/>
        <v>0</v>
      </c>
      <c r="P27" s="236">
        <f t="shared" si="12"/>
        <v>0</v>
      </c>
      <c r="Q27" s="236">
        <f t="shared" si="12"/>
        <v>24109</v>
      </c>
      <c r="R27" s="236">
        <f aca="true" t="shared" si="13" ref="R27:W27">SUM(R28:R29)</f>
        <v>0</v>
      </c>
      <c r="S27" s="236">
        <f t="shared" si="13"/>
        <v>0</v>
      </c>
      <c r="T27" s="236">
        <f t="shared" si="13"/>
        <v>24109</v>
      </c>
      <c r="U27" s="236">
        <f t="shared" si="13"/>
        <v>0</v>
      </c>
      <c r="V27" s="236">
        <f t="shared" si="13"/>
        <v>0</v>
      </c>
      <c r="W27" s="236">
        <f t="shared" si="13"/>
        <v>24109</v>
      </c>
    </row>
    <row r="28" spans="1:23" s="217" customFormat="1" ht="23.25" customHeight="1">
      <c r="A28" s="2"/>
      <c r="B28" s="2"/>
      <c r="C28" s="74">
        <v>4300</v>
      </c>
      <c r="D28" s="19" t="s">
        <v>96</v>
      </c>
      <c r="E28" s="235">
        <v>0</v>
      </c>
      <c r="F28" s="236">
        <v>1000</v>
      </c>
      <c r="G28" s="236"/>
      <c r="H28" s="236">
        <f>SUM(E28+F28-G28)</f>
        <v>1000</v>
      </c>
      <c r="I28" s="236"/>
      <c r="J28" s="236"/>
      <c r="K28" s="236">
        <f>SUM(H28+I28-J28)</f>
        <v>1000</v>
      </c>
      <c r="L28" s="236"/>
      <c r="M28" s="236"/>
      <c r="N28" s="236">
        <f>SUM(K28+L28-M28)</f>
        <v>1000</v>
      </c>
      <c r="O28" s="236"/>
      <c r="P28" s="236"/>
      <c r="Q28" s="236">
        <f>SUM(N28+O28-P28)</f>
        <v>1000</v>
      </c>
      <c r="R28" s="236"/>
      <c r="S28" s="236"/>
      <c r="T28" s="236">
        <f>SUM(Q28+R28-S28)</f>
        <v>1000</v>
      </c>
      <c r="U28" s="236"/>
      <c r="V28" s="236"/>
      <c r="W28" s="236">
        <f>SUM(T28+U28-V28)</f>
        <v>1000</v>
      </c>
    </row>
    <row r="29" spans="1:23" s="217" customFormat="1" ht="23.25" customHeight="1">
      <c r="A29" s="2"/>
      <c r="B29" s="2"/>
      <c r="C29" s="74">
        <v>6060</v>
      </c>
      <c r="D29" s="56" t="s">
        <v>113</v>
      </c>
      <c r="E29" s="235">
        <v>0</v>
      </c>
      <c r="F29" s="236">
        <v>23109</v>
      </c>
      <c r="G29" s="236"/>
      <c r="H29" s="236">
        <f>SUM(E29+F29-G29)</f>
        <v>23109</v>
      </c>
      <c r="I29" s="236"/>
      <c r="J29" s="236"/>
      <c r="K29" s="236">
        <f>SUM(H29+I29-J29)</f>
        <v>23109</v>
      </c>
      <c r="L29" s="236"/>
      <c r="M29" s="236"/>
      <c r="N29" s="236">
        <f>SUM(K29+L29-M29)</f>
        <v>23109</v>
      </c>
      <c r="O29" s="236"/>
      <c r="P29" s="236"/>
      <c r="Q29" s="236">
        <f>SUM(N29+O29-P29)</f>
        <v>23109</v>
      </c>
      <c r="R29" s="236"/>
      <c r="S29" s="236"/>
      <c r="T29" s="236">
        <f>SUM(Q29+R29-S29)</f>
        <v>23109</v>
      </c>
      <c r="U29" s="236"/>
      <c r="V29" s="236"/>
      <c r="W29" s="236">
        <f>SUM(T29+U29-V29)</f>
        <v>23109</v>
      </c>
    </row>
    <row r="30" spans="1:23" s="37" customFormat="1" ht="21.75" customHeight="1">
      <c r="A30" s="104"/>
      <c r="B30" s="104" t="s">
        <v>138</v>
      </c>
      <c r="C30" s="74"/>
      <c r="D30" s="19" t="s">
        <v>69</v>
      </c>
      <c r="E30" s="119">
        <f>SUM(E33:E37)</f>
        <v>76829</v>
      </c>
      <c r="F30" s="119">
        <f>SUM(F33:F37)</f>
        <v>58850</v>
      </c>
      <c r="G30" s="119">
        <f>SUM(G33:G37)</f>
        <v>42959</v>
      </c>
      <c r="H30" s="119">
        <f>SUM(H33:H36)</f>
        <v>92720</v>
      </c>
      <c r="I30" s="119">
        <f>SUM(I33:I36)</f>
        <v>0</v>
      </c>
      <c r="J30" s="119">
        <f>SUM(J33:J36)</f>
        <v>0</v>
      </c>
      <c r="K30" s="119">
        <f aca="true" t="shared" si="14" ref="K30:Q30">SUM(K31:K36)</f>
        <v>92720</v>
      </c>
      <c r="L30" s="119">
        <f t="shared" si="14"/>
        <v>10940</v>
      </c>
      <c r="M30" s="119">
        <f t="shared" si="14"/>
        <v>10940</v>
      </c>
      <c r="N30" s="119">
        <f t="shared" si="14"/>
        <v>92720</v>
      </c>
      <c r="O30" s="119">
        <f t="shared" si="14"/>
        <v>11881</v>
      </c>
      <c r="P30" s="119">
        <f t="shared" si="14"/>
        <v>10940</v>
      </c>
      <c r="Q30" s="119">
        <f t="shared" si="14"/>
        <v>93661</v>
      </c>
      <c r="R30" s="119">
        <f aca="true" t="shared" si="15" ref="R30:W30">SUM(R31:R36)</f>
        <v>0</v>
      </c>
      <c r="S30" s="119">
        <f t="shared" si="15"/>
        <v>0</v>
      </c>
      <c r="T30" s="119">
        <f t="shared" si="15"/>
        <v>93661</v>
      </c>
      <c r="U30" s="119">
        <f t="shared" si="15"/>
        <v>0</v>
      </c>
      <c r="V30" s="119">
        <f t="shared" si="15"/>
        <v>20150</v>
      </c>
      <c r="W30" s="119">
        <f t="shared" si="15"/>
        <v>73511</v>
      </c>
    </row>
    <row r="31" spans="1:23" s="37" customFormat="1" ht="56.25" hidden="1">
      <c r="A31" s="104"/>
      <c r="B31" s="104"/>
      <c r="C31" s="74">
        <v>2710</v>
      </c>
      <c r="D31" s="19" t="s">
        <v>525</v>
      </c>
      <c r="E31" s="119"/>
      <c r="F31" s="119"/>
      <c r="G31" s="119"/>
      <c r="H31" s="119"/>
      <c r="I31" s="119"/>
      <c r="J31" s="119"/>
      <c r="K31" s="119">
        <v>0</v>
      </c>
      <c r="L31" s="119">
        <v>10940</v>
      </c>
      <c r="M31" s="119"/>
      <c r="N31" s="126">
        <f aca="true" t="shared" si="16" ref="N31:N37">SUM(K31+L31-M31)</f>
        <v>10940</v>
      </c>
      <c r="O31" s="119"/>
      <c r="P31" s="119">
        <v>10940</v>
      </c>
      <c r="Q31" s="126">
        <f aca="true" t="shared" si="17" ref="Q31:Q37">SUM(N31+O31-P31)</f>
        <v>0</v>
      </c>
      <c r="R31" s="119"/>
      <c r="S31" s="119"/>
      <c r="T31" s="126">
        <f aca="true" t="shared" si="18" ref="T31:T37">SUM(Q31+R31-S31)</f>
        <v>0</v>
      </c>
      <c r="U31" s="119"/>
      <c r="V31" s="119"/>
      <c r="W31" s="126">
        <f aca="true" t="shared" si="19" ref="W31:W37">SUM(T31+U31-V31)</f>
        <v>0</v>
      </c>
    </row>
    <row r="32" spans="1:23" s="37" customFormat="1" ht="60">
      <c r="A32" s="104"/>
      <c r="B32" s="104"/>
      <c r="C32" s="74">
        <v>2710</v>
      </c>
      <c r="D32" s="19" t="s">
        <v>569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26">
        <v>0</v>
      </c>
      <c r="O32" s="119">
        <v>10940</v>
      </c>
      <c r="P32" s="119"/>
      <c r="Q32" s="126">
        <f t="shared" si="17"/>
        <v>10940</v>
      </c>
      <c r="R32" s="119"/>
      <c r="S32" s="119"/>
      <c r="T32" s="126">
        <f t="shared" si="18"/>
        <v>10940</v>
      </c>
      <c r="U32" s="119"/>
      <c r="V32" s="119"/>
      <c r="W32" s="126">
        <f t="shared" si="19"/>
        <v>10940</v>
      </c>
    </row>
    <row r="33" spans="1:23" s="37" customFormat="1" ht="32.25" customHeight="1">
      <c r="A33" s="104"/>
      <c r="B33" s="104"/>
      <c r="C33" s="74">
        <v>2630</v>
      </c>
      <c r="D33" s="19" t="s">
        <v>364</v>
      </c>
      <c r="E33" s="119">
        <v>0</v>
      </c>
      <c r="F33" s="119">
        <v>43850</v>
      </c>
      <c r="G33" s="119"/>
      <c r="H33" s="126">
        <f>SUM(E33+F33-G33)</f>
        <v>43850</v>
      </c>
      <c r="I33" s="126"/>
      <c r="J33" s="126"/>
      <c r="K33" s="126">
        <f>SUM(H33+I33-J33)</f>
        <v>43850</v>
      </c>
      <c r="L33" s="126"/>
      <c r="M33" s="126"/>
      <c r="N33" s="126">
        <f t="shared" si="16"/>
        <v>43850</v>
      </c>
      <c r="O33" s="126"/>
      <c r="P33" s="126"/>
      <c r="Q33" s="126">
        <f t="shared" si="17"/>
        <v>43850</v>
      </c>
      <c r="R33" s="126"/>
      <c r="S33" s="126"/>
      <c r="T33" s="126">
        <f t="shared" si="18"/>
        <v>43850</v>
      </c>
      <c r="U33" s="126"/>
      <c r="V33" s="126"/>
      <c r="W33" s="126">
        <f t="shared" si="19"/>
        <v>43850</v>
      </c>
    </row>
    <row r="34" spans="1:23" s="37" customFormat="1" ht="22.5" hidden="1">
      <c r="A34" s="104"/>
      <c r="B34" s="74"/>
      <c r="C34" s="74">
        <v>3030</v>
      </c>
      <c r="D34" s="19" t="s">
        <v>106</v>
      </c>
      <c r="E34" s="126">
        <v>15000</v>
      </c>
      <c r="F34" s="126"/>
      <c r="G34" s="126">
        <v>15000</v>
      </c>
      <c r="H34" s="126">
        <f>SUM(E34+F34-G34)</f>
        <v>0</v>
      </c>
      <c r="I34" s="126"/>
      <c r="J34" s="126"/>
      <c r="K34" s="126">
        <f>SUM(H34+I34-J34)</f>
        <v>0</v>
      </c>
      <c r="L34" s="126"/>
      <c r="M34" s="126"/>
      <c r="N34" s="126">
        <f t="shared" si="16"/>
        <v>0</v>
      </c>
      <c r="O34" s="126"/>
      <c r="P34" s="126"/>
      <c r="Q34" s="126">
        <f t="shared" si="17"/>
        <v>0</v>
      </c>
      <c r="R34" s="126"/>
      <c r="S34" s="126"/>
      <c r="T34" s="126">
        <f t="shared" si="18"/>
        <v>0</v>
      </c>
      <c r="U34" s="126"/>
      <c r="V34" s="126"/>
      <c r="W34" s="126">
        <f t="shared" si="19"/>
        <v>0</v>
      </c>
    </row>
    <row r="35" spans="1:23" s="37" customFormat="1" ht="21.75" customHeight="1">
      <c r="A35" s="104"/>
      <c r="B35" s="74"/>
      <c r="C35" s="74">
        <v>4170</v>
      </c>
      <c r="D35" s="19" t="s">
        <v>247</v>
      </c>
      <c r="E35" s="126">
        <v>0</v>
      </c>
      <c r="F35" s="126">
        <v>15000</v>
      </c>
      <c r="G35" s="126"/>
      <c r="H35" s="126">
        <f>SUM(E35+F35-G35)</f>
        <v>15000</v>
      </c>
      <c r="I35" s="126"/>
      <c r="J35" s="126"/>
      <c r="K35" s="126">
        <f>SUM(H35+I35-J35)</f>
        <v>15000</v>
      </c>
      <c r="L35" s="126"/>
      <c r="M35" s="126"/>
      <c r="N35" s="126">
        <f t="shared" si="16"/>
        <v>15000</v>
      </c>
      <c r="O35" s="126"/>
      <c r="P35" s="126"/>
      <c r="Q35" s="126">
        <f t="shared" si="17"/>
        <v>15000</v>
      </c>
      <c r="R35" s="126"/>
      <c r="S35" s="126"/>
      <c r="T35" s="126">
        <f t="shared" si="18"/>
        <v>15000</v>
      </c>
      <c r="U35" s="126"/>
      <c r="V35" s="126"/>
      <c r="W35" s="126">
        <f t="shared" si="19"/>
        <v>15000</v>
      </c>
    </row>
    <row r="36" spans="1:23" s="37" customFormat="1" ht="19.5" customHeight="1">
      <c r="A36" s="104"/>
      <c r="B36" s="74"/>
      <c r="C36" s="74">
        <v>4300</v>
      </c>
      <c r="D36" s="19" t="s">
        <v>96</v>
      </c>
      <c r="E36" s="126">
        <v>38720</v>
      </c>
      <c r="F36" s="126"/>
      <c r="G36" s="126">
        <f>3850+1000</f>
        <v>4850</v>
      </c>
      <c r="H36" s="126">
        <f>SUM(E36+F36-G36)</f>
        <v>33870</v>
      </c>
      <c r="I36" s="126"/>
      <c r="J36" s="126"/>
      <c r="K36" s="126">
        <f>SUM(H36+I36-J36)</f>
        <v>33870</v>
      </c>
      <c r="L36" s="126"/>
      <c r="M36" s="126">
        <v>10940</v>
      </c>
      <c r="N36" s="126">
        <f t="shared" si="16"/>
        <v>22930</v>
      </c>
      <c r="O36" s="126">
        <v>941</v>
      </c>
      <c r="P36" s="126"/>
      <c r="Q36" s="126">
        <f t="shared" si="17"/>
        <v>23871</v>
      </c>
      <c r="R36" s="126"/>
      <c r="S36" s="126"/>
      <c r="T36" s="126">
        <f t="shared" si="18"/>
        <v>23871</v>
      </c>
      <c r="U36" s="126"/>
      <c r="V36" s="119">
        <v>20150</v>
      </c>
      <c r="W36" s="126">
        <f t="shared" si="19"/>
        <v>3721</v>
      </c>
    </row>
    <row r="37" spans="1:23" s="37" customFormat="1" ht="33.75" hidden="1">
      <c r="A37" s="104"/>
      <c r="B37" s="74"/>
      <c r="C37" s="74">
        <v>6060</v>
      </c>
      <c r="D37" s="56" t="s">
        <v>113</v>
      </c>
      <c r="E37" s="126">
        <v>23109</v>
      </c>
      <c r="F37" s="126"/>
      <c r="G37" s="126">
        <v>23109</v>
      </c>
      <c r="H37" s="126">
        <f>SUM(E37+F37-G37)</f>
        <v>0</v>
      </c>
      <c r="I37" s="126">
        <f>SUM(F37+G37-H37)</f>
        <v>23109</v>
      </c>
      <c r="J37" s="126">
        <f>SUM(G37+H37-I37)</f>
        <v>0</v>
      </c>
      <c r="K37" s="126">
        <f>SUM(H37+I37-J37)</f>
        <v>23109</v>
      </c>
      <c r="L37" s="126">
        <f>SUM(I37+J37-K37)</f>
        <v>0</v>
      </c>
      <c r="M37" s="126">
        <f>SUM(J37+K37-L37)</f>
        <v>23109</v>
      </c>
      <c r="N37" s="126">
        <f t="shared" si="16"/>
        <v>0</v>
      </c>
      <c r="O37" s="126">
        <f>SUM(L37+M37-N37)</f>
        <v>23109</v>
      </c>
      <c r="P37" s="126">
        <f>SUM(M37+N37-O37)</f>
        <v>0</v>
      </c>
      <c r="Q37" s="126">
        <f t="shared" si="17"/>
        <v>23109</v>
      </c>
      <c r="R37" s="126">
        <f>SUM(O37+P37-Q37)</f>
        <v>0</v>
      </c>
      <c r="S37" s="126">
        <f>SUM(P37+Q37-R37)</f>
        <v>23109</v>
      </c>
      <c r="T37" s="126">
        <f t="shared" si="18"/>
        <v>0</v>
      </c>
      <c r="U37" s="126">
        <f>SUM(R37+S37-T37)</f>
        <v>23109</v>
      </c>
      <c r="V37" s="126">
        <f>SUM(S37+T37-U37)</f>
        <v>0</v>
      </c>
      <c r="W37" s="126">
        <f t="shared" si="19"/>
        <v>23109</v>
      </c>
    </row>
    <row r="38" spans="1:23" s="9" customFormat="1" ht="21.75" customHeight="1">
      <c r="A38" s="49">
        <v>852</v>
      </c>
      <c r="B38" s="6"/>
      <c r="C38" s="6"/>
      <c r="D38" s="31" t="s">
        <v>238</v>
      </c>
      <c r="E38" s="25">
        <f aca="true" t="shared" si="20" ref="E38:K38">SUM(E41,E39)</f>
        <v>88171</v>
      </c>
      <c r="F38" s="25">
        <f t="shared" si="20"/>
        <v>0</v>
      </c>
      <c r="G38" s="25">
        <f t="shared" si="20"/>
        <v>0</v>
      </c>
      <c r="H38" s="25">
        <f t="shared" si="20"/>
        <v>88171</v>
      </c>
      <c r="I38" s="25">
        <f t="shared" si="20"/>
        <v>0</v>
      </c>
      <c r="J38" s="25">
        <f t="shared" si="20"/>
        <v>0</v>
      </c>
      <c r="K38" s="25">
        <f t="shared" si="20"/>
        <v>88171</v>
      </c>
      <c r="L38" s="25">
        <f aca="true" t="shared" si="21" ref="L38:Q38">SUM(L41,L39)</f>
        <v>0</v>
      </c>
      <c r="M38" s="25">
        <f t="shared" si="21"/>
        <v>0</v>
      </c>
      <c r="N38" s="25">
        <f t="shared" si="21"/>
        <v>88171</v>
      </c>
      <c r="O38" s="25">
        <f t="shared" si="21"/>
        <v>1495</v>
      </c>
      <c r="P38" s="25">
        <f t="shared" si="21"/>
        <v>2436</v>
      </c>
      <c r="Q38" s="25">
        <f t="shared" si="21"/>
        <v>87230</v>
      </c>
      <c r="R38" s="25">
        <f aca="true" t="shared" si="22" ref="R38:W38">SUM(R41,R39)</f>
        <v>7156</v>
      </c>
      <c r="S38" s="25">
        <f t="shared" si="22"/>
        <v>0</v>
      </c>
      <c r="T38" s="25">
        <f t="shared" si="22"/>
        <v>94386</v>
      </c>
      <c r="U38" s="25">
        <f t="shared" si="22"/>
        <v>21744</v>
      </c>
      <c r="V38" s="25">
        <f t="shared" si="22"/>
        <v>1594</v>
      </c>
      <c r="W38" s="25">
        <f t="shared" si="22"/>
        <v>114536</v>
      </c>
    </row>
    <row r="39" spans="1:23" s="37" customFormat="1" ht="36">
      <c r="A39" s="104"/>
      <c r="B39" s="104">
        <v>85214</v>
      </c>
      <c r="C39" s="74"/>
      <c r="D39" s="19" t="s">
        <v>287</v>
      </c>
      <c r="E39" s="126">
        <f aca="true" t="shared" si="23" ref="E39:W39">SUM(E40)</f>
        <v>3000</v>
      </c>
      <c r="F39" s="126">
        <f t="shared" si="23"/>
        <v>0</v>
      </c>
      <c r="G39" s="126">
        <f t="shared" si="23"/>
        <v>0</v>
      </c>
      <c r="H39" s="126">
        <f t="shared" si="23"/>
        <v>3000</v>
      </c>
      <c r="I39" s="126">
        <f t="shared" si="23"/>
        <v>0</v>
      </c>
      <c r="J39" s="126">
        <f t="shared" si="23"/>
        <v>0</v>
      </c>
      <c r="K39" s="126">
        <f t="shared" si="23"/>
        <v>3000</v>
      </c>
      <c r="L39" s="126">
        <f t="shared" si="23"/>
        <v>0</v>
      </c>
      <c r="M39" s="126">
        <f t="shared" si="23"/>
        <v>0</v>
      </c>
      <c r="N39" s="126">
        <f t="shared" si="23"/>
        <v>3000</v>
      </c>
      <c r="O39" s="126">
        <f t="shared" si="23"/>
        <v>0</v>
      </c>
      <c r="P39" s="126">
        <f t="shared" si="23"/>
        <v>0</v>
      </c>
      <c r="Q39" s="126">
        <f t="shared" si="23"/>
        <v>3000</v>
      </c>
      <c r="R39" s="126">
        <f t="shared" si="23"/>
        <v>0</v>
      </c>
      <c r="S39" s="126">
        <f t="shared" si="23"/>
        <v>0</v>
      </c>
      <c r="T39" s="126">
        <f t="shared" si="23"/>
        <v>3000</v>
      </c>
      <c r="U39" s="126">
        <f t="shared" si="23"/>
        <v>0</v>
      </c>
      <c r="V39" s="126">
        <f t="shared" si="23"/>
        <v>0</v>
      </c>
      <c r="W39" s="126">
        <f t="shared" si="23"/>
        <v>3000</v>
      </c>
    </row>
    <row r="40" spans="1:23" s="37" customFormat="1" ht="21.75" customHeight="1">
      <c r="A40" s="104"/>
      <c r="B40" s="104"/>
      <c r="C40" s="74">
        <v>3110</v>
      </c>
      <c r="D40" s="19" t="s">
        <v>130</v>
      </c>
      <c r="E40" s="126">
        <v>3000</v>
      </c>
      <c r="F40" s="126"/>
      <c r="G40" s="126"/>
      <c r="H40" s="126">
        <f>SUM(E40+F40-G40)</f>
        <v>3000</v>
      </c>
      <c r="I40" s="126"/>
      <c r="J40" s="126"/>
      <c r="K40" s="126">
        <f>SUM(H40+I40-J40)</f>
        <v>3000</v>
      </c>
      <c r="L40" s="126"/>
      <c r="M40" s="126"/>
      <c r="N40" s="126">
        <f>SUM(K40+L40-M40)</f>
        <v>3000</v>
      </c>
      <c r="O40" s="126"/>
      <c r="P40" s="126"/>
      <c r="Q40" s="126">
        <f>SUM(N40+O40-P40)</f>
        <v>3000</v>
      </c>
      <c r="R40" s="126"/>
      <c r="S40" s="126"/>
      <c r="T40" s="126">
        <f>SUM(Q40+R40-S40)</f>
        <v>3000</v>
      </c>
      <c r="U40" s="126"/>
      <c r="V40" s="126"/>
      <c r="W40" s="126">
        <f>SUM(T40+U40-V40)</f>
        <v>3000</v>
      </c>
    </row>
    <row r="41" spans="1:23" s="37" customFormat="1" ht="21.75" customHeight="1">
      <c r="A41" s="104"/>
      <c r="B41" s="104">
        <v>85219</v>
      </c>
      <c r="C41" s="74"/>
      <c r="D41" s="56" t="s">
        <v>74</v>
      </c>
      <c r="E41" s="119">
        <f>SUM(E42:E50)</f>
        <v>85171</v>
      </c>
      <c r="F41" s="119"/>
      <c r="G41" s="119">
        <f aca="true" t="shared" si="24" ref="G41:N41">SUM(G42:G50)</f>
        <v>0</v>
      </c>
      <c r="H41" s="119">
        <f t="shared" si="24"/>
        <v>85171</v>
      </c>
      <c r="I41" s="119">
        <f t="shared" si="24"/>
        <v>0</v>
      </c>
      <c r="J41" s="119">
        <f t="shared" si="24"/>
        <v>0</v>
      </c>
      <c r="K41" s="119">
        <f t="shared" si="24"/>
        <v>85171</v>
      </c>
      <c r="L41" s="119">
        <f t="shared" si="24"/>
        <v>0</v>
      </c>
      <c r="M41" s="119">
        <f t="shared" si="24"/>
        <v>0</v>
      </c>
      <c r="N41" s="119">
        <f t="shared" si="24"/>
        <v>85171</v>
      </c>
      <c r="O41" s="119">
        <f aca="true" t="shared" si="25" ref="O41:T41">SUM(O42:O50)</f>
        <v>1495</v>
      </c>
      <c r="P41" s="119">
        <f t="shared" si="25"/>
        <v>2436</v>
      </c>
      <c r="Q41" s="119">
        <f t="shared" si="25"/>
        <v>84230</v>
      </c>
      <c r="R41" s="119">
        <f t="shared" si="25"/>
        <v>7156</v>
      </c>
      <c r="S41" s="119">
        <f t="shared" si="25"/>
        <v>0</v>
      </c>
      <c r="T41" s="119">
        <f t="shared" si="25"/>
        <v>91386</v>
      </c>
      <c r="U41" s="119">
        <f>SUM(U42:U50)</f>
        <v>21744</v>
      </c>
      <c r="V41" s="119">
        <f>SUM(V42:V50)</f>
        <v>1594</v>
      </c>
      <c r="W41" s="119">
        <f>SUM(W42:W50)</f>
        <v>111536</v>
      </c>
    </row>
    <row r="42" spans="1:23" s="37" customFormat="1" ht="21.75" customHeight="1">
      <c r="A42" s="104"/>
      <c r="B42" s="104"/>
      <c r="C42" s="120">
        <v>4010</v>
      </c>
      <c r="D42" s="56" t="s">
        <v>101</v>
      </c>
      <c r="E42" s="126">
        <v>16542</v>
      </c>
      <c r="F42" s="126"/>
      <c r="G42" s="126"/>
      <c r="H42" s="126">
        <f>SUM(E42+F42-G42)</f>
        <v>16542</v>
      </c>
      <c r="I42" s="126"/>
      <c r="J42" s="126"/>
      <c r="K42" s="126">
        <f>SUM(H42+I42-J42)</f>
        <v>16542</v>
      </c>
      <c r="L42" s="126"/>
      <c r="M42" s="126"/>
      <c r="N42" s="126">
        <f>SUM(K42+L42-M42)</f>
        <v>16542</v>
      </c>
      <c r="O42" s="126">
        <v>1411</v>
      </c>
      <c r="P42" s="126"/>
      <c r="Q42" s="126">
        <f>SUM(N42+O42-P42)</f>
        <v>17953</v>
      </c>
      <c r="R42" s="126"/>
      <c r="S42" s="126"/>
      <c r="T42" s="126">
        <f>SUM(Q42+R42-S42)</f>
        <v>17953</v>
      </c>
      <c r="U42" s="126"/>
      <c r="V42" s="126"/>
      <c r="W42" s="126">
        <f>SUM(T42+U42-V42)</f>
        <v>17953</v>
      </c>
    </row>
    <row r="43" spans="1:23" s="37" customFormat="1" ht="21.75" customHeight="1">
      <c r="A43" s="104"/>
      <c r="B43" s="104"/>
      <c r="C43" s="120">
        <v>4040</v>
      </c>
      <c r="D43" s="56" t="s">
        <v>102</v>
      </c>
      <c r="E43" s="126">
        <v>1330</v>
      </c>
      <c r="F43" s="126"/>
      <c r="G43" s="126"/>
      <c r="H43" s="126">
        <f aca="true" t="shared" si="26" ref="H43:K50">SUM(E43+F43-G43)</f>
        <v>1330</v>
      </c>
      <c r="I43" s="126"/>
      <c r="J43" s="126"/>
      <c r="K43" s="126">
        <f t="shared" si="26"/>
        <v>1330</v>
      </c>
      <c r="L43" s="126"/>
      <c r="M43" s="126"/>
      <c r="N43" s="126">
        <f aca="true" t="shared" si="27" ref="N43:N50">SUM(K43+L43-M43)</f>
        <v>1330</v>
      </c>
      <c r="O43" s="126"/>
      <c r="P43" s="126">
        <v>13</v>
      </c>
      <c r="Q43" s="126">
        <f aca="true" t="shared" si="28" ref="Q43:Q50">SUM(N43+O43-P43)</f>
        <v>1317</v>
      </c>
      <c r="R43" s="126"/>
      <c r="S43" s="126"/>
      <c r="T43" s="126">
        <f aca="true" t="shared" si="29" ref="T43:T50">SUM(Q43+R43-S43)</f>
        <v>1317</v>
      </c>
      <c r="U43" s="126"/>
      <c r="V43" s="126"/>
      <c r="W43" s="126">
        <f aca="true" t="shared" si="30" ref="W43:W50">SUM(T43+U43-V43)</f>
        <v>1317</v>
      </c>
    </row>
    <row r="44" spans="1:23" s="37" customFormat="1" ht="21.75" customHeight="1">
      <c r="A44" s="104"/>
      <c r="B44" s="104"/>
      <c r="C44" s="120">
        <v>4110</v>
      </c>
      <c r="D44" s="56" t="s">
        <v>103</v>
      </c>
      <c r="E44" s="126">
        <v>3169</v>
      </c>
      <c r="F44" s="126"/>
      <c r="G44" s="126"/>
      <c r="H44" s="126">
        <f t="shared" si="26"/>
        <v>3169</v>
      </c>
      <c r="I44" s="126"/>
      <c r="J44" s="126"/>
      <c r="K44" s="126">
        <f t="shared" si="26"/>
        <v>3169</v>
      </c>
      <c r="L44" s="126"/>
      <c r="M44" s="126"/>
      <c r="N44" s="126">
        <f t="shared" si="27"/>
        <v>3169</v>
      </c>
      <c r="O44" s="126">
        <v>56</v>
      </c>
      <c r="P44" s="126"/>
      <c r="Q44" s="126">
        <f t="shared" si="28"/>
        <v>3225</v>
      </c>
      <c r="R44" s="126"/>
      <c r="S44" s="126"/>
      <c r="T44" s="126">
        <f t="shared" si="29"/>
        <v>3225</v>
      </c>
      <c r="U44" s="126"/>
      <c r="V44" s="126"/>
      <c r="W44" s="126">
        <f t="shared" si="30"/>
        <v>3225</v>
      </c>
    </row>
    <row r="45" spans="1:23" s="37" customFormat="1" ht="21.75" customHeight="1">
      <c r="A45" s="104"/>
      <c r="B45" s="104"/>
      <c r="C45" s="120">
        <v>4120</v>
      </c>
      <c r="D45" s="56" t="s">
        <v>104</v>
      </c>
      <c r="E45" s="126">
        <v>438</v>
      </c>
      <c r="F45" s="126"/>
      <c r="G45" s="126"/>
      <c r="H45" s="126">
        <f t="shared" si="26"/>
        <v>438</v>
      </c>
      <c r="I45" s="126"/>
      <c r="J45" s="126"/>
      <c r="K45" s="126">
        <f t="shared" si="26"/>
        <v>438</v>
      </c>
      <c r="L45" s="126"/>
      <c r="M45" s="126"/>
      <c r="N45" s="126">
        <f t="shared" si="27"/>
        <v>438</v>
      </c>
      <c r="O45" s="126">
        <v>8</v>
      </c>
      <c r="P45" s="126"/>
      <c r="Q45" s="126">
        <f t="shared" si="28"/>
        <v>446</v>
      </c>
      <c r="R45" s="126"/>
      <c r="S45" s="126"/>
      <c r="T45" s="126">
        <f t="shared" si="29"/>
        <v>446</v>
      </c>
      <c r="U45" s="126"/>
      <c r="V45" s="126"/>
      <c r="W45" s="126">
        <f t="shared" si="30"/>
        <v>446</v>
      </c>
    </row>
    <row r="46" spans="1:23" s="37" customFormat="1" ht="21.75" customHeight="1">
      <c r="A46" s="104"/>
      <c r="B46" s="104"/>
      <c r="C46" s="120">
        <v>4170</v>
      </c>
      <c r="D46" s="56" t="s">
        <v>247</v>
      </c>
      <c r="E46" s="126">
        <v>13200</v>
      </c>
      <c r="F46" s="126"/>
      <c r="G46" s="126"/>
      <c r="H46" s="126">
        <f t="shared" si="26"/>
        <v>13200</v>
      </c>
      <c r="I46" s="126"/>
      <c r="J46" s="126"/>
      <c r="K46" s="126">
        <f t="shared" si="26"/>
        <v>13200</v>
      </c>
      <c r="L46" s="126"/>
      <c r="M46" s="126"/>
      <c r="N46" s="126">
        <f t="shared" si="27"/>
        <v>13200</v>
      </c>
      <c r="O46" s="126"/>
      <c r="P46" s="126"/>
      <c r="Q46" s="126">
        <f t="shared" si="28"/>
        <v>13200</v>
      </c>
      <c r="R46" s="126"/>
      <c r="S46" s="126"/>
      <c r="T46" s="126">
        <f t="shared" si="29"/>
        <v>13200</v>
      </c>
      <c r="U46" s="126"/>
      <c r="V46" s="126"/>
      <c r="W46" s="126">
        <f t="shared" si="30"/>
        <v>13200</v>
      </c>
    </row>
    <row r="47" spans="1:23" s="37" customFormat="1" ht="21.75" customHeight="1">
      <c r="A47" s="104"/>
      <c r="B47" s="104"/>
      <c r="C47" s="120">
        <v>4210</v>
      </c>
      <c r="D47" s="19" t="s">
        <v>109</v>
      </c>
      <c r="E47" s="126">
        <v>7300</v>
      </c>
      <c r="F47" s="126"/>
      <c r="G47" s="126"/>
      <c r="H47" s="126">
        <f t="shared" si="26"/>
        <v>7300</v>
      </c>
      <c r="I47" s="126"/>
      <c r="J47" s="126"/>
      <c r="K47" s="126">
        <f t="shared" si="26"/>
        <v>7300</v>
      </c>
      <c r="L47" s="126"/>
      <c r="M47" s="126"/>
      <c r="N47" s="126">
        <f t="shared" si="27"/>
        <v>7300</v>
      </c>
      <c r="O47" s="126"/>
      <c r="P47" s="126"/>
      <c r="Q47" s="126">
        <f t="shared" si="28"/>
        <v>7300</v>
      </c>
      <c r="R47" s="126"/>
      <c r="S47" s="126"/>
      <c r="T47" s="126">
        <f t="shared" si="29"/>
        <v>7300</v>
      </c>
      <c r="U47" s="126">
        <v>1500</v>
      </c>
      <c r="V47" s="126"/>
      <c r="W47" s="126">
        <f t="shared" si="30"/>
        <v>8800</v>
      </c>
    </row>
    <row r="48" spans="1:23" s="37" customFormat="1" ht="21.75" customHeight="1">
      <c r="A48" s="104"/>
      <c r="B48" s="104"/>
      <c r="C48" s="120">
        <v>4300</v>
      </c>
      <c r="D48" s="19" t="s">
        <v>96</v>
      </c>
      <c r="E48" s="126">
        <v>41747</v>
      </c>
      <c r="F48" s="126"/>
      <c r="G48" s="126"/>
      <c r="H48" s="126">
        <f t="shared" si="26"/>
        <v>41747</v>
      </c>
      <c r="I48" s="126"/>
      <c r="J48" s="126"/>
      <c r="K48" s="126">
        <f t="shared" si="26"/>
        <v>41747</v>
      </c>
      <c r="L48" s="126"/>
      <c r="M48" s="126"/>
      <c r="N48" s="126">
        <f t="shared" si="27"/>
        <v>41747</v>
      </c>
      <c r="O48" s="126"/>
      <c r="P48" s="126">
        <f>941+1482</f>
        <v>2423</v>
      </c>
      <c r="Q48" s="126">
        <f t="shared" si="28"/>
        <v>39324</v>
      </c>
      <c r="R48" s="126">
        <f>5095+940+1121</f>
        <v>7156</v>
      </c>
      <c r="S48" s="126"/>
      <c r="T48" s="126">
        <f t="shared" si="29"/>
        <v>46480</v>
      </c>
      <c r="U48" s="119">
        <v>20150</v>
      </c>
      <c r="V48" s="126">
        <v>1594</v>
      </c>
      <c r="W48" s="126">
        <f t="shared" si="30"/>
        <v>65036</v>
      </c>
    </row>
    <row r="49" spans="1:23" s="37" customFormat="1" ht="21.75" customHeight="1">
      <c r="A49" s="104"/>
      <c r="B49" s="104"/>
      <c r="C49" s="120">
        <v>4410</v>
      </c>
      <c r="D49" s="56" t="s">
        <v>107</v>
      </c>
      <c r="E49" s="126">
        <v>700</v>
      </c>
      <c r="F49" s="126"/>
      <c r="G49" s="126"/>
      <c r="H49" s="126">
        <f t="shared" si="26"/>
        <v>700</v>
      </c>
      <c r="I49" s="126"/>
      <c r="J49" s="126"/>
      <c r="K49" s="126">
        <f t="shared" si="26"/>
        <v>700</v>
      </c>
      <c r="L49" s="126"/>
      <c r="M49" s="126"/>
      <c r="N49" s="126">
        <f t="shared" si="27"/>
        <v>700</v>
      </c>
      <c r="O49" s="126"/>
      <c r="P49" s="126"/>
      <c r="Q49" s="126">
        <f t="shared" si="28"/>
        <v>700</v>
      </c>
      <c r="R49" s="126"/>
      <c r="S49" s="126"/>
      <c r="T49" s="126">
        <f t="shared" si="29"/>
        <v>700</v>
      </c>
      <c r="U49" s="126">
        <v>94</v>
      </c>
      <c r="V49" s="126"/>
      <c r="W49" s="126">
        <f t="shared" si="30"/>
        <v>794</v>
      </c>
    </row>
    <row r="50" spans="1:23" s="37" customFormat="1" ht="26.25" customHeight="1">
      <c r="A50" s="104"/>
      <c r="B50" s="104"/>
      <c r="C50" s="120">
        <v>4440</v>
      </c>
      <c r="D50" s="56" t="s">
        <v>105</v>
      </c>
      <c r="E50" s="126">
        <v>745</v>
      </c>
      <c r="F50" s="126"/>
      <c r="G50" s="126"/>
      <c r="H50" s="126">
        <f t="shared" si="26"/>
        <v>745</v>
      </c>
      <c r="I50" s="126"/>
      <c r="J50" s="126"/>
      <c r="K50" s="126">
        <f t="shared" si="26"/>
        <v>745</v>
      </c>
      <c r="L50" s="126"/>
      <c r="M50" s="126"/>
      <c r="N50" s="126">
        <f t="shared" si="27"/>
        <v>745</v>
      </c>
      <c r="O50" s="126">
        <v>20</v>
      </c>
      <c r="P50" s="126"/>
      <c r="Q50" s="126">
        <f t="shared" si="28"/>
        <v>765</v>
      </c>
      <c r="R50" s="126"/>
      <c r="S50" s="126"/>
      <c r="T50" s="126">
        <f t="shared" si="29"/>
        <v>765</v>
      </c>
      <c r="U50" s="126"/>
      <c r="V50" s="126"/>
      <c r="W50" s="126">
        <f t="shared" si="30"/>
        <v>765</v>
      </c>
    </row>
    <row r="51" spans="1:23" s="9" customFormat="1" ht="24.75" customHeight="1">
      <c r="A51" s="49" t="s">
        <v>141</v>
      </c>
      <c r="B51" s="6"/>
      <c r="C51" s="6"/>
      <c r="D51" s="31" t="s">
        <v>75</v>
      </c>
      <c r="E51" s="25">
        <f aca="true" t="shared" si="31" ref="E51:W51">SUM(E52)</f>
        <v>105000</v>
      </c>
      <c r="F51" s="25">
        <f t="shared" si="31"/>
        <v>0</v>
      </c>
      <c r="G51" s="25">
        <f t="shared" si="31"/>
        <v>40000</v>
      </c>
      <c r="H51" s="25">
        <f t="shared" si="31"/>
        <v>65000</v>
      </c>
      <c r="I51" s="25">
        <f t="shared" si="31"/>
        <v>15000</v>
      </c>
      <c r="J51" s="25">
        <f t="shared" si="31"/>
        <v>15000</v>
      </c>
      <c r="K51" s="25">
        <f t="shared" si="31"/>
        <v>65000</v>
      </c>
      <c r="L51" s="25">
        <f t="shared" si="31"/>
        <v>28948</v>
      </c>
      <c r="M51" s="25">
        <f t="shared" si="31"/>
        <v>34600</v>
      </c>
      <c r="N51" s="25">
        <f t="shared" si="31"/>
        <v>59348</v>
      </c>
      <c r="O51" s="25">
        <f t="shared" si="31"/>
        <v>0</v>
      </c>
      <c r="P51" s="25">
        <f t="shared" si="31"/>
        <v>0</v>
      </c>
      <c r="Q51" s="25">
        <f t="shared" si="31"/>
        <v>59348</v>
      </c>
      <c r="R51" s="25">
        <f t="shared" si="31"/>
        <v>0</v>
      </c>
      <c r="S51" s="25">
        <f t="shared" si="31"/>
        <v>10095</v>
      </c>
      <c r="T51" s="25">
        <f t="shared" si="31"/>
        <v>49253</v>
      </c>
      <c r="U51" s="25">
        <f t="shared" si="31"/>
        <v>0</v>
      </c>
      <c r="V51" s="25">
        <f t="shared" si="31"/>
        <v>0</v>
      </c>
      <c r="W51" s="25">
        <f t="shared" si="31"/>
        <v>49253</v>
      </c>
    </row>
    <row r="52" spans="1:23" s="37" customFormat="1" ht="36">
      <c r="A52" s="104"/>
      <c r="B52" s="104" t="s">
        <v>145</v>
      </c>
      <c r="C52" s="74"/>
      <c r="D52" s="19" t="s">
        <v>146</v>
      </c>
      <c r="E52" s="119">
        <f>SUM(E54:E55)</f>
        <v>105000</v>
      </c>
      <c r="F52" s="119">
        <f>SUM(F54:F55)</f>
        <v>0</v>
      </c>
      <c r="G52" s="119">
        <f>SUM(G54:G55)</f>
        <v>40000</v>
      </c>
      <c r="H52" s="119">
        <f>SUM(H54:H56)</f>
        <v>65000</v>
      </c>
      <c r="I52" s="119">
        <f>SUM(I54:I56)</f>
        <v>15000</v>
      </c>
      <c r="J52" s="119">
        <f>SUM(J54:J56)</f>
        <v>15000</v>
      </c>
      <c r="K52" s="119">
        <f aca="true" t="shared" si="32" ref="K52:Q52">SUM(K53:K56)</f>
        <v>65000</v>
      </c>
      <c r="L52" s="119">
        <f t="shared" si="32"/>
        <v>28948</v>
      </c>
      <c r="M52" s="119">
        <f t="shared" si="32"/>
        <v>34600</v>
      </c>
      <c r="N52" s="119">
        <f t="shared" si="32"/>
        <v>59348</v>
      </c>
      <c r="O52" s="119">
        <f t="shared" si="32"/>
        <v>0</v>
      </c>
      <c r="P52" s="119">
        <f t="shared" si="32"/>
        <v>0</v>
      </c>
      <c r="Q52" s="119">
        <f t="shared" si="32"/>
        <v>59348</v>
      </c>
      <c r="R52" s="119">
        <f aca="true" t="shared" si="33" ref="R52:W52">SUM(R53:R56)</f>
        <v>0</v>
      </c>
      <c r="S52" s="119">
        <f t="shared" si="33"/>
        <v>10095</v>
      </c>
      <c r="T52" s="119">
        <f t="shared" si="33"/>
        <v>49253</v>
      </c>
      <c r="U52" s="119">
        <f t="shared" si="33"/>
        <v>0</v>
      </c>
      <c r="V52" s="119">
        <f t="shared" si="33"/>
        <v>0</v>
      </c>
      <c r="W52" s="119">
        <f t="shared" si="33"/>
        <v>49253</v>
      </c>
    </row>
    <row r="53" spans="1:23" s="37" customFormat="1" ht="36">
      <c r="A53" s="104"/>
      <c r="B53" s="104"/>
      <c r="C53" s="74">
        <v>2630</v>
      </c>
      <c r="D53" s="19" t="s">
        <v>364</v>
      </c>
      <c r="E53" s="119"/>
      <c r="F53" s="119"/>
      <c r="G53" s="119"/>
      <c r="H53" s="119"/>
      <c r="I53" s="119"/>
      <c r="J53" s="119"/>
      <c r="K53" s="119">
        <v>0</v>
      </c>
      <c r="L53" s="119">
        <v>28905</v>
      </c>
      <c r="M53" s="119"/>
      <c r="N53" s="126">
        <f>SUM(K53+L53-M53)</f>
        <v>28905</v>
      </c>
      <c r="O53" s="119"/>
      <c r="P53" s="119"/>
      <c r="Q53" s="126">
        <f>SUM(N53+O53-P53)</f>
        <v>28905</v>
      </c>
      <c r="R53" s="119"/>
      <c r="S53" s="119"/>
      <c r="T53" s="126">
        <f>SUM(Q53+R53-S53)</f>
        <v>28905</v>
      </c>
      <c r="U53" s="119"/>
      <c r="V53" s="119"/>
      <c r="W53" s="126">
        <f>SUM(T53+U53-V53)</f>
        <v>28905</v>
      </c>
    </row>
    <row r="54" spans="1:23" s="37" customFormat="1" ht="21" customHeight="1">
      <c r="A54" s="104"/>
      <c r="B54" s="104"/>
      <c r="C54" s="74">
        <v>4210</v>
      </c>
      <c r="D54" s="19" t="s">
        <v>109</v>
      </c>
      <c r="E54" s="126">
        <v>5500</v>
      </c>
      <c r="F54" s="126"/>
      <c r="G54" s="126"/>
      <c r="H54" s="126">
        <f>SUM(E54+F54-G54)</f>
        <v>5500</v>
      </c>
      <c r="I54" s="126"/>
      <c r="J54" s="126"/>
      <c r="K54" s="126">
        <f>SUM(H54+I54-J54)</f>
        <v>5500</v>
      </c>
      <c r="L54" s="126"/>
      <c r="M54" s="126">
        <f>43+152</f>
        <v>195</v>
      </c>
      <c r="N54" s="126">
        <f>SUM(K54+L54-M54)</f>
        <v>5305</v>
      </c>
      <c r="O54" s="126"/>
      <c r="P54" s="126"/>
      <c r="Q54" s="126">
        <f>SUM(N54+O54-P54)</f>
        <v>5305</v>
      </c>
      <c r="R54" s="126"/>
      <c r="S54" s="126"/>
      <c r="T54" s="126">
        <f>SUM(Q54+R54-S54)</f>
        <v>5305</v>
      </c>
      <c r="U54" s="126"/>
      <c r="V54" s="126"/>
      <c r="W54" s="126">
        <f>SUM(T54+U54-V54)</f>
        <v>5305</v>
      </c>
    </row>
    <row r="55" spans="1:23" s="37" customFormat="1" ht="21.75" customHeight="1">
      <c r="A55" s="74"/>
      <c r="B55" s="74"/>
      <c r="C55" s="74">
        <v>4300</v>
      </c>
      <c r="D55" s="19" t="s">
        <v>96</v>
      </c>
      <c r="E55" s="126">
        <v>99500</v>
      </c>
      <c r="F55" s="126"/>
      <c r="G55" s="126">
        <f>36400+3600</f>
        <v>40000</v>
      </c>
      <c r="H55" s="126">
        <f>SUM(E55+F55-G55)</f>
        <v>59500</v>
      </c>
      <c r="I55" s="126"/>
      <c r="J55" s="126">
        <v>15000</v>
      </c>
      <c r="K55" s="126">
        <f>SUM(H55+I55-J55)</f>
        <v>44500</v>
      </c>
      <c r="L55" s="126">
        <v>43</v>
      </c>
      <c r="M55" s="126">
        <f>28905+5500</f>
        <v>34405</v>
      </c>
      <c r="N55" s="126">
        <f>SUM(K55+L55-M55)</f>
        <v>10138</v>
      </c>
      <c r="O55" s="126"/>
      <c r="P55" s="126"/>
      <c r="Q55" s="126">
        <f>SUM(N55+O55-P55)</f>
        <v>10138</v>
      </c>
      <c r="R55" s="126"/>
      <c r="S55" s="126">
        <f>5000+5095</f>
        <v>10095</v>
      </c>
      <c r="T55" s="126">
        <f>SUM(Q55+R55-S55)</f>
        <v>43</v>
      </c>
      <c r="U55" s="126"/>
      <c r="V55" s="126"/>
      <c r="W55" s="126">
        <f>SUM(T55+U55-V55)</f>
        <v>43</v>
      </c>
    </row>
    <row r="56" spans="1:23" s="37" customFormat="1" ht="21.75" customHeight="1">
      <c r="A56" s="74"/>
      <c r="B56" s="74"/>
      <c r="C56" s="74">
        <v>6050</v>
      </c>
      <c r="D56" s="19" t="s">
        <v>90</v>
      </c>
      <c r="E56" s="126"/>
      <c r="F56" s="126"/>
      <c r="G56" s="126"/>
      <c r="H56" s="126">
        <v>0</v>
      </c>
      <c r="I56" s="126">
        <v>15000</v>
      </c>
      <c r="J56" s="126"/>
      <c r="K56" s="126">
        <f>SUM(H56+I56-J56)</f>
        <v>15000</v>
      </c>
      <c r="L56" s="126"/>
      <c r="M56" s="126"/>
      <c r="N56" s="126">
        <f>SUM(K56+L56-M56)</f>
        <v>15000</v>
      </c>
      <c r="O56" s="126"/>
      <c r="P56" s="126"/>
      <c r="Q56" s="126">
        <f>SUM(N56+O56-P56)</f>
        <v>15000</v>
      </c>
      <c r="R56" s="126"/>
      <c r="S56" s="126"/>
      <c r="T56" s="126">
        <f>SUM(Q56+R56-S56)</f>
        <v>15000</v>
      </c>
      <c r="U56" s="126"/>
      <c r="V56" s="126"/>
      <c r="W56" s="126">
        <f>SUM(T56+U56-V56)</f>
        <v>15000</v>
      </c>
    </row>
    <row r="57" spans="1:23" s="9" customFormat="1" ht="21.75" customHeight="1">
      <c r="A57" s="49" t="s">
        <v>165</v>
      </c>
      <c r="B57" s="6"/>
      <c r="C57" s="6"/>
      <c r="D57" s="31" t="s">
        <v>83</v>
      </c>
      <c r="E57" s="25">
        <f aca="true" t="shared" si="34" ref="E57:W57">E58</f>
        <v>10000</v>
      </c>
      <c r="F57" s="25">
        <f t="shared" si="34"/>
        <v>10000</v>
      </c>
      <c r="G57" s="25">
        <f t="shared" si="34"/>
        <v>10000</v>
      </c>
      <c r="H57" s="25">
        <f t="shared" si="34"/>
        <v>10000</v>
      </c>
      <c r="I57" s="25">
        <f t="shared" si="34"/>
        <v>0</v>
      </c>
      <c r="J57" s="25">
        <f t="shared" si="34"/>
        <v>0</v>
      </c>
      <c r="K57" s="25">
        <f t="shared" si="34"/>
        <v>10000</v>
      </c>
      <c r="L57" s="25">
        <f t="shared" si="34"/>
        <v>0</v>
      </c>
      <c r="M57" s="25">
        <f t="shared" si="34"/>
        <v>0</v>
      </c>
      <c r="N57" s="25">
        <f t="shared" si="34"/>
        <v>10000</v>
      </c>
      <c r="O57" s="25">
        <f t="shared" si="34"/>
        <v>0</v>
      </c>
      <c r="P57" s="25">
        <f t="shared" si="34"/>
        <v>0</v>
      </c>
      <c r="Q57" s="25">
        <f t="shared" si="34"/>
        <v>10000</v>
      </c>
      <c r="R57" s="25">
        <f t="shared" si="34"/>
        <v>0</v>
      </c>
      <c r="S57" s="25">
        <f t="shared" si="34"/>
        <v>0</v>
      </c>
      <c r="T57" s="25">
        <f t="shared" si="34"/>
        <v>10000</v>
      </c>
      <c r="U57" s="25">
        <f t="shared" si="34"/>
        <v>0</v>
      </c>
      <c r="V57" s="25">
        <f t="shared" si="34"/>
        <v>0</v>
      </c>
      <c r="W57" s="25">
        <f t="shared" si="34"/>
        <v>10000</v>
      </c>
    </row>
    <row r="58" spans="1:23" s="37" customFormat="1" ht="24" customHeight="1">
      <c r="A58" s="74"/>
      <c r="B58" s="115">
        <v>92605</v>
      </c>
      <c r="C58" s="74"/>
      <c r="D58" s="19" t="s">
        <v>84</v>
      </c>
      <c r="E58" s="126">
        <f>SUM(E59:E60)</f>
        <v>10000</v>
      </c>
      <c r="F58" s="126">
        <f>SUM(F59:F60)</f>
        <v>10000</v>
      </c>
      <c r="G58" s="126">
        <f>SUM(G59:G60)</f>
        <v>10000</v>
      </c>
      <c r="H58" s="126">
        <f aca="true" t="shared" si="35" ref="H58:W58">SUM(H59)</f>
        <v>10000</v>
      </c>
      <c r="I58" s="126">
        <f t="shared" si="35"/>
        <v>0</v>
      </c>
      <c r="J58" s="126">
        <f t="shared" si="35"/>
        <v>0</v>
      </c>
      <c r="K58" s="126">
        <f t="shared" si="35"/>
        <v>10000</v>
      </c>
      <c r="L58" s="126">
        <f t="shared" si="35"/>
        <v>0</v>
      </c>
      <c r="M58" s="126">
        <f t="shared" si="35"/>
        <v>0</v>
      </c>
      <c r="N58" s="126">
        <f t="shared" si="35"/>
        <v>10000</v>
      </c>
      <c r="O58" s="126">
        <f t="shared" si="35"/>
        <v>0</v>
      </c>
      <c r="P58" s="126">
        <f t="shared" si="35"/>
        <v>0</v>
      </c>
      <c r="Q58" s="126">
        <f t="shared" si="35"/>
        <v>10000</v>
      </c>
      <c r="R58" s="126">
        <f t="shared" si="35"/>
        <v>0</v>
      </c>
      <c r="S58" s="126">
        <f t="shared" si="35"/>
        <v>0</v>
      </c>
      <c r="T58" s="126">
        <f t="shared" si="35"/>
        <v>10000</v>
      </c>
      <c r="U58" s="126">
        <f t="shared" si="35"/>
        <v>0</v>
      </c>
      <c r="V58" s="126">
        <f t="shared" si="35"/>
        <v>0</v>
      </c>
      <c r="W58" s="126">
        <f t="shared" si="35"/>
        <v>10000</v>
      </c>
    </row>
    <row r="59" spans="1:23" s="37" customFormat="1" ht="23.25" customHeight="1">
      <c r="A59" s="74"/>
      <c r="B59" s="115"/>
      <c r="C59" s="74">
        <v>4170</v>
      </c>
      <c r="D59" s="19" t="s">
        <v>247</v>
      </c>
      <c r="E59" s="126">
        <v>0</v>
      </c>
      <c r="F59" s="126">
        <v>10000</v>
      </c>
      <c r="G59" s="126"/>
      <c r="H59" s="126">
        <f>SUM(E59+F59-G59)</f>
        <v>10000</v>
      </c>
      <c r="I59" s="126"/>
      <c r="J59" s="126"/>
      <c r="K59" s="126">
        <f>SUM(H59+I59-J59)</f>
        <v>10000</v>
      </c>
      <c r="L59" s="126"/>
      <c r="M59" s="126"/>
      <c r="N59" s="126">
        <f>SUM(K59+L59-M59)</f>
        <v>10000</v>
      </c>
      <c r="O59" s="126"/>
      <c r="P59" s="126"/>
      <c r="Q59" s="126">
        <f>SUM(N59+O59-P59)</f>
        <v>10000</v>
      </c>
      <c r="R59" s="126"/>
      <c r="S59" s="126"/>
      <c r="T59" s="126">
        <f>SUM(Q59+R59-S59)</f>
        <v>10000</v>
      </c>
      <c r="U59" s="126"/>
      <c r="V59" s="126"/>
      <c r="W59" s="126">
        <f>SUM(T59+U59-V59)</f>
        <v>10000</v>
      </c>
    </row>
    <row r="60" spans="1:23" s="37" customFormat="1" ht="21.75" customHeight="1" hidden="1">
      <c r="A60" s="74"/>
      <c r="B60" s="115"/>
      <c r="C60" s="74">
        <v>4300</v>
      </c>
      <c r="D60" s="19" t="s">
        <v>96</v>
      </c>
      <c r="E60" s="126">
        <v>10000</v>
      </c>
      <c r="F60" s="126"/>
      <c r="G60" s="126">
        <v>10000</v>
      </c>
      <c r="H60" s="126">
        <f>SUM(E60+F60-G60)</f>
        <v>0</v>
      </c>
      <c r="I60" s="126">
        <f>SUM(F60+G60-H60)</f>
        <v>10000</v>
      </c>
      <c r="J60" s="126">
        <f>SUM(G60+H60-I60)</f>
        <v>0</v>
      </c>
      <c r="K60" s="126">
        <f>SUM(H60+I60-J60)</f>
        <v>10000</v>
      </c>
      <c r="L60" s="126">
        <f>SUM(I60+J60-K60)</f>
        <v>0</v>
      </c>
      <c r="M60" s="126">
        <f>SUM(J60+K60-L60)</f>
        <v>10000</v>
      </c>
      <c r="N60" s="126">
        <f>SUM(K60+L60-M60)</f>
        <v>0</v>
      </c>
      <c r="O60" s="126">
        <f>SUM(L60+M60-N60)</f>
        <v>10000</v>
      </c>
      <c r="P60" s="126">
        <f>SUM(M60+N60-O60)</f>
        <v>0</v>
      </c>
      <c r="Q60" s="126">
        <f>SUM(N60+O60-P60)</f>
        <v>10000</v>
      </c>
      <c r="R60" s="126">
        <f>SUM(O60+P60-Q60)</f>
        <v>0</v>
      </c>
      <c r="S60" s="126">
        <f>SUM(P60+Q60-R60)</f>
        <v>10000</v>
      </c>
      <c r="T60" s="126">
        <f>SUM(Q60+R60-S60)</f>
        <v>0</v>
      </c>
      <c r="U60" s="126">
        <f>SUM(R60+S60-T60)</f>
        <v>10000</v>
      </c>
      <c r="V60" s="126">
        <f>SUM(S60+T60-U60)</f>
        <v>0</v>
      </c>
      <c r="W60" s="126">
        <f>SUM(T60+U60-V60)</f>
        <v>10000</v>
      </c>
    </row>
    <row r="61" spans="1:23" s="59" customFormat="1" ht="22.5" customHeight="1">
      <c r="A61" s="194"/>
      <c r="B61" s="194"/>
      <c r="C61" s="194"/>
      <c r="D61" s="7" t="s">
        <v>85</v>
      </c>
      <c r="E61" s="25">
        <f aca="true" t="shared" si="36" ref="E61:J61">E38+E24+E51+E57</f>
        <v>280000</v>
      </c>
      <c r="F61" s="25">
        <f t="shared" si="36"/>
        <v>92959</v>
      </c>
      <c r="G61" s="25">
        <f t="shared" si="36"/>
        <v>92959</v>
      </c>
      <c r="H61" s="25">
        <f t="shared" si="36"/>
        <v>280000</v>
      </c>
      <c r="I61" s="25">
        <f t="shared" si="36"/>
        <v>15000</v>
      </c>
      <c r="J61" s="25">
        <f t="shared" si="36"/>
        <v>15000</v>
      </c>
      <c r="K61" s="25">
        <f aca="true" t="shared" si="37" ref="K61:Q61">K38+K24+K51+K57+K17</f>
        <v>280000</v>
      </c>
      <c r="L61" s="25">
        <f t="shared" si="37"/>
        <v>45540</v>
      </c>
      <c r="M61" s="25">
        <f t="shared" si="37"/>
        <v>45540</v>
      </c>
      <c r="N61" s="25">
        <f t="shared" si="37"/>
        <v>280000</v>
      </c>
      <c r="O61" s="25">
        <f t="shared" si="37"/>
        <v>13376</v>
      </c>
      <c r="P61" s="25">
        <f t="shared" si="37"/>
        <v>13376</v>
      </c>
      <c r="Q61" s="25">
        <f t="shared" si="37"/>
        <v>280000</v>
      </c>
      <c r="R61" s="25">
        <f aca="true" t="shared" si="38" ref="R61:W61">R38+R24+R51+R57+R17</f>
        <v>38656</v>
      </c>
      <c r="S61" s="25">
        <f t="shared" si="38"/>
        <v>10095</v>
      </c>
      <c r="T61" s="25">
        <f t="shared" si="38"/>
        <v>308561</v>
      </c>
      <c r="U61" s="25">
        <f t="shared" si="38"/>
        <v>21744</v>
      </c>
      <c r="V61" s="25">
        <f t="shared" si="38"/>
        <v>21744</v>
      </c>
      <c r="W61" s="25">
        <f t="shared" si="38"/>
        <v>308561</v>
      </c>
    </row>
    <row r="62" ht="12.75"/>
    <row r="63" ht="12.75"/>
    <row r="64" spans="7:22" ht="12.75">
      <c r="G64" s="76"/>
      <c r="S64" s="76">
        <f>SUM(R61-S61)</f>
        <v>28561</v>
      </c>
      <c r="V64" s="76"/>
    </row>
  </sheetData>
  <sheetProtection/>
  <mergeCells count="3">
    <mergeCell ref="A5:D5"/>
    <mergeCell ref="A7:D7"/>
    <mergeCell ref="A15:D15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3"/>
  <headerFooter alignWithMargins="0">
    <oddFooter>&amp;CStrona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selection activeCell="AB11" sqref="AB11"/>
    </sheetView>
  </sheetViews>
  <sheetFormatPr defaultColWidth="9.00390625" defaultRowHeight="12.75"/>
  <cols>
    <col min="1" max="1" width="5.125" style="37" customWidth="1"/>
    <col min="2" max="2" width="41.375" style="37" customWidth="1"/>
    <col min="3" max="3" width="12.25390625" style="37" hidden="1" customWidth="1"/>
    <col min="4" max="4" width="11.25390625" style="37" hidden="1" customWidth="1"/>
    <col min="5" max="5" width="10.125" style="37" hidden="1" customWidth="1"/>
    <col min="6" max="6" width="9.125" style="37" hidden="1" customWidth="1"/>
    <col min="7" max="7" width="10.125" style="37" hidden="1" customWidth="1"/>
    <col min="8" max="8" width="9.125" style="37" hidden="1" customWidth="1"/>
    <col min="9" max="9" width="10.125" style="37" hidden="1" customWidth="1"/>
    <col min="10" max="10" width="13.875" style="37" hidden="1" customWidth="1"/>
    <col min="11" max="11" width="12.25390625" style="37" hidden="1" customWidth="1"/>
    <col min="12" max="12" width="11.25390625" style="37" hidden="1" customWidth="1"/>
    <col min="13" max="13" width="10.375" style="37" hidden="1" customWidth="1"/>
    <col min="14" max="15" width="12.25390625" style="37" hidden="1" customWidth="1"/>
    <col min="16" max="16" width="11.25390625" style="37" hidden="1" customWidth="1"/>
    <col min="17" max="17" width="10.125" style="37" hidden="1" customWidth="1"/>
    <col min="18" max="18" width="13.625" style="37" hidden="1" customWidth="1"/>
    <col min="19" max="19" width="12.25390625" style="37" hidden="1" customWidth="1"/>
    <col min="20" max="20" width="11.25390625" style="37" hidden="1" customWidth="1"/>
    <col min="21" max="21" width="10.125" style="37" hidden="1" customWidth="1"/>
    <col min="22" max="22" width="14.00390625" style="37" hidden="1" customWidth="1"/>
    <col min="23" max="24" width="12.25390625" style="37" hidden="1" customWidth="1"/>
    <col min="25" max="25" width="10.125" style="37" hidden="1" customWidth="1"/>
    <col min="26" max="26" width="10.625" style="37" hidden="1" customWidth="1"/>
    <col min="27" max="27" width="13.125" style="37" customWidth="1"/>
    <col min="28" max="28" width="13.75390625" style="37" customWidth="1"/>
    <col min="29" max="30" width="12.375" style="37" customWidth="1"/>
    <col min="31" max="31" width="13.125" style="37" customWidth="1"/>
    <col min="32" max="32" width="12.75390625" style="37" customWidth="1"/>
  </cols>
  <sheetData>
    <row r="1" spans="3:32" ht="12.75">
      <c r="C1" s="160"/>
      <c r="D1" s="86"/>
      <c r="E1" s="86"/>
      <c r="F1" s="160"/>
      <c r="G1" s="160"/>
      <c r="H1" s="160"/>
      <c r="I1" s="160"/>
      <c r="J1" s="160" t="s">
        <v>428</v>
      </c>
      <c r="K1" s="160"/>
      <c r="L1" s="86"/>
      <c r="M1" s="160"/>
      <c r="N1" s="160" t="s">
        <v>472</v>
      </c>
      <c r="O1" s="160"/>
      <c r="P1" s="86"/>
      <c r="Q1" s="160"/>
      <c r="R1" s="160" t="s">
        <v>503</v>
      </c>
      <c r="S1" s="160"/>
      <c r="T1" s="86"/>
      <c r="U1" s="160"/>
      <c r="V1" s="160" t="s">
        <v>590</v>
      </c>
      <c r="W1" s="160"/>
      <c r="X1" s="86"/>
      <c r="Y1" s="160"/>
      <c r="Z1" s="160" t="s">
        <v>649</v>
      </c>
      <c r="AA1" s="160"/>
      <c r="AB1" s="86"/>
      <c r="AC1" s="160"/>
      <c r="AD1" s="160" t="s">
        <v>0</v>
      </c>
      <c r="AE1" s="160"/>
      <c r="AF1" s="86"/>
    </row>
    <row r="2" spans="3:32" ht="12.75">
      <c r="C2" s="160"/>
      <c r="D2" s="86"/>
      <c r="E2" s="86"/>
      <c r="F2" s="160"/>
      <c r="G2" s="160"/>
      <c r="H2" s="160"/>
      <c r="I2" s="160"/>
      <c r="J2" s="160" t="s">
        <v>394</v>
      </c>
      <c r="K2" s="160"/>
      <c r="L2" s="86"/>
      <c r="M2" s="160"/>
      <c r="N2" s="160" t="s">
        <v>454</v>
      </c>
      <c r="O2" s="160"/>
      <c r="P2" s="86"/>
      <c r="Q2" s="160"/>
      <c r="R2" s="160" t="s">
        <v>454</v>
      </c>
      <c r="S2" s="160"/>
      <c r="T2" s="86"/>
      <c r="U2" s="160"/>
      <c r="V2" s="160" t="s">
        <v>581</v>
      </c>
      <c r="W2" s="160"/>
      <c r="X2" s="86"/>
      <c r="Y2" s="160"/>
      <c r="Z2" s="160" t="s">
        <v>606</v>
      </c>
      <c r="AA2" s="160"/>
      <c r="AB2" s="86"/>
      <c r="AC2" s="160"/>
      <c r="AD2" s="160" t="s">
        <v>694</v>
      </c>
      <c r="AE2" s="160"/>
      <c r="AF2" s="86"/>
    </row>
    <row r="3" spans="3:32" ht="12.75">
      <c r="C3" s="160"/>
      <c r="D3" s="86"/>
      <c r="E3" s="86"/>
      <c r="F3" s="160"/>
      <c r="G3" s="160"/>
      <c r="H3" s="160"/>
      <c r="I3" s="160"/>
      <c r="J3" s="160" t="s">
        <v>406</v>
      </c>
      <c r="K3" s="160"/>
      <c r="L3" s="86"/>
      <c r="M3" s="160"/>
      <c r="N3" s="160" t="s">
        <v>428</v>
      </c>
      <c r="O3" s="160"/>
      <c r="P3" s="86"/>
      <c r="Q3" s="160"/>
      <c r="R3" s="160" t="s">
        <v>472</v>
      </c>
      <c r="S3" s="160"/>
      <c r="T3" s="86"/>
      <c r="U3" s="160"/>
      <c r="V3" s="160" t="s">
        <v>503</v>
      </c>
      <c r="W3" s="160"/>
      <c r="X3" s="86"/>
      <c r="Y3" s="160"/>
      <c r="Z3" s="160" t="s">
        <v>590</v>
      </c>
      <c r="AA3" s="160"/>
      <c r="AB3" s="86"/>
      <c r="AC3" s="160"/>
      <c r="AD3" s="160" t="s">
        <v>649</v>
      </c>
      <c r="AE3" s="160"/>
      <c r="AF3" s="86"/>
    </row>
    <row r="4" spans="3:32" ht="12.75">
      <c r="C4" s="160"/>
      <c r="D4" s="86"/>
      <c r="E4" s="86"/>
      <c r="F4" s="160"/>
      <c r="G4" s="160"/>
      <c r="H4" s="160"/>
      <c r="I4" s="160"/>
      <c r="J4" s="160" t="s">
        <v>392</v>
      </c>
      <c r="K4" s="160"/>
      <c r="L4" s="86"/>
      <c r="M4" s="160"/>
      <c r="N4" s="160" t="s">
        <v>457</v>
      </c>
      <c r="O4" s="160"/>
      <c r="P4" s="86"/>
      <c r="Q4" s="160"/>
      <c r="R4" s="160" t="s">
        <v>474</v>
      </c>
      <c r="S4" s="160"/>
      <c r="T4" s="86"/>
      <c r="U4" s="160"/>
      <c r="V4" s="160" t="s">
        <v>474</v>
      </c>
      <c r="W4" s="160"/>
      <c r="X4" s="86"/>
      <c r="Y4" s="160"/>
      <c r="Z4" s="160" t="s">
        <v>637</v>
      </c>
      <c r="AA4" s="160"/>
      <c r="AB4" s="86"/>
      <c r="AC4" s="160"/>
      <c r="AD4" s="160" t="s">
        <v>709</v>
      </c>
      <c r="AE4" s="160"/>
      <c r="AF4" s="86"/>
    </row>
    <row r="5" spans="3:32" ht="12.75">
      <c r="C5" s="160"/>
      <c r="D5" s="86"/>
      <c r="E5" s="86"/>
      <c r="F5" s="160"/>
      <c r="G5" s="160"/>
      <c r="H5" s="160"/>
      <c r="I5" s="160"/>
      <c r="J5" s="160"/>
      <c r="K5" s="160"/>
      <c r="L5" s="86"/>
      <c r="M5" s="160"/>
      <c r="N5" s="160"/>
      <c r="O5" s="160"/>
      <c r="P5" s="86"/>
      <c r="Q5" s="160"/>
      <c r="R5" s="160"/>
      <c r="S5" s="160"/>
      <c r="T5" s="86"/>
      <c r="U5" s="160"/>
      <c r="V5" s="160"/>
      <c r="W5" s="160"/>
      <c r="X5" s="86"/>
      <c r="Y5" s="160"/>
      <c r="Z5" s="160"/>
      <c r="AA5" s="160"/>
      <c r="AB5" s="86"/>
      <c r="AC5" s="160"/>
      <c r="AD5" s="160"/>
      <c r="AE5" s="160"/>
      <c r="AF5" s="86"/>
    </row>
    <row r="6" spans="1:11" s="45" customFormat="1" ht="28.5" customHeight="1">
      <c r="A6" s="371" t="s">
        <v>464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</row>
    <row r="7" spans="1:2" s="45" customFormat="1" ht="12" customHeight="1">
      <c r="A7" s="172"/>
      <c r="B7" s="172"/>
    </row>
    <row r="8" spans="1:32" s="9" customFormat="1" ht="20.25" customHeight="1">
      <c r="A8" s="363" t="s">
        <v>6</v>
      </c>
      <c r="B8" s="363" t="s">
        <v>7</v>
      </c>
      <c r="C8" s="363" t="s">
        <v>169</v>
      </c>
      <c r="D8" s="363"/>
      <c r="E8" s="382" t="s">
        <v>265</v>
      </c>
      <c r="F8" s="382"/>
      <c r="G8" s="382" t="s">
        <v>276</v>
      </c>
      <c r="H8" s="382"/>
      <c r="I8" s="363" t="s">
        <v>265</v>
      </c>
      <c r="J8" s="363"/>
      <c r="K8" s="363" t="s">
        <v>166</v>
      </c>
      <c r="L8" s="363"/>
      <c r="M8" s="363" t="s">
        <v>265</v>
      </c>
      <c r="N8" s="363"/>
      <c r="O8" s="363" t="s">
        <v>169</v>
      </c>
      <c r="P8" s="363"/>
      <c r="Q8" s="363" t="s">
        <v>265</v>
      </c>
      <c r="R8" s="363"/>
      <c r="S8" s="363" t="s">
        <v>169</v>
      </c>
      <c r="T8" s="363"/>
      <c r="U8" s="363" t="s">
        <v>265</v>
      </c>
      <c r="V8" s="363"/>
      <c r="W8" s="363" t="s">
        <v>169</v>
      </c>
      <c r="X8" s="363"/>
      <c r="Y8" s="363" t="s">
        <v>265</v>
      </c>
      <c r="Z8" s="363"/>
      <c r="AA8" s="363" t="s">
        <v>169</v>
      </c>
      <c r="AB8" s="363"/>
      <c r="AC8" s="363" t="s">
        <v>265</v>
      </c>
      <c r="AD8" s="363"/>
      <c r="AE8" s="363" t="s">
        <v>276</v>
      </c>
      <c r="AF8" s="363"/>
    </row>
    <row r="9" spans="1:32" s="9" customFormat="1" ht="21" customHeight="1">
      <c r="A9" s="363"/>
      <c r="B9" s="363"/>
      <c r="C9" s="173" t="s">
        <v>170</v>
      </c>
      <c r="D9" s="173" t="s">
        <v>171</v>
      </c>
      <c r="E9" s="173" t="s">
        <v>170</v>
      </c>
      <c r="F9" s="173" t="s">
        <v>171</v>
      </c>
      <c r="G9" s="173" t="s">
        <v>170</v>
      </c>
      <c r="H9" s="173" t="s">
        <v>171</v>
      </c>
      <c r="I9" s="173" t="s">
        <v>170</v>
      </c>
      <c r="J9" s="173" t="s">
        <v>171</v>
      </c>
      <c r="K9" s="173" t="s">
        <v>170</v>
      </c>
      <c r="L9" s="173" t="s">
        <v>171</v>
      </c>
      <c r="M9" s="173" t="s">
        <v>170</v>
      </c>
      <c r="N9" s="173" t="s">
        <v>171</v>
      </c>
      <c r="O9" s="173" t="s">
        <v>170</v>
      </c>
      <c r="P9" s="173" t="s">
        <v>171</v>
      </c>
      <c r="Q9" s="173" t="s">
        <v>170</v>
      </c>
      <c r="R9" s="173" t="s">
        <v>171</v>
      </c>
      <c r="S9" s="173" t="s">
        <v>170</v>
      </c>
      <c r="T9" s="173" t="s">
        <v>171</v>
      </c>
      <c r="U9" s="173" t="s">
        <v>170</v>
      </c>
      <c r="V9" s="173" t="s">
        <v>171</v>
      </c>
      <c r="W9" s="173" t="s">
        <v>170</v>
      </c>
      <c r="X9" s="173" t="s">
        <v>171</v>
      </c>
      <c r="Y9" s="173" t="s">
        <v>170</v>
      </c>
      <c r="Z9" s="173" t="s">
        <v>171</v>
      </c>
      <c r="AA9" s="173" t="s">
        <v>170</v>
      </c>
      <c r="AB9" s="173" t="s">
        <v>171</v>
      </c>
      <c r="AC9" s="173" t="s">
        <v>170</v>
      </c>
      <c r="AD9" s="173" t="s">
        <v>171</v>
      </c>
      <c r="AE9" s="173" t="s">
        <v>170</v>
      </c>
      <c r="AF9" s="173" t="s">
        <v>171</v>
      </c>
    </row>
    <row r="10" spans="1:32" s="9" customFormat="1" ht="49.5" customHeight="1">
      <c r="A10" s="2">
        <v>903</v>
      </c>
      <c r="B10" s="64" t="s">
        <v>288</v>
      </c>
      <c r="C10" s="30">
        <v>5717636</v>
      </c>
      <c r="D10" s="30">
        <v>0</v>
      </c>
      <c r="E10" s="30"/>
      <c r="F10" s="30"/>
      <c r="G10" s="12"/>
      <c r="H10" s="12"/>
      <c r="I10" s="30">
        <v>0</v>
      </c>
      <c r="J10" s="30">
        <v>0</v>
      </c>
      <c r="K10" s="30">
        <f aca="true" t="shared" si="0" ref="K10:L15">SUM(C10,I10,)</f>
        <v>5717636</v>
      </c>
      <c r="L10" s="30">
        <f t="shared" si="0"/>
        <v>0</v>
      </c>
      <c r="M10" s="30">
        <v>0</v>
      </c>
      <c r="N10" s="30">
        <v>0</v>
      </c>
      <c r="O10" s="30">
        <f aca="true" t="shared" si="1" ref="O10:P15">SUM(K10+M10)</f>
        <v>5717636</v>
      </c>
      <c r="P10" s="30">
        <f t="shared" si="1"/>
        <v>0</v>
      </c>
      <c r="Q10" s="30">
        <v>0</v>
      </c>
      <c r="R10" s="30">
        <v>0</v>
      </c>
      <c r="S10" s="30">
        <f aca="true" t="shared" si="2" ref="S10:S15">SUM(O10+Q10)</f>
        <v>5717636</v>
      </c>
      <c r="T10" s="30">
        <f aca="true" t="shared" si="3" ref="T10:T15">SUM(P10+R10)</f>
        <v>0</v>
      </c>
      <c r="U10" s="30">
        <v>0</v>
      </c>
      <c r="V10" s="30">
        <v>0</v>
      </c>
      <c r="W10" s="30">
        <f aca="true" t="shared" si="4" ref="W10:W15">SUM(S10+U10)</f>
        <v>5717636</v>
      </c>
      <c r="X10" s="30">
        <f aca="true" t="shared" si="5" ref="X10:X15">SUM(T10+V10)</f>
        <v>0</v>
      </c>
      <c r="Y10" s="30">
        <v>0</v>
      </c>
      <c r="Z10" s="30">
        <v>0</v>
      </c>
      <c r="AA10" s="30">
        <f aca="true" t="shared" si="6" ref="AA10:AA15">SUM(W10+Y10)</f>
        <v>5717636</v>
      </c>
      <c r="AB10" s="30">
        <f aca="true" t="shared" si="7" ref="AB10:AB15">SUM(X10+Z10)</f>
        <v>0</v>
      </c>
      <c r="AC10" s="30">
        <v>0</v>
      </c>
      <c r="AD10" s="30">
        <v>0</v>
      </c>
      <c r="AE10" s="30">
        <f aca="true" t="shared" si="8" ref="AE10:AE15">SUM(AA10+AC10)</f>
        <v>5717636</v>
      </c>
      <c r="AF10" s="30">
        <f aca="true" t="shared" si="9" ref="AF10:AF15">SUM(AB10+AD10)</f>
        <v>0</v>
      </c>
    </row>
    <row r="11" spans="1:32" s="9" customFormat="1" ht="29.25" customHeight="1">
      <c r="A11" s="2">
        <v>952</v>
      </c>
      <c r="B11" s="64" t="s">
        <v>185</v>
      </c>
      <c r="C11" s="12">
        <f>2713000+3391011+15000</f>
        <v>6119011</v>
      </c>
      <c r="D11" s="12">
        <v>0</v>
      </c>
      <c r="E11" s="12"/>
      <c r="F11" s="12"/>
      <c r="G11" s="12"/>
      <c r="H11" s="12"/>
      <c r="I11" s="12">
        <v>0</v>
      </c>
      <c r="J11" s="12">
        <v>0</v>
      </c>
      <c r="K11" s="30">
        <f t="shared" si="0"/>
        <v>6119011</v>
      </c>
      <c r="L11" s="30">
        <f t="shared" si="0"/>
        <v>0</v>
      </c>
      <c r="M11" s="12">
        <f>-278311+10000</f>
        <v>-268311</v>
      </c>
      <c r="N11" s="12">
        <v>0</v>
      </c>
      <c r="O11" s="30">
        <f t="shared" si="1"/>
        <v>5850700</v>
      </c>
      <c r="P11" s="30">
        <f t="shared" si="1"/>
        <v>0</v>
      </c>
      <c r="Q11" s="12"/>
      <c r="R11" s="12">
        <v>0</v>
      </c>
      <c r="S11" s="30">
        <f t="shared" si="2"/>
        <v>5850700</v>
      </c>
      <c r="T11" s="30">
        <f t="shared" si="3"/>
        <v>0</v>
      </c>
      <c r="U11" s="12"/>
      <c r="V11" s="12">
        <v>0</v>
      </c>
      <c r="W11" s="30">
        <f t="shared" si="4"/>
        <v>5850700</v>
      </c>
      <c r="X11" s="30">
        <f t="shared" si="5"/>
        <v>0</v>
      </c>
      <c r="Y11" s="12"/>
      <c r="Z11" s="12">
        <v>0</v>
      </c>
      <c r="AA11" s="30">
        <f t="shared" si="6"/>
        <v>5850700</v>
      </c>
      <c r="AB11" s="30">
        <f t="shared" si="7"/>
        <v>0</v>
      </c>
      <c r="AC11" s="12">
        <v>-396377</v>
      </c>
      <c r="AD11" s="12"/>
      <c r="AE11" s="30">
        <f t="shared" si="8"/>
        <v>5454323</v>
      </c>
      <c r="AF11" s="30">
        <f t="shared" si="9"/>
        <v>0</v>
      </c>
    </row>
    <row r="12" spans="1:32" s="9" customFormat="1" ht="42" customHeight="1">
      <c r="A12" s="2">
        <v>963</v>
      </c>
      <c r="B12" s="64" t="s">
        <v>414</v>
      </c>
      <c r="C12" s="12">
        <v>0</v>
      </c>
      <c r="D12" s="12">
        <v>0</v>
      </c>
      <c r="E12" s="12"/>
      <c r="F12" s="12"/>
      <c r="G12" s="12"/>
      <c r="H12" s="12"/>
      <c r="I12" s="12">
        <v>0</v>
      </c>
      <c r="J12" s="12">
        <v>3357524</v>
      </c>
      <c r="K12" s="30">
        <f t="shared" si="0"/>
        <v>0</v>
      </c>
      <c r="L12" s="30">
        <f t="shared" si="0"/>
        <v>3357524</v>
      </c>
      <c r="M12" s="12">
        <v>0</v>
      </c>
      <c r="N12" s="12"/>
      <c r="O12" s="30">
        <f t="shared" si="1"/>
        <v>0</v>
      </c>
      <c r="P12" s="30">
        <f t="shared" si="1"/>
        <v>3357524</v>
      </c>
      <c r="Q12" s="12">
        <v>0</v>
      </c>
      <c r="R12" s="12">
        <v>82645</v>
      </c>
      <c r="S12" s="30">
        <f t="shared" si="2"/>
        <v>0</v>
      </c>
      <c r="T12" s="30">
        <f t="shared" si="3"/>
        <v>3440169</v>
      </c>
      <c r="U12" s="12">
        <v>0</v>
      </c>
      <c r="V12" s="12">
        <f>1938448+1393424</f>
        <v>3331872</v>
      </c>
      <c r="W12" s="30">
        <f t="shared" si="4"/>
        <v>0</v>
      </c>
      <c r="X12" s="30">
        <f t="shared" si="5"/>
        <v>6772041</v>
      </c>
      <c r="Y12" s="12">
        <v>0</v>
      </c>
      <c r="Z12" s="12">
        <v>622245</v>
      </c>
      <c r="AA12" s="30">
        <f t="shared" si="6"/>
        <v>0</v>
      </c>
      <c r="AB12" s="30">
        <f t="shared" si="7"/>
        <v>7394286</v>
      </c>
      <c r="AC12" s="12">
        <v>0</v>
      </c>
      <c r="AD12" s="12"/>
      <c r="AE12" s="30">
        <f t="shared" si="8"/>
        <v>0</v>
      </c>
      <c r="AF12" s="30">
        <f t="shared" si="9"/>
        <v>7394286</v>
      </c>
    </row>
    <row r="13" spans="1:32" s="9" customFormat="1" ht="26.25" customHeight="1">
      <c r="A13" s="2">
        <v>982</v>
      </c>
      <c r="B13" s="64" t="s">
        <v>266</v>
      </c>
      <c r="C13" s="12">
        <v>0</v>
      </c>
      <c r="D13" s="12">
        <v>1850000</v>
      </c>
      <c r="E13" s="12"/>
      <c r="F13" s="12"/>
      <c r="G13" s="12"/>
      <c r="H13" s="12"/>
      <c r="I13" s="12">
        <v>0</v>
      </c>
      <c r="J13" s="12">
        <v>0</v>
      </c>
      <c r="K13" s="30">
        <f t="shared" si="0"/>
        <v>0</v>
      </c>
      <c r="L13" s="30">
        <f t="shared" si="0"/>
        <v>1850000</v>
      </c>
      <c r="M13" s="12">
        <v>0</v>
      </c>
      <c r="N13" s="12">
        <v>0</v>
      </c>
      <c r="O13" s="30">
        <f t="shared" si="1"/>
        <v>0</v>
      </c>
      <c r="P13" s="30">
        <f t="shared" si="1"/>
        <v>1850000</v>
      </c>
      <c r="Q13" s="12">
        <v>0</v>
      </c>
      <c r="R13" s="12">
        <v>0</v>
      </c>
      <c r="S13" s="30">
        <f t="shared" si="2"/>
        <v>0</v>
      </c>
      <c r="T13" s="30">
        <f t="shared" si="3"/>
        <v>1850000</v>
      </c>
      <c r="U13" s="12">
        <v>0</v>
      </c>
      <c r="V13" s="12">
        <v>0</v>
      </c>
      <c r="W13" s="30">
        <f t="shared" si="4"/>
        <v>0</v>
      </c>
      <c r="X13" s="30">
        <f t="shared" si="5"/>
        <v>1850000</v>
      </c>
      <c r="Y13" s="12">
        <v>0</v>
      </c>
      <c r="Z13" s="12">
        <v>0</v>
      </c>
      <c r="AA13" s="30">
        <f t="shared" si="6"/>
        <v>0</v>
      </c>
      <c r="AB13" s="30">
        <f t="shared" si="7"/>
        <v>1850000</v>
      </c>
      <c r="AC13" s="12">
        <v>0</v>
      </c>
      <c r="AD13" s="12">
        <v>0</v>
      </c>
      <c r="AE13" s="30">
        <f t="shared" si="8"/>
        <v>0</v>
      </c>
      <c r="AF13" s="30">
        <f t="shared" si="9"/>
        <v>1850000</v>
      </c>
    </row>
    <row r="14" spans="1:32" s="9" customFormat="1" ht="24">
      <c r="A14" s="2">
        <v>992</v>
      </c>
      <c r="B14" s="64" t="s">
        <v>173</v>
      </c>
      <c r="C14" s="12">
        <v>0</v>
      </c>
      <c r="D14" s="12">
        <v>2806515</v>
      </c>
      <c r="E14" s="12"/>
      <c r="F14" s="12"/>
      <c r="G14" s="12"/>
      <c r="H14" s="12"/>
      <c r="I14" s="12">
        <v>0</v>
      </c>
      <c r="J14" s="12">
        <v>0</v>
      </c>
      <c r="K14" s="30">
        <f t="shared" si="0"/>
        <v>0</v>
      </c>
      <c r="L14" s="30">
        <f t="shared" si="0"/>
        <v>2806515</v>
      </c>
      <c r="M14" s="12">
        <v>0</v>
      </c>
      <c r="N14" s="12">
        <v>0</v>
      </c>
      <c r="O14" s="30">
        <f t="shared" si="1"/>
        <v>0</v>
      </c>
      <c r="P14" s="30">
        <f t="shared" si="1"/>
        <v>2806515</v>
      </c>
      <c r="Q14" s="12">
        <v>0</v>
      </c>
      <c r="R14" s="12">
        <v>0</v>
      </c>
      <c r="S14" s="30">
        <f t="shared" si="2"/>
        <v>0</v>
      </c>
      <c r="T14" s="30">
        <f t="shared" si="3"/>
        <v>2806515</v>
      </c>
      <c r="U14" s="12">
        <v>0</v>
      </c>
      <c r="V14" s="12">
        <v>0</v>
      </c>
      <c r="W14" s="30">
        <f t="shared" si="4"/>
        <v>0</v>
      </c>
      <c r="X14" s="30">
        <f t="shared" si="5"/>
        <v>2806515</v>
      </c>
      <c r="Y14" s="12">
        <v>0</v>
      </c>
      <c r="Z14" s="12">
        <v>0</v>
      </c>
      <c r="AA14" s="30">
        <f t="shared" si="6"/>
        <v>0</v>
      </c>
      <c r="AB14" s="30">
        <f t="shared" si="7"/>
        <v>2806515</v>
      </c>
      <c r="AC14" s="12">
        <v>0</v>
      </c>
      <c r="AD14" s="12">
        <v>0</v>
      </c>
      <c r="AE14" s="30">
        <f t="shared" si="8"/>
        <v>0</v>
      </c>
      <c r="AF14" s="30">
        <f t="shared" si="9"/>
        <v>2806515</v>
      </c>
    </row>
    <row r="15" spans="2:32" s="9" customFormat="1" ht="30" customHeight="1">
      <c r="B15" s="2" t="s">
        <v>85</v>
      </c>
      <c r="C15" s="29">
        <f>C10+C11+C13+C14</f>
        <v>11836647</v>
      </c>
      <c r="D15" s="29">
        <f>D10+D11+D13+D14</f>
        <v>4656515</v>
      </c>
      <c r="E15" s="381"/>
      <c r="F15" s="381"/>
      <c r="G15" s="381"/>
      <c r="H15" s="381"/>
      <c r="I15" s="29">
        <f>SUM(I10:I14)</f>
        <v>0</v>
      </c>
      <c r="J15" s="29">
        <f>SUM(J10:J14)</f>
        <v>3357524</v>
      </c>
      <c r="K15" s="60">
        <f t="shared" si="0"/>
        <v>11836647</v>
      </c>
      <c r="L15" s="60">
        <f t="shared" si="0"/>
        <v>8014039</v>
      </c>
      <c r="M15" s="29">
        <f>SUM(M10:M14)</f>
        <v>-268311</v>
      </c>
      <c r="N15" s="29">
        <f>SUM(N10:N14)</f>
        <v>0</v>
      </c>
      <c r="O15" s="60">
        <f t="shared" si="1"/>
        <v>11568336</v>
      </c>
      <c r="P15" s="60">
        <f t="shared" si="1"/>
        <v>8014039</v>
      </c>
      <c r="Q15" s="29">
        <f>SUM(Q10:Q14)</f>
        <v>0</v>
      </c>
      <c r="R15" s="29">
        <f>SUM(R10:R14)</f>
        <v>82645</v>
      </c>
      <c r="S15" s="60">
        <f t="shared" si="2"/>
        <v>11568336</v>
      </c>
      <c r="T15" s="60">
        <f t="shared" si="3"/>
        <v>8096684</v>
      </c>
      <c r="U15" s="29">
        <f>SUM(U10:U14)</f>
        <v>0</v>
      </c>
      <c r="V15" s="29">
        <f>SUM(V10:V14)</f>
        <v>3331872</v>
      </c>
      <c r="W15" s="60">
        <f t="shared" si="4"/>
        <v>11568336</v>
      </c>
      <c r="X15" s="60">
        <f t="shared" si="5"/>
        <v>11428556</v>
      </c>
      <c r="Y15" s="29">
        <f>SUM(Y10:Y14)</f>
        <v>0</v>
      </c>
      <c r="Z15" s="29">
        <f>SUM(Z10:Z14)</f>
        <v>622245</v>
      </c>
      <c r="AA15" s="60">
        <f t="shared" si="6"/>
        <v>11568336</v>
      </c>
      <c r="AB15" s="60">
        <f t="shared" si="7"/>
        <v>12050801</v>
      </c>
      <c r="AC15" s="29">
        <f>SUM(AC10:AC14)</f>
        <v>-396377</v>
      </c>
      <c r="AD15" s="29">
        <f>SUM(AD10:AD14)</f>
        <v>0</v>
      </c>
      <c r="AE15" s="60">
        <f t="shared" si="8"/>
        <v>11171959</v>
      </c>
      <c r="AF15" s="60">
        <f t="shared" si="9"/>
        <v>12050801</v>
      </c>
    </row>
    <row r="16" spans="2:32" ht="30" customHeight="1">
      <c r="B16" s="2" t="s">
        <v>172</v>
      </c>
      <c r="C16" s="379">
        <f>C15-D15</f>
        <v>7180132</v>
      </c>
      <c r="D16" s="380"/>
      <c r="I16" s="379">
        <f>SUM(I15-J15)</f>
        <v>-3357524</v>
      </c>
      <c r="J16" s="380"/>
      <c r="K16" s="379">
        <f>K15-L15</f>
        <v>3822608</v>
      </c>
      <c r="L16" s="380"/>
      <c r="M16" s="379">
        <f>SUM(M15-N15)</f>
        <v>-268311</v>
      </c>
      <c r="N16" s="380"/>
      <c r="O16" s="379">
        <f>O15-P15</f>
        <v>3554297</v>
      </c>
      <c r="P16" s="380"/>
      <c r="Q16" s="379">
        <f>SUM(Q15-R15)</f>
        <v>-82645</v>
      </c>
      <c r="R16" s="380"/>
      <c r="S16" s="379">
        <f>S15-T15</f>
        <v>3471652</v>
      </c>
      <c r="T16" s="380"/>
      <c r="U16" s="379">
        <f>SUM(U15-V15)</f>
        <v>-3331872</v>
      </c>
      <c r="V16" s="380"/>
      <c r="W16" s="379">
        <f>W15-X15</f>
        <v>139780</v>
      </c>
      <c r="X16" s="380"/>
      <c r="Y16" s="379">
        <f>SUM(Y15-Z15)</f>
        <v>-622245</v>
      </c>
      <c r="Z16" s="380"/>
      <c r="AA16" s="379">
        <f>AA15-AB15</f>
        <v>-482465</v>
      </c>
      <c r="AB16" s="380"/>
      <c r="AC16" s="379">
        <f>SUM(AC15-AD15)</f>
        <v>-396377</v>
      </c>
      <c r="AD16" s="380"/>
      <c r="AE16" s="379">
        <f>AE15-AF15</f>
        <v>-878842</v>
      </c>
      <c r="AF16" s="380"/>
    </row>
    <row r="19" spans="3:32" ht="12.75">
      <c r="C19" s="206"/>
      <c r="D19" s="206" t="s">
        <v>343</v>
      </c>
      <c r="I19" s="206"/>
      <c r="J19" s="206" t="s">
        <v>343</v>
      </c>
      <c r="K19" s="206"/>
      <c r="L19" s="206" t="s">
        <v>343</v>
      </c>
      <c r="M19" s="206"/>
      <c r="N19" s="206" t="s">
        <v>343</v>
      </c>
      <c r="O19" s="206"/>
      <c r="P19" s="206" t="s">
        <v>343</v>
      </c>
      <c r="Q19" s="206"/>
      <c r="R19" s="206" t="s">
        <v>343</v>
      </c>
      <c r="S19" s="206"/>
      <c r="T19" s="206" t="s">
        <v>343</v>
      </c>
      <c r="U19" s="206"/>
      <c r="V19" s="206" t="s">
        <v>343</v>
      </c>
      <c r="W19" s="206"/>
      <c r="X19" s="206" t="s">
        <v>343</v>
      </c>
      <c r="Y19" s="206"/>
      <c r="Z19" s="206" t="s">
        <v>343</v>
      </c>
      <c r="AA19" s="206"/>
      <c r="AB19" s="206" t="s">
        <v>343</v>
      </c>
      <c r="AC19" s="206"/>
      <c r="AD19" s="206" t="s">
        <v>343</v>
      </c>
      <c r="AE19" s="206"/>
      <c r="AF19" s="206" t="s">
        <v>343</v>
      </c>
    </row>
    <row r="20" spans="3:31" ht="12.75">
      <c r="C20" s="206"/>
      <c r="I20" s="206"/>
      <c r="K20" s="206"/>
      <c r="M20" s="206"/>
      <c r="O20" s="206"/>
      <c r="Q20" s="206"/>
      <c r="S20" s="206"/>
      <c r="U20" s="206"/>
      <c r="W20" s="206"/>
      <c r="Y20" s="206"/>
      <c r="AA20" s="206"/>
      <c r="AC20" s="206"/>
      <c r="AE20" s="206"/>
    </row>
    <row r="21" spans="3:31" ht="12.75">
      <c r="C21" s="206"/>
      <c r="I21" s="206"/>
      <c r="K21" s="206"/>
      <c r="M21" s="206"/>
      <c r="O21" s="206"/>
      <c r="Q21" s="206"/>
      <c r="S21" s="206"/>
      <c r="U21" s="206"/>
      <c r="W21" s="206"/>
      <c r="Y21" s="206"/>
      <c r="AA21" s="206"/>
      <c r="AC21" s="206"/>
      <c r="AE21" s="206"/>
    </row>
    <row r="22" spans="3:31" ht="12.75">
      <c r="C22" s="206"/>
      <c r="I22" s="206"/>
      <c r="K22" s="206"/>
      <c r="M22" s="206"/>
      <c r="O22" s="206"/>
      <c r="Q22" s="206"/>
      <c r="S22" s="206"/>
      <c r="U22" s="206"/>
      <c r="W22" s="206"/>
      <c r="Y22" s="206"/>
      <c r="AA22" s="206"/>
      <c r="AC22" s="206"/>
      <c r="AE22" s="206"/>
    </row>
    <row r="23" spans="3:31" ht="12.75">
      <c r="C23" s="206"/>
      <c r="I23" s="206"/>
      <c r="K23" s="206"/>
      <c r="M23" s="206"/>
      <c r="O23" s="206"/>
      <c r="Q23" s="206"/>
      <c r="S23" s="206"/>
      <c r="U23" s="206"/>
      <c r="W23" s="206"/>
      <c r="Y23" s="206"/>
      <c r="AA23" s="206"/>
      <c r="AC23" s="206"/>
      <c r="AE23" s="206"/>
    </row>
    <row r="24" spans="3:32" ht="12.75">
      <c r="C24" s="206"/>
      <c r="D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</row>
    <row r="25" spans="3:32" ht="12.75">
      <c r="C25" s="206"/>
      <c r="D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</row>
    <row r="26" spans="3:32" ht="12.75">
      <c r="C26" s="206"/>
      <c r="D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</row>
    <row r="27" spans="3:32" ht="12.75">
      <c r="C27" s="206"/>
      <c r="D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</row>
    <row r="28" spans="3:32" ht="12.75">
      <c r="C28" s="206"/>
      <c r="D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</row>
    <row r="29" spans="3:32" ht="12.75">
      <c r="C29" s="206"/>
      <c r="D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</row>
    <row r="30" spans="3:32" ht="12.75">
      <c r="C30" s="206"/>
      <c r="D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</row>
    <row r="31" spans="3:32" ht="12.75">
      <c r="C31" s="206"/>
      <c r="D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</row>
    <row r="32" spans="3:32" ht="12.75">
      <c r="C32" s="206"/>
      <c r="D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</row>
    <row r="33" spans="3:32" ht="12.75">
      <c r="C33" s="206"/>
      <c r="D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</row>
    <row r="34" spans="3:32" ht="12.75">
      <c r="C34" s="206"/>
      <c r="D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</row>
    <row r="35" spans="3:32" ht="12.75">
      <c r="C35" s="206"/>
      <c r="D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</row>
    <row r="36" spans="3:32" ht="12.75">
      <c r="C36" s="206"/>
      <c r="D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</row>
    <row r="37" spans="3:32" ht="12.75">
      <c r="C37" s="206"/>
      <c r="D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</row>
    <row r="38" spans="3:32" ht="12.75">
      <c r="C38" s="206"/>
      <c r="D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</row>
    <row r="39" spans="3:32" ht="12.75">
      <c r="C39" s="206"/>
      <c r="D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</row>
    <row r="40" spans="3:32" ht="12.75">
      <c r="C40" s="206"/>
      <c r="D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</row>
    <row r="41" spans="4:32" ht="12.75">
      <c r="D41" s="206"/>
      <c r="J41" s="206"/>
      <c r="L41" s="206"/>
      <c r="N41" s="206"/>
      <c r="P41" s="206"/>
      <c r="R41" s="206"/>
      <c r="T41" s="206"/>
      <c r="V41" s="206"/>
      <c r="X41" s="206"/>
      <c r="Z41" s="206"/>
      <c r="AB41" s="206"/>
      <c r="AD41" s="206"/>
      <c r="AF41" s="206"/>
    </row>
  </sheetData>
  <sheetProtection/>
  <mergeCells count="33">
    <mergeCell ref="Y8:Z8"/>
    <mergeCell ref="AA8:AB8"/>
    <mergeCell ref="Y16:Z16"/>
    <mergeCell ref="AA16:AB16"/>
    <mergeCell ref="AC8:AD8"/>
    <mergeCell ref="AE8:AF8"/>
    <mergeCell ref="AC16:AD16"/>
    <mergeCell ref="AE16:AF16"/>
    <mergeCell ref="Q8:R8"/>
    <mergeCell ref="S8:T8"/>
    <mergeCell ref="Q16:R16"/>
    <mergeCell ref="S16:T16"/>
    <mergeCell ref="U8:V8"/>
    <mergeCell ref="W8:X8"/>
    <mergeCell ref="U16:V16"/>
    <mergeCell ref="W16:X16"/>
    <mergeCell ref="A8:A9"/>
    <mergeCell ref="B8:B9"/>
    <mergeCell ref="O8:P8"/>
    <mergeCell ref="A6:K6"/>
    <mergeCell ref="K8:L8"/>
    <mergeCell ref="C16:D16"/>
    <mergeCell ref="E8:F8"/>
    <mergeCell ref="G8:H8"/>
    <mergeCell ref="E15:F15"/>
    <mergeCell ref="C8:D8"/>
    <mergeCell ref="M16:N16"/>
    <mergeCell ref="O16:P16"/>
    <mergeCell ref="G15:H15"/>
    <mergeCell ref="I8:J8"/>
    <mergeCell ref="I16:J16"/>
    <mergeCell ref="M8:N8"/>
    <mergeCell ref="K16:L16"/>
  </mergeCell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Tomek</cp:lastModifiedBy>
  <cp:lastPrinted>2006-12-28T11:00:38Z</cp:lastPrinted>
  <dcterms:created xsi:type="dcterms:W3CDTF">2002-10-21T08:56:44Z</dcterms:created>
  <dcterms:modified xsi:type="dcterms:W3CDTF">2008-07-25T12:59:02Z</dcterms:modified>
  <cp:category/>
  <cp:version/>
  <cp:contentType/>
  <cp:contentStatus/>
</cp:coreProperties>
</file>