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9450" windowHeight="6720" tabRatio="606" firstSheet="6" activeTab="11"/>
  </bookViews>
  <sheets>
    <sheet name="dochody 2007 zał.1" sheetId="1" r:id="rId1"/>
    <sheet name="wydatki 2007 zał.2 " sheetId="2" r:id="rId2"/>
    <sheet name="dot. otrzym.2007 zał.3 " sheetId="3" r:id="rId3"/>
    <sheet name="zał. 4 dotacje przek" sheetId="4" r:id="rId4"/>
    <sheet name="admin.zał 5" sheetId="5" r:id="rId5"/>
    <sheet name="wyd.maj.zał 6" sheetId="6" r:id="rId6"/>
    <sheet name="poroz. zał 7" sheetId="7" r:id="rId7"/>
    <sheet name="zał.14  GFOŚiGW" sheetId="8" r:id="rId8"/>
    <sheet name="GKRPA zał.8 " sheetId="9" r:id="rId9"/>
    <sheet name="deficyt zał. 10 " sheetId="10" r:id="rId10"/>
    <sheet name="Zał.11 zakł.budż." sheetId="11" r:id="rId11"/>
    <sheet name="doch.admin zał.12" sheetId="12" r:id="rId12"/>
  </sheets>
  <definedNames>
    <definedName name="_xlnm.Print_Titles" localSheetId="4">'admin.zał 5'!$6:$7</definedName>
    <definedName name="_xlnm.Print_Titles" localSheetId="0">'dochody 2007 zał.1'!$6:$7</definedName>
    <definedName name="_xlnm.Print_Titles" localSheetId="2">'dot. otrzym.2007 zał.3 '!$6:$7</definedName>
    <definedName name="_xlnm.Print_Titles" localSheetId="8">'GKRPA zał.8 '!$8:$9</definedName>
    <definedName name="_xlnm.Print_Titles" localSheetId="6">'poroz. zał 7'!$7:$7</definedName>
    <definedName name="_xlnm.Print_Titles" localSheetId="5">'wyd.maj.zał 6'!$6:$7</definedName>
    <definedName name="_xlnm.Print_Titles" localSheetId="1">'wydatki 2007 zał.2 '!$6:$7</definedName>
  </definedNames>
  <calcPr fullCalcOnLoad="1"/>
</workbook>
</file>

<file path=xl/sharedStrings.xml><?xml version="1.0" encoding="utf-8"?>
<sst xmlns="http://schemas.openxmlformats.org/spreadsheetml/2006/main" count="1553" uniqueCount="582">
  <si>
    <t>wykonanie</t>
  </si>
  <si>
    <t>zł</t>
  </si>
  <si>
    <t>%</t>
  </si>
  <si>
    <t>budowa ścieżki pieszo - rowerowej łączącej ul. Konopnicką z  ul.Żeromskiego</t>
  </si>
  <si>
    <t>budowa chodnika ul. Dąbrowskiego
( ul.Strażackiej do ul. Wieleńskiej)</t>
  </si>
  <si>
    <t>nawierzchnia asfaltowa na ul Mickiewicza (od ul.Staszica do ul.Roosevelta)</t>
  </si>
  <si>
    <t>budowa drogi z miejscami parkingowymi przy ul.Broniewskiego (za Parkiem 1 Maja)</t>
  </si>
  <si>
    <t>projekty techniczne dróg, chodników  i kanalizacji deszczowej - ul.Ogrodowa, os.Modrzewiowe, dróg Przyłeki do stacji PKP i w Stobnie</t>
  </si>
  <si>
    <t xml:space="preserve">monitoring  strażnic </t>
  </si>
  <si>
    <t>projekt techniczny wodociągu w Siedlisku przed torami</t>
  </si>
  <si>
    <t>zakup łodzi do ratownictwa wodnego dla Powiatowej Straży Pożarnej (Jednostka Ratowniczo - Gaśnicza w Trzciance)</t>
  </si>
  <si>
    <t>zasilanie energetyczne placu budowy działek budowlanych położonych 
w Trzciance przy jez. Okunie</t>
  </si>
  <si>
    <t>dział</t>
  </si>
  <si>
    <t>rozdział</t>
  </si>
  <si>
    <t>§</t>
  </si>
  <si>
    <t>nazwa</t>
  </si>
  <si>
    <t>010</t>
  </si>
  <si>
    <t>Rolnictwo i łowiectwo</t>
  </si>
  <si>
    <t>pozostała działalność</t>
  </si>
  <si>
    <t>wpływy z innych lokalnych opłat pobieranych przez jednostki samorządu terytorialnego na podstawie odrębnych ustaw</t>
  </si>
  <si>
    <t>020</t>
  </si>
  <si>
    <t>Leśnictwo</t>
  </si>
  <si>
    <t>02095</t>
  </si>
  <si>
    <t>700</t>
  </si>
  <si>
    <t>Gospodarka mieszkaniowa</t>
  </si>
  <si>
    <t>70005</t>
  </si>
  <si>
    <t>pozostałe odsetki</t>
  </si>
  <si>
    <t>wpływy z różnych dochodów</t>
  </si>
  <si>
    <t>710</t>
  </si>
  <si>
    <t>cmentarze</t>
  </si>
  <si>
    <t>750</t>
  </si>
  <si>
    <t xml:space="preserve">Administracja publiczna </t>
  </si>
  <si>
    <t>urzędy wojewódzkie</t>
  </si>
  <si>
    <t>75023</t>
  </si>
  <si>
    <t>urzędy gmin (miast i miast na prawach powiatu)</t>
  </si>
  <si>
    <t xml:space="preserve">Urzędy naczelnych organów władzy państwowej, kontroli i ochrony prawa oraz sądownictwa </t>
  </si>
  <si>
    <t>urzędy naczelnych organów władzy państwowej, kontroli i ochrony prawa</t>
  </si>
  <si>
    <t>754</t>
  </si>
  <si>
    <t>Bezpieczeństwo publiczne i ochrona przeciwpożarowa</t>
  </si>
  <si>
    <t>75416</t>
  </si>
  <si>
    <t>straż miejska</t>
  </si>
  <si>
    <t xml:space="preserve">grzywny, mandaty i inne kary pieniężne od ludności </t>
  </si>
  <si>
    <t>756</t>
  </si>
  <si>
    <t>Dochody od osób prawnych, od osób fizycznych i od innych jednostek nie posiadających osobowości prawnej</t>
  </si>
  <si>
    <t xml:space="preserve">wpływy z podatku dochodowego od osób fizycznych </t>
  </si>
  <si>
    <t>podatek od działalności gospodarczej osób fizycznych, opłacany w formie karty podatkowej</t>
  </si>
  <si>
    <t>75615</t>
  </si>
  <si>
    <t>podatek od nieruchomości</t>
  </si>
  <si>
    <t>podatek rolny</t>
  </si>
  <si>
    <t>podatek leśny</t>
  </si>
  <si>
    <t>podatek od środków transportowych</t>
  </si>
  <si>
    <t>wpływy z opłaty eksploatacyjnej</t>
  </si>
  <si>
    <t>podatek od spadków i darowizn</t>
  </si>
  <si>
    <t>podatek od posiadania psów</t>
  </si>
  <si>
    <t>wpływy z opłaty targowej</t>
  </si>
  <si>
    <t>wpływy z opłaty miejscowej</t>
  </si>
  <si>
    <t>wpływy z opłaty administracyjnej za czynności urzędowe</t>
  </si>
  <si>
    <t>podatek od czynności cywilnoprawnych</t>
  </si>
  <si>
    <t>75618</t>
  </si>
  <si>
    <t>wpływy z innych opłat stanowiących dochody jednostek samorządu terytorialnego na podstawie ustaw</t>
  </si>
  <si>
    <t>wpływy z opłaty skarbowej</t>
  </si>
  <si>
    <t>75621</t>
  </si>
  <si>
    <t>udziały gmin w podatkach stanowiących dochód budżetu państwa</t>
  </si>
  <si>
    <t>podatek dochodowy od osób fizycznych</t>
  </si>
  <si>
    <t>podatek dochodowy od osób prawnych</t>
  </si>
  <si>
    <t>758</t>
  </si>
  <si>
    <t>Różne rozliczenia</t>
  </si>
  <si>
    <t>75801</t>
  </si>
  <si>
    <t>część oświatowa subwencji ogólnej dla jednostek samorządu terytorialnego</t>
  </si>
  <si>
    <t>subwencje ogólne z budżetu państwa</t>
  </si>
  <si>
    <t>różne rozliczenia finansowe</t>
  </si>
  <si>
    <t>szkoły podstawowe</t>
  </si>
  <si>
    <t>gimnazja</t>
  </si>
  <si>
    <t>Ochrona zdrowia</t>
  </si>
  <si>
    <t>przeciwdziałanie alkoholizmowi</t>
  </si>
  <si>
    <t>wpływy z opłat za zezwolenia na sprzedaż alkoholu</t>
  </si>
  <si>
    <t>dochody z najmu i dzierżawy składników majątkowych Skarbu Państwa, jednostek samorządu terytorialnego lub  innych jednostek zaliczanych do sektora finansów publicznych oraz innych umów o podobnym charakterze</t>
  </si>
  <si>
    <t xml:space="preserve">zasiłki i pomoc w naturze oraz składki na ubezpieczenia społeczne </t>
  </si>
  <si>
    <t>dodatki mieszkaniowe</t>
  </si>
  <si>
    <t>ośrodki pomocy społecznej</t>
  </si>
  <si>
    <t>Edukacyjna opieka wychowawcza</t>
  </si>
  <si>
    <t>świetlice szkolne</t>
  </si>
  <si>
    <t>Gospodarka komunalna i ochrona środowiska</t>
  </si>
  <si>
    <t>gospodarka ściekowa i ochrona wód</t>
  </si>
  <si>
    <t>921</t>
  </si>
  <si>
    <t>92116</t>
  </si>
  <si>
    <t>biblioteki</t>
  </si>
  <si>
    <t>Kultura fizyczna i sport</t>
  </si>
  <si>
    <t>zadania w zakresie kultury fizycznej i sportu</t>
  </si>
  <si>
    <t>razem</t>
  </si>
  <si>
    <t xml:space="preserve">Kultura i ochrona dziedzictwa narodowego </t>
  </si>
  <si>
    <t>01030</t>
  </si>
  <si>
    <t>izby rolnicze</t>
  </si>
  <si>
    <t>zakup materiałów i wyposażenia</t>
  </si>
  <si>
    <t>wydatki inwestycyjne jednostek budżetowych</t>
  </si>
  <si>
    <t>600</t>
  </si>
  <si>
    <t>Transport i łączność</t>
  </si>
  <si>
    <t>60016</t>
  </si>
  <si>
    <t>drogi publiczne gminne</t>
  </si>
  <si>
    <t>zakup usług remontowych</t>
  </si>
  <si>
    <t>zakup usług pozostałych</t>
  </si>
  <si>
    <t>Działalność usługowa</t>
  </si>
  <si>
    <t>71004</t>
  </si>
  <si>
    <t>plany zagospodarowania przestrzennego</t>
  </si>
  <si>
    <t>Administracja publiczna</t>
  </si>
  <si>
    <t>wynagrodzenia osobowe pracowników</t>
  </si>
  <si>
    <t>dodatkowe wynagrodzenie roczne</t>
  </si>
  <si>
    <t>składki na ubezpieczenia społeczne</t>
  </si>
  <si>
    <t>składki na Fundusz Pracy</t>
  </si>
  <si>
    <t>odpisy na zakładowy fundusz świadczeń socjalnych</t>
  </si>
  <si>
    <t>różne wydatki na rzecz osób fizycznych</t>
  </si>
  <si>
    <t>podróże służbowe krajowe</t>
  </si>
  <si>
    <t>75022</t>
  </si>
  <si>
    <t xml:space="preserve">zakup materiałów i wyposażenia </t>
  </si>
  <si>
    <t>podróże służbowe zagraniczne</t>
  </si>
  <si>
    <t>różne opłaty i składki</t>
  </si>
  <si>
    <t>zakup energii</t>
  </si>
  <si>
    <t>wydatki na zakupy inwestycyjne jednostek budżetowych</t>
  </si>
  <si>
    <t>wynagrodzenia agencyjno-prowizyjne</t>
  </si>
  <si>
    <t>Urzędy naczelnych organów władzy państwowej, kontroli i ochrony prawa oraz sądownictwa</t>
  </si>
  <si>
    <t>Bezpieczeństwo publiczne                                                                       i ochrona przeciwpożarowa</t>
  </si>
  <si>
    <t>75412</t>
  </si>
  <si>
    <t>ochotnicze straże pożarne</t>
  </si>
  <si>
    <t>75495</t>
  </si>
  <si>
    <t>757</t>
  </si>
  <si>
    <t>Obsługa długu publicznego</t>
  </si>
  <si>
    <t>75702</t>
  </si>
  <si>
    <t>obsługa papierów wartościowych, kredytów i pożyczek jednostek samorządu terytorialnego</t>
  </si>
  <si>
    <t>odsetki i dyskonto od krajowych skarbowych papierów wartościowych oraz pożyczek i kredytów</t>
  </si>
  <si>
    <t>75818</t>
  </si>
  <si>
    <t>rezerwy ogólne i celowe</t>
  </si>
  <si>
    <t xml:space="preserve">rezerwy </t>
  </si>
  <si>
    <t>801</t>
  </si>
  <si>
    <t>Oświata i wychowanie</t>
  </si>
  <si>
    <t>80101</t>
  </si>
  <si>
    <t>świadczenia społeczne</t>
  </si>
  <si>
    <t>80104</t>
  </si>
  <si>
    <t>odpisy na zakłdowy fundusz świadczeń socjalnych</t>
  </si>
  <si>
    <t xml:space="preserve">80110 </t>
  </si>
  <si>
    <t>80113</t>
  </si>
  <si>
    <t>dowożenie uczniów do szkół</t>
  </si>
  <si>
    <t>851</t>
  </si>
  <si>
    <t>85154</t>
  </si>
  <si>
    <t>składki na ubezpieczenia zdrowotne</t>
  </si>
  <si>
    <t>usługi opiekuńcze i specjalistyczne usługi opiekuńcze</t>
  </si>
  <si>
    <t>854</t>
  </si>
  <si>
    <t>zakup pomocy naukowych, dydaktycznych i książek</t>
  </si>
  <si>
    <t xml:space="preserve">przedszkola </t>
  </si>
  <si>
    <t xml:space="preserve">dotacja podmiotowa z budżetu dla zakładu budżetowego </t>
  </si>
  <si>
    <t>85412</t>
  </si>
  <si>
    <t>kolonie i obozy  oraz inne formy wypoczynku dzieci i młodzieży szkolnej</t>
  </si>
  <si>
    <t>900</t>
  </si>
  <si>
    <t>90001</t>
  </si>
  <si>
    <t>90003</t>
  </si>
  <si>
    <t>oczyszczanie miast i wsi</t>
  </si>
  <si>
    <t>90004</t>
  </si>
  <si>
    <t>90005</t>
  </si>
  <si>
    <t>ochrona powietrza atmosferycznego i klimatu</t>
  </si>
  <si>
    <t>opłaty na rzecz budżetów jednostek samorządu terytorialnego</t>
  </si>
  <si>
    <t>90013</t>
  </si>
  <si>
    <t>schroniska dla zwierząt</t>
  </si>
  <si>
    <t>90015</t>
  </si>
  <si>
    <t>oświetlenie ulic, placów i dróg</t>
  </si>
  <si>
    <t>90095</t>
  </si>
  <si>
    <t>Kultura i ochrona dziedzictwa narodowego</t>
  </si>
  <si>
    <t>92109</t>
  </si>
  <si>
    <t>dotacja podmiotowa z budżetu dla instytucji kultury</t>
  </si>
  <si>
    <t>92118</t>
  </si>
  <si>
    <t>muzea</t>
  </si>
  <si>
    <t>926</t>
  </si>
  <si>
    <t>plan</t>
  </si>
  <si>
    <t xml:space="preserve">plan </t>
  </si>
  <si>
    <t>przychody</t>
  </si>
  <si>
    <t>rozchody</t>
  </si>
  <si>
    <t>saldo</t>
  </si>
  <si>
    <t>spłaty otrzymanych krajowych pożyczek i kredytów</t>
  </si>
  <si>
    <t>wykup gruntów</t>
  </si>
  <si>
    <t>wpływy z różnych opłat</t>
  </si>
  <si>
    <t xml:space="preserve">wpływy z innych opłat stanowiacych dochody jednostek samorządu terytorialnego na podstawie ustaw </t>
  </si>
  <si>
    <t>opłaty na rzecz budżetu państwa</t>
  </si>
  <si>
    <t>przychody z zaciagniętych pożyczek i kredytów na rynku krajowym</t>
  </si>
  <si>
    <t>dokształcanie i doskonalenie nauczycieli</t>
  </si>
  <si>
    <t>gospodarka gruntami i nieruchomościami</t>
  </si>
  <si>
    <t>rady gmin (miast i miast na prawach powiatu)</t>
  </si>
  <si>
    <t>dotacje celowe przekazane dla powiatu na zadania bieżące realizowane na podstawie porozumień (umów) między jednostkami samorządu terytorialnego</t>
  </si>
  <si>
    <t>domy i ośrodki kultury, świetlice i kluby</t>
  </si>
  <si>
    <t>utrzymanie zieleni w miastach i gminach</t>
  </si>
  <si>
    <t>Dochody od osób prawnych, od osób fizycznych i od innych jednostek nieposiadających osobowości prawnej oraz wydatki związane z ich poborem</t>
  </si>
  <si>
    <t xml:space="preserve">wpływy z podatku rolnego, podatku leśnego, podatku od czynności cywilnoprawnych, podatku od spadków i darowizn oraz podatków i opłat lokalnych </t>
  </si>
  <si>
    <t>852</t>
  </si>
  <si>
    <t>85214</t>
  </si>
  <si>
    <t>85219</t>
  </si>
  <si>
    <t>85295</t>
  </si>
  <si>
    <t>kolonie i obozy  oraz inne formy wypoczynku dzieci i młodzieży szkolnej, a także szkolenia młodzieży</t>
  </si>
  <si>
    <t>0490</t>
  </si>
  <si>
    <t>0470</t>
  </si>
  <si>
    <t>0750</t>
  </si>
  <si>
    <t>0920</t>
  </si>
  <si>
    <t>0970</t>
  </si>
  <si>
    <t>0570</t>
  </si>
  <si>
    <t>0350</t>
  </si>
  <si>
    <t>0910</t>
  </si>
  <si>
    <t>0310</t>
  </si>
  <si>
    <t>0320</t>
  </si>
  <si>
    <t>0330</t>
  </si>
  <si>
    <t>0340</t>
  </si>
  <si>
    <t>0360</t>
  </si>
  <si>
    <t>0370</t>
  </si>
  <si>
    <t>0430</t>
  </si>
  <si>
    <t>0440</t>
  </si>
  <si>
    <t>0450</t>
  </si>
  <si>
    <t>0460</t>
  </si>
  <si>
    <t>0500</t>
  </si>
  <si>
    <t>0410</t>
  </si>
  <si>
    <t>0010</t>
  </si>
  <si>
    <t>0020</t>
  </si>
  <si>
    <t>0740</t>
  </si>
  <si>
    <t>0480</t>
  </si>
  <si>
    <t>2010</t>
  </si>
  <si>
    <t>zakup środków żywności</t>
  </si>
  <si>
    <t>pobór podatków, opłat i niepodatkowych należności budżetowych</t>
  </si>
  <si>
    <t>Towarzystwa budownictwa społecznego</t>
  </si>
  <si>
    <t>koszty postępowania sądowego i prokuratorskiego</t>
  </si>
  <si>
    <t>0690</t>
  </si>
  <si>
    <t xml:space="preserve">dotacja podmiotowa z budżetu dla niepublicznej jednostki systemu oświaty </t>
  </si>
  <si>
    <t>dochody jednostek samorządu terytorialnego związane z realizacją zadań z zakresu administracji rządowej oraz innych zadań zleconych ustawami</t>
  </si>
  <si>
    <t>dotacje otrzymane z funduszy celowych na realizację zadań bieżących jednostek sektora finansów publicznych</t>
  </si>
  <si>
    <t>część wyrównawcza subwencji ogólnej dla gmin</t>
  </si>
  <si>
    <t>75807</t>
  </si>
  <si>
    <t>składki na ubezpieczenie zdrowotne opłacane za osoby pobierające niektóre świadczenia z pomocy społecznej oraz niektóre świadczenia rodzinne</t>
  </si>
  <si>
    <t xml:space="preserve">Pomoc społeczna </t>
  </si>
  <si>
    <t>Pomoc społeczna</t>
  </si>
  <si>
    <t>wpływy ze sprzedaży składników majątkowych</t>
  </si>
  <si>
    <t>dotacja podmiotowa z budżetu dla samorządowej instytucji kultury</t>
  </si>
  <si>
    <t xml:space="preserve"> wydatki osobowe niezaliczone do wynagrodzeń</t>
  </si>
  <si>
    <t xml:space="preserve">wynagrodzenia bezosobowe </t>
  </si>
  <si>
    <t xml:space="preserve">wpływy z podatku rolnego, podatku leśnego, podatku od czynności cywilnoprawnych, podatków i opłat lokalnych od osób prawnych i innych jednostek organizacyjnych </t>
  </si>
  <si>
    <t xml:space="preserve">wpływy z podatku rolnego, podatku leśnego,podatku od spadków i darowizn, podatku od czynności cywilnoprawnych oraz podatków i opłat lokalnych od osób fizycznych </t>
  </si>
  <si>
    <t>wynagrodzenia bezosobowe</t>
  </si>
  <si>
    <t>zakup elementów do monitorowania miasta</t>
  </si>
  <si>
    <t>0830</t>
  </si>
  <si>
    <t>wpływy z usług</t>
  </si>
  <si>
    <t>wynagrodzenie bezosobowe</t>
  </si>
  <si>
    <t>0870</t>
  </si>
  <si>
    <t>instytucje kultury fizycznej</t>
  </si>
  <si>
    <t>zmiany</t>
  </si>
  <si>
    <t>wykup innych papierów wartościowych</t>
  </si>
  <si>
    <t>zakup usług zdrowotnych</t>
  </si>
  <si>
    <t>budowa chodnika w Siedlisku</t>
  </si>
  <si>
    <t>różne jednostki obsługi gospodarki mieszkaniowej</t>
  </si>
  <si>
    <t>plan po zmianach</t>
  </si>
  <si>
    <t>odsetki od nieterminowych wpłat 
z tytułu podatków i opłat</t>
  </si>
  <si>
    <t>składki na ubezpieczenie zdrowotne opłacane za osoby pobierające niektóre świadczenia 
z pomocy społecznej oraz niektóre świadczenia rodzinne</t>
  </si>
  <si>
    <t>dotacje celowe otrzymane 
z budżetu państwa na realizację własnych zadań bieżących gmin (związków gmin)</t>
  </si>
  <si>
    <t xml:space="preserve">pozostała działalność </t>
  </si>
  <si>
    <t>oddziały przedszkolne w szkołach podstawowych</t>
  </si>
  <si>
    <t>promocja jednostek samorządu terytorialnego</t>
  </si>
  <si>
    <t xml:space="preserve">zasiłki i pomoc w naturze oraz składki na ubezpieczenia emerytalne i rentowe </t>
  </si>
  <si>
    <t>zakup usług dostępu do sieci Internet</t>
  </si>
  <si>
    <t xml:space="preserve">zasiłki i pomoc w naturze oraz składki na ubezpieczenia emerytalne i rentowe  </t>
  </si>
  <si>
    <t>przychody z zaciągniętych pożyczek na finansowanie zadań realizowanych z udziałem środków pochodzących z budżetu Unii Eropejskiej</t>
  </si>
  <si>
    <t>budowa remizy w Niekursku</t>
  </si>
  <si>
    <t>zakup usług dostepu do sieci Internet</t>
  </si>
  <si>
    <t xml:space="preserve"> </t>
  </si>
  <si>
    <t xml:space="preserve">       </t>
  </si>
  <si>
    <t xml:space="preserve">                   </t>
  </si>
  <si>
    <t>wydatki osobowe niezaliczone do wynagrodzeń</t>
  </si>
  <si>
    <t>wpływy z opłat za zarząd, użytkowanie i użytkowanie wieczyste nieruchomości</t>
  </si>
  <si>
    <t>dotacje celowe otrzymane z budżetu państwa na realizację zadań bieżących z zakresu administracji rządowej oraz innych zadań zleconych gminie (związkom gmin) ustawami</t>
  </si>
  <si>
    <t>dotacje celowe otrzymane z budżetu państwa na realizację własnych zadań bieżących gmin (związków gmin)</t>
  </si>
  <si>
    <t>75831</t>
  </si>
  <si>
    <t>część równoważąca subwencji ogólnej dla gmin</t>
  </si>
  <si>
    <t>dotacje celowe otrzymane z budżetu państwa na realizację zadań bieżących z zakresu administracji rządowej oraz innych zadań zleconych gminie (zwiazkom gmin) ustawami</t>
  </si>
  <si>
    <t>dotacje celowe otrzymane z budżetu państwa na realizację zadań bieżących z zakresu administracji rządowej oraz innych zadań zleconych gminie(zwiazkom gmin) ustawami</t>
  </si>
  <si>
    <t>zakup usług medycznych</t>
  </si>
  <si>
    <t>składki na fundusz pracy</t>
  </si>
  <si>
    <t>zakup usług dostepu do sieci interet</t>
  </si>
  <si>
    <t>budowa chodnika w Stobnie</t>
  </si>
  <si>
    <t xml:space="preserve">      Ochrona zdrowia</t>
  </si>
  <si>
    <t>zasiłki i pomoc w naturze oraz składki na ubezpieczenia emerytalne i rentowe</t>
  </si>
  <si>
    <t>świadczenia rodzinne, zaliczka alimentacyjna oraz składki na ubezpieczenia emerytalne i rentowe z ubezpieczenia społecznego</t>
  </si>
  <si>
    <t>dotacja przedmiotowa z budżetu dla jednostek nie zaliczanych do sektora finansów publicznych</t>
  </si>
  <si>
    <t>przeciwdziałanie narkomanii</t>
  </si>
  <si>
    <t>zwalczanie narkomanii</t>
  </si>
  <si>
    <t>wpływy z opłat za wydawanie zezwoleń na sprzedaż alkoholu</t>
  </si>
  <si>
    <t>0760</t>
  </si>
  <si>
    <t>wpływy z tytułu przekształcenia prawa użytkowania wieczystego przysługującego osobom fizycznym w prawo własności</t>
  </si>
  <si>
    <t>opłaty z tytułu zakupu usług telekomunikacyjnych telefonii stacjonarnej</t>
  </si>
  <si>
    <t>opłaty czynszowe za pomieszczenia biurowe</t>
  </si>
  <si>
    <t>zakup materiałów papierniczych do sprzętu drukarskiego i urządzeń kesrograficznych</t>
  </si>
  <si>
    <t>szkolenia pracowników niebędących członkami służby cywilnej</t>
  </si>
  <si>
    <t>opłaty z tytułu zakupu usług telekomunikacyjnych telefonii komórkowej</t>
  </si>
  <si>
    <t>zakup usług obejmujących wykonanie ekspertyz, analiz i opinii</t>
  </si>
  <si>
    <t>dotacja przedmiotowa dla jednostek nie zaliczanych do sektora finansów publicznych</t>
  </si>
  <si>
    <t>wydatki na zakup i objęcie akcji, wniesienie wkładów do spółek prawa handlowego oraz na uzupełnienie funduszy statutowych banków państwowych i innych instytucji finansowych</t>
  </si>
  <si>
    <t xml:space="preserve">pomoc materialna dla uczniów </t>
  </si>
  <si>
    <t>stypendia dla uczniów</t>
  </si>
  <si>
    <t>dotacje celowe otrzymane z gminy na zadania bieżące realizowane na podstawie porozumień  (umów) między jednostkami samorządu terytorialnego</t>
  </si>
  <si>
    <t>obiekty sportowe</t>
  </si>
  <si>
    <t>budowa chodnika na ul. Staszica</t>
  </si>
  <si>
    <t xml:space="preserve">modernizacja dróg na ul. Konopnickiej i Wita Stwosza </t>
  </si>
  <si>
    <t>modernizacja ulicy Ogrodowej</t>
  </si>
  <si>
    <t xml:space="preserve">budowa ciągu pieszo - rowerowego przy ul. Ogrodowej </t>
  </si>
  <si>
    <t>budowa chodnika przy ul. Kopernika i Wiosny Ludów</t>
  </si>
  <si>
    <t>budowa chodnika przy ul. Mickiewicza</t>
  </si>
  <si>
    <t>zakup równiarki na potrzeby sołectwa Rychlik</t>
  </si>
  <si>
    <t>budowa chodnika w Białej ul. Radolińska oraz utwardzenie drogi na cmentarz</t>
  </si>
  <si>
    <t>budowa chodnika w Biernatowie</t>
  </si>
  <si>
    <t>budowa chodnika w Radolinie</t>
  </si>
  <si>
    <t>budowa chodnika w Runowie</t>
  </si>
  <si>
    <t>budowa chodnika w Teresinie</t>
  </si>
  <si>
    <t xml:space="preserve">zakup sprzętu komputerowego </t>
  </si>
  <si>
    <t>zakup sprzętu komputerowego</t>
  </si>
  <si>
    <t>budowa placów zabaw</t>
  </si>
  <si>
    <t>budowa wodociągu w Stobnie</t>
  </si>
  <si>
    <t>budowa wodociągu w Sarczu</t>
  </si>
  <si>
    <t>budowa oświetlenia na ul. Ogrodowej</t>
  </si>
  <si>
    <t>budowa oświetlenia Nowa Wieś</t>
  </si>
  <si>
    <t>budowa oświetlenia Przyłęki</t>
  </si>
  <si>
    <t>budowa oświetlenia Wapniarnia III</t>
  </si>
  <si>
    <t>budowa oświetlenia Siedlisko</t>
  </si>
  <si>
    <t>modernizacja instalacji grzewczej sali wiejskiej w Straduniu</t>
  </si>
  <si>
    <t>budowa pływalni (kryty basen)</t>
  </si>
  <si>
    <t>budowa sali sportowej we wsi Siedlisko</t>
  </si>
  <si>
    <t xml:space="preserve">Przychody Gminnego Funduszu Ochrony Środowiska i Gospodarki Wodnej </t>
  </si>
  <si>
    <t>Fundusz Ochrony Środowiska i Gospodarki Wodnej</t>
  </si>
  <si>
    <t>fundusz obrotowy na początek roku</t>
  </si>
  <si>
    <t>zakup worków na nieczystości</t>
  </si>
  <si>
    <t>zakup drzew i krzewów</t>
  </si>
  <si>
    <t>popularyzacja wiedzy o środowisku</t>
  </si>
  <si>
    <t>zakup taśmy dla ochrony kasztanowców</t>
  </si>
  <si>
    <t>wywóz pojemników na szkło i plastiki</t>
  </si>
  <si>
    <t>zbiórka zużytych leków</t>
  </si>
  <si>
    <t>zakup pojemników do selektywnej zbiórki</t>
  </si>
  <si>
    <t>nasadzenia drzew i krzewów</t>
  </si>
  <si>
    <t>wywóz kontenerów na wsiach</t>
  </si>
  <si>
    <t>utrzymanie terenów zielonych nad jeziorem Sarcz, Logo, Park Grottgera</t>
  </si>
  <si>
    <t>koszty prowadzenia rachunku</t>
  </si>
  <si>
    <t>fundusz obrotowy na koniec roku</t>
  </si>
  <si>
    <t>1.</t>
  </si>
  <si>
    <t>2.</t>
  </si>
  <si>
    <t>l.p.</t>
  </si>
  <si>
    <t>Wyszczególnienie</t>
  </si>
  <si>
    <t>ogółem</t>
  </si>
  <si>
    <t>w tym: dotacja z budżetu</t>
  </si>
  <si>
    <t>wydatki osobowe</t>
  </si>
  <si>
    <t>wydatki rzeczowe</t>
  </si>
  <si>
    <t>wydatki inwestycyjne</t>
  </si>
  <si>
    <t>I</t>
  </si>
  <si>
    <t>1. Gminne Przedszkole Publiczne Nr 1</t>
  </si>
  <si>
    <t>2. Gminne Przedszkole Publiczne Nr 2</t>
  </si>
  <si>
    <t>3. Gminne Przedszkole Publiczne Nr 3</t>
  </si>
  <si>
    <t>4. Gminne Przedszkole Publiczne Nr 4</t>
  </si>
  <si>
    <t>5. Gminne Przedszkole Publiczne w Białej</t>
  </si>
  <si>
    <t>6. Gminne Przedszkole Publiczne w Siedlisku</t>
  </si>
  <si>
    <t>7. Gminne Przedszkole Publiczne w Runowie</t>
  </si>
  <si>
    <t>1. Gimnazjum Nr 2</t>
  </si>
  <si>
    <t>2. Gimnazjum w Siedlisku</t>
  </si>
  <si>
    <t>3. Szkoła Podstawowa Nr 2</t>
  </si>
  <si>
    <t>4. Szkoła Podstawowa Nr 3</t>
  </si>
  <si>
    <t>5. Szkoła Podstawowa w Białej</t>
  </si>
  <si>
    <t>6. Szkoła Podstawowa w Łomnicy</t>
  </si>
  <si>
    <t>7. Szkoła Podstawowa w Rychliku</t>
  </si>
  <si>
    <t>1. Dotacje podmiotowe</t>
  </si>
  <si>
    <t>Nazwa jednostki</t>
  </si>
  <si>
    <t>Zakres dotacji</t>
  </si>
  <si>
    <t>Gminne Przedszkola Publiczne</t>
  </si>
  <si>
    <t>prowadzenie przedszkoli</t>
  </si>
  <si>
    <t>dokształcanie i doskonalenie zawodowe nauczycieli</t>
  </si>
  <si>
    <t xml:space="preserve">Katolicka Szkoła Podstawowa im. św. Siostry Faustyny w Trzciance  </t>
  </si>
  <si>
    <t>prowadzenie szkoły</t>
  </si>
  <si>
    <t>Oddział Przedszkolny przy Katolickiej Szkole Podstawowej św. Siostry Faustyny w Trzciance</t>
  </si>
  <si>
    <t>prowadzenie oddziału przedszkolnego</t>
  </si>
  <si>
    <t>Trzcianecki Dom Kultury</t>
  </si>
  <si>
    <t>działalność instytucji kultury</t>
  </si>
  <si>
    <t>Biblioteka Publiczna Miasta i Gminy im. Kazimiery Iłłakowiczówny</t>
  </si>
  <si>
    <t>działalność instytucji kultury - porozumienie</t>
  </si>
  <si>
    <t>Muzeum Ziemi Nadnoteckiej im. Wiktora Stachowiaka</t>
  </si>
  <si>
    <t>konkurs</t>
  </si>
  <si>
    <t xml:space="preserve">prowadzenie świetlic środwiskowych </t>
  </si>
  <si>
    <t>realizacja programów o charakterze profilaktyczno - edukacyjnym</t>
  </si>
  <si>
    <t>Caritas Parafii p.w. Św. Jana Chrzciciela</t>
  </si>
  <si>
    <t>Stowarzyszenie "Pomagajmy Dzieciom"</t>
  </si>
  <si>
    <t>Towarzystwo Przyjaciół Dzieci Koło Przyjaciół Dzieci Niepełnosprawnych w Trzciance</t>
  </si>
  <si>
    <t>Olimpiady Specjalne Polska Oodział Regionalny Olimpiady Specjalne Polska Wielkopolskie</t>
  </si>
  <si>
    <t xml:space="preserve">organizacja wypoczynku </t>
  </si>
  <si>
    <t>MKS MDK</t>
  </si>
  <si>
    <t>ZHP</t>
  </si>
  <si>
    <t xml:space="preserve">3. Dotacje celowe na realizację porozumień  </t>
  </si>
  <si>
    <t xml:space="preserve">Starostwo Powiatowe </t>
  </si>
  <si>
    <t>utrzymanie hali sportowo-widowiskowej przy L.O. w Trzciance</t>
  </si>
  <si>
    <t>Starostwo Powiatowe</t>
  </si>
  <si>
    <t>utrzymanie pracownika ZNP</t>
  </si>
  <si>
    <t>rozdział 80104- przedszkola</t>
  </si>
  <si>
    <t>wniesienie udziałów do TTBS na budowę budynku mieszkalnego przy ul. Matejki</t>
  </si>
  <si>
    <t>rezerwa na inwestycje i zakupy inwestycyjne</t>
  </si>
  <si>
    <t>budowa boiska sportowego przy szkole Podstawowej nr 3</t>
  </si>
  <si>
    <t>budowa oświetlenia w Niekursku
( 20.000 środki budżetu gminy, 4.000 zł środki sołectwa Niekursko)</t>
  </si>
  <si>
    <t>01038</t>
  </si>
  <si>
    <t>Rozwój obszarów wiejskich</t>
  </si>
  <si>
    <t>współpraca z WZDW - dokończenie budowy chodnika w Siedlisku oraz budowa chodnika  we Wrzącej</t>
  </si>
  <si>
    <t xml:space="preserve">budowa chodnika przy ul. Konopnickiej i Wita Stwosza </t>
  </si>
  <si>
    <t>dotacja celowa z budżetu na finansowanie lub dofinansowanie zadań zleconych do realizacji pozostałym jednostkom niezaliczanym do sektora finansów publicznych</t>
  </si>
  <si>
    <t>dotacja celowa z budżetu na finansowanie lub dofinansowanie zadań zleconych do realizacji stowarzyszeniom</t>
  </si>
  <si>
    <t>nadwyżki z lat ubiegłych</t>
  </si>
  <si>
    <t>zmiana</t>
  </si>
  <si>
    <t>plan przed zmianą</t>
  </si>
  <si>
    <t>plan po zmianie</t>
  </si>
  <si>
    <t>treść</t>
  </si>
  <si>
    <t>MKS Lubuszanin</t>
  </si>
  <si>
    <t>Klub Sportów Motorowych i Motorowodnych</t>
  </si>
  <si>
    <t>UKS Kajak</t>
  </si>
  <si>
    <t>UKS Dysk</t>
  </si>
  <si>
    <t>UKS Forma</t>
  </si>
  <si>
    <t>UKS Fortuna Biała</t>
  </si>
  <si>
    <t>Trzciancekie Stowarzyszenie Ludowych Zespołów Sportowych</t>
  </si>
  <si>
    <t>LKS Zuch Rychlik</t>
  </si>
  <si>
    <t>"Sprawni razem"</t>
  </si>
  <si>
    <t>2. Dotacje przedmiotowe i celowe</t>
  </si>
  <si>
    <t>budowa boiska wielofunkcyjnego przy ul. Broniewskiego w Trzciance</t>
  </si>
  <si>
    <t>budowa boiska piłkarskiego przy ul. Chopina w Trzciance</t>
  </si>
  <si>
    <t>teść</t>
  </si>
  <si>
    <t>kary i odszkodowania wypłacane na rzecz osób prawnych i innych jednostek organizacyjnych</t>
  </si>
  <si>
    <t>Załącznik Nr 4 do Uchwały Nr VI/26/07</t>
  </si>
  <si>
    <t>budowa kanalizacji sanitarnej i deszczowej w Trzciance oraz kanalizacji sanitarnej we wsiach Siedlisko, Rychlik, Stobno, Wrząca, Przyłęki, Górnica, Biernatowo i Łomnica</t>
  </si>
  <si>
    <t xml:space="preserve">Rady Miejskiej Trzcianki z dnia 15.03.2007 r. </t>
  </si>
  <si>
    <t>drogi publiczne wojewódzkie</t>
  </si>
  <si>
    <t>dotacja celowa na pomoc finansową udzieloną między jednostkami samorządu terytorialnego na dofiannsowanie własnych zadań inwestycyjnych i zakupów inwestycyjnych</t>
  </si>
  <si>
    <t>4. Dotacje celowe na pomoc finansową udzielaną między jednostkami samorządu terytorialnego</t>
  </si>
  <si>
    <t>plan przed
 zmianą</t>
  </si>
  <si>
    <t>dotacja celowa na pomoc finansową udzielaną między jednostkami samorzadu terytorialnego na dofinansowanie własnych zadań bieżących</t>
  </si>
  <si>
    <t xml:space="preserve">Gmina Piła </t>
  </si>
  <si>
    <t>pomoc finansowa na zakup usług w Ośrodku Profilaktyki i Rozwiązywania Problemów Alkoholowych w Pile</t>
  </si>
  <si>
    <t>Województwo Wielkopolskie</t>
  </si>
  <si>
    <t>pomoc finansowa na wspólne sfinansowanie kontynuacji przebudowy ciągu pieszo - rowerowego po prawiej stronie drogi wojewódzkiej nr 180 relacji Kocien Wielki - Piła 
w miejscowości Siedlisko</t>
  </si>
  <si>
    <t>01095</t>
  </si>
  <si>
    <t>0770</t>
  </si>
  <si>
    <t>wpływy z dywidend</t>
  </si>
  <si>
    <t>wpłaty z tytułu odpłatnego nabycia prawa własności oraz prawa użytkowania wieczystego nieruchomości</t>
  </si>
  <si>
    <t>zakup leków, wyrobów medycznych i produktów biobójczych</t>
  </si>
  <si>
    <t>wpływy do budżetu nadwyzki dochodów własnych lub środków obrotowych</t>
  </si>
  <si>
    <t>Rady Miejskiej Trzcianki z dnia 26.04.2007 r. zmieniający</t>
  </si>
  <si>
    <t>rozbudowa sieci wodociagowej we wsi Siedlisko - "wybudowanie"  w kierunku Trzcianki</t>
  </si>
  <si>
    <t>I. DOTACJE NA ZADANIA BIEŻĄCE</t>
  </si>
  <si>
    <t>II. DOTACJE NA ZADANIA INWESTYCYJNE</t>
  </si>
  <si>
    <t>1. Dotacje celowe na pomoc finansową udzielaną między jednostkami samorządu terytorialnego</t>
  </si>
  <si>
    <t>Dotacje przekazywane na zadnia bieżące- ogółem (1+2+3+4)</t>
  </si>
  <si>
    <t>opłaty za administrowanie i czynsze za budynki, lokale i pomieszczenia garażowe</t>
  </si>
  <si>
    <t>przedszkola - zmiana</t>
  </si>
  <si>
    <t>a)</t>
  </si>
  <si>
    <t>b)</t>
  </si>
  <si>
    <t>Załącznik Nr 3 do Uchwały Nr VIII/44/07</t>
  </si>
  <si>
    <t>pomoc materialna dla uczniów</t>
  </si>
  <si>
    <t>budowa kanalizacji sanitarnej 
w ul. Gorzowskiej do firmy "Joskin" i "Northstar"</t>
  </si>
  <si>
    <t>dotacje celowe otrzymane 
z budżetu państwa na realizację zadań bieżących z zakresu administracji rządowej oraz innych zadań zleconych gminie (związkom gmin) ustawami</t>
  </si>
  <si>
    <t>dotacje celowe otrzymane 
z gminy na zadania bieżące realizowane na podstawie porozumień  (umów) między jednostkami samorządu terytorialnego</t>
  </si>
  <si>
    <t>dotacje celowe otrzymane 
z powiatu na zadania bieżące realizowane na podstawie porozumień  między jednostkami samorządu terytorialnego</t>
  </si>
  <si>
    <t>wpływy do budżetu nadwyżki dochodów własnych lub środków obrotowych</t>
  </si>
  <si>
    <t xml:space="preserve">Rady Miejskiej Trzcianki z dnia 26.04.2007 r. </t>
  </si>
  <si>
    <t>plan przed 
zmianą</t>
  </si>
  <si>
    <t>wpłaty gmin na rzecz izb rolniczych 
w wysokości 2% uzyskanych wpływów 
z podatku rolnego</t>
  </si>
  <si>
    <t>zadania z zakresu kultury fizycznej</t>
  </si>
  <si>
    <t>Rady Miejskiej Trzcianki z dnia 31 maja 2007 r. zmieniający</t>
  </si>
  <si>
    <t>Załącznik Nr 4 do Uchwały Nr IX/51/07</t>
  </si>
  <si>
    <t>Rady Miejskiej Trzcianki z dnia 31 maja 2007 r.</t>
  </si>
  <si>
    <t>pozostałe zadania w zakresie kultury</t>
  </si>
  <si>
    <t>środki na dofinansowanie własnych inwestycji gmin (związków gmin), powiatów (zwiazków powiatów), samorządów województw, pozyskane z innych źródeł</t>
  </si>
  <si>
    <t>Pozostałe zadania w zakresie polityki społecznej</t>
  </si>
  <si>
    <t>rehabilitacja zawodowa i społęczna osób niepełnosprawnych</t>
  </si>
  <si>
    <t>Powiat Czarnkowsko - Trzcianecki</t>
  </si>
  <si>
    <t>pomoc finansowa na sfinansowanie części kosztów działalności Warsztatów Terapii Zajęciowej</t>
  </si>
  <si>
    <t>zakup równiarki na potrzeby sołectwa Wapniarnia I</t>
  </si>
  <si>
    <t>budowa chodnika na ulicy Strażackiej</t>
  </si>
  <si>
    <t>budowa kanalizacji sanitarnej na ul.Rzemieślniczej</t>
  </si>
  <si>
    <t>budowa wodociągu przy ul. Zielnej</t>
  </si>
  <si>
    <t>budowa wodociągu przy ul.Rzemieślniczej</t>
  </si>
  <si>
    <t>Rachunek dochodów własnych - 
plan po zmianach</t>
  </si>
  <si>
    <t xml:space="preserve">rozdział 80104 przedszkola - plan </t>
  </si>
  <si>
    <t>pokrycie 
amortyzacji</t>
  </si>
  <si>
    <t>odpisy amortyzacyjne</t>
  </si>
  <si>
    <t>spłaty pożyczek otrzymanych na finansowanie zadań realizowanych z udziałem środków pochodzących z budżetu Unii Europejskiej</t>
  </si>
  <si>
    <t>0400</t>
  </si>
  <si>
    <t>wpływy z opłaty produktowej</t>
  </si>
  <si>
    <t>wpływy i wydatki związane z gromadzeniem środków z opłat produktowych</t>
  </si>
  <si>
    <t>budowa oświetlenia przy ul.Rzemieślniczej</t>
  </si>
  <si>
    <t>budowa oświetlenia przy ul.Krętej</t>
  </si>
  <si>
    <t xml:space="preserve">przebudowa drogi na ulicy Bocznej </t>
  </si>
  <si>
    <t>przebudowa ulicy Nowej w Białej</t>
  </si>
  <si>
    <t xml:space="preserve">przebudowa ulicy Krętej </t>
  </si>
  <si>
    <t>budowa kanalizacji sanitarnej na ul.Zielnej I etap od ul. Gorzowskiej do ul.Lelewela</t>
  </si>
  <si>
    <t>budowa kanalizacji deszczowej przy ul.Rzemieślniczej</t>
  </si>
  <si>
    <t>budowa wodociągu na os.przy Rzemieślniczej</t>
  </si>
  <si>
    <t>Rady Miejskiej Trzcianki z dnia 28.06.2007 r. zmieniający</t>
  </si>
  <si>
    <t>Załącznik Nr 4 do Uchwały Nr X/55/07</t>
  </si>
  <si>
    <t>Komendy powiatowe Państwowej Straży Pożarnej</t>
  </si>
  <si>
    <t>2. Dotacje celowe na finansowanie lub dofinansowanie inwestycji innych jednostek sektora finansów publicznych</t>
  </si>
  <si>
    <t>zakup łodzi do celów ratownictwa wodnego dla Powiatowej Straży Pożarnej (Jednostka Ratowniczo - Gaśnicza 
w Trzciance)</t>
  </si>
  <si>
    <t>dokończenie budowy drogi ul.Dąbrowskiegood (ul.Strażackiej do ul. Wieleńskiej)</t>
  </si>
  <si>
    <t>budowa nakładki bitumicznej 
w Dłużewie - od drogi powiatowej do Dłużewa</t>
  </si>
  <si>
    <t>Ochrona zrdowia</t>
  </si>
  <si>
    <t>w zł</t>
  </si>
  <si>
    <t xml:space="preserve">w % </t>
  </si>
  <si>
    <t>zakup akcesoriów komputerowych, 
w tym programów i licencji</t>
  </si>
  <si>
    <t>w %</t>
  </si>
  <si>
    <t>wplywy do wyjaśnienia</t>
  </si>
  <si>
    <t>wpływy do wyjaśnienia</t>
  </si>
  <si>
    <t>wykonanie (koszty)</t>
  </si>
  <si>
    <t>Przychody/Dochody</t>
  </si>
  <si>
    <t>Koszty/Wydatki</t>
  </si>
  <si>
    <t>wpłata do budżetu nadwyżki środków obrotowych</t>
  </si>
  <si>
    <t>plan po 
zmianach</t>
  </si>
  <si>
    <t>plan 
po zmianach</t>
  </si>
  <si>
    <t xml:space="preserve">% </t>
  </si>
  <si>
    <t>świadczenia rodzinne, zaliczka alimentacyjna oraz skłądki na ubezpieczenia emerytalne i rentowe 
z ubezpieczenia społecznego</t>
  </si>
  <si>
    <t>*</t>
  </si>
  <si>
    <t>z wykonania budżetu</t>
  </si>
  <si>
    <t>zakup akcesoriów komputerowych,
 w tym programów i licencji</t>
  </si>
  <si>
    <t>rekompensaty utraconych dochodów 
w podatkach i opłatach lokalnych</t>
  </si>
  <si>
    <t>odsetki z tytułu nieterminowych wpłat 
z tytułu podatków i opłat</t>
  </si>
  <si>
    <t xml:space="preserve">Wydatki na realizację zadań określonych w programie profilaktyki i rozwiązywania problemów alkoholowych </t>
  </si>
  <si>
    <t>Dochody z tytułu opłat za wydawanie zezwoleń na sprzedaż napojów alkoholowych</t>
  </si>
  <si>
    <t>1.1. Zakłady budżetowe</t>
  </si>
  <si>
    <t xml:space="preserve">1.2. Niepubliczne jednostki systemu oświaty </t>
  </si>
  <si>
    <t xml:space="preserve">1.3. Samorządowe instytucje kultury </t>
  </si>
  <si>
    <t xml:space="preserve">razem </t>
  </si>
  <si>
    <t>Wydatki Gminnego Funduszu Ochrony Środowiska i Gospodarki Wodnej</t>
  </si>
  <si>
    <t>środki
pieniężne obrotowe
na początek okresu</t>
  </si>
  <si>
    <t>środki
pieniężne obrotowe na koniec okresu</t>
  </si>
  <si>
    <t>Zakłady budżetowe (1+2) - wykonanie</t>
  </si>
  <si>
    <t>II.</t>
  </si>
  <si>
    <r>
      <t xml:space="preserve">rozdział 80146 
 </t>
    </r>
    <r>
      <rPr>
        <sz val="9"/>
        <rFont val="Arial CE"/>
        <family val="2"/>
      </rPr>
      <t xml:space="preserve">dokształcanie i doskonalenie zawodowe nauczycieli </t>
    </r>
  </si>
  <si>
    <r>
      <t xml:space="preserve">rozdział 80104 
</t>
    </r>
    <r>
      <rPr>
        <sz val="9"/>
        <rFont val="Arial CE"/>
        <family val="2"/>
      </rPr>
      <t xml:space="preserve">przedszkola </t>
    </r>
  </si>
  <si>
    <t xml:space="preserve">Dochody związane z realizacją zadań z zakresu administracji rządowej i innych zadań zleconych ustawami - wykonanie za 2007 rok </t>
  </si>
  <si>
    <t xml:space="preserve">Przychody i koszty zakładów budżetowych oraz rachunek dochodów własnych - wykonanie za 2007 rok </t>
  </si>
  <si>
    <t>Dochody i wydatki na rok 2007 z tytułu opłat za wydawanie zezwoleń na sprzedaż napojów alkoholowych oraz wydatki na realizację zadań określonych w programie profilaktyki i rozwiązywania problemów alkoholowych - wykonanie za 2007 rok</t>
  </si>
  <si>
    <t>Przychody i wydatki Gminnego Funduszu Ochrony Środowiska i Gospodarki Wodnej - wykonanie za 2007 rok</t>
  </si>
  <si>
    <t>Wydatki związane z realizacją zadań wspólnych realizowanych w drodze umów lub porozumień między jednostkami samorządu terytorialnego na rok 2007 - wykonanie za 2007 rok</t>
  </si>
  <si>
    <t>Wydatki majątkowe - wykonanie za 2007 rok</t>
  </si>
  <si>
    <t>Wydatki związane z realizacją zadań z zakresu administracji rządowej i innych zadań zleconych ustawami - wykonanie za 2007 rok</t>
  </si>
  <si>
    <t>Dotacje przekazywane z budżetu gminy Trzcianka - wykonanie za 2007 rok</t>
  </si>
  <si>
    <t>Dotacje otrzymywane do budżetu gminy Trzcianka - wykonanie za 2007 rok</t>
  </si>
  <si>
    <t>Dochody budżetu gminy Trzcianka - wykonanie za 2007 rok</t>
  </si>
  <si>
    <t>Wydatki  budżetu gminy Trzcianka - wykonanie za 2007 rok</t>
  </si>
  <si>
    <t>wybory do Sejmu i Senatu</t>
  </si>
  <si>
    <t>wpływy z pomocy finansowej udzielanej między jednostkami samorządu terytorialnego na dofinansowanie własnych zadań własnych</t>
  </si>
  <si>
    <t>wpływy do budżetu nadwyżki środków obrotowych zakładu budżetowego</t>
  </si>
  <si>
    <t>podatek od towarów i usług (VAT)</t>
  </si>
  <si>
    <t>kary i odszkodowania wypłacane na rzecz osób fizycznych</t>
  </si>
  <si>
    <t>dotacje celowe przekazane dla powiatu na inwestycje i zakupy inwestycyjne realizowane na podstawie porozumień (umów) między jednostkami samorządu terytorialnego</t>
  </si>
  <si>
    <t xml:space="preserve">zwrot dotacji wykorzystanych niezgodnie z przeznaczeniem lub pobranych w nadmiernej wysokości </t>
  </si>
  <si>
    <t>odsetki od dotacji wykorzystanych niezgodnie z przeznaczeniem lub pobranych w nadmiernej wysokości</t>
  </si>
  <si>
    <t>placówki wychowania pozaszkolnego</t>
  </si>
  <si>
    <t>inne formy pomocy dla uczniów</t>
  </si>
  <si>
    <t>zakup materiałów i usług</t>
  </si>
  <si>
    <t>wpływyw z pomocy finansowej udzielanej między jednostkami samorządu terytorialnego na dofinansowanie własnych zadań bieżących</t>
  </si>
  <si>
    <t>Sekcja "Olimpijczyk"</t>
  </si>
  <si>
    <t>placówki wychowania pozaszkolnego - działalność sekcji Harcerskiego Ośrodka Wodnego</t>
  </si>
  <si>
    <t xml:space="preserve">pomoc finansowa dla Województwa Wielkopolskiego na wspólne sfinansowanie kontynuacji przebudowy ciągu pieszo - rowerowego po prawej stronie drogi wojewódzkiej nr 180 relacji Kocień Wielki - Piła w miejscowości Siedlisko </t>
  </si>
  <si>
    <t>dotacje celowe przekazane dla powiatu na inwestycje i zakupy inwestycyujne realizowane na podstawie porozumień (umów) między jednostkami samorządu terytorialnego</t>
  </si>
  <si>
    <t>montaż nagrzewnicy w sali wiejskiej w Pokrzywnie</t>
  </si>
  <si>
    <t>budowa boiska w Teresinie</t>
  </si>
  <si>
    <t>Załącznik Nr 1</t>
  </si>
  <si>
    <t>do Sprawozdania</t>
  </si>
  <si>
    <t xml:space="preserve">z wykonania budżetu </t>
  </si>
  <si>
    <t>gminy Trzcianka za 2007 rok</t>
  </si>
  <si>
    <t xml:space="preserve">Załącznik nr 2 </t>
  </si>
  <si>
    <t>świadczenia rodzinne, zaliczka alimentacyjna oraz składki na ubezpieczenia emerytalne i rentowe 
z ubezpieczenia społecznego</t>
  </si>
  <si>
    <t>dotacaj celowa na pomoc finansową udzielaną między jednostkami samorządu terytorialnego na dofinansowanie własnych zadań bieżących</t>
  </si>
  <si>
    <t xml:space="preserve">Załącznik nr 3 </t>
  </si>
  <si>
    <t xml:space="preserve">Załącznik nr 4 </t>
  </si>
  <si>
    <t>Załącznik nr 6</t>
  </si>
  <si>
    <t>Załącznik nr 7</t>
  </si>
  <si>
    <t>Załącznik nr 8</t>
  </si>
  <si>
    <t>Załącznik nr 10</t>
  </si>
  <si>
    <t>Załącznik nr 11</t>
  </si>
  <si>
    <t>Załącznik nr 14</t>
  </si>
  <si>
    <t>Dotacje przekazywane na zadania inwestycyjne- ogółem (1.+2.)</t>
  </si>
  <si>
    <t>Ogółem dotacje przekazywane (I. + II.)</t>
  </si>
  <si>
    <t xml:space="preserve">Załącznik nr 5 </t>
  </si>
  <si>
    <t>podwyższenie udziałów w spółce  
Z.I.K. Sp z o.o.</t>
  </si>
  <si>
    <t>Plan przychodów i rozchodów - wykonanie za 2007 rok</t>
  </si>
  <si>
    <t>Załącznik nr 12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</si>
</sst>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  <numFmt numFmtId="165" formatCode="#,##0.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</numFmts>
  <fonts count="26">
    <font>
      <sz val="10"/>
      <name val="Arial CE"/>
      <family val="0"/>
    </font>
    <font>
      <b/>
      <sz val="11"/>
      <name val="Arial CE"/>
      <family val="2"/>
    </font>
    <font>
      <sz val="8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sz val="7"/>
      <name val="Arial CE"/>
      <family val="2"/>
    </font>
    <font>
      <i/>
      <sz val="8"/>
      <name val="Arial CE"/>
      <family val="2"/>
    </font>
    <font>
      <b/>
      <i/>
      <sz val="9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color indexed="10"/>
      <name val="Arial CE"/>
      <family val="2"/>
    </font>
    <font>
      <sz val="8"/>
      <color indexed="8"/>
      <name val="Arial CE"/>
      <family val="2"/>
    </font>
    <font>
      <i/>
      <sz val="9"/>
      <name val="Arial CE"/>
      <family val="2"/>
    </font>
    <font>
      <sz val="12"/>
      <name val="Arial CE"/>
      <family val="2"/>
    </font>
    <font>
      <i/>
      <sz val="10"/>
      <name val="Arial CE"/>
      <family val="2"/>
    </font>
    <font>
      <b/>
      <sz val="14"/>
      <name val="Arial CE"/>
      <family val="2"/>
    </font>
    <font>
      <i/>
      <sz val="8"/>
      <color indexed="8"/>
      <name val="Arial CE"/>
      <family val="2"/>
    </font>
    <font>
      <sz val="9"/>
      <color indexed="8"/>
      <name val="Arial CE"/>
      <family val="2"/>
    </font>
    <font>
      <b/>
      <sz val="12"/>
      <color indexed="8"/>
      <name val="Arial CE"/>
      <family val="2"/>
    </font>
    <font>
      <b/>
      <sz val="9"/>
      <color indexed="8"/>
      <name val="Arial CE"/>
      <family val="2"/>
    </font>
    <font>
      <sz val="11"/>
      <name val="Arial CE"/>
      <family val="2"/>
    </font>
    <font>
      <b/>
      <sz val="8"/>
      <color indexed="8"/>
      <name val="Arial CE"/>
      <family val="2"/>
    </font>
    <font>
      <b/>
      <sz val="8"/>
      <color indexed="10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4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8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Fill="1" applyBorder="1" applyAlignment="1" quotePrefix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4" fontId="4" fillId="0" borderId="1" xfId="0" applyNumberFormat="1" applyFont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Alignment="1">
      <alignment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 indent="1"/>
    </xf>
    <xf numFmtId="0" fontId="3" fillId="0" borderId="2" xfId="0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 indent="1"/>
    </xf>
    <xf numFmtId="0" fontId="3" fillId="0" borderId="3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4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vertical="center"/>
    </xf>
    <xf numFmtId="4" fontId="2" fillId="0" borderId="0" xfId="0" applyNumberFormat="1" applyFont="1" applyAlignment="1">
      <alignment vertical="center"/>
    </xf>
    <xf numFmtId="4" fontId="4" fillId="0" borderId="0" xfId="0" applyNumberFormat="1" applyFont="1" applyAlignment="1">
      <alignment/>
    </xf>
    <xf numFmtId="0" fontId="8" fillId="0" borderId="0" xfId="0" applyFont="1" applyAlignment="1">
      <alignment/>
    </xf>
    <xf numFmtId="0" fontId="4" fillId="2" borderId="1" xfId="0" applyFont="1" applyFill="1" applyBorder="1" applyAlignment="1">
      <alignment horizontal="center" vertical="center"/>
    </xf>
    <xf numFmtId="4" fontId="4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2" xfId="0" applyFont="1" applyFill="1" applyBorder="1" applyAlignment="1" quotePrefix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 indent="1"/>
    </xf>
    <xf numFmtId="4" fontId="3" fillId="0" borderId="1" xfId="0" applyNumberFormat="1" applyFont="1" applyBorder="1" applyAlignment="1">
      <alignment vertical="center"/>
    </xf>
    <xf numFmtId="0" fontId="3" fillId="0" borderId="1" xfId="0" applyFont="1" applyFill="1" applyBorder="1" applyAlignment="1" quotePrefix="1">
      <alignment horizontal="center" vertical="center" wrapText="1"/>
    </xf>
    <xf numFmtId="0" fontId="3" fillId="0" borderId="3" xfId="0" applyFont="1" applyFill="1" applyBorder="1" applyAlignment="1" quotePrefix="1">
      <alignment horizontal="center" vertical="center" wrapText="1"/>
    </xf>
    <xf numFmtId="0" fontId="3" fillId="2" borderId="1" xfId="0" applyFont="1" applyFill="1" applyBorder="1" applyAlignment="1" quotePrefix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 indent="1"/>
    </xf>
    <xf numFmtId="4" fontId="3" fillId="2" borderId="1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left" vertical="center" wrapText="1" indent="1"/>
    </xf>
    <xf numFmtId="4" fontId="3" fillId="0" borderId="0" xfId="0" applyNumberFormat="1" applyFont="1" applyAlignment="1">
      <alignment/>
    </xf>
    <xf numFmtId="4" fontId="3" fillId="0" borderId="1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 wrapText="1"/>
    </xf>
    <xf numFmtId="4" fontId="3" fillId="0" borderId="1" xfId="0" applyNumberFormat="1" applyFont="1" applyBorder="1" applyAlignment="1">
      <alignment horizontal="right" vertical="center"/>
    </xf>
    <xf numFmtId="0" fontId="4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 indent="1"/>
    </xf>
    <xf numFmtId="0" fontId="2" fillId="0" borderId="1" xfId="0" applyFont="1" applyBorder="1" applyAlignment="1">
      <alignment horizontal="left" vertical="center" wrapText="1" indent="1"/>
    </xf>
    <xf numFmtId="0" fontId="8" fillId="0" borderId="2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indent="1"/>
    </xf>
    <xf numFmtId="0" fontId="8" fillId="0" borderId="2" xfId="0" applyFont="1" applyFill="1" applyBorder="1" applyAlignment="1" quotePrefix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 indent="1"/>
    </xf>
    <xf numFmtId="4" fontId="8" fillId="0" borderId="1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 indent="1"/>
    </xf>
    <xf numFmtId="4" fontId="0" fillId="0" borderId="0" xfId="0" applyNumberFormat="1" applyAlignment="1">
      <alignment/>
    </xf>
    <xf numFmtId="0" fontId="2" fillId="0" borderId="1" xfId="0" applyFont="1" applyBorder="1" applyAlignment="1">
      <alignment horizontal="left" vertical="center" indent="1"/>
    </xf>
    <xf numFmtId="0" fontId="2" fillId="0" borderId="1" xfId="0" applyFont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right" vertical="center" wrapText="1"/>
    </xf>
    <xf numFmtId="0" fontId="4" fillId="2" borderId="3" xfId="0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2" fillId="0" borderId="0" xfId="0" applyNumberFormat="1" applyFont="1" applyFill="1" applyAlignment="1">
      <alignment vertical="center"/>
    </xf>
    <xf numFmtId="4" fontId="4" fillId="0" borderId="0" xfId="0" applyNumberFormat="1" applyFont="1" applyFill="1" applyAlignment="1">
      <alignment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 quotePrefix="1">
      <alignment horizontal="center" vertical="center" wrapText="1"/>
    </xf>
    <xf numFmtId="0" fontId="2" fillId="2" borderId="0" xfId="0" applyFont="1" applyFill="1" applyAlignment="1">
      <alignment/>
    </xf>
    <xf numFmtId="164" fontId="3" fillId="2" borderId="1" xfId="0" applyNumberFormat="1" applyFont="1" applyFill="1" applyBorder="1" applyAlignment="1">
      <alignment horizontal="right" vertical="center" wrapText="1"/>
    </xf>
    <xf numFmtId="0" fontId="3" fillId="2" borderId="3" xfId="0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right" vertical="center"/>
    </xf>
    <xf numFmtId="0" fontId="2" fillId="2" borderId="2" xfId="0" applyFont="1" applyFill="1" applyBorder="1" applyAlignment="1">
      <alignment horizontal="left" vertical="center" wrapText="1" indent="1"/>
    </xf>
    <xf numFmtId="0" fontId="2" fillId="2" borderId="1" xfId="0" applyFont="1" applyFill="1" applyBorder="1" applyAlignment="1" quotePrefix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 quotePrefix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vertical="center"/>
    </xf>
    <xf numFmtId="0" fontId="2" fillId="0" borderId="2" xfId="0" applyFont="1" applyFill="1" applyBorder="1" applyAlignment="1" quotePrefix="1">
      <alignment horizontal="center" vertical="center" wrapText="1"/>
    </xf>
    <xf numFmtId="0" fontId="2" fillId="0" borderId="1" xfId="0" applyFont="1" applyFill="1" applyBorder="1" applyAlignment="1" quotePrefix="1">
      <alignment horizontal="center" vertical="center" wrapText="1"/>
    </xf>
    <xf numFmtId="0" fontId="2" fillId="0" borderId="3" xfId="0" applyFont="1" applyFill="1" applyBorder="1" applyAlignment="1" quotePrefix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 quotePrefix="1">
      <alignment horizontal="center" vertical="center"/>
    </xf>
    <xf numFmtId="0" fontId="2" fillId="0" borderId="1" xfId="0" applyFont="1" applyFill="1" applyBorder="1" applyAlignment="1" quotePrefix="1">
      <alignment horizontal="center" vertical="center"/>
    </xf>
    <xf numFmtId="0" fontId="2" fillId="0" borderId="2" xfId="0" applyFont="1" applyFill="1" applyBorder="1" applyAlignment="1">
      <alignment horizontal="left" vertical="center" wrapText="1" inden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 quotePrefix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quotePrefix="1">
      <alignment horizontal="center" vertical="center" wrapText="1"/>
    </xf>
    <xf numFmtId="0" fontId="2" fillId="2" borderId="1" xfId="0" applyFont="1" applyFill="1" applyBorder="1" applyAlignment="1" quotePrefix="1">
      <alignment horizontal="center" vertical="center"/>
    </xf>
    <xf numFmtId="0" fontId="2" fillId="2" borderId="2" xfId="0" applyFont="1" applyFill="1" applyBorder="1" applyAlignment="1" quotePrefix="1">
      <alignment horizontal="center" vertical="center"/>
    </xf>
    <xf numFmtId="4" fontId="2" fillId="0" borderId="1" xfId="0" applyNumberFormat="1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6" fillId="2" borderId="1" xfId="0" applyFont="1" applyFill="1" applyBorder="1" applyAlignment="1" quotePrefix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indent="1"/>
    </xf>
    <xf numFmtId="164" fontId="2" fillId="2" borderId="1" xfId="0" applyNumberFormat="1" applyFont="1" applyFill="1" applyBorder="1" applyAlignment="1">
      <alignment horizontal="right" vertical="center" wrapText="1"/>
    </xf>
    <xf numFmtId="4" fontId="2" fillId="0" borderId="1" xfId="0" applyNumberFormat="1" applyFont="1" applyBorder="1" applyAlignment="1">
      <alignment horizontal="right" vertical="center"/>
    </xf>
    <xf numFmtId="164" fontId="2" fillId="2" borderId="1" xfId="0" applyNumberFormat="1" applyFont="1" applyFill="1" applyBorder="1" applyAlignment="1">
      <alignment horizontal="right" vertical="center"/>
    </xf>
    <xf numFmtId="4" fontId="2" fillId="2" borderId="1" xfId="0" applyNumberFormat="1" applyFont="1" applyFill="1" applyBorder="1" applyAlignment="1">
      <alignment horizontal="right" vertical="center"/>
    </xf>
    <xf numFmtId="4" fontId="8" fillId="0" borderId="1" xfId="0" applyNumberFormat="1" applyFont="1" applyBorder="1" applyAlignment="1">
      <alignment horizontal="right" vertical="center"/>
    </xf>
    <xf numFmtId="0" fontId="3" fillId="2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 quotePrefix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 quotePrefix="1">
      <alignment horizontal="center" vertical="center" wrapText="1"/>
    </xf>
    <xf numFmtId="0" fontId="3" fillId="2" borderId="3" xfId="0" applyFont="1" applyFill="1" applyBorder="1" applyAlignment="1" quotePrefix="1">
      <alignment horizontal="center" vertical="center" wrapText="1"/>
    </xf>
    <xf numFmtId="164" fontId="3" fillId="2" borderId="1" xfId="0" applyNumberFormat="1" applyFont="1" applyFill="1" applyBorder="1" applyAlignment="1">
      <alignment horizontal="right" vertical="center"/>
    </xf>
    <xf numFmtId="0" fontId="3" fillId="0" borderId="2" xfId="0" applyFont="1" applyFill="1" applyBorder="1" applyAlignment="1" quotePrefix="1">
      <alignment horizontal="center" vertical="center"/>
    </xf>
    <xf numFmtId="4" fontId="4" fillId="0" borderId="0" xfId="0" applyNumberFormat="1" applyFont="1" applyFill="1" applyBorder="1" applyAlignment="1">
      <alignment vertical="center"/>
    </xf>
    <xf numFmtId="164" fontId="4" fillId="0" borderId="0" xfId="0" applyNumberFormat="1" applyFont="1" applyAlignment="1">
      <alignment/>
    </xf>
    <xf numFmtId="0" fontId="3" fillId="2" borderId="2" xfId="0" applyFont="1" applyFill="1" applyBorder="1" applyAlignment="1">
      <alignment horizontal="left" vertical="center" wrapText="1" indent="1"/>
    </xf>
    <xf numFmtId="4" fontId="7" fillId="0" borderId="0" xfId="0" applyNumberFormat="1" applyFont="1" applyFill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 quotePrefix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4" fontId="4" fillId="3" borderId="1" xfId="0" applyNumberFormat="1" applyFont="1" applyFill="1" applyBorder="1" applyAlignment="1">
      <alignment vertical="center"/>
    </xf>
    <xf numFmtId="4" fontId="2" fillId="0" borderId="1" xfId="0" applyNumberFormat="1" applyFont="1" applyBorder="1" applyAlignment="1">
      <alignment vertical="center"/>
    </xf>
    <xf numFmtId="0" fontId="4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6" fillId="0" borderId="4" xfId="0" applyFont="1" applyFill="1" applyBorder="1" applyAlignment="1" quotePrefix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3" fillId="0" borderId="6" xfId="0" applyFont="1" applyFill="1" applyBorder="1" applyAlignment="1">
      <alignment horizontal="center" vertical="center"/>
    </xf>
    <xf numFmtId="0" fontId="5" fillId="0" borderId="0" xfId="0" applyFont="1" applyAlignment="1">
      <alignment horizontal="left" wrapText="1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" fontId="3" fillId="0" borderId="0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 quotePrefix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/>
    </xf>
    <xf numFmtId="4" fontId="3" fillId="0" borderId="0" xfId="0" applyNumberFormat="1" applyFont="1" applyFill="1" applyAlignment="1">
      <alignment vertical="center"/>
    </xf>
    <xf numFmtId="4" fontId="2" fillId="0" borderId="0" xfId="0" applyNumberFormat="1" applyFont="1" applyAlignment="1">
      <alignment/>
    </xf>
    <xf numFmtId="0" fontId="4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left" vertical="center"/>
    </xf>
    <xf numFmtId="4" fontId="3" fillId="0" borderId="1" xfId="0" applyNumberFormat="1" applyFont="1" applyBorder="1" applyAlignment="1">
      <alignment vertical="center" wrapText="1"/>
    </xf>
    <xf numFmtId="0" fontId="13" fillId="0" borderId="1" xfId="0" applyFont="1" applyFill="1" applyBorder="1" applyAlignment="1" quotePrefix="1">
      <alignment horizontal="center" vertical="center"/>
    </xf>
    <xf numFmtId="4" fontId="3" fillId="0" borderId="1" xfId="0" applyNumberFormat="1" applyFont="1" applyBorder="1" applyAlignment="1">
      <alignment horizontal="right" vertical="center" wrapText="1"/>
    </xf>
    <xf numFmtId="4" fontId="4" fillId="0" borderId="1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left" vertical="center" indent="1"/>
    </xf>
    <xf numFmtId="0" fontId="2" fillId="2" borderId="3" xfId="0" applyFont="1" applyFill="1" applyBorder="1" applyAlignment="1" quotePrefix="1">
      <alignment horizontal="center" vertical="center"/>
    </xf>
    <xf numFmtId="0" fontId="5" fillId="2" borderId="1" xfId="0" applyFont="1" applyFill="1" applyBorder="1" applyAlignment="1" quotePrefix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wrapText="1" indent="1"/>
    </xf>
    <xf numFmtId="164" fontId="5" fillId="2" borderId="1" xfId="0" applyNumberFormat="1" applyFont="1" applyFill="1" applyBorder="1" applyAlignment="1">
      <alignment horizontal="right" vertical="center"/>
    </xf>
    <xf numFmtId="0" fontId="2" fillId="2" borderId="6" xfId="0" applyFont="1" applyFill="1" applyBorder="1" applyAlignment="1">
      <alignment horizontal="left" vertical="center" wrapText="1" indent="1"/>
    </xf>
    <xf numFmtId="4" fontId="2" fillId="2" borderId="7" xfId="0" applyNumberFormat="1" applyFont="1" applyFill="1" applyBorder="1" applyAlignment="1">
      <alignment horizontal="right" vertical="center"/>
    </xf>
    <xf numFmtId="0" fontId="8" fillId="2" borderId="6" xfId="0" applyFont="1" applyFill="1" applyBorder="1" applyAlignment="1">
      <alignment horizontal="left" vertical="center" wrapText="1" indent="1"/>
    </xf>
    <xf numFmtId="4" fontId="8" fillId="2" borderId="7" xfId="0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/>
    </xf>
    <xf numFmtId="4" fontId="4" fillId="0" borderId="1" xfId="0" applyNumberFormat="1" applyFont="1" applyFill="1" applyBorder="1" applyAlignment="1">
      <alignment horizontal="right" vertical="center"/>
    </xf>
    <xf numFmtId="0" fontId="14" fillId="0" borderId="3" xfId="0" applyFont="1" applyFill="1" applyBorder="1" applyAlignment="1" quotePrefix="1">
      <alignment horizontal="center" vertical="center" wrapText="1"/>
    </xf>
    <xf numFmtId="0" fontId="14" fillId="0" borderId="2" xfId="0" applyFont="1" applyFill="1" applyBorder="1" applyAlignment="1">
      <alignment horizontal="left" vertical="center" wrapText="1" indent="1"/>
    </xf>
    <xf numFmtId="4" fontId="14" fillId="0" borderId="1" xfId="0" applyNumberFormat="1" applyFont="1" applyFill="1" applyBorder="1" applyAlignment="1">
      <alignment vertical="center"/>
    </xf>
    <xf numFmtId="0" fontId="1" fillId="0" borderId="0" xfId="0" applyFont="1" applyFill="1" applyAlignment="1">
      <alignment horizontal="left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 indent="1"/>
    </xf>
    <xf numFmtId="0" fontId="15" fillId="0" borderId="1" xfId="0" applyFont="1" applyFill="1" applyBorder="1" applyAlignment="1">
      <alignment horizontal="center" vertical="center"/>
    </xf>
    <xf numFmtId="4" fontId="8" fillId="0" borderId="1" xfId="0" applyNumberFormat="1" applyFont="1" applyBorder="1" applyAlignment="1">
      <alignment vertical="center"/>
    </xf>
    <xf numFmtId="0" fontId="4" fillId="0" borderId="1" xfId="0" applyFont="1" applyFill="1" applyBorder="1" applyAlignment="1" quotePrefix="1">
      <alignment horizontal="center" vertical="center"/>
    </xf>
    <xf numFmtId="0" fontId="4" fillId="0" borderId="0" xfId="0" applyFont="1" applyFill="1" applyBorder="1" applyAlignment="1" quotePrefix="1">
      <alignment horizontal="center" vertical="center" wrapText="1"/>
    </xf>
    <xf numFmtId="0" fontId="15" fillId="0" borderId="0" xfId="0" applyFont="1" applyFill="1" applyBorder="1" applyAlignment="1" quotePrefix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left" vertical="center" wrapText="1" indent="1"/>
    </xf>
    <xf numFmtId="0" fontId="0" fillId="0" borderId="0" xfId="0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0" fillId="0" borderId="0" xfId="0" applyAlignment="1">
      <alignment/>
    </xf>
    <xf numFmtId="0" fontId="4" fillId="0" borderId="0" xfId="0" applyFont="1" applyAlignment="1">
      <alignment/>
    </xf>
    <xf numFmtId="4" fontId="2" fillId="0" borderId="3" xfId="0" applyNumberFormat="1" applyFont="1" applyFill="1" applyBorder="1" applyAlignment="1">
      <alignment horizontal="right" vertical="center"/>
    </xf>
    <xf numFmtId="0" fontId="16" fillId="0" borderId="0" xfId="0" applyFont="1" applyAlignment="1">
      <alignment/>
    </xf>
    <xf numFmtId="4" fontId="2" fillId="0" borderId="1" xfId="0" applyNumberFormat="1" applyFont="1" applyFill="1" applyBorder="1" applyAlignment="1" quotePrefix="1">
      <alignment horizontal="right" vertical="center" wrapText="1"/>
    </xf>
    <xf numFmtId="0" fontId="17" fillId="0" borderId="0" xfId="0" applyFont="1" applyAlignment="1">
      <alignment/>
    </xf>
    <xf numFmtId="4" fontId="2" fillId="0" borderId="3" xfId="0" applyNumberFormat="1" applyFont="1" applyFill="1" applyBorder="1" applyAlignment="1" quotePrefix="1">
      <alignment horizontal="right" vertical="center" wrapText="1"/>
    </xf>
    <xf numFmtId="4" fontId="2" fillId="0" borderId="3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164" fontId="10" fillId="0" borderId="0" xfId="0" applyNumberFormat="1" applyFont="1" applyFill="1" applyAlignment="1">
      <alignment horizontal="left" vertical="center"/>
    </xf>
    <xf numFmtId="4" fontId="8" fillId="0" borderId="1" xfId="0" applyNumberFormat="1" applyFont="1" applyFill="1" applyBorder="1" applyAlignment="1">
      <alignment horizontal="right" vertical="center" wrapText="1"/>
    </xf>
    <xf numFmtId="4" fontId="2" fillId="0" borderId="1" xfId="0" applyNumberFormat="1" applyFont="1" applyBorder="1" applyAlignment="1">
      <alignment horizontal="right" vertical="center" wrapText="1"/>
    </xf>
    <xf numFmtId="4" fontId="2" fillId="0" borderId="1" xfId="0" applyNumberFormat="1" applyFont="1" applyBorder="1" applyAlignment="1">
      <alignment vertical="center" wrapText="1"/>
    </xf>
    <xf numFmtId="4" fontId="6" fillId="0" borderId="1" xfId="0" applyNumberFormat="1" applyFont="1" applyBorder="1" applyAlignment="1">
      <alignment horizontal="center" vertical="center"/>
    </xf>
    <xf numFmtId="0" fontId="2" fillId="2" borderId="3" xfId="0" applyFont="1" applyFill="1" applyBorder="1" applyAlignment="1">
      <alignment horizontal="left" vertical="center" wrapText="1" indent="1"/>
    </xf>
    <xf numFmtId="0" fontId="2" fillId="0" borderId="3" xfId="0" applyFont="1" applyFill="1" applyBorder="1" applyAlignment="1">
      <alignment horizontal="left" vertical="center" wrapText="1" indent="1"/>
    </xf>
    <xf numFmtId="0" fontId="2" fillId="0" borderId="1" xfId="0" applyFont="1" applyFill="1" applyBorder="1" applyAlignment="1">
      <alignment horizontal="left" vertical="center" indent="1"/>
    </xf>
    <xf numFmtId="0" fontId="2" fillId="0" borderId="8" xfId="0" applyFont="1" applyFill="1" applyBorder="1" applyAlignment="1">
      <alignment horizontal="left" vertical="center" wrapText="1" indent="1"/>
    </xf>
    <xf numFmtId="0" fontId="1" fillId="0" borderId="9" xfId="0" applyFont="1" applyBorder="1" applyAlignment="1">
      <alignment horizontal="left" vertical="center" wrapText="1"/>
    </xf>
    <xf numFmtId="0" fontId="10" fillId="0" borderId="1" xfId="0" applyFont="1" applyBorder="1" applyAlignment="1">
      <alignment vertical="center"/>
    </xf>
    <xf numFmtId="0" fontId="4" fillId="0" borderId="1" xfId="0" applyFont="1" applyBorder="1" applyAlignment="1">
      <alignment horizontal="left" vertical="center" indent="1"/>
    </xf>
    <xf numFmtId="164" fontId="4" fillId="2" borderId="1" xfId="0" applyNumberFormat="1" applyFont="1" applyFill="1" applyBorder="1" applyAlignment="1">
      <alignment horizontal="right" vertical="center"/>
    </xf>
    <xf numFmtId="164" fontId="2" fillId="0" borderId="1" xfId="0" applyNumberFormat="1" applyFont="1" applyFill="1" applyBorder="1" applyAlignment="1">
      <alignment horizontal="right" vertical="center"/>
    </xf>
    <xf numFmtId="4" fontId="5" fillId="0" borderId="0" xfId="0" applyNumberFormat="1" applyFont="1" applyAlignment="1">
      <alignment/>
    </xf>
    <xf numFmtId="0" fontId="2" fillId="2" borderId="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14" fillId="2" borderId="1" xfId="0" applyFont="1" applyFill="1" applyBorder="1" applyAlignment="1">
      <alignment horizontal="left" vertical="center" wrapText="1" indent="1"/>
    </xf>
    <xf numFmtId="4" fontId="14" fillId="2" borderId="1" xfId="0" applyNumberFormat="1" applyFont="1" applyFill="1" applyBorder="1" applyAlignment="1">
      <alignment vertical="center"/>
    </xf>
    <xf numFmtId="0" fontId="19" fillId="0" borderId="1" xfId="0" applyFont="1" applyFill="1" applyBorder="1" applyAlignment="1">
      <alignment horizontal="left" vertical="center" wrapText="1" indent="1"/>
    </xf>
    <xf numFmtId="4" fontId="19" fillId="0" borderId="1" xfId="0" applyNumberFormat="1" applyFont="1" applyBorder="1" applyAlignment="1">
      <alignment horizontal="right" vertical="center"/>
    </xf>
    <xf numFmtId="4" fontId="19" fillId="0" borderId="1" xfId="0" applyNumberFormat="1" applyFont="1" applyFill="1" applyBorder="1" applyAlignment="1">
      <alignment horizontal="right" vertical="center"/>
    </xf>
    <xf numFmtId="0" fontId="20" fillId="0" borderId="0" xfId="0" applyFont="1" applyFill="1" applyAlignment="1">
      <alignment/>
    </xf>
    <xf numFmtId="4" fontId="14" fillId="0" borderId="0" xfId="0" applyNumberFormat="1" applyFont="1" applyFill="1" applyAlignment="1">
      <alignment vertical="center"/>
    </xf>
    <xf numFmtId="164" fontId="21" fillId="0" borderId="0" xfId="0" applyNumberFormat="1" applyFont="1" applyFill="1" applyAlignment="1">
      <alignment horizontal="left" vertical="center"/>
    </xf>
    <xf numFmtId="0" fontId="22" fillId="0" borderId="3" xfId="0" applyFont="1" applyFill="1" applyBorder="1" applyAlignment="1">
      <alignment horizontal="center" vertical="center"/>
    </xf>
    <xf numFmtId="4" fontId="22" fillId="0" borderId="1" xfId="0" applyNumberFormat="1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left" vertical="center" indent="1"/>
    </xf>
    <xf numFmtId="0" fontId="14" fillId="0" borderId="3" xfId="0" applyFont="1" applyFill="1" applyBorder="1" applyAlignment="1" quotePrefix="1">
      <alignment horizontal="center" vertical="center"/>
    </xf>
    <xf numFmtId="4" fontId="14" fillId="0" borderId="1" xfId="0" applyNumberFormat="1" applyFont="1" applyFill="1" applyBorder="1" applyAlignment="1">
      <alignment horizontal="right" vertical="center"/>
    </xf>
    <xf numFmtId="0" fontId="20" fillId="0" borderId="3" xfId="0" applyFont="1" applyFill="1" applyBorder="1" applyAlignment="1">
      <alignment horizontal="center" vertical="center" wrapText="1"/>
    </xf>
    <xf numFmtId="0" fontId="22" fillId="0" borderId="2" xfId="0" applyFont="1" applyFill="1" applyBorder="1" applyAlignment="1">
      <alignment horizontal="left" vertical="center" wrapText="1" indent="1"/>
    </xf>
    <xf numFmtId="4" fontId="22" fillId="0" borderId="1" xfId="0" applyNumberFormat="1" applyFont="1" applyFill="1" applyBorder="1" applyAlignment="1">
      <alignment vertical="center"/>
    </xf>
    <xf numFmtId="0" fontId="22" fillId="2" borderId="1" xfId="0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horizontal="left" vertical="center" wrapText="1" indent="1"/>
    </xf>
    <xf numFmtId="0" fontId="14" fillId="2" borderId="1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14" fillId="2" borderId="3" xfId="0" applyFont="1" applyFill="1" applyBorder="1" applyAlignment="1" quotePrefix="1">
      <alignment horizontal="center" vertical="center" wrapText="1"/>
    </xf>
    <xf numFmtId="0" fontId="14" fillId="2" borderId="2" xfId="0" applyFont="1" applyFill="1" applyBorder="1" applyAlignment="1">
      <alignment horizontal="left" vertical="center" wrapText="1" indent="1"/>
    </xf>
    <xf numFmtId="0" fontId="14" fillId="2" borderId="1" xfId="0" applyFont="1" applyFill="1" applyBorder="1" applyAlignment="1" quotePrefix="1">
      <alignment horizontal="center" vertical="center"/>
    </xf>
    <xf numFmtId="0" fontId="14" fillId="2" borderId="3" xfId="0" applyFont="1" applyFill="1" applyBorder="1" applyAlignment="1" quotePrefix="1">
      <alignment horizontal="center" vertical="center"/>
    </xf>
    <xf numFmtId="0" fontId="22" fillId="0" borderId="3" xfId="0" applyFont="1" applyFill="1" applyBorder="1" applyAlignment="1" quotePrefix="1">
      <alignment horizontal="center" vertical="center" wrapText="1"/>
    </xf>
    <xf numFmtId="0" fontId="14" fillId="2" borderId="3" xfId="0" applyFont="1" applyFill="1" applyBorder="1" applyAlignment="1">
      <alignment horizontal="center" vertical="center"/>
    </xf>
    <xf numFmtId="0" fontId="22" fillId="0" borderId="1" xfId="0" applyFont="1" applyFill="1" applyBorder="1" applyAlignment="1" quotePrefix="1">
      <alignment horizontal="center" vertical="center" wrapText="1"/>
    </xf>
    <xf numFmtId="0" fontId="14" fillId="0" borderId="1" xfId="0" applyFont="1" applyFill="1" applyBorder="1" applyAlignment="1" quotePrefix="1">
      <alignment horizontal="center" vertical="center" wrapText="1"/>
    </xf>
    <xf numFmtId="0" fontId="22" fillId="0" borderId="2" xfId="0" applyFont="1" applyFill="1" applyBorder="1" applyAlignment="1">
      <alignment horizontal="center" vertical="center" wrapText="1"/>
    </xf>
    <xf numFmtId="0" fontId="20" fillId="0" borderId="0" xfId="0" applyFont="1" applyAlignment="1">
      <alignment/>
    </xf>
    <xf numFmtId="4" fontId="20" fillId="0" borderId="0" xfId="0" applyNumberFormat="1" applyFont="1" applyAlignment="1">
      <alignment horizontal="right"/>
    </xf>
    <xf numFmtId="4" fontId="20" fillId="0" borderId="0" xfId="0" applyNumberFormat="1" applyFont="1" applyAlignment="1">
      <alignment vertical="center"/>
    </xf>
    <xf numFmtId="4" fontId="22" fillId="0" borderId="0" xfId="0" applyNumberFormat="1" applyFont="1" applyAlignment="1">
      <alignment vertical="center"/>
    </xf>
    <xf numFmtId="4" fontId="20" fillId="0" borderId="0" xfId="0" applyNumberFormat="1" applyFont="1" applyAlignment="1">
      <alignment horizontal="left"/>
    </xf>
    <xf numFmtId="0" fontId="1" fillId="0" borderId="0" xfId="0" applyFont="1" applyAlignment="1">
      <alignment horizontal="center" vertical="center" wrapText="1"/>
    </xf>
    <xf numFmtId="0" fontId="3" fillId="0" borderId="6" xfId="0" applyFont="1" applyFill="1" applyBorder="1" applyAlignment="1" quotePrefix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22" fillId="0" borderId="6" xfId="0" applyFont="1" applyFill="1" applyBorder="1" applyAlignment="1">
      <alignment horizontal="left" vertical="center" indent="1"/>
    </xf>
    <xf numFmtId="4" fontId="22" fillId="0" borderId="7" xfId="0" applyNumberFormat="1" applyFont="1" applyFill="1" applyBorder="1" applyAlignment="1">
      <alignment horizontal="right" vertical="center"/>
    </xf>
    <xf numFmtId="4" fontId="0" fillId="0" borderId="0" xfId="0" applyNumberFormat="1" applyAlignment="1">
      <alignment vertical="center"/>
    </xf>
    <xf numFmtId="0" fontId="0" fillId="0" borderId="0" xfId="0" applyBorder="1" applyAlignment="1">
      <alignment vertical="center"/>
    </xf>
    <xf numFmtId="4" fontId="0" fillId="0" borderId="0" xfId="0" applyNumberFormat="1" applyBorder="1" applyAlignment="1">
      <alignment vertical="center"/>
    </xf>
    <xf numFmtId="4" fontId="2" fillId="0" borderId="2" xfId="0" applyNumberFormat="1" applyFont="1" applyBorder="1" applyAlignment="1">
      <alignment horizontal="right" vertical="center" wrapText="1"/>
    </xf>
    <xf numFmtId="4" fontId="2" fillId="0" borderId="2" xfId="0" applyNumberFormat="1" applyFont="1" applyBorder="1" applyAlignment="1">
      <alignment horizontal="right" vertical="center"/>
    </xf>
    <xf numFmtId="4" fontId="2" fillId="0" borderId="2" xfId="0" applyNumberFormat="1" applyFont="1" applyFill="1" applyBorder="1" applyAlignment="1">
      <alignment horizontal="right" vertical="center"/>
    </xf>
    <xf numFmtId="4" fontId="2" fillId="0" borderId="2" xfId="0" applyNumberFormat="1" applyFont="1" applyFill="1" applyBorder="1" applyAlignment="1">
      <alignment vertical="center"/>
    </xf>
    <xf numFmtId="4" fontId="2" fillId="2" borderId="2" xfId="0" applyNumberFormat="1" applyFont="1" applyFill="1" applyBorder="1" applyAlignment="1">
      <alignment horizontal="right" vertical="center"/>
    </xf>
    <xf numFmtId="4" fontId="6" fillId="0" borderId="1" xfId="0" applyNumberFormat="1" applyFont="1" applyFill="1" applyBorder="1" applyAlignment="1">
      <alignment horizontal="right" vertical="center"/>
    </xf>
    <xf numFmtId="4" fontId="3" fillId="0" borderId="0" xfId="0" applyNumberFormat="1" applyFont="1" applyBorder="1" applyAlignment="1">
      <alignment horizontal="right" vertical="center"/>
    </xf>
    <xf numFmtId="0" fontId="10" fillId="0" borderId="0" xfId="0" applyFont="1" applyAlignment="1">
      <alignment/>
    </xf>
    <xf numFmtId="4" fontId="8" fillId="0" borderId="2" xfId="0" applyNumberFormat="1" applyFont="1" applyFill="1" applyBorder="1" applyAlignment="1">
      <alignment horizontal="right" vertical="center" wrapText="1"/>
    </xf>
    <xf numFmtId="4" fontId="8" fillId="0" borderId="2" xfId="0" applyNumberFormat="1" applyFont="1" applyBorder="1" applyAlignment="1">
      <alignment horizontal="right" vertical="center"/>
    </xf>
    <xf numFmtId="4" fontId="3" fillId="0" borderId="2" xfId="0" applyNumberFormat="1" applyFont="1" applyFill="1" applyBorder="1" applyAlignment="1">
      <alignment horizontal="right" vertical="center"/>
    </xf>
    <xf numFmtId="4" fontId="8" fillId="0" borderId="2" xfId="0" applyNumberFormat="1" applyFont="1" applyFill="1" applyBorder="1" applyAlignment="1">
      <alignment horizontal="right" vertical="center"/>
    </xf>
    <xf numFmtId="4" fontId="19" fillId="0" borderId="2" xfId="0" applyNumberFormat="1" applyFont="1" applyBorder="1" applyAlignment="1">
      <alignment horizontal="right" vertical="center"/>
    </xf>
    <xf numFmtId="4" fontId="19" fillId="0" borderId="2" xfId="0" applyNumberFormat="1" applyFont="1" applyFill="1" applyBorder="1" applyAlignment="1">
      <alignment horizontal="right" vertical="center"/>
    </xf>
    <xf numFmtId="4" fontId="2" fillId="2" borderId="6" xfId="0" applyNumberFormat="1" applyFont="1" applyFill="1" applyBorder="1" applyAlignment="1">
      <alignment horizontal="right" vertical="center"/>
    </xf>
    <xf numFmtId="4" fontId="8" fillId="2" borderId="6" xfId="0" applyNumberFormat="1" applyFont="1" applyFill="1" applyBorder="1" applyAlignment="1">
      <alignment horizontal="right" vertical="center"/>
    </xf>
    <xf numFmtId="4" fontId="3" fillId="0" borderId="6" xfId="0" applyNumberFormat="1" applyFont="1" applyFill="1" applyBorder="1" applyAlignment="1">
      <alignment horizontal="right" vertical="center"/>
    </xf>
    <xf numFmtId="4" fontId="8" fillId="2" borderId="1" xfId="0" applyNumberFormat="1" applyFont="1" applyFill="1" applyBorder="1" applyAlignment="1">
      <alignment horizontal="right" vertical="center"/>
    </xf>
    <xf numFmtId="4" fontId="3" fillId="0" borderId="0" xfId="0" applyNumberFormat="1" applyFont="1" applyFill="1" applyBorder="1" applyAlignment="1">
      <alignment horizontal="right" vertical="center"/>
    </xf>
    <xf numFmtId="4" fontId="0" fillId="0" borderId="0" xfId="0" applyNumberFormat="1" applyBorder="1" applyAlignment="1">
      <alignment/>
    </xf>
    <xf numFmtId="4" fontId="19" fillId="0" borderId="8" xfId="0" applyNumberFormat="1" applyFont="1" applyFill="1" applyBorder="1" applyAlignment="1">
      <alignment horizontal="right" vertical="center"/>
    </xf>
    <xf numFmtId="0" fontId="3" fillId="2" borderId="7" xfId="0" applyFont="1" applyFill="1" applyBorder="1" applyAlignment="1" quotePrefix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left" vertical="center" wrapText="1" indent="1"/>
    </xf>
    <xf numFmtId="164" fontId="3" fillId="2" borderId="7" xfId="0" applyNumberFormat="1" applyFont="1" applyFill="1" applyBorder="1" applyAlignment="1">
      <alignment horizontal="right" vertical="center" wrapText="1"/>
    </xf>
    <xf numFmtId="4" fontId="0" fillId="0" borderId="0" xfId="0" applyNumberFormat="1" applyAlignment="1">
      <alignment horizontal="right" vertical="center"/>
    </xf>
    <xf numFmtId="4" fontId="4" fillId="0" borderId="0" xfId="0" applyNumberFormat="1" applyFont="1" applyBorder="1" applyAlignment="1">
      <alignment horizontal="right" vertical="center"/>
    </xf>
    <xf numFmtId="4" fontId="0" fillId="0" borderId="0" xfId="0" applyNumberFormat="1" applyBorder="1" applyAlignment="1">
      <alignment horizontal="right" vertical="center"/>
    </xf>
    <xf numFmtId="0" fontId="6" fillId="0" borderId="0" xfId="0" applyFont="1" applyAlignment="1">
      <alignment/>
    </xf>
    <xf numFmtId="164" fontId="1" fillId="0" borderId="0" xfId="0" applyNumberFormat="1" applyFont="1" applyFill="1" applyAlignment="1">
      <alignment horizontal="left" vertical="center"/>
    </xf>
    <xf numFmtId="4" fontId="2" fillId="0" borderId="2" xfId="0" applyNumberFormat="1" applyFont="1" applyBorder="1" applyAlignment="1">
      <alignment vertical="center"/>
    </xf>
    <xf numFmtId="0" fontId="4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1" xfId="0" applyFont="1" applyFill="1" applyBorder="1" applyAlignment="1" quotePrefix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4" fontId="2" fillId="0" borderId="3" xfId="0" applyNumberFormat="1" applyFont="1" applyBorder="1" applyAlignment="1">
      <alignment horizontal="right" vertical="center"/>
    </xf>
    <xf numFmtId="4" fontId="3" fillId="0" borderId="2" xfId="0" applyNumberFormat="1" applyFont="1" applyBorder="1" applyAlignment="1">
      <alignment horizontal="center" vertical="center"/>
    </xf>
    <xf numFmtId="4" fontId="3" fillId="0" borderId="3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left" vertical="center" indent="1"/>
    </xf>
    <xf numFmtId="0" fontId="14" fillId="0" borderId="1" xfId="0" applyFont="1" applyBorder="1" applyAlignment="1">
      <alignment horizontal="left" vertical="center" wrapText="1" indent="1"/>
    </xf>
    <xf numFmtId="4" fontId="14" fillId="0" borderId="1" xfId="0" applyNumberFormat="1" applyFont="1" applyBorder="1" applyAlignment="1">
      <alignment horizontal="right" vertical="center"/>
    </xf>
    <xf numFmtId="4" fontId="14" fillId="0" borderId="3" xfId="0" applyNumberFormat="1" applyFont="1" applyBorder="1" applyAlignment="1">
      <alignment horizontal="right" vertical="center"/>
    </xf>
    <xf numFmtId="0" fontId="14" fillId="0" borderId="0" xfId="0" applyFont="1" applyAlignment="1">
      <alignment/>
    </xf>
    <xf numFmtId="4" fontId="6" fillId="0" borderId="1" xfId="0" applyNumberFormat="1" applyFont="1" applyBorder="1" applyAlignment="1">
      <alignment vertical="center"/>
    </xf>
    <xf numFmtId="0" fontId="16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4" fontId="6" fillId="0" borderId="0" xfId="0" applyNumberFormat="1" applyFont="1" applyBorder="1" applyAlignment="1">
      <alignment vertical="center"/>
    </xf>
    <xf numFmtId="4" fontId="6" fillId="0" borderId="0" xfId="0" applyNumberFormat="1" applyFont="1" applyFill="1" applyBorder="1" applyAlignment="1">
      <alignment horizontal="right" vertical="center"/>
    </xf>
    <xf numFmtId="0" fontId="16" fillId="0" borderId="0" xfId="0" applyFont="1" applyAlignment="1">
      <alignment horizontal="left"/>
    </xf>
    <xf numFmtId="0" fontId="6" fillId="0" borderId="1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6" fillId="0" borderId="9" xfId="0" applyFont="1" applyFill="1" applyBorder="1" applyAlignment="1">
      <alignment horizontal="left" vertical="center"/>
    </xf>
    <xf numFmtId="4" fontId="6" fillId="0" borderId="7" xfId="0" applyNumberFormat="1" applyFont="1" applyFill="1" applyBorder="1" applyAlignment="1">
      <alignment horizontal="right" vertical="center"/>
    </xf>
    <xf numFmtId="0" fontId="3" fillId="0" borderId="8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8" fillId="0" borderId="1" xfId="0" applyFont="1" applyFill="1" applyBorder="1" applyAlignment="1" quotePrefix="1">
      <alignment horizontal="center" vertical="center"/>
    </xf>
    <xf numFmtId="4" fontId="8" fillId="0" borderId="0" xfId="0" applyNumberFormat="1" applyFont="1" applyAlignment="1">
      <alignment/>
    </xf>
    <xf numFmtId="0" fontId="4" fillId="0" borderId="3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right" vertical="center"/>
    </xf>
    <xf numFmtId="4" fontId="4" fillId="0" borderId="1" xfId="0" applyNumberFormat="1" applyFont="1" applyBorder="1" applyAlignment="1">
      <alignment horizontal="center" vertical="center"/>
    </xf>
    <xf numFmtId="4" fontId="4" fillId="0" borderId="12" xfId="0" applyNumberFormat="1" applyFont="1" applyBorder="1" applyAlignment="1">
      <alignment horizontal="right" vertical="center"/>
    </xf>
    <xf numFmtId="4" fontId="4" fillId="0" borderId="8" xfId="0" applyNumberFormat="1" applyFont="1" applyBorder="1" applyAlignment="1">
      <alignment horizontal="right" vertical="center"/>
    </xf>
    <xf numFmtId="4" fontId="4" fillId="3" borderId="3" xfId="0" applyNumberFormat="1" applyFont="1" applyFill="1" applyBorder="1" applyAlignment="1">
      <alignment horizontal="right" vertical="center"/>
    </xf>
    <xf numFmtId="4" fontId="4" fillId="3" borderId="1" xfId="0" applyNumberFormat="1" applyFont="1" applyFill="1" applyBorder="1" applyAlignment="1">
      <alignment horizontal="right" vertical="center"/>
    </xf>
    <xf numFmtId="4" fontId="4" fillId="0" borderId="7" xfId="0" applyNumberFormat="1" applyFont="1" applyBorder="1" applyAlignment="1">
      <alignment horizontal="right" vertical="center"/>
    </xf>
    <xf numFmtId="0" fontId="0" fillId="0" borderId="1" xfId="0" applyFont="1" applyBorder="1" applyAlignment="1">
      <alignment horizontal="center" vertical="center"/>
    </xf>
    <xf numFmtId="4" fontId="4" fillId="0" borderId="13" xfId="0" applyNumberFormat="1" applyFont="1" applyBorder="1" applyAlignment="1">
      <alignment horizontal="right" vertical="center"/>
    </xf>
    <xf numFmtId="4" fontId="3" fillId="0" borderId="14" xfId="0" applyNumberFormat="1" applyFont="1" applyBorder="1" applyAlignment="1">
      <alignment horizontal="right" vertical="center"/>
    </xf>
    <xf numFmtId="4" fontId="3" fillId="0" borderId="15" xfId="0" applyNumberFormat="1" applyFont="1" applyBorder="1" applyAlignment="1">
      <alignment horizontal="right" vertical="center"/>
    </xf>
    <xf numFmtId="4" fontId="4" fillId="0" borderId="1" xfId="0" applyNumberFormat="1" applyFont="1" applyBorder="1" applyAlignment="1">
      <alignment horizontal="left" vertical="center" indent="1"/>
    </xf>
    <xf numFmtId="0" fontId="4" fillId="0" borderId="16" xfId="0" applyFont="1" applyBorder="1" applyAlignment="1">
      <alignment horizontal="center" vertical="center"/>
    </xf>
    <xf numFmtId="4" fontId="4" fillId="0" borderId="16" xfId="0" applyNumberFormat="1" applyFont="1" applyBorder="1" applyAlignment="1">
      <alignment horizontal="center" vertical="center"/>
    </xf>
    <xf numFmtId="4" fontId="4" fillId="0" borderId="16" xfId="0" applyNumberFormat="1" applyFont="1" applyBorder="1" applyAlignment="1">
      <alignment horizontal="right" vertical="center"/>
    </xf>
    <xf numFmtId="4" fontId="4" fillId="0" borderId="17" xfId="0" applyNumberFormat="1" applyFont="1" applyBorder="1" applyAlignment="1">
      <alignment horizontal="right" vertical="center"/>
    </xf>
    <xf numFmtId="0" fontId="3" fillId="0" borderId="14" xfId="0" applyFont="1" applyBorder="1" applyAlignment="1">
      <alignment horizontal="center" vertical="center"/>
    </xf>
    <xf numFmtId="4" fontId="4" fillId="3" borderId="18" xfId="0" applyNumberFormat="1" applyFont="1" applyFill="1" applyBorder="1" applyAlignment="1">
      <alignment horizontal="right" vertical="center"/>
    </xf>
    <xf numFmtId="0" fontId="1" fillId="1" borderId="19" xfId="0" applyFont="1" applyFill="1" applyBorder="1" applyAlignment="1">
      <alignment horizontal="center" vertical="center"/>
    </xf>
    <xf numFmtId="4" fontId="1" fillId="1" borderId="18" xfId="0" applyNumberFormat="1" applyFont="1" applyFill="1" applyBorder="1" applyAlignment="1">
      <alignment horizontal="right" vertical="center"/>
    </xf>
    <xf numFmtId="4" fontId="4" fillId="0" borderId="10" xfId="0" applyNumberFormat="1" applyFont="1" applyBorder="1" applyAlignment="1">
      <alignment horizontal="right" vertical="center" wrapText="1"/>
    </xf>
    <xf numFmtId="4" fontId="4" fillId="0" borderId="20" xfId="0" applyNumberFormat="1" applyFont="1" applyBorder="1" applyAlignment="1">
      <alignment horizontal="right" vertical="center"/>
    </xf>
    <xf numFmtId="0" fontId="4" fillId="0" borderId="21" xfId="0" applyFont="1" applyBorder="1" applyAlignment="1">
      <alignment horizontal="center" vertical="center"/>
    </xf>
    <xf numFmtId="4" fontId="4" fillId="3" borderId="18" xfId="0" applyNumberFormat="1" applyFont="1" applyFill="1" applyBorder="1" applyAlignment="1">
      <alignment vertical="center"/>
    </xf>
    <xf numFmtId="4" fontId="4" fillId="3" borderId="22" xfId="0" applyNumberFormat="1" applyFont="1" applyFill="1" applyBorder="1" applyAlignment="1">
      <alignment vertical="center"/>
    </xf>
    <xf numFmtId="0" fontId="4" fillId="3" borderId="0" xfId="0" applyFont="1" applyFill="1" applyAlignment="1">
      <alignment/>
    </xf>
    <xf numFmtId="4" fontId="1" fillId="1" borderId="23" xfId="0" applyNumberFormat="1" applyFont="1" applyFill="1" applyBorder="1" applyAlignment="1">
      <alignment horizontal="right" vertical="center"/>
    </xf>
    <xf numFmtId="4" fontId="1" fillId="1" borderId="24" xfId="0" applyNumberFormat="1" applyFont="1" applyFill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0" fillId="3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left" vertical="center" indent="1"/>
    </xf>
    <xf numFmtId="0" fontId="5" fillId="0" borderId="14" xfId="0" applyFont="1" applyBorder="1" applyAlignment="1">
      <alignment horizontal="center" vertical="center"/>
    </xf>
    <xf numFmtId="0" fontId="18" fillId="0" borderId="0" xfId="0" applyFont="1" applyAlignment="1">
      <alignment/>
    </xf>
    <xf numFmtId="0" fontId="6" fillId="0" borderId="2" xfId="0" applyFont="1" applyFill="1" applyBorder="1" applyAlignment="1" quotePrefix="1">
      <alignment horizontal="center" vertical="center" wrapText="1"/>
    </xf>
    <xf numFmtId="164" fontId="3" fillId="0" borderId="0" xfId="0" applyNumberFormat="1" applyFont="1" applyAlignment="1">
      <alignment/>
    </xf>
    <xf numFmtId="4" fontId="2" fillId="0" borderId="0" xfId="0" applyNumberFormat="1" applyFont="1" applyFill="1" applyAlignment="1">
      <alignment horizontal="right" vertical="center"/>
    </xf>
    <xf numFmtId="0" fontId="2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4" fontId="14" fillId="0" borderId="0" xfId="0" applyNumberFormat="1" applyFont="1" applyFill="1" applyAlignment="1">
      <alignment horizontal="left" vertical="center"/>
    </xf>
    <xf numFmtId="4" fontId="24" fillId="0" borderId="3" xfId="0" applyNumberFormat="1" applyFont="1" applyBorder="1" applyAlignment="1">
      <alignment horizontal="right" vertical="center"/>
    </xf>
    <xf numFmtId="4" fontId="25" fillId="0" borderId="3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4" fontId="4" fillId="0" borderId="14" xfId="0" applyNumberFormat="1" applyFont="1" applyBorder="1" applyAlignment="1">
      <alignment horizontal="right" vertical="center"/>
    </xf>
    <xf numFmtId="4" fontId="3" fillId="1" borderId="14" xfId="0" applyNumberFormat="1" applyFont="1" applyFill="1" applyBorder="1" applyAlignment="1">
      <alignment horizontal="right" vertical="center"/>
    </xf>
    <xf numFmtId="4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/>
    </xf>
    <xf numFmtId="4" fontId="6" fillId="0" borderId="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4" fontId="3" fillId="0" borderId="3" xfId="0" applyNumberFormat="1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4" fontId="8" fillId="0" borderId="1" xfId="0" applyNumberFormat="1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right" vertical="center"/>
    </xf>
    <xf numFmtId="4" fontId="4" fillId="0" borderId="0" xfId="0" applyNumberFormat="1" applyFont="1" applyAlignment="1">
      <alignment horizontal="center"/>
    </xf>
    <xf numFmtId="0" fontId="18" fillId="0" borderId="1" xfId="0" applyFont="1" applyFill="1" applyBorder="1" applyAlignment="1">
      <alignment horizontal="left" vertical="center" wrapText="1"/>
    </xf>
    <xf numFmtId="0" fontId="18" fillId="0" borderId="1" xfId="0" applyFont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4" fontId="6" fillId="0" borderId="8" xfId="0" applyNumberFormat="1" applyFont="1" applyFill="1" applyBorder="1" applyAlignment="1">
      <alignment horizontal="center" vertical="center"/>
    </xf>
    <xf numFmtId="4" fontId="6" fillId="0" borderId="7" xfId="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3" fillId="0" borderId="2" xfId="0" applyFont="1" applyFill="1" applyBorder="1" applyAlignment="1" quotePrefix="1">
      <alignment horizontal="center" vertical="center" wrapText="1"/>
    </xf>
    <xf numFmtId="0" fontId="3" fillId="0" borderId="11" xfId="0" applyFont="1" applyFill="1" applyBorder="1" applyAlignment="1" quotePrefix="1">
      <alignment horizontal="center" vertical="center" wrapText="1"/>
    </xf>
    <xf numFmtId="0" fontId="3" fillId="0" borderId="3" xfId="0" applyFont="1" applyFill="1" applyBorder="1" applyAlignment="1" quotePrefix="1">
      <alignment horizontal="center" vertical="center" wrapText="1"/>
    </xf>
    <xf numFmtId="4" fontId="22" fillId="0" borderId="1" xfId="0" applyNumberFormat="1" applyFont="1" applyFill="1" applyBorder="1" applyAlignment="1">
      <alignment horizontal="center" vertical="center"/>
    </xf>
    <xf numFmtId="4" fontId="2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4" fontId="6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" fontId="3" fillId="0" borderId="3" xfId="0" applyNumberFormat="1" applyFont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left" wrapText="1"/>
    </xf>
    <xf numFmtId="0" fontId="5" fillId="0" borderId="9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left" wrapText="1"/>
    </xf>
    <xf numFmtId="4" fontId="5" fillId="0" borderId="2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1" fillId="1" borderId="26" xfId="0" applyFont="1" applyFill="1" applyBorder="1" applyAlignment="1">
      <alignment horizontal="center" vertical="center" wrapText="1"/>
    </xf>
    <xf numFmtId="0" fontId="1" fillId="1" borderId="27" xfId="0" applyFont="1" applyFill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23" fillId="3" borderId="35" xfId="0" applyFont="1" applyFill="1" applyBorder="1" applyAlignment="1">
      <alignment horizontal="center" vertical="center"/>
    </xf>
    <xf numFmtId="0" fontId="23" fillId="3" borderId="34" xfId="0" applyFont="1" applyFill="1" applyBorder="1" applyAlignment="1">
      <alignment horizontal="center" vertical="center"/>
    </xf>
    <xf numFmtId="0" fontId="1" fillId="1" borderId="36" xfId="0" applyFont="1" applyFill="1" applyBorder="1" applyAlignment="1">
      <alignment horizontal="center" vertical="center"/>
    </xf>
    <xf numFmtId="0" fontId="1" fillId="1" borderId="37" xfId="0" applyFont="1" applyFill="1" applyBorder="1" applyAlignment="1">
      <alignment horizontal="center" vertical="center"/>
    </xf>
    <xf numFmtId="0" fontId="1" fillId="3" borderId="27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/>
    </xf>
    <xf numFmtId="0" fontId="1" fillId="0" borderId="0" xfId="0" applyFont="1" applyFill="1" applyAlignment="1">
      <alignment horizontal="left" vertical="center" wrapText="1"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4" fontId="2" fillId="0" borderId="0" xfId="0" applyNumberFormat="1" applyFont="1" applyBorder="1" applyAlignment="1">
      <alignment/>
    </xf>
    <xf numFmtId="4" fontId="3" fillId="0" borderId="2" xfId="0" applyNumberFormat="1" applyFont="1" applyBorder="1" applyAlignment="1">
      <alignment horizontal="right" vertical="center"/>
    </xf>
    <xf numFmtId="4" fontId="2" fillId="0" borderId="2" xfId="0" applyNumberFormat="1" applyFont="1" applyBorder="1" applyAlignment="1">
      <alignment horizontal="center" vertical="center"/>
    </xf>
    <xf numFmtId="4" fontId="2" fillId="0" borderId="0" xfId="0" applyNumberFormat="1" applyFont="1" applyFill="1" applyBorder="1" applyAlignment="1">
      <alignment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6"/>
  <sheetViews>
    <sheetView workbookViewId="0" topLeftCell="A148">
      <selection activeCell="D169" sqref="D169"/>
    </sheetView>
  </sheetViews>
  <sheetFormatPr defaultColWidth="9.00390625" defaultRowHeight="12.75"/>
  <cols>
    <col min="1" max="1" width="5.25390625" style="8" customWidth="1"/>
    <col min="2" max="2" width="7.625" style="8" customWidth="1"/>
    <col min="3" max="3" width="5.00390625" style="240" bestFit="1" customWidth="1"/>
    <col min="4" max="4" width="31.125" style="240" customWidth="1"/>
    <col min="5" max="5" width="12.25390625" style="242" bestFit="1" customWidth="1"/>
    <col min="6" max="7" width="12.25390625" style="242" customWidth="1"/>
    <col min="8" max="8" width="8.00390625" style="251" customWidth="1"/>
    <col min="9" max="9" width="11.25390625" style="0" bestFit="1" customWidth="1"/>
  </cols>
  <sheetData>
    <row r="1" spans="1:8" ht="12.75">
      <c r="A1" s="66"/>
      <c r="B1" s="66"/>
      <c r="C1" s="215"/>
      <c r="D1" s="215"/>
      <c r="E1" s="216"/>
      <c r="F1" s="353"/>
      <c r="G1" s="353" t="s">
        <v>561</v>
      </c>
      <c r="H1" s="353"/>
    </row>
    <row r="2" spans="1:8" ht="12.75">
      <c r="A2" s="66"/>
      <c r="B2" s="66"/>
      <c r="C2" s="215"/>
      <c r="D2" s="215"/>
      <c r="E2" s="216"/>
      <c r="F2" s="353"/>
      <c r="G2" s="353" t="s">
        <v>562</v>
      </c>
      <c r="H2" s="353"/>
    </row>
    <row r="3" spans="1:8" ht="12.75">
      <c r="A3" s="66"/>
      <c r="B3" s="66"/>
      <c r="C3" s="215"/>
      <c r="D3" s="215"/>
      <c r="E3" s="216"/>
      <c r="F3" s="353"/>
      <c r="G3" s="353" t="s">
        <v>563</v>
      </c>
      <c r="H3" s="353"/>
    </row>
    <row r="4" spans="1:8" ht="12.75">
      <c r="A4" s="66"/>
      <c r="B4" s="66"/>
      <c r="C4" s="215"/>
      <c r="D4" s="215"/>
      <c r="E4" s="216"/>
      <c r="F4" s="353"/>
      <c r="G4" s="353" t="s">
        <v>564</v>
      </c>
      <c r="H4" s="353"/>
    </row>
    <row r="5" spans="1:7" ht="18.75" customHeight="1">
      <c r="A5" s="284" t="s">
        <v>541</v>
      </c>
      <c r="B5" s="192"/>
      <c r="C5" s="217"/>
      <c r="D5" s="217"/>
      <c r="E5" s="217"/>
      <c r="F5" s="217"/>
      <c r="G5" s="217"/>
    </row>
    <row r="6" spans="1:8" ht="18" customHeight="1">
      <c r="A6" s="398" t="s">
        <v>12</v>
      </c>
      <c r="B6" s="398" t="s">
        <v>13</v>
      </c>
      <c r="C6" s="399" t="s">
        <v>14</v>
      </c>
      <c r="D6" s="399" t="s">
        <v>408</v>
      </c>
      <c r="E6" s="396" t="s">
        <v>170</v>
      </c>
      <c r="F6" s="397" t="s">
        <v>250</v>
      </c>
      <c r="G6" s="396" t="s">
        <v>0</v>
      </c>
      <c r="H6" s="396"/>
    </row>
    <row r="7" spans="1:8" s="8" customFormat="1" ht="18" customHeight="1">
      <c r="A7" s="398"/>
      <c r="B7" s="398"/>
      <c r="C7" s="399"/>
      <c r="D7" s="399"/>
      <c r="E7" s="396"/>
      <c r="F7" s="397"/>
      <c r="G7" s="219" t="s">
        <v>1</v>
      </c>
      <c r="H7" s="18" t="s">
        <v>2</v>
      </c>
    </row>
    <row r="8" spans="1:9" s="8" customFormat="1" ht="19.5" customHeight="1">
      <c r="A8" s="246" t="s">
        <v>16</v>
      </c>
      <c r="B8" s="247"/>
      <c r="C8" s="248"/>
      <c r="D8" s="249" t="s">
        <v>17</v>
      </c>
      <c r="E8" s="250">
        <f>SUM(E9)</f>
        <v>0</v>
      </c>
      <c r="F8" s="250">
        <f>SUM(F9)</f>
        <v>1813946</v>
      </c>
      <c r="G8" s="250">
        <f>SUM(G9)</f>
        <v>1237394.7999999998</v>
      </c>
      <c r="H8" s="34">
        <f>G8/F8*100</f>
        <v>68.21563596711258</v>
      </c>
      <c r="I8" s="27"/>
    </row>
    <row r="9" spans="1:9" s="24" customFormat="1" ht="19.5" customHeight="1">
      <c r="A9" s="89"/>
      <c r="B9" s="87" t="s">
        <v>435</v>
      </c>
      <c r="C9" s="220"/>
      <c r="D9" s="221" t="s">
        <v>18</v>
      </c>
      <c r="E9" s="223">
        <f>SUM(E10:E13)</f>
        <v>0</v>
      </c>
      <c r="F9" s="223">
        <f>SUM(F10:F13)</f>
        <v>1813946</v>
      </c>
      <c r="G9" s="223">
        <f>SUM(G10:G13)</f>
        <v>1237394.7999999998</v>
      </c>
      <c r="H9" s="124">
        <f aca="true" t="shared" si="0" ref="H9:H84">G9/F9*100</f>
        <v>68.21563596711258</v>
      </c>
      <c r="I9" s="27"/>
    </row>
    <row r="10" spans="1:9" s="24" customFormat="1" ht="65.25" customHeight="1">
      <c r="A10" s="89"/>
      <c r="B10" s="59"/>
      <c r="C10" s="222" t="s">
        <v>196</v>
      </c>
      <c r="D10" s="164" t="s">
        <v>76</v>
      </c>
      <c r="E10" s="223">
        <v>0</v>
      </c>
      <c r="F10" s="223">
        <v>113220</v>
      </c>
      <c r="G10" s="223">
        <v>110386.96</v>
      </c>
      <c r="H10" s="124">
        <f t="shared" si="0"/>
        <v>97.49775658010952</v>
      </c>
      <c r="I10" s="27"/>
    </row>
    <row r="11" spans="1:9" s="24" customFormat="1" ht="36.75" customHeight="1">
      <c r="A11" s="89"/>
      <c r="B11" s="59"/>
      <c r="C11" s="222" t="s">
        <v>436</v>
      </c>
      <c r="D11" s="164" t="s">
        <v>438</v>
      </c>
      <c r="E11" s="223">
        <v>0</v>
      </c>
      <c r="F11" s="223">
        <v>1506000</v>
      </c>
      <c r="G11" s="223">
        <v>931729.57</v>
      </c>
      <c r="H11" s="124">
        <f t="shared" si="0"/>
        <v>61.86783333333333</v>
      </c>
      <c r="I11" s="27"/>
    </row>
    <row r="12" spans="1:9" s="24" customFormat="1" ht="19.5" customHeight="1">
      <c r="A12" s="89"/>
      <c r="B12" s="59"/>
      <c r="C12" s="222" t="s">
        <v>197</v>
      </c>
      <c r="D12" s="164" t="s">
        <v>26</v>
      </c>
      <c r="E12" s="223">
        <v>0</v>
      </c>
      <c r="F12" s="223">
        <v>1200</v>
      </c>
      <c r="G12" s="223">
        <v>1753.1</v>
      </c>
      <c r="H12" s="124">
        <v>0</v>
      </c>
      <c r="I12" s="27"/>
    </row>
    <row r="13" spans="1:9" s="24" customFormat="1" ht="56.25">
      <c r="A13" s="89"/>
      <c r="B13" s="59"/>
      <c r="C13" s="222">
        <v>2010</v>
      </c>
      <c r="D13" s="164" t="s">
        <v>454</v>
      </c>
      <c r="E13" s="223">
        <v>0</v>
      </c>
      <c r="F13" s="223">
        <v>193526</v>
      </c>
      <c r="G13" s="223">
        <v>193525.17</v>
      </c>
      <c r="H13" s="124">
        <f t="shared" si="0"/>
        <v>99.99957111705922</v>
      </c>
      <c r="I13" s="27"/>
    </row>
    <row r="14" spans="1:9" s="8" customFormat="1" ht="19.5" customHeight="1">
      <c r="A14" s="32" t="s">
        <v>20</v>
      </c>
      <c r="B14" s="3"/>
      <c r="C14" s="224"/>
      <c r="D14" s="225" t="s">
        <v>21</v>
      </c>
      <c r="E14" s="226">
        <f aca="true" t="shared" si="1" ref="E14:G15">SUM(E15)</f>
        <v>4720</v>
      </c>
      <c r="F14" s="226">
        <f t="shared" si="1"/>
        <v>0</v>
      </c>
      <c r="G14" s="226">
        <f t="shared" si="1"/>
        <v>0</v>
      </c>
      <c r="H14" s="34">
        <v>0</v>
      </c>
      <c r="I14" s="27"/>
    </row>
    <row r="15" spans="1:9" s="24" customFormat="1" ht="19.5" customHeight="1">
      <c r="A15" s="86"/>
      <c r="B15" s="83" t="s">
        <v>22</v>
      </c>
      <c r="C15" s="220"/>
      <c r="D15" s="164" t="s">
        <v>18</v>
      </c>
      <c r="E15" s="165">
        <f t="shared" si="1"/>
        <v>4720</v>
      </c>
      <c r="F15" s="165">
        <f t="shared" si="1"/>
        <v>0</v>
      </c>
      <c r="G15" s="165">
        <f t="shared" si="1"/>
        <v>0</v>
      </c>
      <c r="H15" s="34">
        <v>0</v>
      </c>
      <c r="I15" s="27"/>
    </row>
    <row r="16" spans="1:9" s="24" customFormat="1" ht="45">
      <c r="A16" s="86"/>
      <c r="B16" s="87"/>
      <c r="C16" s="163" t="s">
        <v>194</v>
      </c>
      <c r="D16" s="164" t="s">
        <v>19</v>
      </c>
      <c r="E16" s="165">
        <v>4720</v>
      </c>
      <c r="F16" s="165">
        <v>0</v>
      </c>
      <c r="G16" s="165">
        <v>0</v>
      </c>
      <c r="H16" s="34">
        <v>0</v>
      </c>
      <c r="I16" s="27"/>
    </row>
    <row r="17" spans="1:9" s="45" customFormat="1" ht="19.5" customHeight="1">
      <c r="A17" s="114">
        <v>600</v>
      </c>
      <c r="B17" s="38"/>
      <c r="C17" s="227"/>
      <c r="D17" s="228" t="s">
        <v>96</v>
      </c>
      <c r="E17" s="226">
        <f aca="true" t="shared" si="2" ref="E17:G18">SUM(E18)</f>
        <v>4000</v>
      </c>
      <c r="F17" s="226">
        <f t="shared" si="2"/>
        <v>52850</v>
      </c>
      <c r="G17" s="226">
        <f t="shared" si="2"/>
        <v>41287.33</v>
      </c>
      <c r="H17" s="34">
        <f t="shared" si="0"/>
        <v>78.12172185430464</v>
      </c>
      <c r="I17" s="27"/>
    </row>
    <row r="18" spans="1:9" s="24" customFormat="1" ht="19.5" customHeight="1">
      <c r="A18" s="86"/>
      <c r="B18" s="94" t="s">
        <v>97</v>
      </c>
      <c r="C18" s="229"/>
      <c r="D18" s="210" t="s">
        <v>98</v>
      </c>
      <c r="E18" s="165">
        <f t="shared" si="2"/>
        <v>4000</v>
      </c>
      <c r="F18" s="165">
        <f t="shared" si="2"/>
        <v>52850</v>
      </c>
      <c r="G18" s="165">
        <f t="shared" si="2"/>
        <v>41287.33</v>
      </c>
      <c r="H18" s="124">
        <f t="shared" si="0"/>
        <v>78.12172185430464</v>
      </c>
      <c r="I18" s="27"/>
    </row>
    <row r="19" spans="1:9" s="24" customFormat="1" ht="19.5" customHeight="1">
      <c r="A19" s="86"/>
      <c r="B19" s="147"/>
      <c r="C19" s="163" t="s">
        <v>223</v>
      </c>
      <c r="D19" s="164" t="s">
        <v>177</v>
      </c>
      <c r="E19" s="165">
        <v>4000</v>
      </c>
      <c r="F19" s="165">
        <v>52850</v>
      </c>
      <c r="G19" s="165">
        <v>41287.33</v>
      </c>
      <c r="H19" s="124">
        <f t="shared" si="0"/>
        <v>78.12172185430464</v>
      </c>
      <c r="I19" s="27"/>
    </row>
    <row r="20" spans="1:9" s="7" customFormat="1" ht="19.5" customHeight="1">
      <c r="A20" s="32" t="s">
        <v>23</v>
      </c>
      <c r="B20" s="4"/>
      <c r="C20" s="230"/>
      <c r="D20" s="225" t="s">
        <v>24</v>
      </c>
      <c r="E20" s="226">
        <f>SUM(E23,E30,E21)</f>
        <v>1691508</v>
      </c>
      <c r="F20" s="226">
        <f>SUM(F23,F30,F21)</f>
        <v>3576518</v>
      </c>
      <c r="G20" s="226">
        <f>SUM(G23,G30,G21)</f>
        <v>3631253.15</v>
      </c>
      <c r="H20" s="34">
        <f t="shared" si="0"/>
        <v>101.53040331406133</v>
      </c>
      <c r="I20" s="27"/>
    </row>
    <row r="21" spans="1:9" s="24" customFormat="1" ht="21.75" customHeight="1">
      <c r="A21" s="348"/>
      <c r="B21" s="59">
        <v>70004</v>
      </c>
      <c r="C21" s="220"/>
      <c r="D21" s="42" t="s">
        <v>249</v>
      </c>
      <c r="E21" s="165">
        <f>SUM(E22)</f>
        <v>0</v>
      </c>
      <c r="F21" s="165">
        <f>SUM(F22)</f>
        <v>0</v>
      </c>
      <c r="G21" s="165">
        <f>SUM(G22)</f>
        <v>3248.64</v>
      </c>
      <c r="H21" s="289" t="s">
        <v>514</v>
      </c>
      <c r="I21" s="142"/>
    </row>
    <row r="22" spans="1:9" s="24" customFormat="1" ht="19.5" customHeight="1">
      <c r="A22" s="348"/>
      <c r="B22" s="59"/>
      <c r="C22" s="222" t="s">
        <v>198</v>
      </c>
      <c r="D22" s="164" t="s">
        <v>27</v>
      </c>
      <c r="E22" s="165">
        <v>0</v>
      </c>
      <c r="F22" s="165">
        <v>0</v>
      </c>
      <c r="G22" s="165">
        <v>3248.64</v>
      </c>
      <c r="H22" s="289" t="s">
        <v>514</v>
      </c>
      <c r="I22" s="142"/>
    </row>
    <row r="23" spans="1:9" s="24" customFormat="1" ht="19.5" customHeight="1">
      <c r="A23" s="82"/>
      <c r="B23" s="83" t="s">
        <v>25</v>
      </c>
      <c r="C23" s="220"/>
      <c r="D23" s="164" t="s">
        <v>182</v>
      </c>
      <c r="E23" s="165">
        <f>SUM(E24:E29)</f>
        <v>1691508</v>
      </c>
      <c r="F23" s="165">
        <f>SUM(F24:F29)</f>
        <v>3575658</v>
      </c>
      <c r="G23" s="165">
        <f>SUM(G24:G29)</f>
        <v>3626888.61</v>
      </c>
      <c r="H23" s="124">
        <f t="shared" si="0"/>
        <v>101.43276034788562</v>
      </c>
      <c r="I23" s="27"/>
    </row>
    <row r="24" spans="1:9" s="24" customFormat="1" ht="27" customHeight="1">
      <c r="A24" s="82"/>
      <c r="B24" s="59"/>
      <c r="C24" s="222" t="s">
        <v>195</v>
      </c>
      <c r="D24" s="164" t="s">
        <v>267</v>
      </c>
      <c r="E24" s="165">
        <v>164000</v>
      </c>
      <c r="F24" s="165">
        <v>174000</v>
      </c>
      <c r="G24" s="165">
        <v>236533.63</v>
      </c>
      <c r="H24" s="124">
        <f t="shared" si="0"/>
        <v>135.93886781609194</v>
      </c>
      <c r="I24" s="27"/>
    </row>
    <row r="25" spans="1:9" s="24" customFormat="1" ht="67.5">
      <c r="A25" s="82"/>
      <c r="B25" s="59"/>
      <c r="C25" s="163" t="s">
        <v>196</v>
      </c>
      <c r="D25" s="164" t="s">
        <v>76</v>
      </c>
      <c r="E25" s="165">
        <f>181008+4000</f>
        <v>185008</v>
      </c>
      <c r="F25" s="165">
        <v>105008</v>
      </c>
      <c r="G25" s="165">
        <v>110603.4</v>
      </c>
      <c r="H25" s="124">
        <f t="shared" si="0"/>
        <v>105.32854639646503</v>
      </c>
      <c r="I25" s="27"/>
    </row>
    <row r="26" spans="1:9" s="24" customFormat="1" ht="45">
      <c r="A26" s="82"/>
      <c r="B26" s="59"/>
      <c r="C26" s="163" t="s">
        <v>285</v>
      </c>
      <c r="D26" s="164" t="s">
        <v>286</v>
      </c>
      <c r="E26" s="165">
        <v>1500</v>
      </c>
      <c r="F26" s="165">
        <v>65150</v>
      </c>
      <c r="G26" s="165">
        <v>65280.48</v>
      </c>
      <c r="H26" s="124">
        <f t="shared" si="0"/>
        <v>100.20027628549502</v>
      </c>
      <c r="I26" s="27"/>
    </row>
    <row r="27" spans="1:9" s="24" customFormat="1" ht="33" customHeight="1">
      <c r="A27" s="82"/>
      <c r="B27" s="59"/>
      <c r="C27" s="163" t="s">
        <v>436</v>
      </c>
      <c r="D27" s="164" t="s">
        <v>438</v>
      </c>
      <c r="E27" s="165">
        <v>0</v>
      </c>
      <c r="F27" s="165">
        <v>3221500</v>
      </c>
      <c r="G27" s="165">
        <v>3209007.45</v>
      </c>
      <c r="H27" s="124">
        <f t="shared" si="0"/>
        <v>99.61221325469502</v>
      </c>
      <c r="I27" s="27"/>
    </row>
    <row r="28" spans="1:9" s="24" customFormat="1" ht="24.75" customHeight="1">
      <c r="A28" s="82"/>
      <c r="B28" s="59"/>
      <c r="C28" s="163" t="s">
        <v>243</v>
      </c>
      <c r="D28" s="164" t="s">
        <v>232</v>
      </c>
      <c r="E28" s="165">
        <f>400000+80000+775000+76000</f>
        <v>1331000</v>
      </c>
      <c r="F28" s="165">
        <v>0</v>
      </c>
      <c r="G28" s="165">
        <v>0</v>
      </c>
      <c r="H28" s="124">
        <v>0</v>
      </c>
      <c r="I28" s="27"/>
    </row>
    <row r="29" spans="1:9" s="24" customFormat="1" ht="19.5" customHeight="1">
      <c r="A29" s="82"/>
      <c r="B29" s="59"/>
      <c r="C29" s="163" t="s">
        <v>197</v>
      </c>
      <c r="D29" s="164" t="s">
        <v>26</v>
      </c>
      <c r="E29" s="165">
        <v>10000</v>
      </c>
      <c r="F29" s="165">
        <v>10000</v>
      </c>
      <c r="G29" s="165">
        <v>5463.65</v>
      </c>
      <c r="H29" s="124">
        <f t="shared" si="0"/>
        <v>54.6365</v>
      </c>
      <c r="I29" s="27"/>
    </row>
    <row r="30" spans="1:9" s="24" customFormat="1" ht="19.5" customHeight="1">
      <c r="A30" s="82"/>
      <c r="B30" s="59">
        <v>70095</v>
      </c>
      <c r="C30" s="163"/>
      <c r="D30" s="164" t="s">
        <v>18</v>
      </c>
      <c r="E30" s="165">
        <f>SUM(E31)</f>
        <v>0</v>
      </c>
      <c r="F30" s="165">
        <f>SUM(F31)</f>
        <v>860</v>
      </c>
      <c r="G30" s="165">
        <f>SUM(G31)</f>
        <v>1115.9</v>
      </c>
      <c r="H30" s="124">
        <v>0</v>
      </c>
      <c r="I30" s="27"/>
    </row>
    <row r="31" spans="1:9" s="24" customFormat="1" ht="19.5" customHeight="1">
      <c r="A31" s="82"/>
      <c r="B31" s="59"/>
      <c r="C31" s="163" t="s">
        <v>198</v>
      </c>
      <c r="D31" s="164" t="s">
        <v>27</v>
      </c>
      <c r="E31" s="165">
        <v>0</v>
      </c>
      <c r="F31" s="165">
        <v>860</v>
      </c>
      <c r="G31" s="165">
        <v>1115.9</v>
      </c>
      <c r="H31" s="124">
        <v>0</v>
      </c>
      <c r="I31" s="27"/>
    </row>
    <row r="32" spans="1:9" s="7" customFormat="1" ht="19.5" customHeight="1">
      <c r="A32" s="32" t="s">
        <v>30</v>
      </c>
      <c r="B32" s="4"/>
      <c r="C32" s="230"/>
      <c r="D32" s="225" t="s">
        <v>31</v>
      </c>
      <c r="E32" s="226">
        <f>SUM(E33,E36)</f>
        <v>180050</v>
      </c>
      <c r="F32" s="226">
        <f>SUM(F33,F36)</f>
        <v>187350</v>
      </c>
      <c r="G32" s="226">
        <f>SUM(G33,G36)</f>
        <v>188697.21</v>
      </c>
      <c r="H32" s="34">
        <f t="shared" si="0"/>
        <v>100.71908726981584</v>
      </c>
      <c r="I32" s="27"/>
    </row>
    <row r="33" spans="1:9" s="24" customFormat="1" ht="19.5" customHeight="1">
      <c r="A33" s="82"/>
      <c r="B33" s="83">
        <v>75011</v>
      </c>
      <c r="C33" s="220"/>
      <c r="D33" s="164" t="s">
        <v>32</v>
      </c>
      <c r="E33" s="165">
        <f>SUM(E34:E35)</f>
        <v>150050</v>
      </c>
      <c r="F33" s="165">
        <f>SUM(F34:F35)</f>
        <v>157350</v>
      </c>
      <c r="G33" s="165">
        <f>SUM(G34:G35)</f>
        <v>162842.75</v>
      </c>
      <c r="H33" s="124">
        <f t="shared" si="0"/>
        <v>103.49078487448364</v>
      </c>
      <c r="I33" s="27"/>
    </row>
    <row r="34" spans="1:9" s="24" customFormat="1" ht="56.25">
      <c r="A34" s="82"/>
      <c r="B34" s="59"/>
      <c r="C34" s="163">
        <v>2010</v>
      </c>
      <c r="D34" s="164" t="s">
        <v>454</v>
      </c>
      <c r="E34" s="223">
        <v>144800</v>
      </c>
      <c r="F34" s="223">
        <v>152100</v>
      </c>
      <c r="G34" s="223">
        <v>152099.5</v>
      </c>
      <c r="H34" s="124">
        <f t="shared" si="0"/>
        <v>99.99967126890203</v>
      </c>
      <c r="I34" s="27"/>
    </row>
    <row r="35" spans="1:9" s="24" customFormat="1" ht="45">
      <c r="A35" s="82"/>
      <c r="B35" s="59"/>
      <c r="C35" s="163">
        <v>2360</v>
      </c>
      <c r="D35" s="164" t="s">
        <v>225</v>
      </c>
      <c r="E35" s="165">
        <v>5250</v>
      </c>
      <c r="F35" s="165">
        <v>5250</v>
      </c>
      <c r="G35" s="165">
        <v>10743.25</v>
      </c>
      <c r="H35" s="124">
        <f t="shared" si="0"/>
        <v>204.63333333333333</v>
      </c>
      <c r="I35" s="27"/>
    </row>
    <row r="36" spans="1:9" s="24" customFormat="1" ht="24.75" customHeight="1">
      <c r="A36" s="89"/>
      <c r="B36" s="83" t="s">
        <v>33</v>
      </c>
      <c r="C36" s="220"/>
      <c r="D36" s="164" t="s">
        <v>34</v>
      </c>
      <c r="E36" s="165">
        <f>SUM(E37)</f>
        <v>30000</v>
      </c>
      <c r="F36" s="165">
        <f>SUM(F37)</f>
        <v>30000</v>
      </c>
      <c r="G36" s="165">
        <f>SUM(G37)</f>
        <v>25854.46</v>
      </c>
      <c r="H36" s="124">
        <f t="shared" si="0"/>
        <v>86.18153333333332</v>
      </c>
      <c r="I36" s="27"/>
    </row>
    <row r="37" spans="1:9" s="24" customFormat="1" ht="19.5" customHeight="1">
      <c r="A37" s="89"/>
      <c r="B37" s="83"/>
      <c r="C37" s="222" t="s">
        <v>198</v>
      </c>
      <c r="D37" s="164" t="s">
        <v>27</v>
      </c>
      <c r="E37" s="165">
        <v>30000</v>
      </c>
      <c r="F37" s="165">
        <v>30000</v>
      </c>
      <c r="G37" s="165">
        <v>25854.46</v>
      </c>
      <c r="H37" s="124">
        <f t="shared" si="0"/>
        <v>86.18153333333332</v>
      </c>
      <c r="I37" s="27"/>
    </row>
    <row r="38" spans="1:9" s="7" customFormat="1" ht="39.75" customHeight="1">
      <c r="A38" s="32">
        <v>751</v>
      </c>
      <c r="B38" s="5"/>
      <c r="C38" s="218"/>
      <c r="D38" s="225" t="s">
        <v>35</v>
      </c>
      <c r="E38" s="226">
        <f>SUM(E39,E41)</f>
        <v>3809</v>
      </c>
      <c r="F38" s="226">
        <f>SUM(F39,F41)</f>
        <v>42220</v>
      </c>
      <c r="G38" s="226">
        <f>SUM(G39,G41)</f>
        <v>41944.31</v>
      </c>
      <c r="H38" s="34">
        <f t="shared" si="0"/>
        <v>99.3470156324017</v>
      </c>
      <c r="I38" s="27"/>
    </row>
    <row r="39" spans="1:9" s="24" customFormat="1" ht="24.75" customHeight="1">
      <c r="A39" s="89"/>
      <c r="B39" s="83">
        <v>75101</v>
      </c>
      <c r="C39" s="220"/>
      <c r="D39" s="164" t="s">
        <v>36</v>
      </c>
      <c r="E39" s="165">
        <f>SUM(E40)</f>
        <v>3809</v>
      </c>
      <c r="F39" s="165">
        <f>SUM(F40)</f>
        <v>3809</v>
      </c>
      <c r="G39" s="165">
        <f>SUM(G40)</f>
        <v>3809</v>
      </c>
      <c r="H39" s="124">
        <f t="shared" si="0"/>
        <v>100</v>
      </c>
      <c r="I39" s="27"/>
    </row>
    <row r="40" spans="1:9" s="24" customFormat="1" ht="56.25">
      <c r="A40" s="89"/>
      <c r="B40" s="83"/>
      <c r="C40" s="220">
        <v>2010</v>
      </c>
      <c r="D40" s="164" t="s">
        <v>268</v>
      </c>
      <c r="E40" s="165">
        <v>3809</v>
      </c>
      <c r="F40" s="165">
        <v>3809</v>
      </c>
      <c r="G40" s="165">
        <v>3809</v>
      </c>
      <c r="H40" s="124">
        <f t="shared" si="0"/>
        <v>100</v>
      </c>
      <c r="I40" s="27"/>
    </row>
    <row r="41" spans="1:9" s="24" customFormat="1" ht="19.5" customHeight="1">
      <c r="A41" s="89"/>
      <c r="B41" s="83">
        <v>75108</v>
      </c>
      <c r="C41" s="220"/>
      <c r="D41" s="164" t="s">
        <v>543</v>
      </c>
      <c r="E41" s="165">
        <f>SUM(E42)</f>
        <v>0</v>
      </c>
      <c r="F41" s="165">
        <f>SUM(F42)</f>
        <v>38411</v>
      </c>
      <c r="G41" s="165">
        <f>SUM(G42)</f>
        <v>38135.31</v>
      </c>
      <c r="H41" s="124">
        <f t="shared" si="0"/>
        <v>99.28226289344198</v>
      </c>
      <c r="I41" s="27"/>
    </row>
    <row r="42" spans="1:9" s="24" customFormat="1" ht="56.25">
      <c r="A42" s="89"/>
      <c r="B42" s="83"/>
      <c r="C42" s="220">
        <v>2010</v>
      </c>
      <c r="D42" s="164" t="s">
        <v>268</v>
      </c>
      <c r="E42" s="165">
        <v>0</v>
      </c>
      <c r="F42" s="165">
        <v>38411</v>
      </c>
      <c r="G42" s="165">
        <v>38135.31</v>
      </c>
      <c r="H42" s="124">
        <f t="shared" si="0"/>
        <v>99.28226289344198</v>
      </c>
      <c r="I42" s="27"/>
    </row>
    <row r="43" spans="1:9" s="7" customFormat="1" ht="24.75" customHeight="1">
      <c r="A43" s="32" t="s">
        <v>37</v>
      </c>
      <c r="B43" s="4"/>
      <c r="C43" s="230"/>
      <c r="D43" s="225" t="s">
        <v>38</v>
      </c>
      <c r="E43" s="226">
        <f>SUM(E46,E44)</f>
        <v>3700</v>
      </c>
      <c r="F43" s="226">
        <f>SUM(F46,F44)</f>
        <v>6370</v>
      </c>
      <c r="G43" s="226">
        <f>SUM(G46,G44)</f>
        <v>7023.4</v>
      </c>
      <c r="H43" s="34">
        <f t="shared" si="0"/>
        <v>110.2574568288854</v>
      </c>
      <c r="I43" s="27"/>
    </row>
    <row r="44" spans="1:9" s="24" customFormat="1" ht="19.5" customHeight="1">
      <c r="A44" s="82"/>
      <c r="B44" s="59">
        <v>75412</v>
      </c>
      <c r="C44" s="220"/>
      <c r="D44" s="164" t="s">
        <v>122</v>
      </c>
      <c r="E44" s="165">
        <f>SUM(E45)</f>
        <v>0</v>
      </c>
      <c r="F44" s="165">
        <f>SUM(F45)</f>
        <v>1000</v>
      </c>
      <c r="G44" s="165">
        <f>SUM(G45)</f>
        <v>1000</v>
      </c>
      <c r="H44" s="124">
        <f t="shared" si="0"/>
        <v>100</v>
      </c>
      <c r="I44" s="27"/>
    </row>
    <row r="45" spans="1:9" s="24" customFormat="1" ht="45">
      <c r="A45" s="82"/>
      <c r="B45" s="59"/>
      <c r="C45" s="220">
        <v>2710</v>
      </c>
      <c r="D45" s="164" t="s">
        <v>544</v>
      </c>
      <c r="E45" s="165">
        <v>0</v>
      </c>
      <c r="F45" s="165">
        <v>1000</v>
      </c>
      <c r="G45" s="165">
        <v>1000</v>
      </c>
      <c r="H45" s="124">
        <f t="shared" si="0"/>
        <v>100</v>
      </c>
      <c r="I45" s="27"/>
    </row>
    <row r="46" spans="1:9" s="24" customFormat="1" ht="19.5" customHeight="1">
      <c r="A46" s="89"/>
      <c r="B46" s="83" t="s">
        <v>39</v>
      </c>
      <c r="C46" s="220"/>
      <c r="D46" s="164" t="s">
        <v>40</v>
      </c>
      <c r="E46" s="165">
        <f>SUM(E47:E49)</f>
        <v>3700</v>
      </c>
      <c r="F46" s="165">
        <f>SUM(F47:F49)</f>
        <v>5370</v>
      </c>
      <c r="G46" s="165">
        <f>SUM(G47:G49)</f>
        <v>6023.4</v>
      </c>
      <c r="H46" s="124">
        <f t="shared" si="0"/>
        <v>112.16759776536311</v>
      </c>
      <c r="I46" s="27"/>
    </row>
    <row r="47" spans="1:9" s="24" customFormat="1" ht="24.75" customHeight="1">
      <c r="A47" s="89"/>
      <c r="B47" s="59"/>
      <c r="C47" s="163" t="s">
        <v>199</v>
      </c>
      <c r="D47" s="164" t="s">
        <v>41</v>
      </c>
      <c r="E47" s="165">
        <v>3500</v>
      </c>
      <c r="F47" s="165">
        <v>5000</v>
      </c>
      <c r="G47" s="165">
        <v>5661.4</v>
      </c>
      <c r="H47" s="124">
        <f t="shared" si="0"/>
        <v>113.228</v>
      </c>
      <c r="I47" s="27"/>
    </row>
    <row r="48" spans="1:9" s="24" customFormat="1" ht="19.5" customHeight="1">
      <c r="A48" s="89"/>
      <c r="B48" s="59"/>
      <c r="C48" s="163" t="s">
        <v>197</v>
      </c>
      <c r="D48" s="164" t="s">
        <v>26</v>
      </c>
      <c r="E48" s="165">
        <v>200</v>
      </c>
      <c r="F48" s="165">
        <v>200</v>
      </c>
      <c r="G48" s="165">
        <v>192</v>
      </c>
      <c r="H48" s="124">
        <f t="shared" si="0"/>
        <v>96</v>
      </c>
      <c r="I48" s="27"/>
    </row>
    <row r="49" spans="1:9" s="24" customFormat="1" ht="19.5" customHeight="1">
      <c r="A49" s="89"/>
      <c r="B49" s="59"/>
      <c r="C49" s="163" t="s">
        <v>198</v>
      </c>
      <c r="D49" s="164" t="s">
        <v>27</v>
      </c>
      <c r="E49" s="165">
        <v>0</v>
      </c>
      <c r="F49" s="165">
        <v>170</v>
      </c>
      <c r="G49" s="165">
        <v>170</v>
      </c>
      <c r="H49" s="124">
        <v>0</v>
      </c>
      <c r="I49" s="27"/>
    </row>
    <row r="50" spans="1:9" s="7" customFormat="1" ht="65.25" customHeight="1">
      <c r="A50" s="32" t="s">
        <v>42</v>
      </c>
      <c r="B50" s="4"/>
      <c r="C50" s="230"/>
      <c r="D50" s="225" t="s">
        <v>187</v>
      </c>
      <c r="E50" s="226">
        <f>SUM(E51,E54,E62,E75,E81,)</f>
        <v>19302834</v>
      </c>
      <c r="F50" s="226">
        <f>SUM(F51,F54,F62,F75,F81,)</f>
        <v>19854590</v>
      </c>
      <c r="G50" s="226">
        <f>SUM(G51,G54,G62,G75,G81,)</f>
        <v>20489393.52</v>
      </c>
      <c r="H50" s="34">
        <f t="shared" si="0"/>
        <v>103.19726330284331</v>
      </c>
      <c r="I50" s="27"/>
    </row>
    <row r="51" spans="1:9" s="24" customFormat="1" ht="24.75" customHeight="1">
      <c r="A51" s="82"/>
      <c r="B51" s="59">
        <v>75601</v>
      </c>
      <c r="C51" s="220"/>
      <c r="D51" s="164" t="s">
        <v>44</v>
      </c>
      <c r="E51" s="165">
        <f>SUM(E52:E53)</f>
        <v>40426</v>
      </c>
      <c r="F51" s="165">
        <f>SUM(F52:F53)</f>
        <v>56010</v>
      </c>
      <c r="G51" s="165">
        <f>SUM(G52:G53)</f>
        <v>67944.12999999999</v>
      </c>
      <c r="H51" s="124">
        <f t="shared" si="0"/>
        <v>121.30714158186035</v>
      </c>
      <c r="I51" s="27"/>
    </row>
    <row r="52" spans="1:9" s="24" customFormat="1" ht="33.75">
      <c r="A52" s="82"/>
      <c r="B52" s="59"/>
      <c r="C52" s="222" t="s">
        <v>200</v>
      </c>
      <c r="D52" s="164" t="s">
        <v>45</v>
      </c>
      <c r="E52" s="165">
        <v>40000</v>
      </c>
      <c r="F52" s="165">
        <v>54380</v>
      </c>
      <c r="G52" s="165">
        <v>65727.98</v>
      </c>
      <c r="H52" s="124">
        <f t="shared" si="0"/>
        <v>120.86792938580359</v>
      </c>
      <c r="I52" s="27"/>
    </row>
    <row r="53" spans="1:9" s="24" customFormat="1" ht="24.75" customHeight="1">
      <c r="A53" s="82"/>
      <c r="B53" s="59"/>
      <c r="C53" s="222" t="s">
        <v>201</v>
      </c>
      <c r="D53" s="164" t="s">
        <v>518</v>
      </c>
      <c r="E53" s="165">
        <v>426</v>
      </c>
      <c r="F53" s="165">
        <v>1630</v>
      </c>
      <c r="G53" s="165">
        <v>2216.15</v>
      </c>
      <c r="H53" s="124">
        <f t="shared" si="0"/>
        <v>135.96012269938652</v>
      </c>
      <c r="I53" s="27"/>
    </row>
    <row r="54" spans="1:9" s="24" customFormat="1" ht="56.25">
      <c r="A54" s="82"/>
      <c r="B54" s="83" t="s">
        <v>46</v>
      </c>
      <c r="C54" s="220"/>
      <c r="D54" s="164" t="s">
        <v>236</v>
      </c>
      <c r="E54" s="165">
        <f>SUM(E55:E61)</f>
        <v>6978961</v>
      </c>
      <c r="F54" s="165">
        <f>SUM(F55:F61)</f>
        <v>7383274</v>
      </c>
      <c r="G54" s="165">
        <f>SUM(G55:G61)</f>
        <v>7340335.11</v>
      </c>
      <c r="H54" s="124">
        <f t="shared" si="0"/>
        <v>99.41843022485689</v>
      </c>
      <c r="I54" s="27"/>
    </row>
    <row r="55" spans="1:9" s="24" customFormat="1" ht="19.5" customHeight="1">
      <c r="A55" s="82"/>
      <c r="B55" s="83"/>
      <c r="C55" s="163" t="s">
        <v>202</v>
      </c>
      <c r="D55" s="164" t="s">
        <v>47</v>
      </c>
      <c r="E55" s="165">
        <v>6371350</v>
      </c>
      <c r="F55" s="165">
        <v>6737000</v>
      </c>
      <c r="G55" s="165">
        <v>6702015.32</v>
      </c>
      <c r="H55" s="124">
        <f t="shared" si="0"/>
        <v>99.48070832714858</v>
      </c>
      <c r="I55" s="27"/>
    </row>
    <row r="56" spans="1:9" s="24" customFormat="1" ht="19.5" customHeight="1">
      <c r="A56" s="82"/>
      <c r="B56" s="83"/>
      <c r="C56" s="163" t="s">
        <v>203</v>
      </c>
      <c r="D56" s="164" t="s">
        <v>48</v>
      </c>
      <c r="E56" s="165">
        <v>27402</v>
      </c>
      <c r="F56" s="165">
        <v>27402</v>
      </c>
      <c r="G56" s="165">
        <v>21413.73</v>
      </c>
      <c r="H56" s="124">
        <f t="shared" si="0"/>
        <v>78.14659513904094</v>
      </c>
      <c r="I56" s="27"/>
    </row>
    <row r="57" spans="1:9" s="24" customFormat="1" ht="19.5" customHeight="1">
      <c r="A57" s="82"/>
      <c r="B57" s="83"/>
      <c r="C57" s="163" t="s">
        <v>204</v>
      </c>
      <c r="D57" s="164" t="s">
        <v>49</v>
      </c>
      <c r="E57" s="165">
        <v>306492</v>
      </c>
      <c r="F57" s="165">
        <v>306492</v>
      </c>
      <c r="G57" s="165">
        <v>309244.01</v>
      </c>
      <c r="H57" s="124">
        <f t="shared" si="0"/>
        <v>100.89790598123278</v>
      </c>
      <c r="I57" s="27"/>
    </row>
    <row r="58" spans="1:9" s="24" customFormat="1" ht="19.5" customHeight="1">
      <c r="A58" s="82"/>
      <c r="B58" s="83"/>
      <c r="C58" s="163" t="s">
        <v>205</v>
      </c>
      <c r="D58" s="164" t="s">
        <v>50</v>
      </c>
      <c r="E58" s="165">
        <v>38000</v>
      </c>
      <c r="F58" s="165">
        <v>48000</v>
      </c>
      <c r="G58" s="165">
        <v>46126</v>
      </c>
      <c r="H58" s="124">
        <f t="shared" si="0"/>
        <v>96.09583333333333</v>
      </c>
      <c r="I58" s="27"/>
    </row>
    <row r="59" spans="1:9" s="24" customFormat="1" ht="19.5" customHeight="1">
      <c r="A59" s="82"/>
      <c r="B59" s="83"/>
      <c r="C59" s="163" t="s">
        <v>212</v>
      </c>
      <c r="D59" s="164" t="s">
        <v>57</v>
      </c>
      <c r="E59" s="165">
        <v>0</v>
      </c>
      <c r="F59" s="165">
        <v>0</v>
      </c>
      <c r="G59" s="165">
        <v>345.2</v>
      </c>
      <c r="H59" s="124">
        <v>0</v>
      </c>
      <c r="I59" s="27"/>
    </row>
    <row r="60" spans="1:9" s="24" customFormat="1" ht="24.75" customHeight="1">
      <c r="A60" s="82"/>
      <c r="B60" s="83"/>
      <c r="C60" s="231" t="s">
        <v>201</v>
      </c>
      <c r="D60" s="232" t="s">
        <v>251</v>
      </c>
      <c r="E60" s="211">
        <v>7000</v>
      </c>
      <c r="F60" s="211">
        <v>34000</v>
      </c>
      <c r="G60" s="211">
        <v>30810.85</v>
      </c>
      <c r="H60" s="124">
        <f t="shared" si="0"/>
        <v>90.62014705882353</v>
      </c>
      <c r="I60" s="27"/>
    </row>
    <row r="61" spans="1:9" s="24" customFormat="1" ht="24.75" customHeight="1">
      <c r="A61" s="82"/>
      <c r="B61" s="83"/>
      <c r="C61" s="163">
        <v>2680</v>
      </c>
      <c r="D61" s="164" t="s">
        <v>517</v>
      </c>
      <c r="E61" s="165">
        <v>228717</v>
      </c>
      <c r="F61" s="165">
        <v>230380</v>
      </c>
      <c r="G61" s="165">
        <v>230380</v>
      </c>
      <c r="H61" s="124">
        <f t="shared" si="0"/>
        <v>100</v>
      </c>
      <c r="I61" s="27"/>
    </row>
    <row r="62" spans="1:9" s="24" customFormat="1" ht="56.25">
      <c r="A62" s="82"/>
      <c r="B62" s="83">
        <v>75616</v>
      </c>
      <c r="C62" s="163"/>
      <c r="D62" s="164" t="s">
        <v>237</v>
      </c>
      <c r="E62" s="165">
        <f>SUM(E63:E74)</f>
        <v>3276006</v>
      </c>
      <c r="F62" s="165">
        <f>SUM(F63:F74)</f>
        <v>3558006</v>
      </c>
      <c r="G62" s="165">
        <f>SUM(G63:G74)</f>
        <v>3510040.18</v>
      </c>
      <c r="H62" s="124">
        <f t="shared" si="0"/>
        <v>98.65189041277614</v>
      </c>
      <c r="I62" s="27"/>
    </row>
    <row r="63" spans="1:9" s="24" customFormat="1" ht="19.5" customHeight="1">
      <c r="A63" s="82"/>
      <c r="B63" s="83"/>
      <c r="C63" s="163" t="s">
        <v>202</v>
      </c>
      <c r="D63" s="164" t="s">
        <v>47</v>
      </c>
      <c r="E63" s="165">
        <v>2188575</v>
      </c>
      <c r="F63" s="165">
        <v>2188575</v>
      </c>
      <c r="G63" s="165">
        <v>2144793.12</v>
      </c>
      <c r="H63" s="124">
        <f t="shared" si="0"/>
        <v>97.99952571878963</v>
      </c>
      <c r="I63" s="27"/>
    </row>
    <row r="64" spans="1:9" s="24" customFormat="1" ht="19.5" customHeight="1">
      <c r="A64" s="82"/>
      <c r="B64" s="83"/>
      <c r="C64" s="163" t="s">
        <v>203</v>
      </c>
      <c r="D64" s="164" t="s">
        <v>48</v>
      </c>
      <c r="E64" s="165">
        <v>366931</v>
      </c>
      <c r="F64" s="165">
        <v>366931</v>
      </c>
      <c r="G64" s="165">
        <v>311731.86</v>
      </c>
      <c r="H64" s="124">
        <f t="shared" si="0"/>
        <v>84.95653406226238</v>
      </c>
      <c r="I64" s="27"/>
    </row>
    <row r="65" spans="1:9" s="24" customFormat="1" ht="19.5" customHeight="1">
      <c r="A65" s="82"/>
      <c r="B65" s="83"/>
      <c r="C65" s="163" t="s">
        <v>204</v>
      </c>
      <c r="D65" s="164" t="s">
        <v>49</v>
      </c>
      <c r="E65" s="165">
        <v>7200</v>
      </c>
      <c r="F65" s="165">
        <v>7200</v>
      </c>
      <c r="G65" s="165">
        <v>7593.37</v>
      </c>
      <c r="H65" s="124">
        <f t="shared" si="0"/>
        <v>105.46347222222221</v>
      </c>
      <c r="I65" s="27"/>
    </row>
    <row r="66" spans="1:9" s="24" customFormat="1" ht="19.5" customHeight="1">
      <c r="A66" s="82"/>
      <c r="B66" s="83"/>
      <c r="C66" s="163" t="s">
        <v>205</v>
      </c>
      <c r="D66" s="164" t="s">
        <v>50</v>
      </c>
      <c r="E66" s="165">
        <v>195000</v>
      </c>
      <c r="F66" s="165">
        <v>220000</v>
      </c>
      <c r="G66" s="165">
        <v>224829.36</v>
      </c>
      <c r="H66" s="124">
        <f t="shared" si="0"/>
        <v>102.19516363636363</v>
      </c>
      <c r="I66" s="27"/>
    </row>
    <row r="67" spans="1:9" s="24" customFormat="1" ht="19.5" customHeight="1">
      <c r="A67" s="82"/>
      <c r="B67" s="83"/>
      <c r="C67" s="163" t="s">
        <v>206</v>
      </c>
      <c r="D67" s="164" t="s">
        <v>52</v>
      </c>
      <c r="E67" s="165">
        <v>0</v>
      </c>
      <c r="F67" s="165">
        <v>36000</v>
      </c>
      <c r="G67" s="165">
        <v>57350.4</v>
      </c>
      <c r="H67" s="124">
        <f t="shared" si="0"/>
        <v>159.30666666666667</v>
      </c>
      <c r="I67" s="27"/>
    </row>
    <row r="68" spans="1:9" s="24" customFormat="1" ht="19.5" customHeight="1">
      <c r="A68" s="82"/>
      <c r="B68" s="83"/>
      <c r="C68" s="163" t="s">
        <v>207</v>
      </c>
      <c r="D68" s="164" t="s">
        <v>53</v>
      </c>
      <c r="E68" s="165">
        <v>6000</v>
      </c>
      <c r="F68" s="165">
        <v>6000</v>
      </c>
      <c r="G68" s="165">
        <v>4707.3</v>
      </c>
      <c r="H68" s="124">
        <f t="shared" si="0"/>
        <v>78.45500000000001</v>
      </c>
      <c r="I68" s="27"/>
    </row>
    <row r="69" spans="1:9" s="24" customFormat="1" ht="19.5" customHeight="1">
      <c r="A69" s="82"/>
      <c r="B69" s="83"/>
      <c r="C69" s="163" t="s">
        <v>208</v>
      </c>
      <c r="D69" s="164" t="s">
        <v>54</v>
      </c>
      <c r="E69" s="165">
        <v>70000</v>
      </c>
      <c r="F69" s="165">
        <v>70000</v>
      </c>
      <c r="G69" s="165">
        <v>59402.5</v>
      </c>
      <c r="H69" s="124">
        <f t="shared" si="0"/>
        <v>84.8607142857143</v>
      </c>
      <c r="I69" s="27"/>
    </row>
    <row r="70" spans="1:9" s="24" customFormat="1" ht="19.5" customHeight="1">
      <c r="A70" s="82"/>
      <c r="B70" s="83"/>
      <c r="C70" s="163" t="s">
        <v>209</v>
      </c>
      <c r="D70" s="164" t="s">
        <v>55</v>
      </c>
      <c r="E70" s="165">
        <v>300</v>
      </c>
      <c r="F70" s="165">
        <v>300</v>
      </c>
      <c r="G70" s="165">
        <v>48.14</v>
      </c>
      <c r="H70" s="124">
        <f t="shared" si="0"/>
        <v>16.046666666666667</v>
      </c>
      <c r="I70" s="27"/>
    </row>
    <row r="71" spans="1:9" s="24" customFormat="1" ht="24.75" customHeight="1">
      <c r="A71" s="82"/>
      <c r="B71" s="83"/>
      <c r="C71" s="163" t="s">
        <v>210</v>
      </c>
      <c r="D71" s="164" t="s">
        <v>56</v>
      </c>
      <c r="E71" s="165">
        <v>2000</v>
      </c>
      <c r="F71" s="165">
        <v>0</v>
      </c>
      <c r="G71" s="165">
        <v>0</v>
      </c>
      <c r="H71" s="124">
        <v>0</v>
      </c>
      <c r="I71" s="27"/>
    </row>
    <row r="72" spans="1:9" s="24" customFormat="1" ht="19.5" customHeight="1">
      <c r="A72" s="82"/>
      <c r="B72" s="83"/>
      <c r="C72" s="163" t="s">
        <v>212</v>
      </c>
      <c r="D72" s="164" t="s">
        <v>57</v>
      </c>
      <c r="E72" s="165">
        <v>400000</v>
      </c>
      <c r="F72" s="165">
        <v>606000</v>
      </c>
      <c r="G72" s="165">
        <v>646380.58</v>
      </c>
      <c r="H72" s="124">
        <f t="shared" si="0"/>
        <v>106.6634620462046</v>
      </c>
      <c r="I72" s="27"/>
    </row>
    <row r="73" spans="1:9" s="24" customFormat="1" ht="24.75" customHeight="1">
      <c r="A73" s="82"/>
      <c r="B73" s="83"/>
      <c r="C73" s="163" t="s">
        <v>201</v>
      </c>
      <c r="D73" s="164" t="s">
        <v>251</v>
      </c>
      <c r="E73" s="165">
        <v>40000</v>
      </c>
      <c r="F73" s="165">
        <v>57000</v>
      </c>
      <c r="G73" s="165">
        <v>52358.08</v>
      </c>
      <c r="H73" s="124">
        <f t="shared" si="0"/>
        <v>91.85628070175439</v>
      </c>
      <c r="I73" s="27"/>
    </row>
    <row r="74" spans="1:9" s="24" customFormat="1" ht="19.5" customHeight="1">
      <c r="A74" s="82"/>
      <c r="B74" s="83"/>
      <c r="C74" s="163" t="s">
        <v>198</v>
      </c>
      <c r="D74" s="164" t="s">
        <v>27</v>
      </c>
      <c r="E74" s="165">
        <v>0</v>
      </c>
      <c r="F74" s="165">
        <v>0</v>
      </c>
      <c r="G74" s="165">
        <v>845.47</v>
      </c>
      <c r="H74" s="289" t="s">
        <v>514</v>
      </c>
      <c r="I74" s="27"/>
    </row>
    <row r="75" spans="1:9" s="24" customFormat="1" ht="33.75">
      <c r="A75" s="82"/>
      <c r="B75" s="83" t="s">
        <v>58</v>
      </c>
      <c r="C75" s="220"/>
      <c r="D75" s="164" t="s">
        <v>59</v>
      </c>
      <c r="E75" s="165">
        <f>SUM(E76:E80)</f>
        <v>604000</v>
      </c>
      <c r="F75" s="165">
        <f>SUM(F76:F80)</f>
        <v>502790</v>
      </c>
      <c r="G75" s="165">
        <f>SUM(G76:G80)</f>
        <v>507937.45</v>
      </c>
      <c r="H75" s="124">
        <f t="shared" si="0"/>
        <v>101.02377732254023</v>
      </c>
      <c r="I75" s="27"/>
    </row>
    <row r="76" spans="1:9" s="24" customFormat="1" ht="19.5" customHeight="1">
      <c r="A76" s="82"/>
      <c r="B76" s="83"/>
      <c r="C76" s="163" t="s">
        <v>213</v>
      </c>
      <c r="D76" s="164" t="s">
        <v>60</v>
      </c>
      <c r="E76" s="165">
        <v>200000</v>
      </c>
      <c r="F76" s="165">
        <v>152000</v>
      </c>
      <c r="G76" s="165">
        <v>142196.65</v>
      </c>
      <c r="H76" s="124">
        <f t="shared" si="0"/>
        <v>93.55042763157894</v>
      </c>
      <c r="I76" s="27"/>
    </row>
    <row r="77" spans="1:9" s="24" customFormat="1" ht="19.5" customHeight="1">
      <c r="A77" s="82"/>
      <c r="B77" s="83"/>
      <c r="C77" s="163" t="s">
        <v>211</v>
      </c>
      <c r="D77" s="164" t="s">
        <v>51</v>
      </c>
      <c r="E77" s="165">
        <v>14000</v>
      </c>
      <c r="F77" s="165">
        <v>20000</v>
      </c>
      <c r="G77" s="165">
        <v>20048.73</v>
      </c>
      <c r="H77" s="124">
        <f t="shared" si="0"/>
        <v>100.24365</v>
      </c>
      <c r="I77" s="27"/>
    </row>
    <row r="78" spans="1:9" s="24" customFormat="1" ht="21.75" customHeight="1">
      <c r="A78" s="82"/>
      <c r="B78" s="83"/>
      <c r="C78" s="163" t="s">
        <v>217</v>
      </c>
      <c r="D78" s="164" t="s">
        <v>284</v>
      </c>
      <c r="E78" s="165">
        <v>290000</v>
      </c>
      <c r="F78" s="165">
        <v>315710</v>
      </c>
      <c r="G78" s="165">
        <v>317461.99</v>
      </c>
      <c r="H78" s="124">
        <f t="shared" si="0"/>
        <v>100.55493649235056</v>
      </c>
      <c r="I78" s="27"/>
    </row>
    <row r="79" spans="1:9" s="24" customFormat="1" ht="45">
      <c r="A79" s="82"/>
      <c r="B79" s="83"/>
      <c r="C79" s="163" t="s">
        <v>194</v>
      </c>
      <c r="D79" s="164" t="s">
        <v>19</v>
      </c>
      <c r="E79" s="165">
        <v>100000</v>
      </c>
      <c r="F79" s="165">
        <v>15000</v>
      </c>
      <c r="G79" s="165">
        <v>28110.58</v>
      </c>
      <c r="H79" s="124">
        <f t="shared" si="0"/>
        <v>187.4038666666667</v>
      </c>
      <c r="I79" s="27"/>
    </row>
    <row r="80" spans="1:9" s="24" customFormat="1" ht="21.75" customHeight="1">
      <c r="A80" s="82"/>
      <c r="B80" s="83"/>
      <c r="C80" s="163" t="s">
        <v>201</v>
      </c>
      <c r="D80" s="164" t="s">
        <v>251</v>
      </c>
      <c r="E80" s="165">
        <v>0</v>
      </c>
      <c r="F80" s="165">
        <v>80</v>
      </c>
      <c r="G80" s="165">
        <v>119.5</v>
      </c>
      <c r="H80" s="124">
        <v>0</v>
      </c>
      <c r="I80" s="27"/>
    </row>
    <row r="81" spans="1:9" s="24" customFormat="1" ht="21.75" customHeight="1">
      <c r="A81" s="82"/>
      <c r="B81" s="83" t="s">
        <v>61</v>
      </c>
      <c r="C81" s="220"/>
      <c r="D81" s="164" t="s">
        <v>62</v>
      </c>
      <c r="E81" s="165">
        <f>SUM(E82:E83)</f>
        <v>8403441</v>
      </c>
      <c r="F81" s="165">
        <f>SUM(F82:F83)</f>
        <v>8354510</v>
      </c>
      <c r="G81" s="165">
        <f>SUM(G82:G83)</f>
        <v>9063136.65</v>
      </c>
      <c r="H81" s="124">
        <f t="shared" si="0"/>
        <v>108.48196542945068</v>
      </c>
      <c r="I81" s="27"/>
    </row>
    <row r="82" spans="1:9" s="24" customFormat="1" ht="19.5" customHeight="1">
      <c r="A82" s="82"/>
      <c r="B82" s="83"/>
      <c r="C82" s="163" t="s">
        <v>214</v>
      </c>
      <c r="D82" s="164" t="s">
        <v>63</v>
      </c>
      <c r="E82" s="165">
        <v>7728441</v>
      </c>
      <c r="F82" s="165">
        <v>7629510</v>
      </c>
      <c r="G82" s="165">
        <v>8248889</v>
      </c>
      <c r="H82" s="124">
        <f t="shared" si="0"/>
        <v>108.11820156209247</v>
      </c>
      <c r="I82" s="27"/>
    </row>
    <row r="83" spans="1:9" s="24" customFormat="1" ht="19.5" customHeight="1">
      <c r="A83" s="82"/>
      <c r="B83" s="83"/>
      <c r="C83" s="163" t="s">
        <v>215</v>
      </c>
      <c r="D83" s="164" t="s">
        <v>64</v>
      </c>
      <c r="E83" s="165">
        <v>675000</v>
      </c>
      <c r="F83" s="165">
        <v>725000</v>
      </c>
      <c r="G83" s="165">
        <v>814247.65</v>
      </c>
      <c r="H83" s="124">
        <f t="shared" si="0"/>
        <v>112.31002068965516</v>
      </c>
      <c r="I83" s="27"/>
    </row>
    <row r="84" spans="1:9" s="7" customFormat="1" ht="19.5" customHeight="1">
      <c r="A84" s="32" t="s">
        <v>65</v>
      </c>
      <c r="B84" s="4"/>
      <c r="C84" s="230"/>
      <c r="D84" s="225" t="s">
        <v>66</v>
      </c>
      <c r="E84" s="226">
        <f>SUM(E85,E87,E89,E93,E91)</f>
        <v>15318162</v>
      </c>
      <c r="F84" s="226">
        <f>SUM(F85,F87,F89,F93,F91)</f>
        <v>15053397</v>
      </c>
      <c r="G84" s="226">
        <f>SUM(G85,G87,G89,G93,G91)</f>
        <v>15059521.03</v>
      </c>
      <c r="H84" s="34">
        <f t="shared" si="0"/>
        <v>100.04068204671677</v>
      </c>
      <c r="I84" s="27"/>
    </row>
    <row r="85" spans="1:9" s="24" customFormat="1" ht="24.75" customHeight="1">
      <c r="A85" s="82"/>
      <c r="B85" s="83" t="s">
        <v>67</v>
      </c>
      <c r="C85" s="220"/>
      <c r="D85" s="164" t="s">
        <v>68</v>
      </c>
      <c r="E85" s="165">
        <f>SUM(E86)</f>
        <v>12093870</v>
      </c>
      <c r="F85" s="165">
        <f>SUM(F86)</f>
        <v>11749105</v>
      </c>
      <c r="G85" s="165">
        <f>SUM(G86)</f>
        <v>11749105</v>
      </c>
      <c r="H85" s="124">
        <f aca="true" t="shared" si="3" ref="H85:H153">G85/F85*100</f>
        <v>100</v>
      </c>
      <c r="I85" s="27"/>
    </row>
    <row r="86" spans="1:9" s="24" customFormat="1" ht="19.5" customHeight="1">
      <c r="A86" s="82"/>
      <c r="B86" s="83"/>
      <c r="C86" s="163">
        <v>2920</v>
      </c>
      <c r="D86" s="164" t="s">
        <v>69</v>
      </c>
      <c r="E86" s="165">
        <v>12093870</v>
      </c>
      <c r="F86" s="165">
        <v>11749105</v>
      </c>
      <c r="G86" s="165">
        <v>11749105</v>
      </c>
      <c r="H86" s="124">
        <f t="shared" si="3"/>
        <v>100</v>
      </c>
      <c r="I86" s="27"/>
    </row>
    <row r="87" spans="1:9" s="24" customFormat="1" ht="24.75" customHeight="1">
      <c r="A87" s="82"/>
      <c r="B87" s="83" t="s">
        <v>228</v>
      </c>
      <c r="C87" s="220"/>
      <c r="D87" s="164" t="s">
        <v>227</v>
      </c>
      <c r="E87" s="165">
        <f>SUM(E88)</f>
        <v>2424673</v>
      </c>
      <c r="F87" s="165">
        <f>SUM(F88)</f>
        <v>2424673</v>
      </c>
      <c r="G87" s="165">
        <f>SUM(G88)</f>
        <v>2424673</v>
      </c>
      <c r="H87" s="124">
        <f t="shared" si="3"/>
        <v>100</v>
      </c>
      <c r="I87" s="27"/>
    </row>
    <row r="88" spans="1:9" s="24" customFormat="1" ht="19.5" customHeight="1">
      <c r="A88" s="82"/>
      <c r="B88" s="83"/>
      <c r="C88" s="163">
        <v>2920</v>
      </c>
      <c r="D88" s="164" t="s">
        <v>69</v>
      </c>
      <c r="E88" s="165">
        <v>2424673</v>
      </c>
      <c r="F88" s="165">
        <v>2424673</v>
      </c>
      <c r="G88" s="165">
        <v>2424673</v>
      </c>
      <c r="H88" s="124">
        <f t="shared" si="3"/>
        <v>100</v>
      </c>
      <c r="I88" s="27"/>
    </row>
    <row r="89" spans="1:9" s="24" customFormat="1" ht="19.5" customHeight="1">
      <c r="A89" s="82"/>
      <c r="B89" s="83">
        <v>75814</v>
      </c>
      <c r="C89" s="220"/>
      <c r="D89" s="164" t="s">
        <v>70</v>
      </c>
      <c r="E89" s="165">
        <f>SUM(E90)</f>
        <v>10000</v>
      </c>
      <c r="F89" s="165">
        <f>SUM(F90)</f>
        <v>90000</v>
      </c>
      <c r="G89" s="165">
        <f>SUM(G90)</f>
        <v>96121.03</v>
      </c>
      <c r="H89" s="124">
        <f t="shared" si="3"/>
        <v>106.80114444444445</v>
      </c>
      <c r="I89" s="27"/>
    </row>
    <row r="90" spans="1:9" s="24" customFormat="1" ht="19.5" customHeight="1">
      <c r="A90" s="82"/>
      <c r="B90" s="83"/>
      <c r="C90" s="163" t="s">
        <v>197</v>
      </c>
      <c r="D90" s="164" t="s">
        <v>26</v>
      </c>
      <c r="E90" s="165">
        <v>10000</v>
      </c>
      <c r="F90" s="165">
        <v>90000</v>
      </c>
      <c r="G90" s="165">
        <v>96121.03</v>
      </c>
      <c r="H90" s="124">
        <f t="shared" si="3"/>
        <v>106.80114444444445</v>
      </c>
      <c r="I90" s="27"/>
    </row>
    <row r="91" spans="1:9" s="24" customFormat="1" ht="19.5" customHeight="1">
      <c r="A91" s="82"/>
      <c r="B91" s="83">
        <v>75815</v>
      </c>
      <c r="C91" s="163"/>
      <c r="D91" s="164" t="s">
        <v>504</v>
      </c>
      <c r="E91" s="165">
        <f>SUM(E92)</f>
        <v>0</v>
      </c>
      <c r="F91" s="165">
        <f>SUM(F92)</f>
        <v>0</v>
      </c>
      <c r="G91" s="165">
        <f>SUM(G92)</f>
        <v>3</v>
      </c>
      <c r="H91" s="124">
        <v>0</v>
      </c>
      <c r="I91" s="27"/>
    </row>
    <row r="92" spans="1:9" s="24" customFormat="1" ht="19.5" customHeight="1">
      <c r="A92" s="82"/>
      <c r="B92" s="83"/>
      <c r="C92" s="163">
        <v>2980</v>
      </c>
      <c r="D92" s="164" t="s">
        <v>505</v>
      </c>
      <c r="E92" s="165">
        <v>0</v>
      </c>
      <c r="F92" s="165">
        <v>0</v>
      </c>
      <c r="G92" s="165">
        <v>3</v>
      </c>
      <c r="H92" s="124">
        <v>0</v>
      </c>
      <c r="I92" s="27"/>
    </row>
    <row r="93" spans="1:9" s="24" customFormat="1" ht="24.75" customHeight="1">
      <c r="A93" s="82"/>
      <c r="B93" s="83" t="s">
        <v>270</v>
      </c>
      <c r="C93" s="220"/>
      <c r="D93" s="164" t="s">
        <v>271</v>
      </c>
      <c r="E93" s="165">
        <f>SUM(E94)</f>
        <v>789619</v>
      </c>
      <c r="F93" s="165">
        <f>SUM(F94)</f>
        <v>789619</v>
      </c>
      <c r="G93" s="165">
        <f>SUM(G94)</f>
        <v>789619</v>
      </c>
      <c r="H93" s="124">
        <f t="shared" si="3"/>
        <v>100</v>
      </c>
      <c r="I93" s="27"/>
    </row>
    <row r="94" spans="1:9" s="24" customFormat="1" ht="19.5" customHeight="1">
      <c r="A94" s="82"/>
      <c r="B94" s="83"/>
      <c r="C94" s="163">
        <v>2920</v>
      </c>
      <c r="D94" s="164" t="s">
        <v>69</v>
      </c>
      <c r="E94" s="165">
        <v>789619</v>
      </c>
      <c r="F94" s="165">
        <v>789619</v>
      </c>
      <c r="G94" s="165">
        <v>789619</v>
      </c>
      <c r="H94" s="124">
        <f t="shared" si="3"/>
        <v>100</v>
      </c>
      <c r="I94" s="27"/>
    </row>
    <row r="95" spans="1:9" s="24" customFormat="1" ht="19.5" customHeight="1">
      <c r="A95" s="37" t="s">
        <v>132</v>
      </c>
      <c r="B95" s="38"/>
      <c r="C95" s="227"/>
      <c r="D95" s="228" t="s">
        <v>133</v>
      </c>
      <c r="E95" s="226">
        <f>SUM(E96,E102,E106,E110)</f>
        <v>56073</v>
      </c>
      <c r="F95" s="226">
        <f>SUM(F96,F102,F106,F110)</f>
        <v>455747</v>
      </c>
      <c r="G95" s="226">
        <f>SUM(G96,G102,G106,G110)</f>
        <v>418248.85000000003</v>
      </c>
      <c r="H95" s="34">
        <f t="shared" si="3"/>
        <v>91.77215648155666</v>
      </c>
      <c r="I95" s="27"/>
    </row>
    <row r="96" spans="1:9" s="24" customFormat="1" ht="19.5" customHeight="1">
      <c r="A96" s="77"/>
      <c r="B96" s="94" t="s">
        <v>134</v>
      </c>
      <c r="C96" s="229"/>
      <c r="D96" s="210" t="s">
        <v>71</v>
      </c>
      <c r="E96" s="165">
        <f>SUM(E97:E101)</f>
        <v>41675</v>
      </c>
      <c r="F96" s="165">
        <f>SUM(F97:F101)</f>
        <v>138912</v>
      </c>
      <c r="G96" s="165">
        <f>SUM(G97:G101)</f>
        <v>103224.61000000002</v>
      </c>
      <c r="H96" s="124">
        <f t="shared" si="3"/>
        <v>74.30935412347387</v>
      </c>
      <c r="I96" s="27"/>
    </row>
    <row r="97" spans="1:9" s="24" customFormat="1" ht="67.5">
      <c r="A97" s="94"/>
      <c r="B97" s="77"/>
      <c r="C97" s="233" t="s">
        <v>196</v>
      </c>
      <c r="D97" s="210" t="s">
        <v>76</v>
      </c>
      <c r="E97" s="165">
        <v>38735</v>
      </c>
      <c r="F97" s="165">
        <v>43735</v>
      </c>
      <c r="G97" s="165">
        <v>48355.91</v>
      </c>
      <c r="H97" s="124">
        <f t="shared" si="3"/>
        <v>110.56570252658055</v>
      </c>
      <c r="I97" s="27"/>
    </row>
    <row r="98" spans="1:9" s="24" customFormat="1" ht="19.5" customHeight="1">
      <c r="A98" s="94"/>
      <c r="B98" s="77"/>
      <c r="C98" s="234" t="s">
        <v>198</v>
      </c>
      <c r="D98" s="164" t="s">
        <v>27</v>
      </c>
      <c r="E98" s="165">
        <v>0</v>
      </c>
      <c r="F98" s="165">
        <v>12762</v>
      </c>
      <c r="G98" s="165">
        <v>11732.66</v>
      </c>
      <c r="H98" s="124">
        <v>0</v>
      </c>
      <c r="I98" s="27"/>
    </row>
    <row r="99" spans="1:9" s="24" customFormat="1" ht="45">
      <c r="A99" s="94"/>
      <c r="B99" s="77"/>
      <c r="C99" s="234">
        <v>2030</v>
      </c>
      <c r="D99" s="164" t="s">
        <v>253</v>
      </c>
      <c r="E99" s="165">
        <v>0</v>
      </c>
      <c r="F99" s="165">
        <v>68198</v>
      </c>
      <c r="G99" s="165">
        <v>29060.69</v>
      </c>
      <c r="H99" s="124">
        <f t="shared" si="3"/>
        <v>42.61223203026481</v>
      </c>
      <c r="I99" s="27"/>
    </row>
    <row r="100" spans="1:9" s="24" customFormat="1" ht="56.25">
      <c r="A100" s="94"/>
      <c r="B100" s="77"/>
      <c r="C100" s="234">
        <v>2310</v>
      </c>
      <c r="D100" s="210" t="s">
        <v>455</v>
      </c>
      <c r="E100" s="165">
        <v>2940</v>
      </c>
      <c r="F100" s="165">
        <v>2940</v>
      </c>
      <c r="G100" s="165">
        <v>2798.66</v>
      </c>
      <c r="H100" s="124">
        <f t="shared" si="3"/>
        <v>95.19251700680272</v>
      </c>
      <c r="I100" s="27"/>
    </row>
    <row r="101" spans="1:9" s="24" customFormat="1" ht="33.75">
      <c r="A101" s="94"/>
      <c r="B101" s="77"/>
      <c r="C101" s="234">
        <v>2400</v>
      </c>
      <c r="D101" s="164" t="s">
        <v>457</v>
      </c>
      <c r="E101" s="165">
        <v>0</v>
      </c>
      <c r="F101" s="165">
        <v>11277</v>
      </c>
      <c r="G101" s="165">
        <v>11276.69</v>
      </c>
      <c r="H101" s="124">
        <f t="shared" si="3"/>
        <v>99.99725104194378</v>
      </c>
      <c r="I101" s="27"/>
    </row>
    <row r="102" spans="1:9" s="24" customFormat="1" ht="19.5" customHeight="1">
      <c r="A102" s="82"/>
      <c r="B102" s="83">
        <v>80104</v>
      </c>
      <c r="C102" s="163"/>
      <c r="D102" s="210" t="s">
        <v>147</v>
      </c>
      <c r="E102" s="165">
        <f>SUM(E103:E105)</f>
        <v>6569</v>
      </c>
      <c r="F102" s="165">
        <f>SUM(F103:F105)</f>
        <v>93908</v>
      </c>
      <c r="G102" s="165">
        <f>SUM(G103:G105)</f>
        <v>93456.73</v>
      </c>
      <c r="H102" s="124">
        <f t="shared" si="3"/>
        <v>99.51945521148357</v>
      </c>
      <c r="I102" s="27"/>
    </row>
    <row r="103" spans="1:9" s="24" customFormat="1" ht="67.5">
      <c r="A103" s="82"/>
      <c r="B103" s="83"/>
      <c r="C103" s="163" t="s">
        <v>196</v>
      </c>
      <c r="D103" s="210" t="s">
        <v>76</v>
      </c>
      <c r="E103" s="165">
        <v>6569</v>
      </c>
      <c r="F103" s="165">
        <v>6569</v>
      </c>
      <c r="G103" s="165">
        <v>6118.2</v>
      </c>
      <c r="H103" s="124">
        <f t="shared" si="3"/>
        <v>93.13746384533414</v>
      </c>
      <c r="I103" s="27"/>
    </row>
    <row r="104" spans="1:9" s="24" customFormat="1" ht="19.5" customHeight="1">
      <c r="A104" s="82"/>
      <c r="B104" s="83"/>
      <c r="C104" s="163" t="s">
        <v>198</v>
      </c>
      <c r="D104" s="232" t="s">
        <v>27</v>
      </c>
      <c r="E104" s="165">
        <v>0</v>
      </c>
      <c r="F104" s="165">
        <v>500</v>
      </c>
      <c r="G104" s="165">
        <v>500</v>
      </c>
      <c r="H104" s="124">
        <v>0</v>
      </c>
      <c r="I104" s="27"/>
    </row>
    <row r="105" spans="1:9" s="24" customFormat="1" ht="21.75" customHeight="1">
      <c r="A105" s="82"/>
      <c r="B105" s="83"/>
      <c r="C105" s="163">
        <v>2370</v>
      </c>
      <c r="D105" s="232" t="s">
        <v>545</v>
      </c>
      <c r="E105" s="165">
        <v>0</v>
      </c>
      <c r="F105" s="165">
        <v>86839</v>
      </c>
      <c r="G105" s="165">
        <v>86838.53</v>
      </c>
      <c r="H105" s="124">
        <v>0</v>
      </c>
      <c r="I105" s="27"/>
    </row>
    <row r="106" spans="1:9" s="24" customFormat="1" ht="19.5" customHeight="1">
      <c r="A106" s="82"/>
      <c r="B106" s="83">
        <v>80110</v>
      </c>
      <c r="C106" s="163"/>
      <c r="D106" s="210" t="s">
        <v>72</v>
      </c>
      <c r="E106" s="165">
        <f>SUM(E107:E109)</f>
        <v>7829</v>
      </c>
      <c r="F106" s="165">
        <f>SUM(F107:F109)</f>
        <v>16077</v>
      </c>
      <c r="G106" s="165">
        <f>SUM(G107:G109)</f>
        <v>14717.810000000001</v>
      </c>
      <c r="H106" s="124">
        <f t="shared" si="3"/>
        <v>91.54574858493501</v>
      </c>
      <c r="I106" s="27"/>
    </row>
    <row r="107" spans="1:9" s="24" customFormat="1" ht="67.5">
      <c r="A107" s="82"/>
      <c r="B107" s="83"/>
      <c r="C107" s="163" t="s">
        <v>196</v>
      </c>
      <c r="D107" s="210" t="s">
        <v>76</v>
      </c>
      <c r="E107" s="165">
        <v>7829</v>
      </c>
      <c r="F107" s="165">
        <v>7829</v>
      </c>
      <c r="G107" s="165">
        <v>6469.71</v>
      </c>
      <c r="H107" s="124">
        <f t="shared" si="3"/>
        <v>82.63775705709541</v>
      </c>
      <c r="I107" s="27"/>
    </row>
    <row r="108" spans="1:9" s="24" customFormat="1" ht="19.5" customHeight="1">
      <c r="A108" s="82"/>
      <c r="B108" s="83"/>
      <c r="C108" s="163" t="s">
        <v>198</v>
      </c>
      <c r="D108" s="232" t="s">
        <v>27</v>
      </c>
      <c r="E108" s="165">
        <v>0</v>
      </c>
      <c r="F108" s="165">
        <v>2030</v>
      </c>
      <c r="G108" s="165">
        <v>2029.66</v>
      </c>
      <c r="H108" s="124">
        <v>0</v>
      </c>
      <c r="I108" s="27"/>
    </row>
    <row r="109" spans="1:9" s="24" customFormat="1" ht="33.75">
      <c r="A109" s="82"/>
      <c r="B109" s="83"/>
      <c r="C109" s="163">
        <v>2400</v>
      </c>
      <c r="D109" s="164" t="s">
        <v>440</v>
      </c>
      <c r="E109" s="165">
        <v>0</v>
      </c>
      <c r="F109" s="165">
        <v>6218</v>
      </c>
      <c r="G109" s="165">
        <v>6218.44</v>
      </c>
      <c r="H109" s="124">
        <f t="shared" si="3"/>
        <v>100.00707623029912</v>
      </c>
      <c r="I109" s="27"/>
    </row>
    <row r="110" spans="1:9" s="24" customFormat="1" ht="19.5" customHeight="1">
      <c r="A110" s="82"/>
      <c r="B110" s="83">
        <v>80195</v>
      </c>
      <c r="C110" s="163"/>
      <c r="D110" s="164" t="s">
        <v>18</v>
      </c>
      <c r="E110" s="165">
        <f>SUM(E111)</f>
        <v>0</v>
      </c>
      <c r="F110" s="165">
        <f>SUM(F111)</f>
        <v>206850</v>
      </c>
      <c r="G110" s="165">
        <f>SUM(G111)</f>
        <v>206849.7</v>
      </c>
      <c r="H110" s="124">
        <f t="shared" si="3"/>
        <v>99.99985496736767</v>
      </c>
      <c r="I110" s="27"/>
    </row>
    <row r="111" spans="1:9" s="24" customFormat="1" ht="45">
      <c r="A111" s="82"/>
      <c r="B111" s="83"/>
      <c r="C111" s="163">
        <v>2030</v>
      </c>
      <c r="D111" s="164" t="s">
        <v>253</v>
      </c>
      <c r="E111" s="165">
        <v>0</v>
      </c>
      <c r="F111" s="165">
        <v>206850</v>
      </c>
      <c r="G111" s="165">
        <v>206849.7</v>
      </c>
      <c r="H111" s="124">
        <f t="shared" si="3"/>
        <v>99.99985496736767</v>
      </c>
      <c r="I111" s="27"/>
    </row>
    <row r="112" spans="1:9" s="45" customFormat="1" ht="19.5" customHeight="1">
      <c r="A112" s="32">
        <v>851</v>
      </c>
      <c r="B112" s="35"/>
      <c r="C112" s="235"/>
      <c r="D112" s="225" t="s">
        <v>499</v>
      </c>
      <c r="E112" s="226">
        <f aca="true" t="shared" si="4" ref="E112:G113">SUM(E113)</f>
        <v>0</v>
      </c>
      <c r="F112" s="226">
        <f t="shared" si="4"/>
        <v>0</v>
      </c>
      <c r="G112" s="226">
        <f t="shared" si="4"/>
        <v>784.3</v>
      </c>
      <c r="H112" s="34">
        <v>0</v>
      </c>
      <c r="I112" s="27"/>
    </row>
    <row r="113" spans="1:9" s="24" customFormat="1" ht="19.5" customHeight="1">
      <c r="A113" s="82"/>
      <c r="B113" s="83">
        <v>85154</v>
      </c>
      <c r="C113" s="163"/>
      <c r="D113" s="164" t="s">
        <v>74</v>
      </c>
      <c r="E113" s="165">
        <f t="shared" si="4"/>
        <v>0</v>
      </c>
      <c r="F113" s="165">
        <f t="shared" si="4"/>
        <v>0</v>
      </c>
      <c r="G113" s="165">
        <f t="shared" si="4"/>
        <v>784.3</v>
      </c>
      <c r="H113" s="124">
        <v>0</v>
      </c>
      <c r="I113" s="27"/>
    </row>
    <row r="114" spans="1:9" s="24" customFormat="1" ht="19.5" customHeight="1">
      <c r="A114" s="82"/>
      <c r="B114" s="83"/>
      <c r="C114" s="163" t="s">
        <v>198</v>
      </c>
      <c r="D114" s="164" t="s">
        <v>27</v>
      </c>
      <c r="E114" s="165">
        <v>0</v>
      </c>
      <c r="F114" s="165">
        <v>0</v>
      </c>
      <c r="G114" s="165">
        <v>784.3</v>
      </c>
      <c r="H114" s="124">
        <v>0</v>
      </c>
      <c r="I114" s="27"/>
    </row>
    <row r="115" spans="1:9" s="7" customFormat="1" ht="19.5" customHeight="1">
      <c r="A115" s="32" t="s">
        <v>189</v>
      </c>
      <c r="B115" s="4"/>
      <c r="C115" s="230"/>
      <c r="D115" s="225" t="s">
        <v>231</v>
      </c>
      <c r="E115" s="226">
        <f>SUM(E116,E120,E122,E126,E131,)</f>
        <v>9752400</v>
      </c>
      <c r="F115" s="226">
        <f>SUM(F116,F120,F122,F126,F131,)</f>
        <v>9224518</v>
      </c>
      <c r="G115" s="226">
        <f>SUM(G116,G120,G122,G126,G131,)</f>
        <v>9153638.79</v>
      </c>
      <c r="H115" s="34">
        <f t="shared" si="3"/>
        <v>99.23162153296246</v>
      </c>
      <c r="I115" s="27"/>
    </row>
    <row r="116" spans="1:9" s="24" customFormat="1" ht="45">
      <c r="A116" s="82"/>
      <c r="B116" s="59">
        <v>85212</v>
      </c>
      <c r="C116" s="222"/>
      <c r="D116" s="164" t="s">
        <v>280</v>
      </c>
      <c r="E116" s="165">
        <f>SUM(E117:E119)</f>
        <v>7819800</v>
      </c>
      <c r="F116" s="165">
        <f>SUM(F117:F119)</f>
        <v>6565000</v>
      </c>
      <c r="G116" s="165">
        <f>SUM(G117:G119)</f>
        <v>6574685.529999999</v>
      </c>
      <c r="H116" s="124">
        <f t="shared" si="3"/>
        <v>100.14753282559023</v>
      </c>
      <c r="I116" s="27"/>
    </row>
    <row r="117" spans="1:9" s="24" customFormat="1" ht="19.5" customHeight="1">
      <c r="A117" s="82"/>
      <c r="B117" s="59"/>
      <c r="C117" s="222" t="s">
        <v>198</v>
      </c>
      <c r="D117" s="164" t="s">
        <v>27</v>
      </c>
      <c r="E117" s="165">
        <v>15000</v>
      </c>
      <c r="F117" s="165">
        <v>0</v>
      </c>
      <c r="G117" s="165">
        <v>0</v>
      </c>
      <c r="H117" s="124">
        <v>0</v>
      </c>
      <c r="I117" s="27"/>
    </row>
    <row r="118" spans="1:9" s="24" customFormat="1" ht="56.25">
      <c r="A118" s="82"/>
      <c r="B118" s="59"/>
      <c r="C118" s="222">
        <v>2010</v>
      </c>
      <c r="D118" s="164" t="s">
        <v>268</v>
      </c>
      <c r="E118" s="165">
        <v>7804800</v>
      </c>
      <c r="F118" s="165">
        <v>6550000</v>
      </c>
      <c r="G118" s="165">
        <v>6549996.35</v>
      </c>
      <c r="H118" s="124">
        <f t="shared" si="3"/>
        <v>99.99994427480915</v>
      </c>
      <c r="I118" s="27"/>
    </row>
    <row r="119" spans="1:9" s="24" customFormat="1" ht="45">
      <c r="A119" s="82"/>
      <c r="B119" s="59"/>
      <c r="C119" s="222">
        <v>2360</v>
      </c>
      <c r="D119" s="164" t="s">
        <v>225</v>
      </c>
      <c r="E119" s="165">
        <v>0</v>
      </c>
      <c r="F119" s="165">
        <v>15000</v>
      </c>
      <c r="G119" s="165">
        <v>24689.18</v>
      </c>
      <c r="H119" s="124">
        <f t="shared" si="3"/>
        <v>164.59453333333335</v>
      </c>
      <c r="I119" s="27"/>
    </row>
    <row r="120" spans="1:9" s="24" customFormat="1" ht="56.25">
      <c r="A120" s="82"/>
      <c r="B120" s="59">
        <v>85213</v>
      </c>
      <c r="C120" s="220"/>
      <c r="D120" s="164" t="s">
        <v>252</v>
      </c>
      <c r="E120" s="165">
        <f>SUM(E121)</f>
        <v>99900</v>
      </c>
      <c r="F120" s="165">
        <f>SUM(F121)</f>
        <v>78400</v>
      </c>
      <c r="G120" s="165">
        <f>SUM(G121)</f>
        <v>53196.75</v>
      </c>
      <c r="H120" s="124">
        <f t="shared" si="3"/>
        <v>67.8529974489796</v>
      </c>
      <c r="I120" s="27"/>
    </row>
    <row r="121" spans="1:9" s="24" customFormat="1" ht="56.25">
      <c r="A121" s="82"/>
      <c r="B121" s="59"/>
      <c r="C121" s="220">
        <v>2010</v>
      </c>
      <c r="D121" s="164" t="s">
        <v>268</v>
      </c>
      <c r="E121" s="165">
        <v>99900</v>
      </c>
      <c r="F121" s="165">
        <v>78400</v>
      </c>
      <c r="G121" s="165">
        <v>53196.75</v>
      </c>
      <c r="H121" s="124">
        <f t="shared" si="3"/>
        <v>67.8529974489796</v>
      </c>
      <c r="I121" s="27"/>
    </row>
    <row r="122" spans="1:9" s="24" customFormat="1" ht="24.75" customHeight="1">
      <c r="A122" s="82"/>
      <c r="B122" s="83" t="s">
        <v>190</v>
      </c>
      <c r="C122" s="220"/>
      <c r="D122" s="164" t="s">
        <v>77</v>
      </c>
      <c r="E122" s="165">
        <f>SUM(E123:E125)</f>
        <v>1011100</v>
      </c>
      <c r="F122" s="165">
        <f>SUM(F123:F125)</f>
        <v>1028190</v>
      </c>
      <c r="G122" s="165">
        <f>SUM(G123:G125)</f>
        <v>969197.11</v>
      </c>
      <c r="H122" s="124">
        <f t="shared" si="3"/>
        <v>94.26245246501132</v>
      </c>
      <c r="I122" s="27"/>
    </row>
    <row r="123" spans="1:9" s="24" customFormat="1" ht="19.5" customHeight="1">
      <c r="A123" s="82"/>
      <c r="B123" s="83"/>
      <c r="C123" s="222" t="s">
        <v>240</v>
      </c>
      <c r="D123" s="164" t="s">
        <v>241</v>
      </c>
      <c r="E123" s="165">
        <v>0</v>
      </c>
      <c r="F123" s="165">
        <v>10901</v>
      </c>
      <c r="G123" s="165">
        <v>8004.29</v>
      </c>
      <c r="H123" s="124">
        <f t="shared" si="3"/>
        <v>73.42711677827722</v>
      </c>
      <c r="I123" s="27"/>
    </row>
    <row r="124" spans="1:9" s="24" customFormat="1" ht="56.25">
      <c r="A124" s="82"/>
      <c r="B124" s="83"/>
      <c r="C124" s="163">
        <v>2010</v>
      </c>
      <c r="D124" s="164" t="s">
        <v>268</v>
      </c>
      <c r="E124" s="165">
        <v>439200</v>
      </c>
      <c r="F124" s="165">
        <v>455941</v>
      </c>
      <c r="G124" s="165">
        <v>455941</v>
      </c>
      <c r="H124" s="124">
        <f t="shared" si="3"/>
        <v>100</v>
      </c>
      <c r="I124" s="27"/>
    </row>
    <row r="125" spans="1:9" s="24" customFormat="1" ht="33.75">
      <c r="A125" s="82"/>
      <c r="B125" s="83"/>
      <c r="C125" s="163">
        <v>2030</v>
      </c>
      <c r="D125" s="164" t="s">
        <v>269</v>
      </c>
      <c r="E125" s="165">
        <v>571900</v>
      </c>
      <c r="F125" s="165">
        <v>561348</v>
      </c>
      <c r="G125" s="165">
        <v>505251.82</v>
      </c>
      <c r="H125" s="124">
        <f t="shared" si="3"/>
        <v>90.00687986774693</v>
      </c>
      <c r="I125" s="27"/>
    </row>
    <row r="126" spans="1:9" s="24" customFormat="1" ht="19.5" customHeight="1">
      <c r="A126" s="82"/>
      <c r="B126" s="83" t="s">
        <v>191</v>
      </c>
      <c r="C126" s="220"/>
      <c r="D126" s="164" t="s">
        <v>79</v>
      </c>
      <c r="E126" s="165">
        <f>SUM(E127:E130)</f>
        <v>493400</v>
      </c>
      <c r="F126" s="165">
        <f>SUM(F127:F130)</f>
        <v>603504</v>
      </c>
      <c r="G126" s="165">
        <f>SUM(G127:G130)</f>
        <v>607135.4</v>
      </c>
      <c r="H126" s="124">
        <f t="shared" si="3"/>
        <v>100.60171929266417</v>
      </c>
      <c r="I126" s="27"/>
    </row>
    <row r="127" spans="1:9" s="24" customFormat="1" ht="67.5">
      <c r="A127" s="82"/>
      <c r="B127" s="83"/>
      <c r="C127" s="222" t="s">
        <v>196</v>
      </c>
      <c r="D127" s="164" t="s">
        <v>76</v>
      </c>
      <c r="E127" s="165">
        <v>2000</v>
      </c>
      <c r="F127" s="165">
        <v>2784</v>
      </c>
      <c r="G127" s="165">
        <v>3120</v>
      </c>
      <c r="H127" s="124">
        <f t="shared" si="3"/>
        <v>112.06896551724137</v>
      </c>
      <c r="I127" s="27"/>
    </row>
    <row r="128" spans="1:9" s="24" customFormat="1" ht="19.5" customHeight="1">
      <c r="A128" s="82"/>
      <c r="B128" s="83"/>
      <c r="C128" s="222" t="s">
        <v>240</v>
      </c>
      <c r="D128" s="164" t="s">
        <v>241</v>
      </c>
      <c r="E128" s="165">
        <v>153000</v>
      </c>
      <c r="F128" s="165">
        <v>261000</v>
      </c>
      <c r="G128" s="165">
        <v>264295.4</v>
      </c>
      <c r="H128" s="124">
        <f t="shared" si="3"/>
        <v>101.26260536398468</v>
      </c>
      <c r="I128" s="27"/>
    </row>
    <row r="129" spans="1:9" s="24" customFormat="1" ht="19.5" customHeight="1">
      <c r="A129" s="82"/>
      <c r="B129" s="83"/>
      <c r="C129" s="222" t="s">
        <v>198</v>
      </c>
      <c r="D129" s="164" t="s">
        <v>27</v>
      </c>
      <c r="E129" s="165">
        <v>0</v>
      </c>
      <c r="F129" s="165">
        <v>1320</v>
      </c>
      <c r="G129" s="165">
        <v>1320</v>
      </c>
      <c r="H129" s="124">
        <v>0</v>
      </c>
      <c r="I129" s="27"/>
    </row>
    <row r="130" spans="1:9" s="24" customFormat="1" ht="33.75">
      <c r="A130" s="82"/>
      <c r="B130" s="83"/>
      <c r="C130" s="163">
        <v>2030</v>
      </c>
      <c r="D130" s="164" t="s">
        <v>269</v>
      </c>
      <c r="E130" s="165">
        <v>338400</v>
      </c>
      <c r="F130" s="165">
        <v>338400</v>
      </c>
      <c r="G130" s="165">
        <v>338400</v>
      </c>
      <c r="H130" s="124">
        <f t="shared" si="3"/>
        <v>100</v>
      </c>
      <c r="I130" s="27"/>
    </row>
    <row r="131" spans="1:9" s="24" customFormat="1" ht="19.5" customHeight="1">
      <c r="A131" s="82"/>
      <c r="B131" s="83">
        <v>85295</v>
      </c>
      <c r="C131" s="163"/>
      <c r="D131" s="164" t="s">
        <v>254</v>
      </c>
      <c r="E131" s="165">
        <f>SUM(E132)</f>
        <v>328200</v>
      </c>
      <c r="F131" s="165">
        <f>SUM(F132)</f>
        <v>949424</v>
      </c>
      <c r="G131" s="165">
        <f>SUM(G132)</f>
        <v>949424</v>
      </c>
      <c r="H131" s="124">
        <f t="shared" si="3"/>
        <v>100</v>
      </c>
      <c r="I131" s="27"/>
    </row>
    <row r="132" spans="1:9" s="24" customFormat="1" ht="33.75">
      <c r="A132" s="82"/>
      <c r="B132" s="83"/>
      <c r="C132" s="163">
        <v>2030</v>
      </c>
      <c r="D132" s="164" t="s">
        <v>269</v>
      </c>
      <c r="E132" s="165">
        <v>328200</v>
      </c>
      <c r="F132" s="165">
        <v>949424</v>
      </c>
      <c r="G132" s="165">
        <v>949424</v>
      </c>
      <c r="H132" s="124">
        <f t="shared" si="3"/>
        <v>100</v>
      </c>
      <c r="I132" s="27"/>
    </row>
    <row r="133" spans="1:9" s="45" customFormat="1" ht="19.5" customHeight="1">
      <c r="A133" s="32">
        <v>854</v>
      </c>
      <c r="B133" s="35"/>
      <c r="C133" s="235"/>
      <c r="D133" s="225" t="s">
        <v>80</v>
      </c>
      <c r="E133" s="226">
        <f aca="true" t="shared" si="5" ref="E133:G134">SUM(E134)</f>
        <v>0</v>
      </c>
      <c r="F133" s="226">
        <f t="shared" si="5"/>
        <v>508638</v>
      </c>
      <c r="G133" s="226">
        <f t="shared" si="5"/>
        <v>505418.73</v>
      </c>
      <c r="H133" s="34">
        <f t="shared" si="3"/>
        <v>99.36708032038503</v>
      </c>
      <c r="I133" s="27"/>
    </row>
    <row r="134" spans="1:9" s="24" customFormat="1" ht="19.5" customHeight="1">
      <c r="A134" s="82"/>
      <c r="B134" s="83">
        <v>85415</v>
      </c>
      <c r="C134" s="163"/>
      <c r="D134" s="164" t="s">
        <v>452</v>
      </c>
      <c r="E134" s="165">
        <f t="shared" si="5"/>
        <v>0</v>
      </c>
      <c r="F134" s="165">
        <f t="shared" si="5"/>
        <v>508638</v>
      </c>
      <c r="G134" s="165">
        <f t="shared" si="5"/>
        <v>505418.73</v>
      </c>
      <c r="H134" s="34">
        <f t="shared" si="3"/>
        <v>99.36708032038503</v>
      </c>
      <c r="I134" s="27"/>
    </row>
    <row r="135" spans="1:9" s="24" customFormat="1" ht="45">
      <c r="A135" s="82"/>
      <c r="B135" s="83"/>
      <c r="C135" s="163">
        <v>2030</v>
      </c>
      <c r="D135" s="164" t="s">
        <v>253</v>
      </c>
      <c r="E135" s="165">
        <v>0</v>
      </c>
      <c r="F135" s="165">
        <v>508638</v>
      </c>
      <c r="G135" s="165">
        <v>505418.73</v>
      </c>
      <c r="H135" s="34">
        <f t="shared" si="3"/>
        <v>99.36708032038503</v>
      </c>
      <c r="I135" s="27"/>
    </row>
    <row r="136" spans="1:9" s="8" customFormat="1" ht="27" customHeight="1">
      <c r="A136" s="32">
        <v>900</v>
      </c>
      <c r="B136" s="35"/>
      <c r="C136" s="235"/>
      <c r="D136" s="225" t="s">
        <v>82</v>
      </c>
      <c r="E136" s="226">
        <f>SUM(E142,E137,E140)</f>
        <v>6000</v>
      </c>
      <c r="F136" s="226">
        <f>SUM(F142,F137,F140)</f>
        <v>1616053</v>
      </c>
      <c r="G136" s="226">
        <f>SUM(G142,G137,G140)</f>
        <v>1616168.93</v>
      </c>
      <c r="H136" s="34">
        <f t="shared" si="3"/>
        <v>100.00717365086417</v>
      </c>
      <c r="I136" s="27"/>
    </row>
    <row r="137" spans="1:9" s="24" customFormat="1" ht="21.75" customHeight="1">
      <c r="A137" s="82"/>
      <c r="B137" s="83">
        <v>90001</v>
      </c>
      <c r="C137" s="163"/>
      <c r="D137" s="164" t="s">
        <v>83</v>
      </c>
      <c r="E137" s="165">
        <f>SUM(E138:E139)</f>
        <v>0</v>
      </c>
      <c r="F137" s="165">
        <f>SUM(F138:F139)</f>
        <v>1603281</v>
      </c>
      <c r="G137" s="165">
        <f>SUM(G138:G139)</f>
        <v>1603397.74</v>
      </c>
      <c r="H137" s="124">
        <f t="shared" si="3"/>
        <v>100.00728131874574</v>
      </c>
      <c r="I137" s="27"/>
    </row>
    <row r="138" spans="1:9" s="24" customFormat="1" ht="21.75" customHeight="1">
      <c r="A138" s="82"/>
      <c r="B138" s="83"/>
      <c r="C138" s="163" t="s">
        <v>198</v>
      </c>
      <c r="D138" s="164" t="s">
        <v>27</v>
      </c>
      <c r="E138" s="165">
        <v>0</v>
      </c>
      <c r="F138" s="165">
        <v>4500</v>
      </c>
      <c r="G138" s="165">
        <v>4617.3</v>
      </c>
      <c r="H138" s="124">
        <v>0</v>
      </c>
      <c r="I138" s="27"/>
    </row>
    <row r="139" spans="1:9" s="24" customFormat="1" ht="56.25">
      <c r="A139" s="82"/>
      <c r="B139" s="83"/>
      <c r="C139" s="163">
        <v>6298</v>
      </c>
      <c r="D139" s="164" t="s">
        <v>466</v>
      </c>
      <c r="E139" s="165">
        <v>0</v>
      </c>
      <c r="F139" s="165">
        <v>1598781</v>
      </c>
      <c r="G139" s="165">
        <v>1598780.44</v>
      </c>
      <c r="H139" s="124">
        <f t="shared" si="3"/>
        <v>99.99996497331404</v>
      </c>
      <c r="I139" s="27"/>
    </row>
    <row r="140" spans="1:9" s="24" customFormat="1" ht="33.75">
      <c r="A140" s="82"/>
      <c r="B140" s="83">
        <v>90020</v>
      </c>
      <c r="C140" s="163"/>
      <c r="D140" s="164" t="s">
        <v>483</v>
      </c>
      <c r="E140" s="165">
        <f>SUM(E141)</f>
        <v>0</v>
      </c>
      <c r="F140" s="165">
        <f>SUM(F141)</f>
        <v>6772</v>
      </c>
      <c r="G140" s="165">
        <f>SUM(G141)</f>
        <v>6771.19</v>
      </c>
      <c r="H140" s="124">
        <f t="shared" si="3"/>
        <v>99.98803898405197</v>
      </c>
      <c r="I140" s="27"/>
    </row>
    <row r="141" spans="1:9" s="24" customFormat="1" ht="19.5" customHeight="1">
      <c r="A141" s="82"/>
      <c r="B141" s="83"/>
      <c r="C141" s="163" t="s">
        <v>481</v>
      </c>
      <c r="D141" s="164" t="s">
        <v>482</v>
      </c>
      <c r="E141" s="165">
        <v>0</v>
      </c>
      <c r="F141" s="165">
        <v>6772</v>
      </c>
      <c r="G141" s="165">
        <v>6771.19</v>
      </c>
      <c r="H141" s="124">
        <f t="shared" si="3"/>
        <v>99.98803898405197</v>
      </c>
      <c r="I141" s="27"/>
    </row>
    <row r="142" spans="1:9" s="24" customFormat="1" ht="19.5" customHeight="1">
      <c r="A142" s="82"/>
      <c r="B142" s="83">
        <v>90095</v>
      </c>
      <c r="C142" s="163"/>
      <c r="D142" s="164" t="s">
        <v>18</v>
      </c>
      <c r="E142" s="165">
        <f>SUM(E143)</f>
        <v>6000</v>
      </c>
      <c r="F142" s="165">
        <f>SUM(F143:F143)</f>
        <v>6000</v>
      </c>
      <c r="G142" s="165">
        <f>SUM(G143:G143)</f>
        <v>6000</v>
      </c>
      <c r="H142" s="124">
        <f t="shared" si="3"/>
        <v>100</v>
      </c>
      <c r="I142" s="27"/>
    </row>
    <row r="143" spans="1:9" s="24" customFormat="1" ht="19.5" customHeight="1">
      <c r="A143" s="82"/>
      <c r="B143" s="83"/>
      <c r="C143" s="163" t="s">
        <v>216</v>
      </c>
      <c r="D143" s="164" t="s">
        <v>437</v>
      </c>
      <c r="E143" s="165">
        <v>6000</v>
      </c>
      <c r="F143" s="165">
        <v>6000</v>
      </c>
      <c r="G143" s="165">
        <v>6000</v>
      </c>
      <c r="H143" s="124">
        <f t="shared" si="3"/>
        <v>100</v>
      </c>
      <c r="I143" s="27"/>
    </row>
    <row r="144" spans="1:9" s="8" customFormat="1" ht="24.75" customHeight="1">
      <c r="A144" s="32" t="s">
        <v>84</v>
      </c>
      <c r="B144" s="4"/>
      <c r="C144" s="230"/>
      <c r="D144" s="225" t="s">
        <v>90</v>
      </c>
      <c r="E144" s="226">
        <f>SUM(E147,E145)</f>
        <v>45900</v>
      </c>
      <c r="F144" s="226">
        <f>SUM(F147,F145)</f>
        <v>54600</v>
      </c>
      <c r="G144" s="226">
        <f>SUM(G147,G145)</f>
        <v>54597.45</v>
      </c>
      <c r="H144" s="34">
        <f t="shared" si="3"/>
        <v>99.99532967032967</v>
      </c>
      <c r="I144" s="27"/>
    </row>
    <row r="145" spans="1:9" s="8" customFormat="1" ht="19.5" customHeight="1">
      <c r="A145" s="32"/>
      <c r="B145" s="98">
        <v>92105</v>
      </c>
      <c r="C145" s="236"/>
      <c r="D145" s="232" t="s">
        <v>465</v>
      </c>
      <c r="E145" s="165">
        <f>SUM(E146)</f>
        <v>0</v>
      </c>
      <c r="F145" s="165">
        <f>SUM(F146)</f>
        <v>8700</v>
      </c>
      <c r="G145" s="165">
        <f>SUM(G146)</f>
        <v>8697.45</v>
      </c>
      <c r="H145" s="124">
        <f t="shared" si="3"/>
        <v>99.97068965517242</v>
      </c>
      <c r="I145" s="27"/>
    </row>
    <row r="146" spans="1:9" s="8" customFormat="1" ht="56.25">
      <c r="A146" s="32"/>
      <c r="B146" s="98"/>
      <c r="C146" s="236">
        <v>2320</v>
      </c>
      <c r="D146" s="164" t="s">
        <v>456</v>
      </c>
      <c r="E146" s="165">
        <v>0</v>
      </c>
      <c r="F146" s="165">
        <v>8700</v>
      </c>
      <c r="G146" s="165">
        <v>8697.45</v>
      </c>
      <c r="H146" s="124">
        <f t="shared" si="3"/>
        <v>99.97068965517242</v>
      </c>
      <c r="I146" s="27"/>
    </row>
    <row r="147" spans="1:9" s="24" customFormat="1" ht="19.5" customHeight="1">
      <c r="A147" s="82"/>
      <c r="B147" s="83" t="s">
        <v>85</v>
      </c>
      <c r="C147" s="220"/>
      <c r="D147" s="164" t="s">
        <v>86</v>
      </c>
      <c r="E147" s="165">
        <f>SUM(E148)</f>
        <v>45900</v>
      </c>
      <c r="F147" s="165">
        <f>SUM(F148)</f>
        <v>45900</v>
      </c>
      <c r="G147" s="165">
        <f>SUM(G148)</f>
        <v>45900</v>
      </c>
      <c r="H147" s="124">
        <f t="shared" si="3"/>
        <v>100</v>
      </c>
      <c r="I147" s="27"/>
    </row>
    <row r="148" spans="1:9" s="24" customFormat="1" ht="56.25">
      <c r="A148" s="83"/>
      <c r="B148" s="83"/>
      <c r="C148" s="163">
        <v>2320</v>
      </c>
      <c r="D148" s="164" t="s">
        <v>456</v>
      </c>
      <c r="E148" s="165">
        <v>45900</v>
      </c>
      <c r="F148" s="165">
        <v>45900</v>
      </c>
      <c r="G148" s="165">
        <v>45900</v>
      </c>
      <c r="H148" s="124">
        <f t="shared" si="3"/>
        <v>100</v>
      </c>
      <c r="I148" s="27"/>
    </row>
    <row r="149" spans="1:9" s="45" customFormat="1" ht="19.5" customHeight="1">
      <c r="A149" s="35">
        <v>926</v>
      </c>
      <c r="B149" s="35"/>
      <c r="C149" s="237"/>
      <c r="D149" s="225" t="s">
        <v>87</v>
      </c>
      <c r="E149" s="226">
        <f>SUM(E150)</f>
        <v>0</v>
      </c>
      <c r="F149" s="226">
        <f>SUM(F150)</f>
        <v>35000</v>
      </c>
      <c r="G149" s="226">
        <f>SUM(G150)</f>
        <v>29802.37</v>
      </c>
      <c r="H149" s="34">
        <f t="shared" si="3"/>
        <v>85.14962857142856</v>
      </c>
      <c r="I149" s="27"/>
    </row>
    <row r="150" spans="1:9" s="24" customFormat="1" ht="24.75" customHeight="1">
      <c r="A150" s="83"/>
      <c r="B150" s="83">
        <v>92605</v>
      </c>
      <c r="C150" s="238"/>
      <c r="D150" s="164" t="s">
        <v>88</v>
      </c>
      <c r="E150" s="165">
        <f>SUM(E151:E152)</f>
        <v>0</v>
      </c>
      <c r="F150" s="165">
        <f>SUM(F151:F152)</f>
        <v>35000</v>
      </c>
      <c r="G150" s="165">
        <f>SUM(G151:G152)</f>
        <v>29802.37</v>
      </c>
      <c r="H150" s="9">
        <f t="shared" si="3"/>
        <v>85.14962857142856</v>
      </c>
      <c r="I150" s="27"/>
    </row>
    <row r="151" spans="1:9" s="24" customFormat="1" ht="56.25">
      <c r="A151" s="83"/>
      <c r="B151" s="83"/>
      <c r="C151" s="238">
        <v>2320</v>
      </c>
      <c r="D151" s="164" t="s">
        <v>456</v>
      </c>
      <c r="E151" s="165">
        <v>0</v>
      </c>
      <c r="F151" s="165">
        <v>5000</v>
      </c>
      <c r="G151" s="165">
        <v>3500</v>
      </c>
      <c r="H151" s="9">
        <f t="shared" si="3"/>
        <v>70</v>
      </c>
      <c r="I151" s="27"/>
    </row>
    <row r="152" spans="1:9" s="24" customFormat="1" ht="33.75">
      <c r="A152" s="83"/>
      <c r="B152" s="83"/>
      <c r="C152" s="238">
        <v>2440</v>
      </c>
      <c r="D152" s="164" t="s">
        <v>226</v>
      </c>
      <c r="E152" s="165">
        <v>0</v>
      </c>
      <c r="F152" s="165">
        <v>30000</v>
      </c>
      <c r="G152" s="165">
        <v>26302.37</v>
      </c>
      <c r="H152" s="9">
        <f t="shared" si="3"/>
        <v>87.67456666666666</v>
      </c>
      <c r="I152" s="27"/>
    </row>
    <row r="153" spans="1:9" ht="30" customHeight="1">
      <c r="A153" s="393"/>
      <c r="B153" s="394"/>
      <c r="C153" s="395"/>
      <c r="D153" s="239" t="s">
        <v>89</v>
      </c>
      <c r="E153" s="226">
        <f>SUM(E149,E144,E136,E133,E115,E95,E84,E50,E43,E38,E32,E20,E17,E14,E8,E112)</f>
        <v>46369156</v>
      </c>
      <c r="F153" s="226">
        <f>SUM(F149,F144,F136,F133,F115,F95,F84,F50,F43,F38,F32,F20,F17,F14,F8,F112)</f>
        <v>52481797</v>
      </c>
      <c r="G153" s="226">
        <f>SUM(G149,G144,G136,G133,G115,G95,G84,G50,G43,G38,G32,G20,G17,G14,G8,G112)</f>
        <v>52475174.169999994</v>
      </c>
      <c r="H153" s="34">
        <f t="shared" si="3"/>
        <v>99.98738071030608</v>
      </c>
      <c r="I153" s="27"/>
    </row>
    <row r="155" ht="12.75">
      <c r="D155" s="241"/>
    </row>
    <row r="156" ht="12.75">
      <c r="D156" s="241"/>
    </row>
    <row r="157" spans="4:6" ht="12.75">
      <c r="D157" s="241"/>
      <c r="F157" s="243"/>
    </row>
    <row r="158" ht="12.75">
      <c r="D158" s="241"/>
    </row>
    <row r="159" spans="4:7" ht="12.75">
      <c r="D159" s="241"/>
      <c r="F159" s="243"/>
      <c r="G159" s="243"/>
    </row>
    <row r="160" spans="4:7" ht="12.75">
      <c r="D160" s="241"/>
      <c r="F160" s="243"/>
      <c r="G160" s="243"/>
    </row>
    <row r="161" ht="12.75">
      <c r="D161" s="241"/>
    </row>
    <row r="162" ht="12.75">
      <c r="D162" s="241"/>
    </row>
    <row r="163" ht="12.75">
      <c r="D163" s="241"/>
    </row>
    <row r="164" ht="12.75">
      <c r="D164" s="241"/>
    </row>
    <row r="165" ht="12.75">
      <c r="D165" s="241"/>
    </row>
    <row r="166" ht="12.75">
      <c r="D166" s="241"/>
    </row>
    <row r="167" ht="12.75">
      <c r="D167" s="241"/>
    </row>
    <row r="168" ht="12.75">
      <c r="D168" s="241"/>
    </row>
    <row r="169" ht="12.75">
      <c r="D169" s="241"/>
    </row>
    <row r="170" ht="12.75">
      <c r="D170" s="241"/>
    </row>
    <row r="171" ht="12.75">
      <c r="D171" s="241"/>
    </row>
    <row r="172" ht="12.75">
      <c r="D172" s="241"/>
    </row>
    <row r="173" ht="12.75">
      <c r="D173" s="241"/>
    </row>
    <row r="174" spans="4:7" ht="12.75">
      <c r="D174" s="241"/>
      <c r="F174" s="243"/>
      <c r="G174" s="243"/>
    </row>
    <row r="175" ht="12.75">
      <c r="D175" s="241"/>
    </row>
    <row r="176" spans="4:7" ht="12.75">
      <c r="D176" s="241"/>
      <c r="F176" s="243"/>
      <c r="G176" s="243"/>
    </row>
    <row r="177" ht="12.75">
      <c r="D177" s="241"/>
    </row>
    <row r="178" ht="12.75">
      <c r="D178" s="241"/>
    </row>
    <row r="179" spans="4:7" ht="12.75">
      <c r="D179" s="241"/>
      <c r="F179" s="243"/>
      <c r="G179" s="243"/>
    </row>
    <row r="180" ht="12.75">
      <c r="D180" s="241"/>
    </row>
    <row r="181" ht="12.75">
      <c r="D181" s="241"/>
    </row>
    <row r="182" ht="12.75">
      <c r="D182" s="244"/>
    </row>
    <row r="195" spans="5:7" ht="12.75">
      <c r="E195" s="243"/>
      <c r="F195" s="243"/>
      <c r="G195" s="243"/>
    </row>
    <row r="196" spans="5:7" ht="12.75">
      <c r="E196" s="243"/>
      <c r="F196" s="243"/>
      <c r="G196" s="243"/>
    </row>
  </sheetData>
  <mergeCells count="8">
    <mergeCell ref="A153:C153"/>
    <mergeCell ref="G6:H6"/>
    <mergeCell ref="E6:E7"/>
    <mergeCell ref="F6:F7"/>
    <mergeCell ref="A6:A7"/>
    <mergeCell ref="B6:B7"/>
    <mergeCell ref="C6:C7"/>
    <mergeCell ref="D6:D7"/>
  </mergeCells>
  <printOptions horizontalCentered="1"/>
  <pageMargins left="0.3937007874015748" right="0.3937007874015748" top="0.7874015748031497" bottom="0.7874015748031497" header="0.5118110236220472" footer="0.31496062992125984"/>
  <pageSetup firstPageNumber="1" useFirstPageNumber="1" horizontalDpi="600" verticalDpi="600" orientation="portrait" paperSize="9" r:id="rId1"/>
  <headerFooter alignWithMargins="0">
    <oddFooter>&amp;C&amp;8Dochody - str.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H16"/>
  <sheetViews>
    <sheetView workbookViewId="0" topLeftCell="A1">
      <selection activeCell="E25" sqref="E25"/>
    </sheetView>
  </sheetViews>
  <sheetFormatPr defaultColWidth="9.00390625" defaultRowHeight="12.75"/>
  <cols>
    <col min="1" max="1" width="5.625" style="24" customWidth="1"/>
    <col min="2" max="2" width="26.00390625" style="24" customWidth="1"/>
    <col min="3" max="6" width="15.75390625" style="24" customWidth="1"/>
    <col min="7" max="8" width="15.75390625" style="0" customWidth="1"/>
  </cols>
  <sheetData>
    <row r="1" spans="3:8" ht="12.75">
      <c r="C1" s="67"/>
      <c r="F1" s="353"/>
      <c r="G1" s="353" t="s">
        <v>573</v>
      </c>
      <c r="H1" s="351"/>
    </row>
    <row r="2" spans="3:8" ht="12.75">
      <c r="C2" s="67"/>
      <c r="F2" s="353"/>
      <c r="G2" s="353" t="s">
        <v>562</v>
      </c>
      <c r="H2" s="351"/>
    </row>
    <row r="3" spans="3:8" ht="12.75">
      <c r="C3" s="67"/>
      <c r="F3" s="353"/>
      <c r="G3" s="353" t="s">
        <v>515</v>
      </c>
      <c r="H3" s="351"/>
    </row>
    <row r="4" spans="3:8" ht="12.75">
      <c r="C4" s="67"/>
      <c r="F4" s="353"/>
      <c r="G4" s="353" t="s">
        <v>564</v>
      </c>
      <c r="H4" s="351"/>
    </row>
    <row r="5" spans="1:6" s="31" customFormat="1" ht="21.75" customHeight="1">
      <c r="A5" s="436" t="s">
        <v>580</v>
      </c>
      <c r="B5" s="436"/>
      <c r="C5" s="436"/>
      <c r="D5" s="436"/>
      <c r="E5" s="436"/>
      <c r="F5" s="245"/>
    </row>
    <row r="6" spans="1:6" s="31" customFormat="1" ht="12" customHeight="1">
      <c r="A6" s="201"/>
      <c r="B6" s="201"/>
      <c r="C6" s="201"/>
      <c r="D6" s="201"/>
      <c r="E6" s="201"/>
      <c r="F6" s="201"/>
    </row>
    <row r="7" spans="1:8" s="8" customFormat="1" ht="20.25" customHeight="1">
      <c r="A7" s="437" t="s">
        <v>14</v>
      </c>
      <c r="B7" s="437" t="s">
        <v>15</v>
      </c>
      <c r="C7" s="438" t="s">
        <v>171</v>
      </c>
      <c r="D7" s="438"/>
      <c r="E7" s="438" t="s">
        <v>250</v>
      </c>
      <c r="F7" s="438"/>
      <c r="G7" s="438" t="s">
        <v>0</v>
      </c>
      <c r="H7" s="438"/>
    </row>
    <row r="8" spans="1:8" s="8" customFormat="1" ht="20.25" customHeight="1">
      <c r="A8" s="437"/>
      <c r="B8" s="437"/>
      <c r="C8" s="122" t="s">
        <v>172</v>
      </c>
      <c r="D8" s="122" t="s">
        <v>173</v>
      </c>
      <c r="E8" s="122" t="s">
        <v>172</v>
      </c>
      <c r="F8" s="122" t="s">
        <v>173</v>
      </c>
      <c r="G8" s="122" t="s">
        <v>172</v>
      </c>
      <c r="H8" s="122" t="s">
        <v>173</v>
      </c>
    </row>
    <row r="9" spans="1:8" s="8" customFormat="1" ht="49.5" customHeight="1" hidden="1">
      <c r="A9" s="2">
        <v>903</v>
      </c>
      <c r="B9" s="49" t="s">
        <v>260</v>
      </c>
      <c r="C9" s="122"/>
      <c r="D9" s="122"/>
      <c r="E9" s="122"/>
      <c r="F9" s="122"/>
      <c r="G9" s="122"/>
      <c r="H9" s="122"/>
    </row>
    <row r="10" spans="1:8" s="8" customFormat="1" ht="36">
      <c r="A10" s="2">
        <v>952</v>
      </c>
      <c r="B10" s="49" t="s">
        <v>180</v>
      </c>
      <c r="C10" s="9">
        <v>4930496</v>
      </c>
      <c r="D10" s="9">
        <v>0</v>
      </c>
      <c r="E10" s="123">
        <v>2763250</v>
      </c>
      <c r="F10" s="123">
        <v>0</v>
      </c>
      <c r="G10" s="123">
        <v>0</v>
      </c>
      <c r="H10" s="123">
        <v>0</v>
      </c>
    </row>
    <row r="11" spans="1:8" s="8" customFormat="1" ht="25.5" customHeight="1">
      <c r="A11" s="2">
        <v>957</v>
      </c>
      <c r="B11" s="49" t="s">
        <v>404</v>
      </c>
      <c r="C11" s="9">
        <v>0</v>
      </c>
      <c r="D11" s="9">
        <v>0</v>
      </c>
      <c r="E11" s="123">
        <v>2172366</v>
      </c>
      <c r="F11" s="123">
        <v>0</v>
      </c>
      <c r="G11" s="123">
        <v>2172366.14</v>
      </c>
      <c r="H11" s="123">
        <v>0</v>
      </c>
    </row>
    <row r="12" spans="1:8" s="8" customFormat="1" ht="72">
      <c r="A12" s="2">
        <v>963</v>
      </c>
      <c r="B12" s="49" t="s">
        <v>480</v>
      </c>
      <c r="C12" s="9">
        <v>0</v>
      </c>
      <c r="D12" s="9">
        <v>0</v>
      </c>
      <c r="E12" s="123">
        <v>0</v>
      </c>
      <c r="F12" s="123">
        <v>1517202</v>
      </c>
      <c r="G12" s="123">
        <v>0</v>
      </c>
      <c r="H12" s="123">
        <v>1517201.99</v>
      </c>
    </row>
    <row r="13" spans="1:8" s="8" customFormat="1" ht="24">
      <c r="A13" s="2">
        <v>982</v>
      </c>
      <c r="B13" s="49" t="s">
        <v>246</v>
      </c>
      <c r="C13" s="9">
        <v>0</v>
      </c>
      <c r="D13" s="9">
        <v>1950000</v>
      </c>
      <c r="E13" s="9">
        <v>0</v>
      </c>
      <c r="F13" s="9">
        <v>1950000</v>
      </c>
      <c r="G13" s="9">
        <v>0</v>
      </c>
      <c r="H13" s="9">
        <v>1950000</v>
      </c>
    </row>
    <row r="14" spans="1:8" s="8" customFormat="1" ht="36">
      <c r="A14" s="2">
        <v>992</v>
      </c>
      <c r="B14" s="49" t="s">
        <v>175</v>
      </c>
      <c r="C14" s="9">
        <v>0</v>
      </c>
      <c r="D14" s="9">
        <v>2722636</v>
      </c>
      <c r="E14" s="9">
        <v>0</v>
      </c>
      <c r="F14" s="9">
        <v>2950936</v>
      </c>
      <c r="G14" s="9">
        <v>0</v>
      </c>
      <c r="H14" s="9">
        <v>2950936</v>
      </c>
    </row>
    <row r="15" spans="2:8" s="8" customFormat="1" ht="30" customHeight="1">
      <c r="B15" s="2" t="s">
        <v>89</v>
      </c>
      <c r="C15" s="18">
        <f aca="true" t="shared" si="0" ref="C15:H15">SUM(C10:C14)</f>
        <v>4930496</v>
      </c>
      <c r="D15" s="18">
        <f t="shared" si="0"/>
        <v>4672636</v>
      </c>
      <c r="E15" s="18">
        <f t="shared" si="0"/>
        <v>4935616</v>
      </c>
      <c r="F15" s="18">
        <f t="shared" si="0"/>
        <v>6418138</v>
      </c>
      <c r="G15" s="18">
        <f t="shared" si="0"/>
        <v>2172366.14</v>
      </c>
      <c r="H15" s="18">
        <f t="shared" si="0"/>
        <v>6418137.99</v>
      </c>
    </row>
    <row r="16" spans="2:8" ht="30" customHeight="1">
      <c r="B16" s="2" t="s">
        <v>174</v>
      </c>
      <c r="C16" s="435">
        <f>SUM(C15-D15)</f>
        <v>257860</v>
      </c>
      <c r="D16" s="429"/>
      <c r="E16" s="435">
        <f>SUM(E15-F15)</f>
        <v>-1482522</v>
      </c>
      <c r="F16" s="429"/>
      <c r="G16" s="435">
        <f>SUM(G15-H15)</f>
        <v>-4245771.85</v>
      </c>
      <c r="H16" s="429"/>
    </row>
  </sheetData>
  <mergeCells count="9">
    <mergeCell ref="C16:D16"/>
    <mergeCell ref="E16:F16"/>
    <mergeCell ref="G16:H16"/>
    <mergeCell ref="A5:E5"/>
    <mergeCell ref="A7:A8"/>
    <mergeCell ref="B7:B8"/>
    <mergeCell ref="C7:D7"/>
    <mergeCell ref="G7:H7"/>
    <mergeCell ref="E7:F7"/>
  </mergeCells>
  <printOptions horizontalCentered="1"/>
  <pageMargins left="0.7874015748031497" right="0.7874015748031497" top="0.984251968503937" bottom="0.7874015748031497" header="0.5118110236220472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41"/>
  <sheetViews>
    <sheetView workbookViewId="0" topLeftCell="A1">
      <selection activeCell="M1" sqref="M1:M4"/>
    </sheetView>
  </sheetViews>
  <sheetFormatPr defaultColWidth="9.00390625" defaultRowHeight="12.75"/>
  <cols>
    <col min="1" max="1" width="4.625" style="0" customWidth="1"/>
    <col min="2" max="2" width="13.75390625" style="0" customWidth="1"/>
    <col min="3" max="3" width="21.00390625" style="0" customWidth="1"/>
    <col min="4" max="4" width="11.625" style="0" bestFit="1" customWidth="1"/>
    <col min="5" max="5" width="12.00390625" style="0" bestFit="1" customWidth="1"/>
    <col min="6" max="9" width="13.00390625" style="0" bestFit="1" customWidth="1"/>
    <col min="10" max="10" width="11.25390625" style="0" bestFit="1" customWidth="1"/>
    <col min="11" max="12" width="11.625" style="0" bestFit="1" customWidth="1"/>
    <col min="13" max="13" width="13.00390625" style="0" customWidth="1"/>
    <col min="14" max="14" width="14.125" style="0" customWidth="1"/>
  </cols>
  <sheetData>
    <row r="1" spans="9:14" ht="12.75">
      <c r="I1" s="118"/>
      <c r="J1" s="118"/>
      <c r="L1" s="353"/>
      <c r="M1" s="353" t="s">
        <v>574</v>
      </c>
      <c r="N1" s="352"/>
    </row>
    <row r="2" spans="9:14" ht="12.75">
      <c r="I2" s="118"/>
      <c r="J2" s="118"/>
      <c r="L2" s="353"/>
      <c r="M2" s="353" t="s">
        <v>562</v>
      </c>
      <c r="N2" s="352"/>
    </row>
    <row r="3" spans="9:14" ht="12.75">
      <c r="I3" s="118"/>
      <c r="J3" s="118"/>
      <c r="L3" s="353"/>
      <c r="M3" s="353" t="s">
        <v>515</v>
      </c>
      <c r="N3" s="352"/>
    </row>
    <row r="4" spans="9:14" ht="12.75">
      <c r="I4" s="118"/>
      <c r="J4" s="118"/>
      <c r="L4" s="353"/>
      <c r="M4" s="353" t="s">
        <v>564</v>
      </c>
      <c r="N4" s="352"/>
    </row>
    <row r="5" spans="1:2" ht="18">
      <c r="A5" s="347" t="s">
        <v>533</v>
      </c>
      <c r="B5" s="179"/>
    </row>
    <row r="7" spans="1:14" s="180" customFormat="1" ht="33.75" customHeight="1">
      <c r="A7" s="439" t="s">
        <v>341</v>
      </c>
      <c r="B7" s="447" t="s">
        <v>342</v>
      </c>
      <c r="C7" s="448"/>
      <c r="D7" s="440" t="s">
        <v>478</v>
      </c>
      <c r="E7" s="440" t="s">
        <v>526</v>
      </c>
      <c r="F7" s="442" t="s">
        <v>507</v>
      </c>
      <c r="G7" s="443"/>
      <c r="H7" s="439" t="s">
        <v>508</v>
      </c>
      <c r="I7" s="439"/>
      <c r="J7" s="439"/>
      <c r="K7" s="439"/>
      <c r="L7" s="440" t="s">
        <v>509</v>
      </c>
      <c r="M7" s="440" t="s">
        <v>527</v>
      </c>
      <c r="N7" s="439" t="s">
        <v>479</v>
      </c>
    </row>
    <row r="8" spans="1:14" s="180" customFormat="1" ht="36" customHeight="1" thickBot="1">
      <c r="A8" s="440"/>
      <c r="B8" s="449"/>
      <c r="C8" s="450"/>
      <c r="D8" s="441"/>
      <c r="E8" s="441"/>
      <c r="F8" s="311" t="s">
        <v>343</v>
      </c>
      <c r="G8" s="310" t="s">
        <v>344</v>
      </c>
      <c r="H8" s="311" t="s">
        <v>343</v>
      </c>
      <c r="I8" s="310" t="s">
        <v>345</v>
      </c>
      <c r="J8" s="310" t="s">
        <v>346</v>
      </c>
      <c r="K8" s="310" t="s">
        <v>347</v>
      </c>
      <c r="L8" s="444"/>
      <c r="M8" s="441"/>
      <c r="N8" s="440"/>
    </row>
    <row r="9" spans="1:14" s="179" customFormat="1" ht="33" customHeight="1" thickBot="1">
      <c r="A9" s="333" t="s">
        <v>348</v>
      </c>
      <c r="B9" s="445" t="s">
        <v>528</v>
      </c>
      <c r="C9" s="446"/>
      <c r="D9" s="334">
        <f>SUM(D22,D33,)</f>
        <v>78772.61</v>
      </c>
      <c r="E9" s="334">
        <f aca="true" t="shared" si="0" ref="E9:N9">SUM(E22,E33,)</f>
        <v>8648.17</v>
      </c>
      <c r="F9" s="334">
        <f t="shared" si="0"/>
        <v>3180393.44</v>
      </c>
      <c r="G9" s="334">
        <f t="shared" si="0"/>
        <v>2516286</v>
      </c>
      <c r="H9" s="334">
        <f>SUM(I9:K9)</f>
        <v>3342700.88</v>
      </c>
      <c r="I9" s="334">
        <f t="shared" si="0"/>
        <v>2410582.61</v>
      </c>
      <c r="J9" s="334">
        <f t="shared" si="0"/>
        <v>911895.94</v>
      </c>
      <c r="K9" s="334">
        <f t="shared" si="0"/>
        <v>20222.33</v>
      </c>
      <c r="L9" s="334">
        <f t="shared" si="0"/>
        <v>86838.53</v>
      </c>
      <c r="M9" s="334">
        <f t="shared" si="0"/>
        <v>-240497.8</v>
      </c>
      <c r="N9" s="334">
        <f t="shared" si="0"/>
        <v>78772.61</v>
      </c>
    </row>
    <row r="10" spans="1:14" s="8" customFormat="1" ht="0.75" customHeight="1" hidden="1">
      <c r="A10" s="452" t="s">
        <v>339</v>
      </c>
      <c r="B10" s="337" t="s">
        <v>449</v>
      </c>
      <c r="C10" s="327" t="s">
        <v>393</v>
      </c>
      <c r="D10" s="328"/>
      <c r="E10" s="328"/>
      <c r="F10" s="329">
        <f aca="true" t="shared" si="1" ref="F10:K10">SUM(F11:F17)</f>
        <v>3240522</v>
      </c>
      <c r="G10" s="329">
        <f t="shared" si="1"/>
        <v>2624508</v>
      </c>
      <c r="H10" s="329">
        <f t="shared" si="1"/>
        <v>3240522</v>
      </c>
      <c r="I10" s="329">
        <f t="shared" si="1"/>
        <v>2317971</v>
      </c>
      <c r="J10" s="329">
        <f t="shared" si="1"/>
        <v>890151</v>
      </c>
      <c r="K10" s="329">
        <f t="shared" si="1"/>
        <v>32400</v>
      </c>
      <c r="L10" s="329"/>
      <c r="M10" s="329"/>
      <c r="N10" s="330"/>
    </row>
    <row r="11" spans="1:14" s="7" customFormat="1" ht="12.75" customHeight="1" hidden="1">
      <c r="A11" s="453"/>
      <c r="B11" s="314"/>
      <c r="C11" s="203" t="s">
        <v>349</v>
      </c>
      <c r="D11" s="326"/>
      <c r="E11" s="326"/>
      <c r="F11" s="315">
        <v>963233</v>
      </c>
      <c r="G11" s="315">
        <v>773819</v>
      </c>
      <c r="H11" s="315">
        <f aca="true" t="shared" si="2" ref="H11:H17">SUM(I11:K11)</f>
        <v>963233</v>
      </c>
      <c r="I11" s="315">
        <v>711241</v>
      </c>
      <c r="J11" s="315">
        <f>251992-8800</f>
        <v>243192</v>
      </c>
      <c r="K11" s="315">
        <v>8800</v>
      </c>
      <c r="L11" s="315"/>
      <c r="M11" s="315"/>
      <c r="N11" s="323"/>
    </row>
    <row r="12" spans="1:14" s="7" customFormat="1" ht="12.75" customHeight="1" hidden="1">
      <c r="A12" s="453"/>
      <c r="B12" s="314"/>
      <c r="C12" s="203" t="s">
        <v>350</v>
      </c>
      <c r="D12" s="326"/>
      <c r="E12" s="326"/>
      <c r="F12" s="315">
        <v>551035</v>
      </c>
      <c r="G12" s="315">
        <v>429051</v>
      </c>
      <c r="H12" s="315">
        <f t="shared" si="2"/>
        <v>551035</v>
      </c>
      <c r="I12" s="315">
        <v>408278</v>
      </c>
      <c r="J12" s="315">
        <v>142757</v>
      </c>
      <c r="K12" s="315">
        <v>0</v>
      </c>
      <c r="L12" s="315"/>
      <c r="M12" s="315"/>
      <c r="N12" s="323"/>
    </row>
    <row r="13" spans="1:14" s="7" customFormat="1" ht="12.75" customHeight="1" hidden="1">
      <c r="A13" s="453"/>
      <c r="B13" s="314"/>
      <c r="C13" s="203" t="s">
        <v>351</v>
      </c>
      <c r="D13" s="326"/>
      <c r="E13" s="326"/>
      <c r="F13" s="315">
        <v>671315</v>
      </c>
      <c r="G13" s="315">
        <v>546911</v>
      </c>
      <c r="H13" s="315">
        <f t="shared" si="2"/>
        <v>671315</v>
      </c>
      <c r="I13" s="315">
        <v>484435</v>
      </c>
      <c r="J13" s="315">
        <f>186880-3000</f>
        <v>183880</v>
      </c>
      <c r="K13" s="315">
        <v>3000</v>
      </c>
      <c r="L13" s="315"/>
      <c r="M13" s="315"/>
      <c r="N13" s="323"/>
    </row>
    <row r="14" spans="1:14" s="7" customFormat="1" ht="12.75" customHeight="1" hidden="1">
      <c r="A14" s="453"/>
      <c r="B14" s="314"/>
      <c r="C14" s="203" t="s">
        <v>352</v>
      </c>
      <c r="D14" s="326"/>
      <c r="E14" s="326"/>
      <c r="F14" s="315">
        <v>560345</v>
      </c>
      <c r="G14" s="315">
        <v>433631</v>
      </c>
      <c r="H14" s="315">
        <f t="shared" si="2"/>
        <v>560345</v>
      </c>
      <c r="I14" s="315">
        <v>373885</v>
      </c>
      <c r="J14" s="315">
        <f>186460-12600</f>
        <v>173860</v>
      </c>
      <c r="K14" s="315">
        <v>12600</v>
      </c>
      <c r="L14" s="315"/>
      <c r="M14" s="315"/>
      <c r="N14" s="323"/>
    </row>
    <row r="15" spans="1:14" s="7" customFormat="1" ht="12.75" customHeight="1" hidden="1">
      <c r="A15" s="453"/>
      <c r="B15" s="314"/>
      <c r="C15" s="203" t="s">
        <v>353</v>
      </c>
      <c r="D15" s="326"/>
      <c r="E15" s="326"/>
      <c r="F15" s="315">
        <v>211714</v>
      </c>
      <c r="G15" s="315">
        <v>180656</v>
      </c>
      <c r="H15" s="315">
        <f t="shared" si="2"/>
        <v>211714</v>
      </c>
      <c r="I15" s="315">
        <v>163161</v>
      </c>
      <c r="J15" s="315">
        <v>48553</v>
      </c>
      <c r="K15" s="315">
        <v>0</v>
      </c>
      <c r="L15" s="315"/>
      <c r="M15" s="315"/>
      <c r="N15" s="323"/>
    </row>
    <row r="16" spans="1:14" s="7" customFormat="1" ht="12.75" customHeight="1" hidden="1">
      <c r="A16" s="453"/>
      <c r="B16" s="314"/>
      <c r="C16" s="203" t="s">
        <v>354</v>
      </c>
      <c r="D16" s="326"/>
      <c r="E16" s="326"/>
      <c r="F16" s="315">
        <v>228033</v>
      </c>
      <c r="G16" s="315">
        <v>205593</v>
      </c>
      <c r="H16" s="315">
        <f t="shared" si="2"/>
        <v>228033</v>
      </c>
      <c r="I16" s="315">
        <v>141256</v>
      </c>
      <c r="J16" s="315">
        <f>86777-8000</f>
        <v>78777</v>
      </c>
      <c r="K16" s="315">
        <v>8000</v>
      </c>
      <c r="L16" s="315"/>
      <c r="M16" s="315"/>
      <c r="N16" s="323"/>
    </row>
    <row r="17" spans="1:14" s="7" customFormat="1" ht="12.75" customHeight="1" hidden="1">
      <c r="A17" s="453"/>
      <c r="B17" s="314"/>
      <c r="C17" s="203" t="s">
        <v>355</v>
      </c>
      <c r="D17" s="326"/>
      <c r="E17" s="326"/>
      <c r="F17" s="315">
        <v>54847</v>
      </c>
      <c r="G17" s="315">
        <v>54847</v>
      </c>
      <c r="H17" s="315">
        <f t="shared" si="2"/>
        <v>54847</v>
      </c>
      <c r="I17" s="315">
        <v>35715</v>
      </c>
      <c r="J17" s="315">
        <v>19132</v>
      </c>
      <c r="K17" s="315">
        <v>0</v>
      </c>
      <c r="L17" s="315"/>
      <c r="M17" s="315"/>
      <c r="N17" s="323"/>
    </row>
    <row r="18" spans="1:14" s="7" customFormat="1" ht="0.75" customHeight="1" hidden="1">
      <c r="A18" s="453"/>
      <c r="B18" s="314" t="s">
        <v>450</v>
      </c>
      <c r="C18" s="143" t="s">
        <v>448</v>
      </c>
      <c r="D18" s="316"/>
      <c r="E18" s="316"/>
      <c r="F18" s="315">
        <v>500</v>
      </c>
      <c r="G18" s="315">
        <v>500</v>
      </c>
      <c r="H18" s="315">
        <f>SUM(I18:K18)</f>
        <v>500</v>
      </c>
      <c r="I18" s="315">
        <v>0</v>
      </c>
      <c r="J18" s="315">
        <v>500</v>
      </c>
      <c r="K18" s="315">
        <v>0</v>
      </c>
      <c r="L18" s="315"/>
      <c r="M18" s="315"/>
      <c r="N18" s="323"/>
    </row>
    <row r="19" spans="1:14" s="7" customFormat="1" ht="23.25" customHeight="1" hidden="1">
      <c r="A19" s="453"/>
      <c r="B19" s="314" t="s">
        <v>449</v>
      </c>
      <c r="C19" s="143" t="s">
        <v>477</v>
      </c>
      <c r="D19" s="315">
        <v>0</v>
      </c>
      <c r="E19" s="315"/>
      <c r="F19" s="315">
        <f aca="true" t="shared" si="3" ref="F19:K19">SUM(F10,F18,)</f>
        <v>3241022</v>
      </c>
      <c r="G19" s="315">
        <f t="shared" si="3"/>
        <v>2625008</v>
      </c>
      <c r="H19" s="315">
        <f t="shared" si="3"/>
        <v>3241022</v>
      </c>
      <c r="I19" s="315">
        <f t="shared" si="3"/>
        <v>2317971</v>
      </c>
      <c r="J19" s="315">
        <f t="shared" si="3"/>
        <v>890651</v>
      </c>
      <c r="K19" s="315">
        <f t="shared" si="3"/>
        <v>32400</v>
      </c>
      <c r="L19" s="315"/>
      <c r="M19" s="315"/>
      <c r="N19" s="323">
        <v>0</v>
      </c>
    </row>
    <row r="20" spans="1:14" s="7" customFormat="1" ht="21.75" customHeight="1" hidden="1">
      <c r="A20" s="453"/>
      <c r="B20" s="314" t="s">
        <v>450</v>
      </c>
      <c r="C20" s="143" t="s">
        <v>405</v>
      </c>
      <c r="D20" s="315">
        <v>75044</v>
      </c>
      <c r="E20" s="315"/>
      <c r="F20" s="315">
        <v>89960</v>
      </c>
      <c r="G20" s="315">
        <v>86839</v>
      </c>
      <c r="H20" s="315">
        <v>89960</v>
      </c>
      <c r="I20" s="315">
        <v>65989</v>
      </c>
      <c r="J20" s="315">
        <v>28071</v>
      </c>
      <c r="K20" s="315">
        <v>-4100</v>
      </c>
      <c r="L20" s="315"/>
      <c r="M20" s="315"/>
      <c r="N20" s="323">
        <v>75044</v>
      </c>
    </row>
    <row r="21" spans="1:14" s="7" customFormat="1" ht="31.5" customHeight="1">
      <c r="A21" s="453"/>
      <c r="B21" s="463" t="s">
        <v>531</v>
      </c>
      <c r="C21" s="143" t="s">
        <v>250</v>
      </c>
      <c r="D21" s="315">
        <v>75044</v>
      </c>
      <c r="E21" s="315">
        <v>8648.17</v>
      </c>
      <c r="F21" s="315">
        <v>3426632</v>
      </c>
      <c r="G21" s="315">
        <v>2760832</v>
      </c>
      <c r="H21" s="315">
        <f>SUM(I21:K21)</f>
        <v>3426632</v>
      </c>
      <c r="I21" s="315">
        <v>2439798</v>
      </c>
      <c r="J21" s="315">
        <v>966034</v>
      </c>
      <c r="K21" s="315">
        <v>20800</v>
      </c>
      <c r="L21" s="315">
        <v>0</v>
      </c>
      <c r="M21" s="315">
        <v>8648.17</v>
      </c>
      <c r="N21" s="323">
        <v>75044</v>
      </c>
    </row>
    <row r="22" spans="1:14" s="11" customFormat="1" ht="29.25" customHeight="1" thickBot="1">
      <c r="A22" s="454"/>
      <c r="B22" s="464"/>
      <c r="C22" s="331" t="s">
        <v>0</v>
      </c>
      <c r="D22" s="324">
        <v>78772.61</v>
      </c>
      <c r="E22" s="324">
        <v>8648.17</v>
      </c>
      <c r="F22" s="324">
        <v>3171231.44</v>
      </c>
      <c r="G22" s="324">
        <v>2507124</v>
      </c>
      <c r="H22" s="324">
        <f>SUM(I22:K22)</f>
        <v>3333538.88</v>
      </c>
      <c r="I22" s="358">
        <v>2410582.61</v>
      </c>
      <c r="J22" s="358">
        <v>902733.94</v>
      </c>
      <c r="K22" s="358">
        <v>20222.33</v>
      </c>
      <c r="L22" s="324">
        <v>86838.53</v>
      </c>
      <c r="M22" s="324">
        <v>-240497.8</v>
      </c>
      <c r="N22" s="325">
        <v>78772.61</v>
      </c>
    </row>
    <row r="23" spans="1:14" s="7" customFormat="1" ht="30.75" customHeight="1">
      <c r="A23" s="455" t="s">
        <v>340</v>
      </c>
      <c r="B23" s="465" t="s">
        <v>530</v>
      </c>
      <c r="C23" s="327" t="s">
        <v>250</v>
      </c>
      <c r="D23" s="335">
        <v>0</v>
      </c>
      <c r="E23" s="335">
        <v>0</v>
      </c>
      <c r="F23" s="321">
        <v>9289</v>
      </c>
      <c r="G23" s="321">
        <v>9289</v>
      </c>
      <c r="H23" s="321">
        <f>SUM(I23:K23)</f>
        <v>9289</v>
      </c>
      <c r="I23" s="321">
        <v>0</v>
      </c>
      <c r="J23" s="321">
        <v>9289</v>
      </c>
      <c r="K23" s="321">
        <v>0</v>
      </c>
      <c r="L23" s="321">
        <v>0</v>
      </c>
      <c r="M23" s="321">
        <v>0</v>
      </c>
      <c r="N23" s="336">
        <v>0</v>
      </c>
    </row>
    <row r="24" spans="1:14" s="7" customFormat="1" ht="30" customHeight="1" hidden="1">
      <c r="A24" s="455"/>
      <c r="B24" s="466"/>
      <c r="C24" s="344"/>
      <c r="D24" s="319">
        <v>0</v>
      </c>
      <c r="E24" s="319"/>
      <c r="F24" s="320">
        <f>SUM(F25:F31)</f>
        <v>108020</v>
      </c>
      <c r="G24" s="320">
        <v>0</v>
      </c>
      <c r="H24" s="320">
        <f>SUM(H25:H31)</f>
        <v>108020</v>
      </c>
      <c r="I24" s="320">
        <v>0</v>
      </c>
      <c r="J24" s="320">
        <f>SUM(J25:J31)</f>
        <v>108020</v>
      </c>
      <c r="K24" s="320">
        <v>0</v>
      </c>
      <c r="L24" s="320"/>
      <c r="M24" s="320"/>
      <c r="N24" s="323">
        <v>0</v>
      </c>
    </row>
    <row r="25" spans="1:14" s="7" customFormat="1" ht="12.75" customHeight="1" hidden="1">
      <c r="A25" s="455"/>
      <c r="B25" s="466"/>
      <c r="C25" s="345" t="s">
        <v>356</v>
      </c>
      <c r="D25" s="318"/>
      <c r="E25" s="318"/>
      <c r="F25" s="318">
        <v>1150</v>
      </c>
      <c r="G25" s="318"/>
      <c r="H25" s="318">
        <f aca="true" t="shared" si="4" ref="H25:H31">SUM(I25:K25)</f>
        <v>1150</v>
      </c>
      <c r="I25" s="318"/>
      <c r="J25" s="318">
        <v>1150</v>
      </c>
      <c r="K25" s="318"/>
      <c r="L25" s="318"/>
      <c r="M25" s="318"/>
      <c r="N25" s="323"/>
    </row>
    <row r="26" spans="1:14" s="7" customFormat="1" ht="12.75" customHeight="1" hidden="1">
      <c r="A26" s="455"/>
      <c r="B26" s="466"/>
      <c r="C26" s="345" t="s">
        <v>357</v>
      </c>
      <c r="D26" s="317"/>
      <c r="E26" s="317"/>
      <c r="F26" s="317">
        <v>45500</v>
      </c>
      <c r="G26" s="317"/>
      <c r="H26" s="317">
        <f t="shared" si="4"/>
        <v>45500</v>
      </c>
      <c r="I26" s="317"/>
      <c r="J26" s="317">
        <v>45500</v>
      </c>
      <c r="K26" s="317"/>
      <c r="L26" s="317"/>
      <c r="M26" s="317"/>
      <c r="N26" s="323"/>
    </row>
    <row r="27" spans="1:14" s="7" customFormat="1" ht="12.75" customHeight="1" hidden="1">
      <c r="A27" s="455"/>
      <c r="B27" s="466"/>
      <c r="C27" s="345" t="s">
        <v>358</v>
      </c>
      <c r="D27" s="317"/>
      <c r="E27" s="317"/>
      <c r="F27" s="317">
        <v>1740</v>
      </c>
      <c r="G27" s="317"/>
      <c r="H27" s="317">
        <f t="shared" si="4"/>
        <v>1740</v>
      </c>
      <c r="I27" s="317"/>
      <c r="J27" s="317">
        <f>1740</f>
        <v>1740</v>
      </c>
      <c r="K27" s="317"/>
      <c r="L27" s="317"/>
      <c r="M27" s="317"/>
      <c r="N27" s="323"/>
    </row>
    <row r="28" spans="1:14" s="7" customFormat="1" ht="12.75" customHeight="1" hidden="1">
      <c r="A28" s="455"/>
      <c r="B28" s="466"/>
      <c r="C28" s="345" t="s">
        <v>359</v>
      </c>
      <c r="D28" s="317"/>
      <c r="E28" s="317"/>
      <c r="F28" s="317">
        <v>1458</v>
      </c>
      <c r="G28" s="317"/>
      <c r="H28" s="317">
        <f t="shared" si="4"/>
        <v>1458</v>
      </c>
      <c r="I28" s="317"/>
      <c r="J28" s="317">
        <f>1458</f>
        <v>1458</v>
      </c>
      <c r="K28" s="317"/>
      <c r="L28" s="317"/>
      <c r="M28" s="317"/>
      <c r="N28" s="323"/>
    </row>
    <row r="29" spans="1:14" s="7" customFormat="1" ht="12.75" customHeight="1" hidden="1">
      <c r="A29" s="455"/>
      <c r="B29" s="466"/>
      <c r="C29" s="345" t="s">
        <v>360</v>
      </c>
      <c r="D29" s="317"/>
      <c r="E29" s="317"/>
      <c r="F29" s="317">
        <f>622+9510</f>
        <v>10132</v>
      </c>
      <c r="G29" s="317"/>
      <c r="H29" s="317">
        <f t="shared" si="4"/>
        <v>10132</v>
      </c>
      <c r="I29" s="317"/>
      <c r="J29" s="317">
        <f>622+9510</f>
        <v>10132</v>
      </c>
      <c r="K29" s="317"/>
      <c r="L29" s="317"/>
      <c r="M29" s="317"/>
      <c r="N29" s="323"/>
    </row>
    <row r="30" spans="1:14" s="7" customFormat="1" ht="12.75" customHeight="1" hidden="1">
      <c r="A30" s="455"/>
      <c r="B30" s="466"/>
      <c r="C30" s="345" t="s">
        <v>361</v>
      </c>
      <c r="D30" s="317"/>
      <c r="E30" s="317"/>
      <c r="F30" s="317">
        <f>1640+33900</f>
        <v>35540</v>
      </c>
      <c r="G30" s="317"/>
      <c r="H30" s="317">
        <f t="shared" si="4"/>
        <v>35540</v>
      </c>
      <c r="I30" s="317"/>
      <c r="J30" s="317">
        <f>1640+33900</f>
        <v>35540</v>
      </c>
      <c r="K30" s="317"/>
      <c r="L30" s="317"/>
      <c r="M30" s="317"/>
      <c r="N30" s="323"/>
    </row>
    <row r="31" spans="1:14" s="7" customFormat="1" ht="12.75" customHeight="1" hidden="1">
      <c r="A31" s="455"/>
      <c r="B31" s="466"/>
      <c r="C31" s="345" t="s">
        <v>362</v>
      </c>
      <c r="D31" s="321"/>
      <c r="E31" s="321"/>
      <c r="F31" s="321">
        <v>12500</v>
      </c>
      <c r="G31" s="321"/>
      <c r="H31" s="321">
        <f t="shared" si="4"/>
        <v>12500</v>
      </c>
      <c r="I31" s="321"/>
      <c r="J31" s="321">
        <v>12500</v>
      </c>
      <c r="K31" s="321"/>
      <c r="L31" s="321"/>
      <c r="M31" s="321"/>
      <c r="N31" s="323"/>
    </row>
    <row r="32" spans="1:14" s="7" customFormat="1" ht="21" customHeight="1" hidden="1">
      <c r="A32" s="455"/>
      <c r="B32" s="466"/>
      <c r="C32" s="322"/>
      <c r="D32" s="315">
        <v>0</v>
      </c>
      <c r="E32" s="315"/>
      <c r="F32" s="315">
        <v>8790</v>
      </c>
      <c r="G32" s="315">
        <v>0</v>
      </c>
      <c r="H32" s="315">
        <f>SUM(I32:K32)</f>
        <v>8790</v>
      </c>
      <c r="I32" s="315">
        <v>0</v>
      </c>
      <c r="J32" s="315">
        <v>8790</v>
      </c>
      <c r="K32" s="315">
        <v>0</v>
      </c>
      <c r="L32" s="315"/>
      <c r="M32" s="315"/>
      <c r="N32" s="323">
        <v>0</v>
      </c>
    </row>
    <row r="33" spans="1:14" s="11" customFormat="1" ht="33.75" customHeight="1" thickBot="1">
      <c r="A33" s="456"/>
      <c r="B33" s="467"/>
      <c r="C33" s="346" t="s">
        <v>0</v>
      </c>
      <c r="D33" s="324">
        <v>0</v>
      </c>
      <c r="E33" s="324">
        <v>0</v>
      </c>
      <c r="F33" s="324">
        <v>9162</v>
      </c>
      <c r="G33" s="324">
        <v>9162</v>
      </c>
      <c r="H33" s="324">
        <f>SUM(I33:K33)</f>
        <v>9162</v>
      </c>
      <c r="I33" s="324">
        <v>0</v>
      </c>
      <c r="J33" s="324">
        <v>9162</v>
      </c>
      <c r="K33" s="324">
        <v>0</v>
      </c>
      <c r="L33" s="324">
        <v>0</v>
      </c>
      <c r="M33" s="324">
        <v>0</v>
      </c>
      <c r="N33" s="325">
        <v>0</v>
      </c>
    </row>
    <row r="34" spans="1:14" s="340" customFormat="1" ht="33" customHeight="1" thickBot="1">
      <c r="A34" s="457" t="s">
        <v>529</v>
      </c>
      <c r="B34" s="461" t="s">
        <v>476</v>
      </c>
      <c r="C34" s="462"/>
      <c r="D34" s="332">
        <v>0</v>
      </c>
      <c r="E34" s="332">
        <v>0</v>
      </c>
      <c r="F34" s="338">
        <v>142532</v>
      </c>
      <c r="G34" s="338">
        <v>0</v>
      </c>
      <c r="H34" s="358">
        <f>SUM(I34:K34)</f>
        <v>139832</v>
      </c>
      <c r="I34" s="338">
        <v>0</v>
      </c>
      <c r="J34" s="338">
        <v>139832</v>
      </c>
      <c r="K34" s="338">
        <v>0</v>
      </c>
      <c r="L34" s="338">
        <v>0</v>
      </c>
      <c r="M34" s="338">
        <v>2700</v>
      </c>
      <c r="N34" s="339">
        <v>0</v>
      </c>
    </row>
    <row r="35" spans="1:14" s="343" customFormat="1" ht="27.75" customHeight="1" thickBot="1">
      <c r="A35" s="458"/>
      <c r="B35" s="459" t="s">
        <v>0</v>
      </c>
      <c r="C35" s="460"/>
      <c r="D35" s="341">
        <v>0</v>
      </c>
      <c r="E35" s="341">
        <v>17495.13</v>
      </c>
      <c r="F35" s="341">
        <v>131356.64</v>
      </c>
      <c r="G35" s="341">
        <v>0</v>
      </c>
      <c r="H35" s="359">
        <f>SUM(I35:K35)</f>
        <v>125701.91</v>
      </c>
      <c r="I35" s="341">
        <v>0</v>
      </c>
      <c r="J35" s="341">
        <v>125701.91</v>
      </c>
      <c r="K35" s="341">
        <v>0</v>
      </c>
      <c r="L35" s="341">
        <v>17495.13</v>
      </c>
      <c r="M35" s="341">
        <v>5654.52</v>
      </c>
      <c r="N35" s="342">
        <v>0</v>
      </c>
    </row>
    <row r="40" ht="12.75">
      <c r="L40" s="451"/>
    </row>
    <row r="41" ht="12.75">
      <c r="L41" s="451"/>
    </row>
  </sheetData>
  <mergeCells count="18">
    <mergeCell ref="B9:C9"/>
    <mergeCell ref="B7:C8"/>
    <mergeCell ref="L40:L41"/>
    <mergeCell ref="A10:A22"/>
    <mergeCell ref="A23:A33"/>
    <mergeCell ref="A34:A35"/>
    <mergeCell ref="B35:C35"/>
    <mergeCell ref="B34:C34"/>
    <mergeCell ref="B21:B22"/>
    <mergeCell ref="B23:B33"/>
    <mergeCell ref="A7:A8"/>
    <mergeCell ref="D7:D8"/>
    <mergeCell ref="N7:N8"/>
    <mergeCell ref="M7:M8"/>
    <mergeCell ref="E7:E8"/>
    <mergeCell ref="F7:G7"/>
    <mergeCell ref="H7:K7"/>
    <mergeCell ref="L7:L8"/>
  </mergeCells>
  <printOptions horizontalCentered="1"/>
  <pageMargins left="0.3937007874015748" right="0.35433070866141736" top="0.984251968503937" bottom="0.984251968503937" header="0.5118110236220472" footer="0.5118110236220472"/>
  <pageSetup horizontalDpi="600" verticalDpi="600" orientation="landscape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18"/>
  <sheetViews>
    <sheetView tabSelected="1" workbookViewId="0" topLeftCell="A1">
      <selection activeCell="G32" sqref="G32"/>
    </sheetView>
  </sheetViews>
  <sheetFormatPr defaultColWidth="9.00390625" defaultRowHeight="12.75"/>
  <cols>
    <col min="1" max="1" width="5.75390625" style="8" customWidth="1"/>
    <col min="2" max="2" width="8.25390625" style="8" customWidth="1"/>
    <col min="3" max="3" width="5.75390625" style="8" customWidth="1"/>
    <col min="4" max="4" width="30.875" style="8" customWidth="1"/>
    <col min="5" max="5" width="12.25390625" style="8" customWidth="1"/>
    <col min="6" max="6" width="12.25390625" style="0" customWidth="1"/>
  </cols>
  <sheetData>
    <row r="1" spans="5:7" ht="12.75">
      <c r="E1" s="24"/>
      <c r="F1" s="353" t="s">
        <v>581</v>
      </c>
      <c r="G1" s="353"/>
    </row>
    <row r="2" spans="5:7" ht="12.75">
      <c r="E2" s="26"/>
      <c r="F2" s="353" t="s">
        <v>562</v>
      </c>
      <c r="G2" s="353"/>
    </row>
    <row r="3" spans="5:7" ht="12.75">
      <c r="E3" s="26"/>
      <c r="F3" s="353" t="s">
        <v>515</v>
      </c>
      <c r="G3" s="353"/>
    </row>
    <row r="4" spans="5:7" ht="12.75">
      <c r="E4" s="26"/>
      <c r="F4" s="353" t="s">
        <v>564</v>
      </c>
      <c r="G4" s="353"/>
    </row>
    <row r="5" ht="12.75">
      <c r="E5"/>
    </row>
    <row r="8" spans="1:7" ht="43.5" customHeight="1">
      <c r="A8" s="469" t="s">
        <v>532</v>
      </c>
      <c r="B8" s="469"/>
      <c r="C8" s="469"/>
      <c r="D8" s="469"/>
      <c r="E8" s="469"/>
      <c r="F8" s="469"/>
      <c r="G8" s="469"/>
    </row>
    <row r="9" spans="1:5" ht="17.25" customHeight="1">
      <c r="A9" s="46"/>
      <c r="B9" s="46"/>
      <c r="C9" s="46"/>
      <c r="D9" s="46"/>
      <c r="E9" s="46"/>
    </row>
    <row r="10" spans="1:7" ht="21.75" customHeight="1">
      <c r="A10" s="374" t="s">
        <v>12</v>
      </c>
      <c r="B10" s="374" t="s">
        <v>13</v>
      </c>
      <c r="C10" s="374" t="s">
        <v>14</v>
      </c>
      <c r="D10" s="374" t="s">
        <v>15</v>
      </c>
      <c r="E10" s="468" t="s">
        <v>170</v>
      </c>
      <c r="F10" s="428" t="s">
        <v>0</v>
      </c>
      <c r="G10" s="429"/>
    </row>
    <row r="11" spans="1:7" s="8" customFormat="1" ht="20.25" customHeight="1">
      <c r="A11" s="374"/>
      <c r="B11" s="374"/>
      <c r="C11" s="374"/>
      <c r="D11" s="374"/>
      <c r="E11" s="468"/>
      <c r="F11" s="2" t="s">
        <v>1</v>
      </c>
      <c r="G11" s="2" t="s">
        <v>512</v>
      </c>
    </row>
    <row r="12" spans="1:7" ht="24.75" customHeight="1">
      <c r="A12" s="35" t="s">
        <v>30</v>
      </c>
      <c r="B12" s="5"/>
      <c r="C12" s="5"/>
      <c r="D12" s="19" t="s">
        <v>31</v>
      </c>
      <c r="E12" s="47">
        <f>SUM(E13)</f>
        <v>105000</v>
      </c>
      <c r="F12" s="47">
        <f>SUM(F13)</f>
        <v>214865</v>
      </c>
      <c r="G12" s="34">
        <f>F12/E12*100</f>
        <v>204.63333333333333</v>
      </c>
    </row>
    <row r="13" spans="1:7" s="24" customFormat="1" ht="24.75" customHeight="1">
      <c r="A13" s="83"/>
      <c r="B13" s="83">
        <v>75011</v>
      </c>
      <c r="C13" s="59"/>
      <c r="D13" s="14" t="s">
        <v>32</v>
      </c>
      <c r="E13" s="104">
        <f>SUM(E14:E14)</f>
        <v>105000</v>
      </c>
      <c r="F13" s="104">
        <f>SUM(F14:F14)</f>
        <v>214865</v>
      </c>
      <c r="G13" s="124">
        <f aca="true" t="shared" si="0" ref="G13:G18">F13/E13*100</f>
        <v>204.63333333333333</v>
      </c>
    </row>
    <row r="14" spans="1:7" s="24" customFormat="1" ht="24" customHeight="1">
      <c r="A14" s="83"/>
      <c r="B14" s="83"/>
      <c r="C14" s="87" t="s">
        <v>223</v>
      </c>
      <c r="D14" s="14" t="s">
        <v>177</v>
      </c>
      <c r="E14" s="104">
        <v>105000</v>
      </c>
      <c r="F14" s="124">
        <v>214865</v>
      </c>
      <c r="G14" s="124">
        <f t="shared" si="0"/>
        <v>204.63333333333333</v>
      </c>
    </row>
    <row r="15" spans="1:7" s="11" customFormat="1" ht="24" customHeight="1">
      <c r="A15" s="35">
        <v>852</v>
      </c>
      <c r="B15" s="35"/>
      <c r="C15" s="288"/>
      <c r="D15" s="19" t="s">
        <v>231</v>
      </c>
      <c r="E15" s="47">
        <f>SUM(E16)</f>
        <v>0</v>
      </c>
      <c r="F15" s="47">
        <f>SUM(F16)</f>
        <v>49378.36</v>
      </c>
      <c r="G15" s="18" t="s">
        <v>514</v>
      </c>
    </row>
    <row r="16" spans="1:7" s="24" customFormat="1" ht="45">
      <c r="A16" s="83"/>
      <c r="B16" s="83">
        <v>85212</v>
      </c>
      <c r="C16" s="87"/>
      <c r="D16" s="14" t="s">
        <v>513</v>
      </c>
      <c r="E16" s="104">
        <f>SUM(E17)</f>
        <v>0</v>
      </c>
      <c r="F16" s="104">
        <f>SUM(F17)</f>
        <v>49378.36</v>
      </c>
      <c r="G16" s="289" t="s">
        <v>514</v>
      </c>
    </row>
    <row r="17" spans="1:7" s="24" customFormat="1" ht="24" customHeight="1">
      <c r="A17" s="83"/>
      <c r="B17" s="83"/>
      <c r="C17" s="87" t="s">
        <v>198</v>
      </c>
      <c r="D17" s="164" t="s">
        <v>27</v>
      </c>
      <c r="E17" s="104">
        <v>0</v>
      </c>
      <c r="F17" s="124">
        <v>49378.36</v>
      </c>
      <c r="G17" s="289" t="s">
        <v>514</v>
      </c>
    </row>
    <row r="18" spans="1:7" ht="24.75" customHeight="1">
      <c r="A18" s="4"/>
      <c r="B18" s="4"/>
      <c r="C18" s="4"/>
      <c r="D18" s="12" t="s">
        <v>89</v>
      </c>
      <c r="E18" s="47">
        <f>SUM(E12,E15)</f>
        <v>105000</v>
      </c>
      <c r="F18" s="47">
        <f>SUM(F12,F15)</f>
        <v>264243.36</v>
      </c>
      <c r="G18" s="124">
        <f t="shared" si="0"/>
        <v>251.66034285714284</v>
      </c>
    </row>
  </sheetData>
  <mergeCells count="7">
    <mergeCell ref="E10:E11"/>
    <mergeCell ref="F10:G10"/>
    <mergeCell ref="A8:G8"/>
    <mergeCell ref="A10:A11"/>
    <mergeCell ref="B10:B11"/>
    <mergeCell ref="C10:C11"/>
    <mergeCell ref="D10:D11"/>
  </mergeCells>
  <printOptions horizontalCentered="1"/>
  <pageMargins left="0.7874015748031497" right="0.7874015748031497" top="0.7874015748031497" bottom="0.7874015748031497" header="0.5118110236220472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724"/>
  <sheetViews>
    <sheetView workbookViewId="0" topLeftCell="A425">
      <selection activeCell="I258" sqref="I258"/>
    </sheetView>
  </sheetViews>
  <sheetFormatPr defaultColWidth="9.00390625" defaultRowHeight="12.75"/>
  <cols>
    <col min="1" max="1" width="5.25390625" style="8" customWidth="1"/>
    <col min="2" max="2" width="7.625" style="8" customWidth="1"/>
    <col min="3" max="3" width="6.125" style="8" bestFit="1" customWidth="1"/>
    <col min="4" max="4" width="31.125" style="8" customWidth="1"/>
    <col min="5" max="5" width="12.25390625" style="30" bestFit="1" customWidth="1"/>
    <col min="6" max="6" width="12.25390625" style="30" customWidth="1"/>
    <col min="7" max="7" width="12.125" style="251" customWidth="1"/>
    <col min="8" max="8" width="8.125" style="177" customWidth="1"/>
    <col min="9" max="11" width="10.00390625" style="21" bestFit="1" customWidth="1"/>
    <col min="12" max="15" width="9.125" style="21" customWidth="1"/>
  </cols>
  <sheetData>
    <row r="1" spans="1:8" ht="12.75">
      <c r="A1" s="125"/>
      <c r="B1" s="125"/>
      <c r="C1" s="125"/>
      <c r="D1" s="125"/>
      <c r="E1" s="67"/>
      <c r="F1" s="353"/>
      <c r="G1" s="353" t="s">
        <v>565</v>
      </c>
      <c r="H1" s="353"/>
    </row>
    <row r="2" spans="1:8" ht="12.75">
      <c r="A2" s="125"/>
      <c r="B2" s="125"/>
      <c r="C2" s="125"/>
      <c r="D2" s="125"/>
      <c r="E2" s="67"/>
      <c r="F2" s="353"/>
      <c r="G2" s="353" t="s">
        <v>562</v>
      </c>
      <c r="H2" s="353"/>
    </row>
    <row r="3" spans="1:8" ht="12.75">
      <c r="A3" s="125"/>
      <c r="B3" s="125"/>
      <c r="C3" s="125"/>
      <c r="D3" s="125"/>
      <c r="E3" s="67"/>
      <c r="F3" s="353"/>
      <c r="G3" s="353" t="s">
        <v>515</v>
      </c>
      <c r="H3" s="353"/>
    </row>
    <row r="4" spans="1:8" ht="12.75">
      <c r="A4" s="125"/>
      <c r="B4" s="125"/>
      <c r="C4" s="125"/>
      <c r="D4" s="125"/>
      <c r="E4" s="67"/>
      <c r="F4" s="353"/>
      <c r="G4" s="353" t="s">
        <v>564</v>
      </c>
      <c r="H4" s="353"/>
    </row>
    <row r="5" spans="1:6" ht="21" customHeight="1">
      <c r="A5" s="208" t="s">
        <v>542</v>
      </c>
      <c r="B5" s="208"/>
      <c r="C5" s="208"/>
      <c r="D5" s="208"/>
      <c r="E5" s="208"/>
      <c r="F5" s="208"/>
    </row>
    <row r="6" spans="1:8" ht="18" customHeight="1">
      <c r="A6" s="400" t="s">
        <v>12</v>
      </c>
      <c r="B6" s="400" t="s">
        <v>13</v>
      </c>
      <c r="C6" s="400" t="s">
        <v>14</v>
      </c>
      <c r="D6" s="400" t="s">
        <v>421</v>
      </c>
      <c r="E6" s="402" t="s">
        <v>170</v>
      </c>
      <c r="F6" s="403" t="s">
        <v>510</v>
      </c>
      <c r="G6" s="401" t="s">
        <v>0</v>
      </c>
      <c r="H6" s="435"/>
    </row>
    <row r="7" spans="1:15" s="8" customFormat="1" ht="18" customHeight="1">
      <c r="A7" s="400"/>
      <c r="B7" s="400"/>
      <c r="C7" s="400"/>
      <c r="D7" s="400"/>
      <c r="E7" s="402"/>
      <c r="F7" s="403"/>
      <c r="G7" s="18" t="s">
        <v>1</v>
      </c>
      <c r="H7" s="376" t="s">
        <v>2</v>
      </c>
      <c r="I7" s="23"/>
      <c r="J7" s="23"/>
      <c r="K7" s="23"/>
      <c r="L7" s="23"/>
      <c r="M7" s="23"/>
      <c r="N7" s="23"/>
      <c r="O7" s="23"/>
    </row>
    <row r="8" spans="1:15" s="11" customFormat="1" ht="19.5" customHeight="1">
      <c r="A8" s="37" t="s">
        <v>16</v>
      </c>
      <c r="B8" s="69"/>
      <c r="C8" s="70"/>
      <c r="D8" s="40" t="s">
        <v>17</v>
      </c>
      <c r="E8" s="41">
        <f>SUM(E9,E11,E13)</f>
        <v>257900</v>
      </c>
      <c r="F8" s="41">
        <f>SUM(F9,F11,F13)</f>
        <v>301426</v>
      </c>
      <c r="G8" s="41">
        <f>SUM(G9,G11,G13)</f>
        <v>200247.69</v>
      </c>
      <c r="H8" s="475">
        <f>G8/F8*100</f>
        <v>66.43344966923888</v>
      </c>
      <c r="I8" s="470"/>
      <c r="J8" s="470"/>
      <c r="K8" s="470"/>
      <c r="L8" s="470"/>
      <c r="M8" s="470"/>
      <c r="N8" s="470"/>
      <c r="O8" s="470"/>
    </row>
    <row r="9" spans="1:15" s="24" customFormat="1" ht="19.5" customHeight="1">
      <c r="A9" s="77"/>
      <c r="B9" s="94" t="s">
        <v>91</v>
      </c>
      <c r="C9" s="80"/>
      <c r="D9" s="42" t="s">
        <v>92</v>
      </c>
      <c r="E9" s="92">
        <f>SUM(E10)</f>
        <v>7900</v>
      </c>
      <c r="F9" s="92">
        <f>SUM(F10)</f>
        <v>7900</v>
      </c>
      <c r="G9" s="92">
        <f>SUM(G10)</f>
        <v>6722.52</v>
      </c>
      <c r="H9" s="255">
        <f aca="true" t="shared" si="0" ref="H9:H75">G9/F9*100</f>
        <v>85.09518987341774</v>
      </c>
      <c r="I9" s="471"/>
      <c r="J9" s="471"/>
      <c r="K9" s="471"/>
      <c r="L9" s="471"/>
      <c r="M9" s="471"/>
      <c r="N9" s="471"/>
      <c r="O9" s="471"/>
    </row>
    <row r="10" spans="1:15" s="24" customFormat="1" ht="45">
      <c r="A10" s="95"/>
      <c r="B10" s="96"/>
      <c r="C10" s="80">
        <v>2850</v>
      </c>
      <c r="D10" s="42" t="s">
        <v>460</v>
      </c>
      <c r="E10" s="92">
        <v>7900</v>
      </c>
      <c r="F10" s="92">
        <v>7900</v>
      </c>
      <c r="G10" s="92">
        <v>6722.52</v>
      </c>
      <c r="H10" s="255">
        <f t="shared" si="0"/>
        <v>85.09518987341774</v>
      </c>
      <c r="I10" s="471"/>
      <c r="J10" s="471"/>
      <c r="K10" s="471"/>
      <c r="L10" s="471"/>
      <c r="M10" s="471"/>
      <c r="N10" s="471"/>
      <c r="O10" s="471"/>
    </row>
    <row r="11" spans="1:15" s="24" customFormat="1" ht="19.5" customHeight="1">
      <c r="A11" s="95"/>
      <c r="B11" s="96" t="s">
        <v>398</v>
      </c>
      <c r="C11" s="80"/>
      <c r="D11" s="42" t="s">
        <v>399</v>
      </c>
      <c r="E11" s="92">
        <f>SUM(E12)</f>
        <v>250000</v>
      </c>
      <c r="F11" s="92">
        <f>SUM(F12)</f>
        <v>100000</v>
      </c>
      <c r="G11" s="92">
        <f>SUM(G12)</f>
        <v>0</v>
      </c>
      <c r="H11" s="255">
        <f t="shared" si="0"/>
        <v>0</v>
      </c>
      <c r="I11" s="471"/>
      <c r="J11" s="471"/>
      <c r="K11" s="471"/>
      <c r="L11" s="471"/>
      <c r="M11" s="471"/>
      <c r="N11" s="471"/>
      <c r="O11" s="471"/>
    </row>
    <row r="12" spans="1:15" s="24" customFormat="1" ht="19.5" customHeight="1">
      <c r="A12" s="95"/>
      <c r="B12" s="96"/>
      <c r="C12" s="80">
        <v>4300</v>
      </c>
      <c r="D12" s="42" t="s">
        <v>100</v>
      </c>
      <c r="E12" s="92">
        <v>250000</v>
      </c>
      <c r="F12" s="92">
        <v>100000</v>
      </c>
      <c r="G12" s="92">
        <v>0</v>
      </c>
      <c r="H12" s="255">
        <f t="shared" si="0"/>
        <v>0</v>
      </c>
      <c r="I12" s="471"/>
      <c r="J12" s="471"/>
      <c r="K12" s="471"/>
      <c r="L12" s="471"/>
      <c r="M12" s="471"/>
      <c r="N12" s="471"/>
      <c r="O12" s="471"/>
    </row>
    <row r="13" spans="1:15" s="24" customFormat="1" ht="19.5" customHeight="1">
      <c r="A13" s="95"/>
      <c r="B13" s="79" t="s">
        <v>435</v>
      </c>
      <c r="C13" s="207"/>
      <c r="D13" s="14" t="s">
        <v>18</v>
      </c>
      <c r="E13" s="92">
        <f>SUM(E14:E18)</f>
        <v>0</v>
      </c>
      <c r="F13" s="92">
        <f>SUM(F14:F18)</f>
        <v>193526</v>
      </c>
      <c r="G13" s="92">
        <f>SUM(G14:G18)</f>
        <v>193525.17</v>
      </c>
      <c r="H13" s="255">
        <f t="shared" si="0"/>
        <v>99.99957111705922</v>
      </c>
      <c r="I13" s="471"/>
      <c r="J13" s="471"/>
      <c r="K13" s="471"/>
      <c r="L13" s="471"/>
      <c r="M13" s="471"/>
      <c r="N13" s="471"/>
      <c r="O13" s="471"/>
    </row>
    <row r="14" spans="1:15" s="24" customFormat="1" ht="19.5" customHeight="1">
      <c r="A14" s="95"/>
      <c r="B14" s="79"/>
      <c r="C14" s="207">
        <v>4210</v>
      </c>
      <c r="D14" s="42" t="s">
        <v>93</v>
      </c>
      <c r="E14" s="92">
        <v>0</v>
      </c>
      <c r="F14" s="92">
        <v>300</v>
      </c>
      <c r="G14" s="92">
        <v>300</v>
      </c>
      <c r="H14" s="255">
        <f t="shared" si="0"/>
        <v>100</v>
      </c>
      <c r="I14" s="471"/>
      <c r="J14" s="471"/>
      <c r="K14" s="471"/>
      <c r="L14" s="471"/>
      <c r="M14" s="471"/>
      <c r="N14" s="471"/>
      <c r="O14" s="471"/>
    </row>
    <row r="15" spans="1:15" s="24" customFormat="1" ht="19.5" customHeight="1">
      <c r="A15" s="95"/>
      <c r="B15" s="85"/>
      <c r="C15" s="207">
        <v>4300</v>
      </c>
      <c r="D15" s="14" t="s">
        <v>100</v>
      </c>
      <c r="E15" s="92">
        <v>0</v>
      </c>
      <c r="F15" s="92">
        <v>2718</v>
      </c>
      <c r="G15" s="92">
        <v>2717.89</v>
      </c>
      <c r="H15" s="255">
        <f t="shared" si="0"/>
        <v>99.99595290654892</v>
      </c>
      <c r="I15" s="471"/>
      <c r="J15" s="471"/>
      <c r="K15" s="471"/>
      <c r="L15" s="471"/>
      <c r="M15" s="471"/>
      <c r="N15" s="471"/>
      <c r="O15" s="471"/>
    </row>
    <row r="16" spans="1:15" s="24" customFormat="1" ht="19.5" customHeight="1">
      <c r="A16" s="95"/>
      <c r="B16" s="59"/>
      <c r="C16" s="85">
        <v>4430</v>
      </c>
      <c r="D16" s="42" t="s">
        <v>115</v>
      </c>
      <c r="E16" s="92">
        <v>0</v>
      </c>
      <c r="F16" s="92">
        <v>189731</v>
      </c>
      <c r="G16" s="92">
        <v>189730.56</v>
      </c>
      <c r="H16" s="255">
        <f t="shared" si="0"/>
        <v>99.99976809272074</v>
      </c>
      <c r="I16" s="471"/>
      <c r="J16" s="471"/>
      <c r="K16" s="471"/>
      <c r="L16" s="471"/>
      <c r="M16" s="471"/>
      <c r="N16" s="471"/>
      <c r="O16" s="471"/>
    </row>
    <row r="17" spans="1:15" s="24" customFormat="1" ht="33.75">
      <c r="A17" s="95"/>
      <c r="B17" s="96"/>
      <c r="C17" s="59">
        <v>4740</v>
      </c>
      <c r="D17" s="14" t="s">
        <v>289</v>
      </c>
      <c r="E17" s="92">
        <v>0</v>
      </c>
      <c r="F17" s="92">
        <v>527</v>
      </c>
      <c r="G17" s="92">
        <v>526.72</v>
      </c>
      <c r="H17" s="255">
        <f t="shared" si="0"/>
        <v>99.94686907020873</v>
      </c>
      <c r="I17" s="471"/>
      <c r="J17" s="471"/>
      <c r="K17" s="471"/>
      <c r="L17" s="471"/>
      <c r="M17" s="471"/>
      <c r="N17" s="471"/>
      <c r="O17" s="471"/>
    </row>
    <row r="18" spans="1:15" s="24" customFormat="1" ht="24.75" customHeight="1">
      <c r="A18" s="95"/>
      <c r="B18" s="96"/>
      <c r="C18" s="59">
        <v>4750</v>
      </c>
      <c r="D18" s="42" t="s">
        <v>502</v>
      </c>
      <c r="E18" s="92">
        <v>0</v>
      </c>
      <c r="F18" s="92">
        <v>250</v>
      </c>
      <c r="G18" s="92">
        <v>250</v>
      </c>
      <c r="H18" s="255">
        <f t="shared" si="0"/>
        <v>100</v>
      </c>
      <c r="I18" s="471"/>
      <c r="J18" s="471"/>
      <c r="K18" s="471"/>
      <c r="L18" s="471"/>
      <c r="M18" s="471"/>
      <c r="N18" s="471"/>
      <c r="O18" s="471"/>
    </row>
    <row r="19" spans="1:15" s="7" customFormat="1" ht="19.5" customHeight="1">
      <c r="A19" s="37" t="s">
        <v>95</v>
      </c>
      <c r="B19" s="38"/>
      <c r="C19" s="39"/>
      <c r="D19" s="40" t="s">
        <v>96</v>
      </c>
      <c r="E19" s="41">
        <f>E22+E20</f>
        <v>1514580</v>
      </c>
      <c r="F19" s="41">
        <f>F22+F20</f>
        <v>3401027</v>
      </c>
      <c r="G19" s="41">
        <f>G22+G20</f>
        <v>2661474.09</v>
      </c>
      <c r="H19" s="475">
        <f t="shared" si="0"/>
        <v>78.25501208899547</v>
      </c>
      <c r="I19" s="472"/>
      <c r="J19" s="472"/>
      <c r="K19" s="472"/>
      <c r="L19" s="472"/>
      <c r="M19" s="472"/>
      <c r="N19" s="472"/>
      <c r="O19" s="472"/>
    </row>
    <row r="20" spans="1:15" s="24" customFormat="1" ht="19.5" customHeight="1">
      <c r="A20" s="77"/>
      <c r="B20" s="99">
        <v>60013</v>
      </c>
      <c r="C20" s="98"/>
      <c r="D20" s="42" t="s">
        <v>426</v>
      </c>
      <c r="E20" s="92">
        <f>SUM(E21)</f>
        <v>0</v>
      </c>
      <c r="F20" s="92">
        <f>SUM(F21)</f>
        <v>30000</v>
      </c>
      <c r="G20" s="92">
        <f>SUM(G21)</f>
        <v>30000</v>
      </c>
      <c r="H20" s="255">
        <f t="shared" si="0"/>
        <v>100</v>
      </c>
      <c r="I20" s="471"/>
      <c r="J20" s="471"/>
      <c r="K20" s="471"/>
      <c r="L20" s="471"/>
      <c r="M20" s="471"/>
      <c r="N20" s="471"/>
      <c r="O20" s="471"/>
    </row>
    <row r="21" spans="1:15" s="24" customFormat="1" ht="60" customHeight="1">
      <c r="A21" s="77"/>
      <c r="B21" s="99"/>
      <c r="C21" s="98">
        <v>6300</v>
      </c>
      <c r="D21" s="42" t="s">
        <v>427</v>
      </c>
      <c r="E21" s="92">
        <v>0</v>
      </c>
      <c r="F21" s="92">
        <v>30000</v>
      </c>
      <c r="G21" s="92">
        <v>30000</v>
      </c>
      <c r="H21" s="255">
        <f t="shared" si="0"/>
        <v>100</v>
      </c>
      <c r="I21" s="471"/>
      <c r="J21" s="471"/>
      <c r="K21" s="471"/>
      <c r="L21" s="471"/>
      <c r="M21" s="471"/>
      <c r="N21" s="471"/>
      <c r="O21" s="471"/>
    </row>
    <row r="22" spans="1:15" s="24" customFormat="1" ht="19.5" customHeight="1">
      <c r="A22" s="77"/>
      <c r="B22" s="94" t="s">
        <v>97</v>
      </c>
      <c r="C22" s="98"/>
      <c r="D22" s="42" t="s">
        <v>98</v>
      </c>
      <c r="E22" s="92">
        <f>SUM(E23:E28)</f>
        <v>1514580</v>
      </c>
      <c r="F22" s="92">
        <f>SUM(F23:F28)</f>
        <v>3371027</v>
      </c>
      <c r="G22" s="92">
        <f>SUM(G23:G28)</f>
        <v>2631474.09</v>
      </c>
      <c r="H22" s="255">
        <f t="shared" si="0"/>
        <v>78.06149550270585</v>
      </c>
      <c r="I22" s="471"/>
      <c r="J22" s="471"/>
      <c r="K22" s="471"/>
      <c r="L22" s="471"/>
      <c r="M22" s="471"/>
      <c r="N22" s="471"/>
      <c r="O22" s="471"/>
    </row>
    <row r="23" spans="1:15" s="24" customFormat="1" ht="19.5" customHeight="1">
      <c r="A23" s="77"/>
      <c r="B23" s="99"/>
      <c r="C23" s="77">
        <v>4210</v>
      </c>
      <c r="D23" s="42" t="s">
        <v>93</v>
      </c>
      <c r="E23" s="92">
        <v>33960</v>
      </c>
      <c r="F23" s="81">
        <v>41035</v>
      </c>
      <c r="G23" s="81">
        <v>39798.07</v>
      </c>
      <c r="H23" s="255">
        <f t="shared" si="0"/>
        <v>96.98567076885585</v>
      </c>
      <c r="I23" s="471"/>
      <c r="J23" s="471"/>
      <c r="K23" s="471"/>
      <c r="L23" s="471"/>
      <c r="M23" s="471"/>
      <c r="N23" s="471"/>
      <c r="O23" s="471"/>
    </row>
    <row r="24" spans="1:15" s="24" customFormat="1" ht="19.5" customHeight="1">
      <c r="A24" s="77"/>
      <c r="B24" s="99"/>
      <c r="C24" s="77">
        <v>4270</v>
      </c>
      <c r="D24" s="42" t="s">
        <v>99</v>
      </c>
      <c r="E24" s="92">
        <f>90000+25000+7000</f>
        <v>122000</v>
      </c>
      <c r="F24" s="81">
        <v>148500</v>
      </c>
      <c r="G24" s="81">
        <v>130974.25</v>
      </c>
      <c r="H24" s="255">
        <f t="shared" si="0"/>
        <v>88.19814814814815</v>
      </c>
      <c r="I24" s="471"/>
      <c r="J24" s="471"/>
      <c r="K24" s="471"/>
      <c r="L24" s="471"/>
      <c r="M24" s="471"/>
      <c r="N24" s="471"/>
      <c r="O24" s="471"/>
    </row>
    <row r="25" spans="1:15" s="24" customFormat="1" ht="19.5" customHeight="1">
      <c r="A25" s="77"/>
      <c r="B25" s="99"/>
      <c r="C25" s="77">
        <v>4300</v>
      </c>
      <c r="D25" s="42" t="s">
        <v>100</v>
      </c>
      <c r="E25" s="92">
        <v>251340</v>
      </c>
      <c r="F25" s="81">
        <v>392365</v>
      </c>
      <c r="G25" s="81">
        <v>169982.92</v>
      </c>
      <c r="H25" s="255">
        <f t="shared" si="0"/>
        <v>43.322651102927125</v>
      </c>
      <c r="I25" s="471"/>
      <c r="J25" s="471"/>
      <c r="K25" s="471"/>
      <c r="L25" s="471"/>
      <c r="M25" s="471"/>
      <c r="N25" s="471"/>
      <c r="O25" s="471"/>
    </row>
    <row r="26" spans="1:15" s="24" customFormat="1" ht="24.75" customHeight="1">
      <c r="A26" s="77"/>
      <c r="B26" s="99"/>
      <c r="C26" s="77">
        <v>6050</v>
      </c>
      <c r="D26" s="42" t="s">
        <v>94</v>
      </c>
      <c r="E26" s="92">
        <v>1055630</v>
      </c>
      <c r="F26" s="211">
        <v>2752437</v>
      </c>
      <c r="G26" s="211">
        <v>2265342.85</v>
      </c>
      <c r="H26" s="255">
        <f t="shared" si="0"/>
        <v>82.30316806524546</v>
      </c>
      <c r="I26" s="471"/>
      <c r="J26" s="471"/>
      <c r="K26" s="471"/>
      <c r="L26" s="471"/>
      <c r="M26" s="471"/>
      <c r="N26" s="471"/>
      <c r="O26" s="471"/>
    </row>
    <row r="27" spans="1:15" s="24" customFormat="1" ht="24.75" customHeight="1">
      <c r="A27" s="77"/>
      <c r="B27" s="99"/>
      <c r="C27" s="77">
        <v>6060</v>
      </c>
      <c r="D27" s="42" t="s">
        <v>117</v>
      </c>
      <c r="E27" s="92">
        <v>11650</v>
      </c>
      <c r="F27" s="92">
        <v>26690</v>
      </c>
      <c r="G27" s="92">
        <v>25376</v>
      </c>
      <c r="H27" s="255">
        <f t="shared" si="0"/>
        <v>95.07680779318096</v>
      </c>
      <c r="I27" s="471"/>
      <c r="J27" s="471"/>
      <c r="K27" s="471"/>
      <c r="L27" s="471"/>
      <c r="M27" s="471"/>
      <c r="N27" s="471"/>
      <c r="O27" s="471"/>
    </row>
    <row r="28" spans="1:15" s="24" customFormat="1" ht="24.75" customHeight="1">
      <c r="A28" s="77"/>
      <c r="B28" s="99"/>
      <c r="C28" s="77">
        <v>6800</v>
      </c>
      <c r="D28" s="42" t="s">
        <v>395</v>
      </c>
      <c r="E28" s="92">
        <v>40000</v>
      </c>
      <c r="F28" s="92">
        <v>10000</v>
      </c>
      <c r="G28" s="92">
        <v>0</v>
      </c>
      <c r="H28" s="255">
        <f t="shared" si="0"/>
        <v>0</v>
      </c>
      <c r="I28" s="471"/>
      <c r="J28" s="471"/>
      <c r="K28" s="471"/>
      <c r="L28" s="471"/>
      <c r="M28" s="471"/>
      <c r="N28" s="471"/>
      <c r="O28" s="471"/>
    </row>
    <row r="29" spans="1:15" s="7" customFormat="1" ht="19.5" customHeight="1">
      <c r="A29" s="37" t="s">
        <v>23</v>
      </c>
      <c r="B29" s="38"/>
      <c r="C29" s="39"/>
      <c r="D29" s="40" t="s">
        <v>24</v>
      </c>
      <c r="E29" s="41">
        <f>SUM(E30,E33,E38,E41)</f>
        <v>1188528</v>
      </c>
      <c r="F29" s="41">
        <f>SUM(F30,F33,F38,F41,)</f>
        <v>1753757</v>
      </c>
      <c r="G29" s="41">
        <f>SUM(G30,G33,G38,G41,)</f>
        <v>1395293.4</v>
      </c>
      <c r="H29" s="475">
        <f t="shared" si="0"/>
        <v>79.56024694413195</v>
      </c>
      <c r="I29" s="472"/>
      <c r="J29" s="472"/>
      <c r="K29" s="472"/>
      <c r="L29" s="472"/>
      <c r="M29" s="472"/>
      <c r="N29" s="472"/>
      <c r="O29" s="472"/>
    </row>
    <row r="30" spans="1:15" s="24" customFormat="1" ht="24.75" customHeight="1">
      <c r="A30" s="77"/>
      <c r="B30" s="99">
        <v>70004</v>
      </c>
      <c r="C30" s="98"/>
      <c r="D30" s="42" t="s">
        <v>249</v>
      </c>
      <c r="E30" s="92">
        <f>SUM(E31:E32)</f>
        <v>148000</v>
      </c>
      <c r="F30" s="92">
        <f>SUM(F31:F32)</f>
        <v>80500</v>
      </c>
      <c r="G30" s="92">
        <f>SUM(G31:G32)</f>
        <v>63392.46</v>
      </c>
      <c r="H30" s="255">
        <f t="shared" si="0"/>
        <v>78.74839751552794</v>
      </c>
      <c r="I30" s="471"/>
      <c r="J30" s="471"/>
      <c r="K30" s="471"/>
      <c r="L30" s="471"/>
      <c r="M30" s="471"/>
      <c r="N30" s="471"/>
      <c r="O30" s="471"/>
    </row>
    <row r="31" spans="1:15" s="24" customFormat="1" ht="19.5" customHeight="1">
      <c r="A31" s="77"/>
      <c r="B31" s="99"/>
      <c r="C31" s="98">
        <v>4270</v>
      </c>
      <c r="D31" s="42" t="s">
        <v>99</v>
      </c>
      <c r="E31" s="92">
        <v>0</v>
      </c>
      <c r="F31" s="92">
        <v>5000</v>
      </c>
      <c r="G31" s="92">
        <v>5000</v>
      </c>
      <c r="H31" s="255">
        <f t="shared" si="0"/>
        <v>100</v>
      </c>
      <c r="I31" s="471"/>
      <c r="J31" s="471"/>
      <c r="K31" s="471"/>
      <c r="L31" s="471"/>
      <c r="M31" s="471"/>
      <c r="N31" s="471"/>
      <c r="O31" s="471"/>
    </row>
    <row r="32" spans="1:15" s="24" customFormat="1" ht="19.5" customHeight="1">
      <c r="A32" s="77"/>
      <c r="B32" s="99"/>
      <c r="C32" s="98">
        <v>4300</v>
      </c>
      <c r="D32" s="42" t="s">
        <v>100</v>
      </c>
      <c r="E32" s="92">
        <f>18000+30000+100000</f>
        <v>148000</v>
      </c>
      <c r="F32" s="92">
        <v>75500</v>
      </c>
      <c r="G32" s="92">
        <v>58392.46</v>
      </c>
      <c r="H32" s="255">
        <f t="shared" si="0"/>
        <v>77.34100662251655</v>
      </c>
      <c r="I32" s="471"/>
      <c r="J32" s="471"/>
      <c r="K32" s="471"/>
      <c r="L32" s="471"/>
      <c r="M32" s="471"/>
      <c r="N32" s="471"/>
      <c r="O32" s="471"/>
    </row>
    <row r="33" spans="1:15" s="24" customFormat="1" ht="19.5" customHeight="1">
      <c r="A33" s="77"/>
      <c r="B33" s="94" t="s">
        <v>25</v>
      </c>
      <c r="C33" s="98"/>
      <c r="D33" s="42" t="s">
        <v>182</v>
      </c>
      <c r="E33" s="92">
        <f>SUM(E34:E37)</f>
        <v>112168</v>
      </c>
      <c r="F33" s="92">
        <f>SUM(F34:F37)</f>
        <v>186528</v>
      </c>
      <c r="G33" s="92">
        <f>SUM(G34:G37)</f>
        <v>181784.75</v>
      </c>
      <c r="H33" s="255">
        <f t="shared" si="0"/>
        <v>97.4570841911134</v>
      </c>
      <c r="I33" s="471"/>
      <c r="J33" s="471"/>
      <c r="K33" s="471"/>
      <c r="L33" s="471"/>
      <c r="M33" s="471"/>
      <c r="N33" s="471"/>
      <c r="O33" s="471"/>
    </row>
    <row r="34" spans="1:15" s="24" customFormat="1" ht="19.5" customHeight="1">
      <c r="A34" s="77"/>
      <c r="B34" s="99"/>
      <c r="C34" s="77">
        <v>4300</v>
      </c>
      <c r="D34" s="42" t="s">
        <v>100</v>
      </c>
      <c r="E34" s="92">
        <f>100000+12000</f>
        <v>112000</v>
      </c>
      <c r="F34" s="92">
        <v>172000</v>
      </c>
      <c r="G34" s="92">
        <v>167265.09</v>
      </c>
      <c r="H34" s="255">
        <f t="shared" si="0"/>
        <v>97.24714534883721</v>
      </c>
      <c r="I34" s="471"/>
      <c r="J34" s="471"/>
      <c r="K34" s="471"/>
      <c r="L34" s="471"/>
      <c r="M34" s="471"/>
      <c r="N34" s="471"/>
      <c r="O34" s="471"/>
    </row>
    <row r="35" spans="1:15" s="24" customFormat="1" ht="19.5" customHeight="1">
      <c r="A35" s="77"/>
      <c r="B35" s="99"/>
      <c r="C35" s="77">
        <v>4480</v>
      </c>
      <c r="D35" s="42" t="s">
        <v>47</v>
      </c>
      <c r="E35" s="92">
        <v>140</v>
      </c>
      <c r="F35" s="92">
        <v>140</v>
      </c>
      <c r="G35" s="92">
        <v>132</v>
      </c>
      <c r="H35" s="255">
        <f t="shared" si="0"/>
        <v>94.28571428571428</v>
      </c>
      <c r="I35" s="471"/>
      <c r="J35" s="471"/>
      <c r="K35" s="471"/>
      <c r="L35" s="471"/>
      <c r="M35" s="471"/>
      <c r="N35" s="471"/>
      <c r="O35" s="471"/>
    </row>
    <row r="36" spans="1:15" s="24" customFormat="1" ht="19.5" customHeight="1">
      <c r="A36" s="77"/>
      <c r="B36" s="99"/>
      <c r="C36" s="98">
        <v>4510</v>
      </c>
      <c r="D36" s="42" t="s">
        <v>179</v>
      </c>
      <c r="E36" s="92">
        <v>28</v>
      </c>
      <c r="F36" s="92">
        <v>28</v>
      </c>
      <c r="G36" s="92">
        <v>27.66</v>
      </c>
      <c r="H36" s="255">
        <f t="shared" si="0"/>
        <v>98.78571428571429</v>
      </c>
      <c r="I36" s="471"/>
      <c r="J36" s="471"/>
      <c r="K36" s="471"/>
      <c r="L36" s="471"/>
      <c r="M36" s="471"/>
      <c r="N36" s="471"/>
      <c r="O36" s="471"/>
    </row>
    <row r="37" spans="1:15" s="24" customFormat="1" ht="19.5" customHeight="1">
      <c r="A37" s="77"/>
      <c r="B37" s="99"/>
      <c r="C37" s="77">
        <v>4530</v>
      </c>
      <c r="D37" s="42" t="s">
        <v>546</v>
      </c>
      <c r="E37" s="92">
        <v>0</v>
      </c>
      <c r="F37" s="92">
        <v>14360</v>
      </c>
      <c r="G37" s="92">
        <v>14360</v>
      </c>
      <c r="H37" s="255">
        <f t="shared" si="0"/>
        <v>100</v>
      </c>
      <c r="I37" s="471"/>
      <c r="J37" s="471"/>
      <c r="K37" s="471"/>
      <c r="L37" s="471"/>
      <c r="M37" s="471"/>
      <c r="N37" s="471"/>
      <c r="O37" s="471"/>
    </row>
    <row r="38" spans="1:15" s="24" customFormat="1" ht="24.75" customHeight="1">
      <c r="A38" s="77"/>
      <c r="B38" s="99">
        <v>70021</v>
      </c>
      <c r="C38" s="77"/>
      <c r="D38" s="42" t="s">
        <v>221</v>
      </c>
      <c r="E38" s="92">
        <f>SUM(E39:E40)</f>
        <v>600000</v>
      </c>
      <c r="F38" s="92">
        <f>SUM(F39:F40)</f>
        <v>600000</v>
      </c>
      <c r="G38" s="92">
        <f>SUM(G39:G40)</f>
        <v>599975.4099999999</v>
      </c>
      <c r="H38" s="255">
        <f t="shared" si="0"/>
        <v>99.99590166666665</v>
      </c>
      <c r="I38" s="471"/>
      <c r="J38" s="471"/>
      <c r="K38" s="471"/>
      <c r="L38" s="471"/>
      <c r="M38" s="471"/>
      <c r="N38" s="471"/>
      <c r="O38" s="471"/>
    </row>
    <row r="39" spans="1:15" s="24" customFormat="1" ht="19.5" customHeight="1">
      <c r="A39" s="77"/>
      <c r="B39" s="99"/>
      <c r="C39" s="77">
        <v>4270</v>
      </c>
      <c r="D39" s="42" t="s">
        <v>99</v>
      </c>
      <c r="E39" s="92">
        <v>300000</v>
      </c>
      <c r="F39" s="92">
        <v>300000</v>
      </c>
      <c r="G39" s="92">
        <v>299975.41</v>
      </c>
      <c r="H39" s="255">
        <f t="shared" si="0"/>
        <v>99.99180333333332</v>
      </c>
      <c r="I39" s="471"/>
      <c r="J39" s="471"/>
      <c r="K39" s="471"/>
      <c r="L39" s="471"/>
      <c r="M39" s="471"/>
      <c r="N39" s="471"/>
      <c r="O39" s="471"/>
    </row>
    <row r="40" spans="1:15" s="24" customFormat="1" ht="67.5">
      <c r="A40" s="77"/>
      <c r="B40" s="99"/>
      <c r="C40" s="77">
        <v>6010</v>
      </c>
      <c r="D40" s="42" t="s">
        <v>294</v>
      </c>
      <c r="E40" s="92">
        <v>300000</v>
      </c>
      <c r="F40" s="92">
        <v>300000</v>
      </c>
      <c r="G40" s="92">
        <v>300000</v>
      </c>
      <c r="H40" s="255">
        <f t="shared" si="0"/>
        <v>100</v>
      </c>
      <c r="I40" s="471"/>
      <c r="J40" s="471"/>
      <c r="K40" s="471"/>
      <c r="L40" s="471"/>
      <c r="M40" s="471"/>
      <c r="N40" s="471"/>
      <c r="O40" s="471"/>
    </row>
    <row r="41" spans="1:15" s="24" customFormat="1" ht="19.5" customHeight="1">
      <c r="A41" s="77"/>
      <c r="B41" s="94">
        <v>70095</v>
      </c>
      <c r="C41" s="98"/>
      <c r="D41" s="42" t="s">
        <v>18</v>
      </c>
      <c r="E41" s="92">
        <f>SUM(E42:E46)</f>
        <v>328360</v>
      </c>
      <c r="F41" s="92">
        <f>SUM(F42:F46)</f>
        <v>886729</v>
      </c>
      <c r="G41" s="92">
        <f>SUM(G42:G46)</f>
        <v>550140.78</v>
      </c>
      <c r="H41" s="255">
        <f t="shared" si="0"/>
        <v>62.04159106107955</v>
      </c>
      <c r="I41" s="471"/>
      <c r="J41" s="471"/>
      <c r="K41" s="471"/>
      <c r="L41" s="471"/>
      <c r="M41" s="471"/>
      <c r="N41" s="471"/>
      <c r="O41" s="471"/>
    </row>
    <row r="42" spans="1:15" s="24" customFormat="1" ht="19.5" customHeight="1">
      <c r="A42" s="77"/>
      <c r="B42" s="94"/>
      <c r="C42" s="98">
        <v>4260</v>
      </c>
      <c r="D42" s="42" t="s">
        <v>116</v>
      </c>
      <c r="E42" s="92">
        <v>300</v>
      </c>
      <c r="F42" s="92">
        <v>300</v>
      </c>
      <c r="G42" s="92">
        <v>257.73</v>
      </c>
      <c r="H42" s="255">
        <f t="shared" si="0"/>
        <v>85.91000000000001</v>
      </c>
      <c r="I42" s="471"/>
      <c r="J42" s="471"/>
      <c r="K42" s="471"/>
      <c r="L42" s="471"/>
      <c r="M42" s="471"/>
      <c r="N42" s="471"/>
      <c r="O42" s="471"/>
    </row>
    <row r="43" spans="1:15" s="24" customFormat="1" ht="19.5" customHeight="1">
      <c r="A43" s="77"/>
      <c r="B43" s="94"/>
      <c r="C43" s="98">
        <v>4300</v>
      </c>
      <c r="D43" s="42" t="s">
        <v>100</v>
      </c>
      <c r="E43" s="92">
        <v>178060</v>
      </c>
      <c r="F43" s="211">
        <v>478060</v>
      </c>
      <c r="G43" s="211">
        <v>141514.3</v>
      </c>
      <c r="H43" s="255">
        <f t="shared" si="0"/>
        <v>29.601786386646022</v>
      </c>
      <c r="I43" s="471"/>
      <c r="J43" s="471"/>
      <c r="K43" s="471"/>
      <c r="L43" s="471"/>
      <c r="M43" s="471"/>
      <c r="N43" s="471"/>
      <c r="O43" s="471"/>
    </row>
    <row r="44" spans="1:15" s="24" customFormat="1" ht="24.75" customHeight="1">
      <c r="A44" s="77"/>
      <c r="B44" s="94"/>
      <c r="C44" s="98">
        <v>4590</v>
      </c>
      <c r="D44" s="42" t="s">
        <v>547</v>
      </c>
      <c r="E44" s="92">
        <v>0</v>
      </c>
      <c r="F44" s="211">
        <v>2936</v>
      </c>
      <c r="G44" s="211">
        <v>2935.75</v>
      </c>
      <c r="H44" s="255">
        <f t="shared" si="0"/>
        <v>99.99148501362399</v>
      </c>
      <c r="I44" s="471"/>
      <c r="J44" s="471"/>
      <c r="K44" s="471"/>
      <c r="L44" s="471"/>
      <c r="M44" s="471"/>
      <c r="N44" s="471"/>
      <c r="O44" s="471"/>
    </row>
    <row r="45" spans="1:15" s="24" customFormat="1" ht="33.75">
      <c r="A45" s="77"/>
      <c r="B45" s="94"/>
      <c r="C45" s="98">
        <v>4600</v>
      </c>
      <c r="D45" s="42" t="s">
        <v>422</v>
      </c>
      <c r="E45" s="92">
        <v>0</v>
      </c>
      <c r="F45" s="92">
        <v>56410</v>
      </c>
      <c r="G45" s="92">
        <v>56410</v>
      </c>
      <c r="H45" s="255">
        <f t="shared" si="0"/>
        <v>100</v>
      </c>
      <c r="I45" s="471"/>
      <c r="J45" s="471"/>
      <c r="K45" s="471"/>
      <c r="L45" s="471"/>
      <c r="M45" s="471"/>
      <c r="N45" s="471"/>
      <c r="O45" s="471"/>
    </row>
    <row r="46" spans="1:15" s="24" customFormat="1" ht="24.75" customHeight="1">
      <c r="A46" s="77"/>
      <c r="B46" s="94"/>
      <c r="C46" s="77">
        <v>6050</v>
      </c>
      <c r="D46" s="42" t="s">
        <v>94</v>
      </c>
      <c r="E46" s="92">
        <v>150000</v>
      </c>
      <c r="F46" s="92">
        <v>349023</v>
      </c>
      <c r="G46" s="92">
        <v>349023</v>
      </c>
      <c r="H46" s="255">
        <f t="shared" si="0"/>
        <v>100</v>
      </c>
      <c r="I46" s="471"/>
      <c r="J46" s="471"/>
      <c r="K46" s="471"/>
      <c r="L46" s="471"/>
      <c r="M46" s="471"/>
      <c r="N46" s="471"/>
      <c r="O46" s="471"/>
    </row>
    <row r="47" spans="1:15" s="7" customFormat="1" ht="19.5" customHeight="1">
      <c r="A47" s="37" t="s">
        <v>28</v>
      </c>
      <c r="B47" s="38"/>
      <c r="C47" s="39"/>
      <c r="D47" s="40" t="s">
        <v>101</v>
      </c>
      <c r="E47" s="41">
        <f>SUM(E48,E51)</f>
        <v>153400</v>
      </c>
      <c r="F47" s="41">
        <f>SUM(F48,F51,)</f>
        <v>143400</v>
      </c>
      <c r="G47" s="41">
        <f>SUM(G48,G51,)</f>
        <v>45559.36</v>
      </c>
      <c r="H47" s="475">
        <f t="shared" si="0"/>
        <v>31.770822873082288</v>
      </c>
      <c r="I47" s="472"/>
      <c r="J47" s="472"/>
      <c r="K47" s="472"/>
      <c r="L47" s="472"/>
      <c r="M47" s="472"/>
      <c r="N47" s="472"/>
      <c r="O47" s="472"/>
    </row>
    <row r="48" spans="1:15" s="24" customFormat="1" ht="24.75" customHeight="1">
      <c r="A48" s="77"/>
      <c r="B48" s="94" t="s">
        <v>102</v>
      </c>
      <c r="C48" s="98"/>
      <c r="D48" s="42" t="s">
        <v>103</v>
      </c>
      <c r="E48" s="92">
        <f>SUM(E49:E50)</f>
        <v>150000</v>
      </c>
      <c r="F48" s="92">
        <f>SUM(F49:F50)</f>
        <v>140000</v>
      </c>
      <c r="G48" s="92">
        <f>SUM(G49:G50)</f>
        <v>42522.3</v>
      </c>
      <c r="H48" s="255">
        <f t="shared" si="0"/>
        <v>30.37307142857143</v>
      </c>
      <c r="I48" s="471"/>
      <c r="J48" s="471"/>
      <c r="K48" s="471"/>
      <c r="L48" s="471"/>
      <c r="M48" s="471"/>
      <c r="N48" s="471"/>
      <c r="O48" s="471"/>
    </row>
    <row r="49" spans="1:15" s="24" customFormat="1" ht="19.5" customHeight="1">
      <c r="A49" s="77"/>
      <c r="B49" s="94"/>
      <c r="C49" s="77">
        <v>4300</v>
      </c>
      <c r="D49" s="42" t="s">
        <v>100</v>
      </c>
      <c r="E49" s="92">
        <f>150000-10000</f>
        <v>140000</v>
      </c>
      <c r="F49" s="92">
        <v>140000</v>
      </c>
      <c r="G49" s="92">
        <v>42522.3</v>
      </c>
      <c r="H49" s="255">
        <f t="shared" si="0"/>
        <v>30.37307142857143</v>
      </c>
      <c r="I49" s="471"/>
      <c r="J49" s="471"/>
      <c r="K49" s="471"/>
      <c r="L49" s="471"/>
      <c r="M49" s="471"/>
      <c r="N49" s="471"/>
      <c r="O49" s="471"/>
    </row>
    <row r="50" spans="1:15" s="24" customFormat="1" ht="24.75" customHeight="1">
      <c r="A50" s="77"/>
      <c r="B50" s="94"/>
      <c r="C50" s="77">
        <v>4390</v>
      </c>
      <c r="D50" s="42" t="s">
        <v>292</v>
      </c>
      <c r="E50" s="92">
        <v>10000</v>
      </c>
      <c r="F50" s="92">
        <v>0</v>
      </c>
      <c r="G50" s="92">
        <v>0</v>
      </c>
      <c r="H50" s="476" t="s">
        <v>514</v>
      </c>
      <c r="I50" s="471"/>
      <c r="J50" s="471"/>
      <c r="K50" s="471"/>
      <c r="L50" s="471"/>
      <c r="M50" s="471"/>
      <c r="N50" s="471"/>
      <c r="O50" s="471"/>
    </row>
    <row r="51" spans="1:15" s="24" customFormat="1" ht="19.5" customHeight="1">
      <c r="A51" s="77"/>
      <c r="B51" s="94">
        <v>71035</v>
      </c>
      <c r="C51" s="77"/>
      <c r="D51" s="42" t="s">
        <v>29</v>
      </c>
      <c r="E51" s="92">
        <f>SUM(E52:E53)</f>
        <v>3400</v>
      </c>
      <c r="F51" s="92">
        <f>SUM(F52:F53)</f>
        <v>3400</v>
      </c>
      <c r="G51" s="92">
        <f>SUM(G52:G53)</f>
        <v>3037.06</v>
      </c>
      <c r="H51" s="255">
        <f t="shared" si="0"/>
        <v>89.32529411764706</v>
      </c>
      <c r="I51" s="471"/>
      <c r="J51" s="471"/>
      <c r="K51" s="471"/>
      <c r="L51" s="471"/>
      <c r="M51" s="471"/>
      <c r="N51" s="471"/>
      <c r="O51" s="471"/>
    </row>
    <row r="52" spans="1:15" s="24" customFormat="1" ht="19.5" customHeight="1">
      <c r="A52" s="77"/>
      <c r="B52" s="94"/>
      <c r="C52" s="77">
        <v>4260</v>
      </c>
      <c r="D52" s="42" t="s">
        <v>116</v>
      </c>
      <c r="E52" s="92">
        <f>400+1500</f>
        <v>1900</v>
      </c>
      <c r="F52" s="92">
        <v>700</v>
      </c>
      <c r="G52" s="92">
        <v>351.77</v>
      </c>
      <c r="H52" s="255">
        <f t="shared" si="0"/>
        <v>50.252857142857145</v>
      </c>
      <c r="I52" s="471"/>
      <c r="J52" s="471"/>
      <c r="K52" s="471"/>
      <c r="L52" s="471"/>
      <c r="M52" s="471"/>
      <c r="N52" s="471"/>
      <c r="O52" s="471"/>
    </row>
    <row r="53" spans="1:15" s="24" customFormat="1" ht="19.5" customHeight="1">
      <c r="A53" s="77"/>
      <c r="B53" s="94"/>
      <c r="C53" s="77">
        <v>4300</v>
      </c>
      <c r="D53" s="42" t="s">
        <v>100</v>
      </c>
      <c r="E53" s="92">
        <v>1500</v>
      </c>
      <c r="F53" s="92">
        <v>2700</v>
      </c>
      <c r="G53" s="92">
        <v>2685.29</v>
      </c>
      <c r="H53" s="255">
        <f t="shared" si="0"/>
        <v>99.45518518518519</v>
      </c>
      <c r="I53" s="471"/>
      <c r="J53" s="471"/>
      <c r="K53" s="471"/>
      <c r="L53" s="471"/>
      <c r="M53" s="471"/>
      <c r="N53" s="471"/>
      <c r="O53" s="471"/>
    </row>
    <row r="54" spans="1:15" s="7" customFormat="1" ht="19.5" customHeight="1">
      <c r="A54" s="37" t="s">
        <v>30</v>
      </c>
      <c r="B54" s="38"/>
      <c r="C54" s="39"/>
      <c r="D54" s="40" t="s">
        <v>104</v>
      </c>
      <c r="E54" s="41">
        <f>SUM(E55,E61,E73,E98,E111)</f>
        <v>5000750</v>
      </c>
      <c r="F54" s="41">
        <f>SUM(F55,F61,F73,F98,F111,)</f>
        <v>4901369</v>
      </c>
      <c r="G54" s="41">
        <f>SUM(G55,G61,G73,G98,G111,)</f>
        <v>4427409.71</v>
      </c>
      <c r="H54" s="475">
        <f t="shared" si="0"/>
        <v>90.33006309053654</v>
      </c>
      <c r="I54" s="472"/>
      <c r="J54" s="472"/>
      <c r="K54" s="472"/>
      <c r="L54" s="472"/>
      <c r="M54" s="472"/>
      <c r="N54" s="472"/>
      <c r="O54" s="472"/>
    </row>
    <row r="55" spans="1:15" s="24" customFormat="1" ht="19.5" customHeight="1">
      <c r="A55" s="77"/>
      <c r="B55" s="94">
        <v>75011</v>
      </c>
      <c r="C55" s="98"/>
      <c r="D55" s="42" t="s">
        <v>32</v>
      </c>
      <c r="E55" s="92">
        <f>SUM(E56:E60)</f>
        <v>144800</v>
      </c>
      <c r="F55" s="92">
        <f>SUM(F56:F60)</f>
        <v>152100</v>
      </c>
      <c r="G55" s="92">
        <f>SUM(G56:G60)</f>
        <v>152099.5</v>
      </c>
      <c r="H55" s="255">
        <f t="shared" si="0"/>
        <v>99.99967126890203</v>
      </c>
      <c r="I55" s="471"/>
      <c r="J55" s="471"/>
      <c r="K55" s="471"/>
      <c r="L55" s="471"/>
      <c r="M55" s="471"/>
      <c r="N55" s="471"/>
      <c r="O55" s="471"/>
    </row>
    <row r="56" spans="1:15" s="24" customFormat="1" ht="19.5" customHeight="1">
      <c r="A56" s="77"/>
      <c r="B56" s="99"/>
      <c r="C56" s="77">
        <v>4010</v>
      </c>
      <c r="D56" s="42" t="s">
        <v>105</v>
      </c>
      <c r="E56" s="92">
        <v>98200</v>
      </c>
      <c r="F56" s="92">
        <v>104775</v>
      </c>
      <c r="G56" s="92">
        <v>104775</v>
      </c>
      <c r="H56" s="255">
        <f t="shared" si="0"/>
        <v>100</v>
      </c>
      <c r="I56" s="471"/>
      <c r="J56" s="471"/>
      <c r="K56" s="471"/>
      <c r="L56" s="471"/>
      <c r="M56" s="471"/>
      <c r="N56" s="471"/>
      <c r="O56" s="471"/>
    </row>
    <row r="57" spans="1:15" s="24" customFormat="1" ht="19.5" customHeight="1">
      <c r="A57" s="77"/>
      <c r="B57" s="99"/>
      <c r="C57" s="77">
        <v>4040</v>
      </c>
      <c r="D57" s="42" t="s">
        <v>106</v>
      </c>
      <c r="E57" s="92">
        <v>16500</v>
      </c>
      <c r="F57" s="92">
        <v>15861</v>
      </c>
      <c r="G57" s="92">
        <v>15860.93</v>
      </c>
      <c r="H57" s="255">
        <f t="shared" si="0"/>
        <v>99.99955866591009</v>
      </c>
      <c r="I57" s="471"/>
      <c r="J57" s="471"/>
      <c r="K57" s="471"/>
      <c r="L57" s="471"/>
      <c r="M57" s="471"/>
      <c r="N57" s="471"/>
      <c r="O57" s="471"/>
    </row>
    <row r="58" spans="1:15" s="24" customFormat="1" ht="19.5" customHeight="1">
      <c r="A58" s="77"/>
      <c r="B58" s="99"/>
      <c r="C58" s="77">
        <v>4110</v>
      </c>
      <c r="D58" s="42" t="s">
        <v>107</v>
      </c>
      <c r="E58" s="92">
        <v>19950</v>
      </c>
      <c r="F58" s="92">
        <v>21004</v>
      </c>
      <c r="G58" s="92">
        <v>21004</v>
      </c>
      <c r="H58" s="255">
        <f t="shared" si="0"/>
        <v>100</v>
      </c>
      <c r="I58" s="471"/>
      <c r="J58" s="471"/>
      <c r="K58" s="471"/>
      <c r="L58" s="471"/>
      <c r="M58" s="471"/>
      <c r="N58" s="471"/>
      <c r="O58" s="471"/>
    </row>
    <row r="59" spans="1:15" s="24" customFormat="1" ht="19.5" customHeight="1">
      <c r="A59" s="77"/>
      <c r="B59" s="99"/>
      <c r="C59" s="77">
        <v>4120</v>
      </c>
      <c r="D59" s="42" t="s">
        <v>108</v>
      </c>
      <c r="E59" s="92">
        <v>2800</v>
      </c>
      <c r="F59" s="92">
        <v>2950</v>
      </c>
      <c r="G59" s="92">
        <v>2950</v>
      </c>
      <c r="H59" s="255">
        <f t="shared" si="0"/>
        <v>100</v>
      </c>
      <c r="I59" s="471"/>
      <c r="J59" s="471"/>
      <c r="K59" s="471"/>
      <c r="L59" s="471"/>
      <c r="M59" s="471"/>
      <c r="N59" s="471"/>
      <c r="O59" s="471"/>
    </row>
    <row r="60" spans="1:15" s="24" customFormat="1" ht="24.75" customHeight="1">
      <c r="A60" s="77"/>
      <c r="B60" s="99"/>
      <c r="C60" s="80">
        <v>4440</v>
      </c>
      <c r="D60" s="42" t="s">
        <v>109</v>
      </c>
      <c r="E60" s="92">
        <v>7350</v>
      </c>
      <c r="F60" s="92">
        <v>7510</v>
      </c>
      <c r="G60" s="92">
        <v>7509.57</v>
      </c>
      <c r="H60" s="255">
        <f t="shared" si="0"/>
        <v>99.99427430093209</v>
      </c>
      <c r="I60" s="471"/>
      <c r="J60" s="471"/>
      <c r="K60" s="471"/>
      <c r="L60" s="471"/>
      <c r="M60" s="471"/>
      <c r="N60" s="471"/>
      <c r="O60" s="471"/>
    </row>
    <row r="61" spans="1:15" s="24" customFormat="1" ht="24.75" customHeight="1">
      <c r="A61" s="98"/>
      <c r="B61" s="94" t="s">
        <v>112</v>
      </c>
      <c r="C61" s="98"/>
      <c r="D61" s="42" t="s">
        <v>183</v>
      </c>
      <c r="E61" s="92">
        <f>SUM(E62:E72)</f>
        <v>296000</v>
      </c>
      <c r="F61" s="92">
        <f>SUM(F62:F72)</f>
        <v>264372</v>
      </c>
      <c r="G61" s="92">
        <f>SUM(G62:G72)</f>
        <v>236063.97</v>
      </c>
      <c r="H61" s="255">
        <f t="shared" si="0"/>
        <v>89.29234941673097</v>
      </c>
      <c r="I61" s="471"/>
      <c r="J61" s="471"/>
      <c r="K61" s="471"/>
      <c r="L61" s="471"/>
      <c r="M61" s="471"/>
      <c r="N61" s="471"/>
      <c r="O61" s="471"/>
    </row>
    <row r="62" spans="1:15" s="24" customFormat="1" ht="19.5" customHeight="1">
      <c r="A62" s="98"/>
      <c r="B62" s="94"/>
      <c r="C62" s="77">
        <v>3030</v>
      </c>
      <c r="D62" s="42" t="s">
        <v>110</v>
      </c>
      <c r="E62" s="92">
        <v>230200</v>
      </c>
      <c r="F62" s="92">
        <v>207072</v>
      </c>
      <c r="G62" s="92">
        <v>207071.9</v>
      </c>
      <c r="H62" s="255">
        <f t="shared" si="0"/>
        <v>99.9999517076186</v>
      </c>
      <c r="I62" s="471"/>
      <c r="J62" s="471"/>
      <c r="K62" s="471"/>
      <c r="L62" s="471"/>
      <c r="M62" s="471"/>
      <c r="N62" s="471"/>
      <c r="O62" s="471"/>
    </row>
    <row r="63" spans="1:15" s="24" customFormat="1" ht="19.5" customHeight="1">
      <c r="A63" s="98"/>
      <c r="B63" s="94"/>
      <c r="C63" s="77">
        <v>4170</v>
      </c>
      <c r="D63" s="42" t="s">
        <v>238</v>
      </c>
      <c r="E63" s="92">
        <v>2000</v>
      </c>
      <c r="F63" s="92">
        <v>0</v>
      </c>
      <c r="G63" s="92">
        <v>0</v>
      </c>
      <c r="H63" s="476" t="s">
        <v>514</v>
      </c>
      <c r="I63" s="471"/>
      <c r="J63" s="471"/>
      <c r="K63" s="471"/>
      <c r="L63" s="471"/>
      <c r="M63" s="471"/>
      <c r="N63" s="471"/>
      <c r="O63" s="471"/>
    </row>
    <row r="64" spans="1:15" s="24" customFormat="1" ht="19.5" customHeight="1">
      <c r="A64" s="98"/>
      <c r="B64" s="94"/>
      <c r="C64" s="77">
        <v>4210</v>
      </c>
      <c r="D64" s="42" t="s">
        <v>113</v>
      </c>
      <c r="E64" s="92">
        <v>23300</v>
      </c>
      <c r="F64" s="92">
        <v>23300</v>
      </c>
      <c r="G64" s="92">
        <v>12036.17</v>
      </c>
      <c r="H64" s="255">
        <f t="shared" si="0"/>
        <v>51.65738197424893</v>
      </c>
      <c r="I64" s="471"/>
      <c r="J64" s="471"/>
      <c r="K64" s="471"/>
      <c r="L64" s="471"/>
      <c r="M64" s="471"/>
      <c r="N64" s="471"/>
      <c r="O64" s="471"/>
    </row>
    <row r="65" spans="1:15" s="24" customFormat="1" ht="19.5" customHeight="1">
      <c r="A65" s="98"/>
      <c r="B65" s="94"/>
      <c r="C65" s="77">
        <v>4300</v>
      </c>
      <c r="D65" s="42" t="s">
        <v>100</v>
      </c>
      <c r="E65" s="92">
        <v>19000</v>
      </c>
      <c r="F65" s="92">
        <v>24000</v>
      </c>
      <c r="G65" s="92">
        <v>9991.68</v>
      </c>
      <c r="H65" s="255">
        <f t="shared" si="0"/>
        <v>41.632000000000005</v>
      </c>
      <c r="I65" s="471"/>
      <c r="J65" s="471"/>
      <c r="K65" s="471"/>
      <c r="L65" s="471"/>
      <c r="M65" s="471"/>
      <c r="N65" s="471"/>
      <c r="O65" s="471"/>
    </row>
    <row r="66" spans="1:15" s="24" customFormat="1" ht="19.5" customHeight="1">
      <c r="A66" s="98"/>
      <c r="B66" s="94"/>
      <c r="C66" s="77">
        <v>4350</v>
      </c>
      <c r="D66" s="42" t="s">
        <v>258</v>
      </c>
      <c r="E66" s="92">
        <v>0</v>
      </c>
      <c r="F66" s="92">
        <v>3</v>
      </c>
      <c r="G66" s="92">
        <v>2.44</v>
      </c>
      <c r="H66" s="255">
        <f t="shared" si="0"/>
        <v>81.33333333333333</v>
      </c>
      <c r="I66" s="471"/>
      <c r="J66" s="471"/>
      <c r="K66" s="471"/>
      <c r="L66" s="471"/>
      <c r="M66" s="471"/>
      <c r="N66" s="471"/>
      <c r="O66" s="471"/>
    </row>
    <row r="67" spans="1:15" s="24" customFormat="1" ht="24.75" customHeight="1">
      <c r="A67" s="98"/>
      <c r="B67" s="94"/>
      <c r="C67" s="77">
        <v>4370</v>
      </c>
      <c r="D67" s="42" t="s">
        <v>287</v>
      </c>
      <c r="E67" s="92">
        <v>2000</v>
      </c>
      <c r="F67" s="92">
        <v>2497</v>
      </c>
      <c r="G67" s="92">
        <v>1675.31</v>
      </c>
      <c r="H67" s="255">
        <f t="shared" si="0"/>
        <v>67.09291149379256</v>
      </c>
      <c r="I67" s="471"/>
      <c r="J67" s="471"/>
      <c r="K67" s="471"/>
      <c r="L67" s="471"/>
      <c r="M67" s="471"/>
      <c r="N67" s="471"/>
      <c r="O67" s="471"/>
    </row>
    <row r="68" spans="1:15" s="24" customFormat="1" ht="19.5" customHeight="1">
      <c r="A68" s="98"/>
      <c r="B68" s="94"/>
      <c r="C68" s="77">
        <v>4410</v>
      </c>
      <c r="D68" s="42" t="s">
        <v>111</v>
      </c>
      <c r="E68" s="92">
        <v>11000</v>
      </c>
      <c r="F68" s="92">
        <v>4500</v>
      </c>
      <c r="G68" s="92">
        <v>2583.56</v>
      </c>
      <c r="H68" s="255">
        <f t="shared" si="0"/>
        <v>57.412444444444446</v>
      </c>
      <c r="I68" s="471"/>
      <c r="J68" s="471"/>
      <c r="K68" s="471"/>
      <c r="L68" s="471"/>
      <c r="M68" s="471"/>
      <c r="N68" s="471"/>
      <c r="O68" s="471"/>
    </row>
    <row r="69" spans="1:15" s="24" customFormat="1" ht="19.5" customHeight="1">
      <c r="A69" s="98"/>
      <c r="B69" s="94"/>
      <c r="C69" s="80">
        <v>4430</v>
      </c>
      <c r="D69" s="42" t="s">
        <v>115</v>
      </c>
      <c r="E69" s="92">
        <v>500</v>
      </c>
      <c r="F69" s="92">
        <v>0</v>
      </c>
      <c r="G69" s="92">
        <v>0</v>
      </c>
      <c r="H69" s="476" t="s">
        <v>514</v>
      </c>
      <c r="I69" s="471"/>
      <c r="J69" s="471"/>
      <c r="K69" s="471"/>
      <c r="L69" s="471"/>
      <c r="M69" s="471"/>
      <c r="N69" s="471"/>
      <c r="O69" s="471"/>
    </row>
    <row r="70" spans="1:15" s="24" customFormat="1" ht="24.75" customHeight="1">
      <c r="A70" s="98"/>
      <c r="B70" s="94"/>
      <c r="C70" s="80">
        <v>4700</v>
      </c>
      <c r="D70" s="42" t="s">
        <v>290</v>
      </c>
      <c r="E70" s="92">
        <v>5000</v>
      </c>
      <c r="F70" s="92">
        <v>0</v>
      </c>
      <c r="G70" s="92">
        <v>0</v>
      </c>
      <c r="H70" s="476" t="s">
        <v>514</v>
      </c>
      <c r="I70" s="471"/>
      <c r="J70" s="471"/>
      <c r="K70" s="471"/>
      <c r="L70" s="471"/>
      <c r="M70" s="471"/>
      <c r="N70" s="471"/>
      <c r="O70" s="471"/>
    </row>
    <row r="71" spans="1:15" s="24" customFormat="1" ht="33.75">
      <c r="A71" s="98"/>
      <c r="B71" s="94"/>
      <c r="C71" s="80">
        <v>4740</v>
      </c>
      <c r="D71" s="42" t="s">
        <v>289</v>
      </c>
      <c r="E71" s="92">
        <v>2000</v>
      </c>
      <c r="F71" s="92">
        <v>2000</v>
      </c>
      <c r="G71" s="92">
        <v>1844.91</v>
      </c>
      <c r="H71" s="255">
        <f t="shared" si="0"/>
        <v>92.2455</v>
      </c>
      <c r="I71" s="471"/>
      <c r="J71" s="471"/>
      <c r="K71" s="471"/>
      <c r="L71" s="471"/>
      <c r="M71" s="471"/>
      <c r="N71" s="471"/>
      <c r="O71" s="471"/>
    </row>
    <row r="72" spans="1:15" s="24" customFormat="1" ht="24.75" customHeight="1">
      <c r="A72" s="98"/>
      <c r="B72" s="94"/>
      <c r="C72" s="80">
        <v>4750</v>
      </c>
      <c r="D72" s="42" t="s">
        <v>502</v>
      </c>
      <c r="E72" s="92">
        <v>1000</v>
      </c>
      <c r="F72" s="92">
        <v>1000</v>
      </c>
      <c r="G72" s="92">
        <v>858</v>
      </c>
      <c r="H72" s="255">
        <f t="shared" si="0"/>
        <v>85.8</v>
      </c>
      <c r="I72" s="471"/>
      <c r="J72" s="471"/>
      <c r="K72" s="471"/>
      <c r="L72" s="471"/>
      <c r="M72" s="471"/>
      <c r="N72" s="471"/>
      <c r="O72" s="471"/>
    </row>
    <row r="73" spans="1:15" s="24" customFormat="1" ht="24.75" customHeight="1">
      <c r="A73" s="98"/>
      <c r="B73" s="94" t="s">
        <v>33</v>
      </c>
      <c r="C73" s="98"/>
      <c r="D73" s="42" t="s">
        <v>34</v>
      </c>
      <c r="E73" s="92">
        <f>SUM(E74:E97)</f>
        <v>4365750</v>
      </c>
      <c r="F73" s="92">
        <f>SUM(F74:F97)</f>
        <v>4283170</v>
      </c>
      <c r="G73" s="92">
        <f>SUM(G74:G97)</f>
        <v>3843639.6000000006</v>
      </c>
      <c r="H73" s="255">
        <f t="shared" si="0"/>
        <v>89.73819857722202</v>
      </c>
      <c r="I73" s="471"/>
      <c r="J73" s="471"/>
      <c r="K73" s="471"/>
      <c r="L73" s="471"/>
      <c r="M73" s="471"/>
      <c r="N73" s="471"/>
      <c r="O73" s="471"/>
    </row>
    <row r="74" spans="1:15" s="24" customFormat="1" ht="24.75" customHeight="1">
      <c r="A74" s="98"/>
      <c r="B74" s="94"/>
      <c r="C74" s="77">
        <v>3020</v>
      </c>
      <c r="D74" s="42" t="s">
        <v>234</v>
      </c>
      <c r="E74" s="92">
        <v>33500</v>
      </c>
      <c r="F74" s="92">
        <v>17100</v>
      </c>
      <c r="G74" s="92">
        <v>13506.28</v>
      </c>
      <c r="H74" s="255">
        <f t="shared" si="0"/>
        <v>78.98409356725146</v>
      </c>
      <c r="I74" s="471"/>
      <c r="J74" s="471"/>
      <c r="K74" s="471"/>
      <c r="L74" s="471"/>
      <c r="M74" s="471"/>
      <c r="N74" s="471"/>
      <c r="O74" s="471"/>
    </row>
    <row r="75" spans="1:15" s="24" customFormat="1" ht="19.5" customHeight="1">
      <c r="A75" s="98"/>
      <c r="B75" s="94"/>
      <c r="C75" s="77">
        <v>3030</v>
      </c>
      <c r="D75" s="42" t="s">
        <v>110</v>
      </c>
      <c r="E75" s="92">
        <v>60000</v>
      </c>
      <c r="F75" s="92">
        <v>59110</v>
      </c>
      <c r="G75" s="92">
        <v>59109.8</v>
      </c>
      <c r="H75" s="255">
        <f t="shared" si="0"/>
        <v>99.99966164777534</v>
      </c>
      <c r="I75" s="471"/>
      <c r="J75" s="471"/>
      <c r="K75" s="471"/>
      <c r="L75" s="471"/>
      <c r="M75" s="471"/>
      <c r="N75" s="471"/>
      <c r="O75" s="471"/>
    </row>
    <row r="76" spans="1:15" s="24" customFormat="1" ht="19.5" customHeight="1">
      <c r="A76" s="98"/>
      <c r="B76" s="94"/>
      <c r="C76" s="77">
        <v>4010</v>
      </c>
      <c r="D76" s="42" t="s">
        <v>105</v>
      </c>
      <c r="E76" s="92">
        <v>2308200</v>
      </c>
      <c r="F76" s="92">
        <v>2324362</v>
      </c>
      <c r="G76" s="92">
        <v>2246898.58</v>
      </c>
      <c r="H76" s="255">
        <f aca="true" t="shared" si="1" ref="H76:H149">G76/F76*100</f>
        <v>96.66732548544505</v>
      </c>
      <c r="I76" s="471"/>
      <c r="J76" s="471"/>
      <c r="K76" s="471"/>
      <c r="L76" s="471"/>
      <c r="M76" s="471"/>
      <c r="N76" s="471"/>
      <c r="O76" s="471"/>
    </row>
    <row r="77" spans="1:15" s="24" customFormat="1" ht="19.5" customHeight="1">
      <c r="A77" s="98"/>
      <c r="B77" s="94"/>
      <c r="C77" s="77">
        <v>4040</v>
      </c>
      <c r="D77" s="42" t="s">
        <v>106</v>
      </c>
      <c r="E77" s="92">
        <v>154000</v>
      </c>
      <c r="F77" s="92">
        <v>147434</v>
      </c>
      <c r="G77" s="92">
        <v>147433.15</v>
      </c>
      <c r="H77" s="255">
        <f t="shared" si="1"/>
        <v>99.99942347084118</v>
      </c>
      <c r="I77" s="471"/>
      <c r="J77" s="471"/>
      <c r="K77" s="471"/>
      <c r="L77" s="471"/>
      <c r="M77" s="471"/>
      <c r="N77" s="471"/>
      <c r="O77" s="471"/>
    </row>
    <row r="78" spans="1:15" s="24" customFormat="1" ht="19.5" customHeight="1">
      <c r="A78" s="98"/>
      <c r="B78" s="94"/>
      <c r="C78" s="77">
        <v>4110</v>
      </c>
      <c r="D78" s="42" t="s">
        <v>107</v>
      </c>
      <c r="E78" s="92">
        <v>428050</v>
      </c>
      <c r="F78" s="92">
        <v>429603</v>
      </c>
      <c r="G78" s="92">
        <v>361562.51</v>
      </c>
      <c r="H78" s="255">
        <f t="shared" si="1"/>
        <v>84.16200771409883</v>
      </c>
      <c r="I78" s="471"/>
      <c r="J78" s="471"/>
      <c r="K78" s="471"/>
      <c r="L78" s="471"/>
      <c r="M78" s="471"/>
      <c r="N78" s="471"/>
      <c r="O78" s="471"/>
    </row>
    <row r="79" spans="1:15" s="24" customFormat="1" ht="19.5" customHeight="1">
      <c r="A79" s="98"/>
      <c r="B79" s="94"/>
      <c r="C79" s="77">
        <v>4120</v>
      </c>
      <c r="D79" s="42" t="s">
        <v>108</v>
      </c>
      <c r="E79" s="92">
        <v>60500</v>
      </c>
      <c r="F79" s="92">
        <v>60721</v>
      </c>
      <c r="G79" s="92">
        <v>56941.61</v>
      </c>
      <c r="H79" s="255">
        <f t="shared" si="1"/>
        <v>93.77581067505476</v>
      </c>
      <c r="I79" s="471"/>
      <c r="J79" s="471"/>
      <c r="K79" s="471"/>
      <c r="L79" s="471"/>
      <c r="M79" s="471"/>
      <c r="N79" s="471"/>
      <c r="O79" s="471"/>
    </row>
    <row r="80" spans="1:15" s="24" customFormat="1" ht="19.5" customHeight="1">
      <c r="A80" s="98"/>
      <c r="B80" s="94"/>
      <c r="C80" s="77">
        <v>4170</v>
      </c>
      <c r="D80" s="42" t="s">
        <v>238</v>
      </c>
      <c r="E80" s="92">
        <v>10000</v>
      </c>
      <c r="F80" s="92">
        <v>10000</v>
      </c>
      <c r="G80" s="92">
        <v>8773.87</v>
      </c>
      <c r="H80" s="255">
        <f t="shared" si="1"/>
        <v>87.73870000000001</v>
      </c>
      <c r="I80" s="471"/>
      <c r="J80" s="471"/>
      <c r="K80" s="471"/>
      <c r="L80" s="471"/>
      <c r="M80" s="471"/>
      <c r="N80" s="471"/>
      <c r="O80" s="471"/>
    </row>
    <row r="81" spans="1:15" s="24" customFormat="1" ht="19.5" customHeight="1">
      <c r="A81" s="98"/>
      <c r="B81" s="94"/>
      <c r="C81" s="77">
        <v>4210</v>
      </c>
      <c r="D81" s="42" t="s">
        <v>113</v>
      </c>
      <c r="E81" s="92">
        <f>177700+1400</f>
        <v>179100</v>
      </c>
      <c r="F81" s="92">
        <v>159160</v>
      </c>
      <c r="G81" s="92">
        <v>136819.51</v>
      </c>
      <c r="H81" s="255">
        <f t="shared" si="1"/>
        <v>85.96350213621513</v>
      </c>
      <c r="I81" s="471"/>
      <c r="J81" s="471"/>
      <c r="K81" s="471"/>
      <c r="L81" s="471"/>
      <c r="M81" s="471"/>
      <c r="N81" s="471"/>
      <c r="O81" s="471"/>
    </row>
    <row r="82" spans="1:15" s="24" customFormat="1" ht="19.5" customHeight="1">
      <c r="A82" s="98"/>
      <c r="B82" s="94"/>
      <c r="C82" s="77">
        <v>4260</v>
      </c>
      <c r="D82" s="42" t="s">
        <v>116</v>
      </c>
      <c r="E82" s="92">
        <v>89500</v>
      </c>
      <c r="F82" s="92">
        <v>74482</v>
      </c>
      <c r="G82" s="92">
        <v>72350.68</v>
      </c>
      <c r="H82" s="255">
        <f t="shared" si="1"/>
        <v>97.13847641040788</v>
      </c>
      <c r="I82" s="471"/>
      <c r="J82" s="471"/>
      <c r="K82" s="471"/>
      <c r="L82" s="471"/>
      <c r="M82" s="471"/>
      <c r="N82" s="471"/>
      <c r="O82" s="471"/>
    </row>
    <row r="83" spans="1:15" s="24" customFormat="1" ht="19.5" customHeight="1">
      <c r="A83" s="98"/>
      <c r="B83" s="94"/>
      <c r="C83" s="77">
        <v>4270</v>
      </c>
      <c r="D83" s="42" t="s">
        <v>99</v>
      </c>
      <c r="E83" s="92">
        <v>411000</v>
      </c>
      <c r="F83" s="92">
        <v>398100</v>
      </c>
      <c r="G83" s="92">
        <v>210686.53</v>
      </c>
      <c r="H83" s="255">
        <f t="shared" si="1"/>
        <v>52.92301682994223</v>
      </c>
      <c r="I83" s="471"/>
      <c r="J83" s="471"/>
      <c r="K83" s="471"/>
      <c r="L83" s="471"/>
      <c r="M83" s="471"/>
      <c r="N83" s="471"/>
      <c r="O83" s="471"/>
    </row>
    <row r="84" spans="1:15" s="24" customFormat="1" ht="19.5" customHeight="1">
      <c r="A84" s="98"/>
      <c r="B84" s="94"/>
      <c r="C84" s="77">
        <v>4280</v>
      </c>
      <c r="D84" s="42" t="s">
        <v>274</v>
      </c>
      <c r="E84" s="92">
        <v>8000</v>
      </c>
      <c r="F84" s="92">
        <v>6780</v>
      </c>
      <c r="G84" s="92">
        <v>4741</v>
      </c>
      <c r="H84" s="255">
        <f t="shared" si="1"/>
        <v>69.92625368731564</v>
      </c>
      <c r="I84" s="471"/>
      <c r="J84" s="471"/>
      <c r="K84" s="471"/>
      <c r="L84" s="471"/>
      <c r="M84" s="471"/>
      <c r="N84" s="471"/>
      <c r="O84" s="471"/>
    </row>
    <row r="85" spans="1:15" s="24" customFormat="1" ht="19.5" customHeight="1">
      <c r="A85" s="98"/>
      <c r="B85" s="94"/>
      <c r="C85" s="77">
        <v>4300</v>
      </c>
      <c r="D85" s="42" t="s">
        <v>100</v>
      </c>
      <c r="E85" s="92">
        <v>224400</v>
      </c>
      <c r="F85" s="92">
        <v>215120</v>
      </c>
      <c r="G85" s="92">
        <v>187336.55</v>
      </c>
      <c r="H85" s="255">
        <f t="shared" si="1"/>
        <v>87.08467367050949</v>
      </c>
      <c r="I85" s="471"/>
      <c r="J85" s="471"/>
      <c r="K85" s="471"/>
      <c r="L85" s="471"/>
      <c r="M85" s="471"/>
      <c r="N85" s="471"/>
      <c r="O85" s="471"/>
    </row>
    <row r="86" spans="1:15" s="24" customFormat="1" ht="19.5" customHeight="1">
      <c r="A86" s="98"/>
      <c r="B86" s="94"/>
      <c r="C86" s="77">
        <v>4350</v>
      </c>
      <c r="D86" s="42" t="s">
        <v>262</v>
      </c>
      <c r="E86" s="92">
        <v>4000</v>
      </c>
      <c r="F86" s="92">
        <v>5600</v>
      </c>
      <c r="G86" s="92">
        <v>5584.27</v>
      </c>
      <c r="H86" s="255">
        <f t="shared" si="1"/>
        <v>99.71910714285715</v>
      </c>
      <c r="I86" s="471"/>
      <c r="J86" s="471"/>
      <c r="K86" s="471"/>
      <c r="L86" s="471"/>
      <c r="M86" s="471"/>
      <c r="N86" s="471"/>
      <c r="O86" s="471"/>
    </row>
    <row r="87" spans="1:15" s="24" customFormat="1" ht="24.75" customHeight="1">
      <c r="A87" s="98"/>
      <c r="B87" s="94"/>
      <c r="C87" s="77">
        <v>4360</v>
      </c>
      <c r="D87" s="42" t="s">
        <v>291</v>
      </c>
      <c r="E87" s="92">
        <v>24000</v>
      </c>
      <c r="F87" s="92">
        <v>24000</v>
      </c>
      <c r="G87" s="92">
        <v>18653.21</v>
      </c>
      <c r="H87" s="255">
        <f t="shared" si="1"/>
        <v>77.72170833333332</v>
      </c>
      <c r="I87" s="471"/>
      <c r="J87" s="471"/>
      <c r="K87" s="471"/>
      <c r="L87" s="471"/>
      <c r="M87" s="471"/>
      <c r="N87" s="471"/>
      <c r="O87" s="471"/>
    </row>
    <row r="88" spans="1:15" s="24" customFormat="1" ht="24.75" customHeight="1">
      <c r="A88" s="98"/>
      <c r="B88" s="94"/>
      <c r="C88" s="77">
        <v>4370</v>
      </c>
      <c r="D88" s="42" t="s">
        <v>287</v>
      </c>
      <c r="E88" s="92">
        <v>48100</v>
      </c>
      <c r="F88" s="92">
        <v>46470</v>
      </c>
      <c r="G88" s="92">
        <v>36903.7</v>
      </c>
      <c r="H88" s="255">
        <f t="shared" si="1"/>
        <v>79.41403055734882</v>
      </c>
      <c r="I88" s="471"/>
      <c r="J88" s="471"/>
      <c r="K88" s="471"/>
      <c r="L88" s="471"/>
      <c r="M88" s="471"/>
      <c r="N88" s="471"/>
      <c r="O88" s="471"/>
    </row>
    <row r="89" spans="1:15" s="24" customFormat="1" ht="33.75">
      <c r="A89" s="98"/>
      <c r="B89" s="94"/>
      <c r="C89" s="77">
        <v>4400</v>
      </c>
      <c r="D89" s="42" t="s">
        <v>447</v>
      </c>
      <c r="E89" s="92">
        <v>0</v>
      </c>
      <c r="F89" s="92">
        <v>313</v>
      </c>
      <c r="G89" s="92">
        <v>312.06</v>
      </c>
      <c r="H89" s="255">
        <f t="shared" si="1"/>
        <v>99.69968051118211</v>
      </c>
      <c r="I89" s="471"/>
      <c r="J89" s="471"/>
      <c r="K89" s="471"/>
      <c r="L89" s="471"/>
      <c r="M89" s="471"/>
      <c r="N89" s="471"/>
      <c r="O89" s="471"/>
    </row>
    <row r="90" spans="1:15" s="24" customFormat="1" ht="19.5" customHeight="1">
      <c r="A90" s="98"/>
      <c r="B90" s="94"/>
      <c r="C90" s="77">
        <v>4410</v>
      </c>
      <c r="D90" s="42" t="s">
        <v>111</v>
      </c>
      <c r="E90" s="92">
        <v>54000</v>
      </c>
      <c r="F90" s="92">
        <v>54000</v>
      </c>
      <c r="G90" s="92">
        <v>47555.35</v>
      </c>
      <c r="H90" s="255">
        <f t="shared" si="1"/>
        <v>88.06546296296295</v>
      </c>
      <c r="I90" s="471"/>
      <c r="J90" s="471"/>
      <c r="K90" s="471"/>
      <c r="L90" s="471"/>
      <c r="M90" s="471"/>
      <c r="N90" s="471"/>
      <c r="O90" s="471"/>
    </row>
    <row r="91" spans="1:15" s="24" customFormat="1" ht="19.5" customHeight="1">
      <c r="A91" s="98"/>
      <c r="B91" s="94"/>
      <c r="C91" s="98">
        <v>4420</v>
      </c>
      <c r="D91" s="42" t="s">
        <v>114</v>
      </c>
      <c r="E91" s="92">
        <v>5000</v>
      </c>
      <c r="F91" s="92">
        <v>2030</v>
      </c>
      <c r="G91" s="92">
        <v>2029.72</v>
      </c>
      <c r="H91" s="255">
        <f t="shared" si="1"/>
        <v>99.98620689655172</v>
      </c>
      <c r="I91" s="471"/>
      <c r="J91" s="471"/>
      <c r="K91" s="471"/>
      <c r="L91" s="471"/>
      <c r="M91" s="471"/>
      <c r="N91" s="471"/>
      <c r="O91" s="471"/>
    </row>
    <row r="92" spans="1:15" s="24" customFormat="1" ht="19.5" customHeight="1">
      <c r="A92" s="98"/>
      <c r="B92" s="94"/>
      <c r="C92" s="80">
        <v>4430</v>
      </c>
      <c r="D92" s="42" t="s">
        <v>115</v>
      </c>
      <c r="E92" s="92">
        <v>52800</v>
      </c>
      <c r="F92" s="92">
        <v>45832</v>
      </c>
      <c r="G92" s="92">
        <v>41933.85</v>
      </c>
      <c r="H92" s="255">
        <f t="shared" si="1"/>
        <v>91.49469802757898</v>
      </c>
      <c r="I92" s="471"/>
      <c r="J92" s="471"/>
      <c r="K92" s="471"/>
      <c r="L92" s="471"/>
      <c r="M92" s="471"/>
      <c r="N92" s="471"/>
      <c r="O92" s="471"/>
    </row>
    <row r="93" spans="1:15" s="24" customFormat="1" ht="24.75" customHeight="1">
      <c r="A93" s="98"/>
      <c r="B93" s="94"/>
      <c r="C93" s="80">
        <v>4440</v>
      </c>
      <c r="D93" s="42" t="s">
        <v>109</v>
      </c>
      <c r="E93" s="92">
        <v>75100</v>
      </c>
      <c r="F93" s="92">
        <v>75453</v>
      </c>
      <c r="G93" s="92">
        <v>66471.51</v>
      </c>
      <c r="H93" s="255">
        <f t="shared" si="1"/>
        <v>88.09657667687169</v>
      </c>
      <c r="I93" s="471"/>
      <c r="J93" s="471"/>
      <c r="K93" s="471"/>
      <c r="L93" s="471"/>
      <c r="M93" s="471"/>
      <c r="N93" s="471"/>
      <c r="O93" s="471"/>
    </row>
    <row r="94" spans="1:15" s="24" customFormat="1" ht="24.75" customHeight="1">
      <c r="A94" s="98"/>
      <c r="B94" s="94"/>
      <c r="C94" s="80">
        <v>4700</v>
      </c>
      <c r="D94" s="42" t="s">
        <v>290</v>
      </c>
      <c r="E94" s="92">
        <v>28000</v>
      </c>
      <c r="F94" s="92">
        <v>27000</v>
      </c>
      <c r="G94" s="92">
        <v>24428.65</v>
      </c>
      <c r="H94" s="255">
        <f t="shared" si="1"/>
        <v>90.47648148148149</v>
      </c>
      <c r="I94" s="471"/>
      <c r="J94" s="471"/>
      <c r="K94" s="471"/>
      <c r="L94" s="471"/>
      <c r="M94" s="471"/>
      <c r="N94" s="471"/>
      <c r="O94" s="471"/>
    </row>
    <row r="95" spans="1:15" s="24" customFormat="1" ht="33.75">
      <c r="A95" s="98"/>
      <c r="B95" s="94"/>
      <c r="C95" s="80">
        <v>4740</v>
      </c>
      <c r="D95" s="42" t="s">
        <v>289</v>
      </c>
      <c r="E95" s="92">
        <v>20000</v>
      </c>
      <c r="F95" s="92">
        <v>12000</v>
      </c>
      <c r="G95" s="92">
        <v>6189.83</v>
      </c>
      <c r="H95" s="255">
        <f t="shared" si="1"/>
        <v>51.58191666666666</v>
      </c>
      <c r="I95" s="471"/>
      <c r="J95" s="471"/>
      <c r="K95" s="471"/>
      <c r="L95" s="471"/>
      <c r="M95" s="471"/>
      <c r="N95" s="471"/>
      <c r="O95" s="471"/>
    </row>
    <row r="96" spans="1:15" s="24" customFormat="1" ht="24.75" customHeight="1">
      <c r="A96" s="98"/>
      <c r="B96" s="94"/>
      <c r="C96" s="80">
        <v>4750</v>
      </c>
      <c r="D96" s="42" t="s">
        <v>502</v>
      </c>
      <c r="E96" s="92">
        <v>36700</v>
      </c>
      <c r="F96" s="92">
        <v>36700</v>
      </c>
      <c r="G96" s="92">
        <v>35761.82</v>
      </c>
      <c r="H96" s="255">
        <f t="shared" si="1"/>
        <v>97.44365122615804</v>
      </c>
      <c r="I96" s="471"/>
      <c r="J96" s="471"/>
      <c r="K96" s="471"/>
      <c r="L96" s="471"/>
      <c r="M96" s="471"/>
      <c r="N96" s="471"/>
      <c r="O96" s="471"/>
    </row>
    <row r="97" spans="1:15" s="24" customFormat="1" ht="24.75" customHeight="1">
      <c r="A97" s="98"/>
      <c r="B97" s="94"/>
      <c r="C97" s="80">
        <v>6060</v>
      </c>
      <c r="D97" s="42" t="s">
        <v>117</v>
      </c>
      <c r="E97" s="92">
        <v>51800</v>
      </c>
      <c r="F97" s="92">
        <v>51800</v>
      </c>
      <c r="G97" s="92">
        <v>51655.56</v>
      </c>
      <c r="H97" s="255">
        <f t="shared" si="1"/>
        <v>99.7211583011583</v>
      </c>
      <c r="I97" s="471"/>
      <c r="J97" s="471"/>
      <c r="K97" s="471"/>
      <c r="L97" s="471"/>
      <c r="M97" s="471"/>
      <c r="N97" s="471"/>
      <c r="O97" s="471"/>
    </row>
    <row r="98" spans="1:15" s="24" customFormat="1" ht="24.75" customHeight="1">
      <c r="A98" s="98"/>
      <c r="B98" s="94">
        <v>75075</v>
      </c>
      <c r="C98" s="98"/>
      <c r="D98" s="42" t="s">
        <v>256</v>
      </c>
      <c r="E98" s="92">
        <f>SUM(E99:E110)</f>
        <v>174200</v>
      </c>
      <c r="F98" s="92">
        <f>SUM(F99:F110)</f>
        <v>182202</v>
      </c>
      <c r="G98" s="92">
        <f>SUM(G99:G110)</f>
        <v>176081.80000000002</v>
      </c>
      <c r="H98" s="255">
        <f t="shared" si="1"/>
        <v>96.64098088934261</v>
      </c>
      <c r="I98" s="471"/>
      <c r="J98" s="471"/>
      <c r="K98" s="471"/>
      <c r="L98" s="471"/>
      <c r="M98" s="471"/>
      <c r="N98" s="471"/>
      <c r="O98" s="471"/>
    </row>
    <row r="99" spans="1:15" s="24" customFormat="1" ht="24.75" customHeight="1">
      <c r="A99" s="98"/>
      <c r="B99" s="94"/>
      <c r="C99" s="98">
        <v>3020</v>
      </c>
      <c r="D99" s="42" t="s">
        <v>234</v>
      </c>
      <c r="E99" s="92">
        <f>11000</f>
        <v>11000</v>
      </c>
      <c r="F99" s="92">
        <v>6400</v>
      </c>
      <c r="G99" s="92">
        <v>6400</v>
      </c>
      <c r="H99" s="255">
        <f t="shared" si="1"/>
        <v>100</v>
      </c>
      <c r="I99" s="471"/>
      <c r="J99" s="471"/>
      <c r="K99" s="471"/>
      <c r="L99" s="471"/>
      <c r="M99" s="471"/>
      <c r="N99" s="471"/>
      <c r="O99" s="471"/>
    </row>
    <row r="100" spans="1:15" s="24" customFormat="1" ht="19.5" customHeight="1">
      <c r="A100" s="98"/>
      <c r="B100" s="94"/>
      <c r="C100" s="98">
        <v>4110</v>
      </c>
      <c r="D100" s="42" t="s">
        <v>107</v>
      </c>
      <c r="E100" s="92">
        <v>1000</v>
      </c>
      <c r="F100" s="92">
        <v>0</v>
      </c>
      <c r="G100" s="92">
        <v>0</v>
      </c>
      <c r="H100" s="476" t="s">
        <v>514</v>
      </c>
      <c r="I100" s="471"/>
      <c r="J100" s="471"/>
      <c r="K100" s="471"/>
      <c r="L100" s="471"/>
      <c r="M100" s="471"/>
      <c r="N100" s="471"/>
      <c r="O100" s="471"/>
    </row>
    <row r="101" spans="1:15" s="24" customFormat="1" ht="19.5" customHeight="1">
      <c r="A101" s="98"/>
      <c r="B101" s="94"/>
      <c r="C101" s="98">
        <v>4120</v>
      </c>
      <c r="D101" s="42" t="s">
        <v>108</v>
      </c>
      <c r="E101" s="92">
        <v>100</v>
      </c>
      <c r="F101" s="92">
        <v>0</v>
      </c>
      <c r="G101" s="92">
        <v>0</v>
      </c>
      <c r="H101" s="476" t="s">
        <v>514</v>
      </c>
      <c r="I101" s="471"/>
      <c r="J101" s="471"/>
      <c r="K101" s="471"/>
      <c r="L101" s="471"/>
      <c r="M101" s="471"/>
      <c r="N101" s="471"/>
      <c r="O101" s="471"/>
    </row>
    <row r="102" spans="1:15" s="24" customFormat="1" ht="19.5" customHeight="1">
      <c r="A102" s="98"/>
      <c r="B102" s="94"/>
      <c r="C102" s="98">
        <v>4170</v>
      </c>
      <c r="D102" s="42" t="s">
        <v>238</v>
      </c>
      <c r="E102" s="92">
        <v>6000</v>
      </c>
      <c r="F102" s="92">
        <v>3177</v>
      </c>
      <c r="G102" s="92">
        <v>3177</v>
      </c>
      <c r="H102" s="255">
        <f t="shared" si="1"/>
        <v>100</v>
      </c>
      <c r="I102" s="471"/>
      <c r="J102" s="471"/>
      <c r="K102" s="471"/>
      <c r="L102" s="471"/>
      <c r="M102" s="471"/>
      <c r="N102" s="471"/>
      <c r="O102" s="471"/>
    </row>
    <row r="103" spans="1:15" s="24" customFormat="1" ht="19.5" customHeight="1">
      <c r="A103" s="98"/>
      <c r="B103" s="94"/>
      <c r="C103" s="98">
        <v>4210</v>
      </c>
      <c r="D103" s="42" t="s">
        <v>113</v>
      </c>
      <c r="E103" s="92">
        <v>55900</v>
      </c>
      <c r="F103" s="92">
        <v>52920</v>
      </c>
      <c r="G103" s="92">
        <v>50959.49</v>
      </c>
      <c r="H103" s="255">
        <f t="shared" si="1"/>
        <v>96.29533257747543</v>
      </c>
      <c r="I103" s="471"/>
      <c r="J103" s="471"/>
      <c r="K103" s="471"/>
      <c r="L103" s="471"/>
      <c r="M103" s="471"/>
      <c r="N103" s="471"/>
      <c r="O103" s="471"/>
    </row>
    <row r="104" spans="1:15" s="24" customFormat="1" ht="19.5" customHeight="1">
      <c r="A104" s="98"/>
      <c r="B104" s="94"/>
      <c r="C104" s="77">
        <v>4300</v>
      </c>
      <c r="D104" s="42" t="s">
        <v>100</v>
      </c>
      <c r="E104" s="92">
        <v>86200</v>
      </c>
      <c r="F104" s="211">
        <v>115252</v>
      </c>
      <c r="G104" s="211">
        <v>112272.77</v>
      </c>
      <c r="H104" s="255">
        <f t="shared" si="1"/>
        <v>97.41502967410544</v>
      </c>
      <c r="I104" s="471"/>
      <c r="J104" s="471"/>
      <c r="K104" s="471"/>
      <c r="L104" s="471"/>
      <c r="M104" s="471"/>
      <c r="N104" s="471"/>
      <c r="O104" s="471"/>
    </row>
    <row r="105" spans="1:15" s="24" customFormat="1" ht="19.5" customHeight="1">
      <c r="A105" s="98"/>
      <c r="B105" s="94"/>
      <c r="C105" s="77">
        <v>4350</v>
      </c>
      <c r="D105" s="42" t="s">
        <v>258</v>
      </c>
      <c r="E105" s="92">
        <v>5000</v>
      </c>
      <c r="F105" s="92">
        <v>500</v>
      </c>
      <c r="G105" s="92">
        <v>444</v>
      </c>
      <c r="H105" s="255">
        <f t="shared" si="1"/>
        <v>88.8</v>
      </c>
      <c r="I105" s="471"/>
      <c r="J105" s="471"/>
      <c r="K105" s="471"/>
      <c r="L105" s="471"/>
      <c r="M105" s="471"/>
      <c r="N105" s="471"/>
      <c r="O105" s="471"/>
    </row>
    <row r="106" spans="1:15" s="24" customFormat="1" ht="19.5" customHeight="1">
      <c r="A106" s="98"/>
      <c r="B106" s="94"/>
      <c r="C106" s="77">
        <v>4410</v>
      </c>
      <c r="D106" s="42" t="s">
        <v>111</v>
      </c>
      <c r="E106" s="92">
        <v>3000</v>
      </c>
      <c r="F106" s="92">
        <v>0</v>
      </c>
      <c r="G106" s="92">
        <v>0</v>
      </c>
      <c r="H106" s="476" t="s">
        <v>514</v>
      </c>
      <c r="I106" s="471"/>
      <c r="J106" s="471"/>
      <c r="K106" s="471"/>
      <c r="L106" s="471"/>
      <c r="M106" s="471"/>
      <c r="N106" s="471"/>
      <c r="O106" s="471"/>
    </row>
    <row r="107" spans="1:15" s="24" customFormat="1" ht="19.5" customHeight="1">
      <c r="A107" s="98"/>
      <c r="B107" s="94"/>
      <c r="C107" s="98">
        <v>4420</v>
      </c>
      <c r="D107" s="42" t="s">
        <v>114</v>
      </c>
      <c r="E107" s="92">
        <v>3000</v>
      </c>
      <c r="F107" s="92">
        <v>1553</v>
      </c>
      <c r="G107" s="92">
        <v>1552.68</v>
      </c>
      <c r="H107" s="255">
        <f t="shared" si="1"/>
        <v>99.97939471989697</v>
      </c>
      <c r="I107" s="471"/>
      <c r="J107" s="471"/>
      <c r="K107" s="471"/>
      <c r="L107" s="471"/>
      <c r="M107" s="471"/>
      <c r="N107" s="471"/>
      <c r="O107" s="471"/>
    </row>
    <row r="108" spans="1:15" s="24" customFormat="1" ht="19.5" customHeight="1">
      <c r="A108" s="98"/>
      <c r="B108" s="94"/>
      <c r="C108" s="77">
        <v>4430</v>
      </c>
      <c r="D108" s="42" t="s">
        <v>115</v>
      </c>
      <c r="E108" s="92">
        <v>3000</v>
      </c>
      <c r="F108" s="92">
        <v>1000</v>
      </c>
      <c r="G108" s="92">
        <v>117.12</v>
      </c>
      <c r="H108" s="255">
        <f t="shared" si="1"/>
        <v>11.712</v>
      </c>
      <c r="I108" s="471"/>
      <c r="J108" s="471"/>
      <c r="K108" s="471"/>
      <c r="L108" s="471"/>
      <c r="M108" s="471"/>
      <c r="N108" s="471"/>
      <c r="O108" s="471"/>
    </row>
    <row r="109" spans="1:15" s="24" customFormat="1" ht="33.75">
      <c r="A109" s="98"/>
      <c r="B109" s="94"/>
      <c r="C109" s="77">
        <v>4740</v>
      </c>
      <c r="D109" s="42" t="s">
        <v>289</v>
      </c>
      <c r="E109" s="92">
        <v>0</v>
      </c>
      <c r="F109" s="92">
        <v>300</v>
      </c>
      <c r="G109" s="92">
        <v>70.04</v>
      </c>
      <c r="H109" s="255">
        <f t="shared" si="1"/>
        <v>23.346666666666668</v>
      </c>
      <c r="I109" s="471"/>
      <c r="J109" s="471"/>
      <c r="K109" s="471"/>
      <c r="L109" s="471"/>
      <c r="M109" s="471"/>
      <c r="N109" s="471"/>
      <c r="O109" s="471"/>
    </row>
    <row r="110" spans="1:15" s="24" customFormat="1" ht="24.75" customHeight="1">
      <c r="A110" s="98"/>
      <c r="B110" s="94"/>
      <c r="C110" s="77">
        <v>4750</v>
      </c>
      <c r="D110" s="42" t="s">
        <v>502</v>
      </c>
      <c r="E110" s="92">
        <v>0</v>
      </c>
      <c r="F110" s="92">
        <v>1100</v>
      </c>
      <c r="G110" s="92">
        <v>1088.7</v>
      </c>
      <c r="H110" s="255">
        <f t="shared" si="1"/>
        <v>98.97272727272728</v>
      </c>
      <c r="I110" s="471"/>
      <c r="J110" s="471"/>
      <c r="K110" s="471"/>
      <c r="L110" s="471"/>
      <c r="M110" s="471"/>
      <c r="N110" s="471"/>
      <c r="O110" s="471"/>
    </row>
    <row r="111" spans="1:15" s="24" customFormat="1" ht="19.5" customHeight="1">
      <c r="A111" s="98"/>
      <c r="B111" s="94">
        <v>75095</v>
      </c>
      <c r="C111" s="77"/>
      <c r="D111" s="42" t="s">
        <v>18</v>
      </c>
      <c r="E111" s="92">
        <f>SUM(E112)</f>
        <v>20000</v>
      </c>
      <c r="F111" s="92">
        <f>SUM(F112)</f>
        <v>19525</v>
      </c>
      <c r="G111" s="92">
        <f>SUM(G112)</f>
        <v>19524.84</v>
      </c>
      <c r="H111" s="255">
        <f t="shared" si="1"/>
        <v>99.99918053777209</v>
      </c>
      <c r="I111" s="471"/>
      <c r="J111" s="471"/>
      <c r="K111" s="471"/>
      <c r="L111" s="471"/>
      <c r="M111" s="471"/>
      <c r="N111" s="471"/>
      <c r="O111" s="471"/>
    </row>
    <row r="112" spans="1:15" s="24" customFormat="1" ht="19.5" customHeight="1">
      <c r="A112" s="98"/>
      <c r="B112" s="94"/>
      <c r="C112" s="77">
        <v>4300</v>
      </c>
      <c r="D112" s="42" t="s">
        <v>100</v>
      </c>
      <c r="E112" s="92">
        <v>20000</v>
      </c>
      <c r="F112" s="92">
        <v>19525</v>
      </c>
      <c r="G112" s="92">
        <v>19524.84</v>
      </c>
      <c r="H112" s="255">
        <f t="shared" si="1"/>
        <v>99.99918053777209</v>
      </c>
      <c r="I112" s="471"/>
      <c r="J112" s="471"/>
      <c r="K112" s="471"/>
      <c r="L112" s="471"/>
      <c r="M112" s="471"/>
      <c r="N112" s="471"/>
      <c r="O112" s="471"/>
    </row>
    <row r="113" spans="1:15" s="7" customFormat="1" ht="38.25" customHeight="1">
      <c r="A113" s="37">
        <v>751</v>
      </c>
      <c r="B113" s="38"/>
      <c r="C113" s="39"/>
      <c r="D113" s="40" t="s">
        <v>119</v>
      </c>
      <c r="E113" s="41">
        <f>SUM(E114,E118)</f>
        <v>3809</v>
      </c>
      <c r="F113" s="41">
        <f>SUM(F114,F118)</f>
        <v>42220</v>
      </c>
      <c r="G113" s="41">
        <f>SUM(G114,G118)</f>
        <v>41944.30999999999</v>
      </c>
      <c r="H113" s="475">
        <f t="shared" si="1"/>
        <v>99.34701563240168</v>
      </c>
      <c r="I113" s="472"/>
      <c r="J113" s="472"/>
      <c r="K113" s="472"/>
      <c r="L113" s="472"/>
      <c r="M113" s="472"/>
      <c r="N113" s="472"/>
      <c r="O113" s="472"/>
    </row>
    <row r="114" spans="1:15" s="24" customFormat="1" ht="24.75" customHeight="1">
      <c r="A114" s="98"/>
      <c r="B114" s="94">
        <v>75101</v>
      </c>
      <c r="C114" s="98"/>
      <c r="D114" s="42" t="s">
        <v>36</v>
      </c>
      <c r="E114" s="92">
        <f>SUM(E115:E117)</f>
        <v>3809</v>
      </c>
      <c r="F114" s="92">
        <f>SUM(F115:F117)</f>
        <v>3809</v>
      </c>
      <c r="G114" s="92">
        <f>SUM(G115:G117)</f>
        <v>3809</v>
      </c>
      <c r="H114" s="255">
        <f t="shared" si="1"/>
        <v>100</v>
      </c>
      <c r="I114" s="471"/>
      <c r="J114" s="471"/>
      <c r="K114" s="471"/>
      <c r="L114" s="471"/>
      <c r="M114" s="471"/>
      <c r="N114" s="471"/>
      <c r="O114" s="471"/>
    </row>
    <row r="115" spans="1:15" s="24" customFormat="1" ht="19.5" customHeight="1">
      <c r="A115" s="98"/>
      <c r="B115" s="94"/>
      <c r="C115" s="77">
        <v>4210</v>
      </c>
      <c r="D115" s="42" t="s">
        <v>113</v>
      </c>
      <c r="E115" s="92">
        <v>1009</v>
      </c>
      <c r="F115" s="92">
        <v>2221</v>
      </c>
      <c r="G115" s="92">
        <v>2221</v>
      </c>
      <c r="H115" s="255">
        <f t="shared" si="1"/>
        <v>100</v>
      </c>
      <c r="I115" s="471"/>
      <c r="J115" s="471"/>
      <c r="K115" s="471"/>
      <c r="L115" s="471"/>
      <c r="M115" s="471"/>
      <c r="N115" s="471"/>
      <c r="O115" s="471"/>
    </row>
    <row r="116" spans="1:15" s="24" customFormat="1" ht="24.75" customHeight="1">
      <c r="A116" s="98"/>
      <c r="B116" s="94"/>
      <c r="C116" s="77">
        <v>4700</v>
      </c>
      <c r="D116" s="42" t="s">
        <v>290</v>
      </c>
      <c r="E116" s="92">
        <v>1600</v>
      </c>
      <c r="F116" s="92">
        <v>388</v>
      </c>
      <c r="G116" s="92">
        <v>388</v>
      </c>
      <c r="H116" s="255">
        <f t="shared" si="1"/>
        <v>100</v>
      </c>
      <c r="I116" s="471"/>
      <c r="J116" s="471"/>
      <c r="K116" s="471"/>
      <c r="L116" s="471"/>
      <c r="M116" s="471"/>
      <c r="N116" s="471"/>
      <c r="O116" s="471"/>
    </row>
    <row r="117" spans="1:15" s="24" customFormat="1" ht="33.75">
      <c r="A117" s="98"/>
      <c r="B117" s="94"/>
      <c r="C117" s="77">
        <v>4740</v>
      </c>
      <c r="D117" s="42" t="s">
        <v>289</v>
      </c>
      <c r="E117" s="92">
        <v>1200</v>
      </c>
      <c r="F117" s="92">
        <v>1200</v>
      </c>
      <c r="G117" s="92">
        <v>1200</v>
      </c>
      <c r="H117" s="255">
        <f t="shared" si="1"/>
        <v>100</v>
      </c>
      <c r="I117" s="471"/>
      <c r="J117" s="471"/>
      <c r="K117" s="471"/>
      <c r="L117" s="471"/>
      <c r="M117" s="471"/>
      <c r="N117" s="471"/>
      <c r="O117" s="471"/>
    </row>
    <row r="118" spans="1:15" s="24" customFormat="1" ht="19.5" customHeight="1">
      <c r="A118" s="98"/>
      <c r="B118" s="94">
        <v>75108</v>
      </c>
      <c r="C118" s="77"/>
      <c r="D118" s="42" t="s">
        <v>543</v>
      </c>
      <c r="E118" s="92">
        <f>SUM(E119:E127)</f>
        <v>0</v>
      </c>
      <c r="F118" s="92">
        <f>SUM(F119:F127)</f>
        <v>38411</v>
      </c>
      <c r="G118" s="92">
        <f>SUM(G119:G127)</f>
        <v>38135.30999999999</v>
      </c>
      <c r="H118" s="255">
        <f t="shared" si="1"/>
        <v>99.28226289344195</v>
      </c>
      <c r="I118" s="471"/>
      <c r="J118" s="471"/>
      <c r="K118" s="471"/>
      <c r="L118" s="471"/>
      <c r="M118" s="471"/>
      <c r="N118" s="471"/>
      <c r="O118" s="471"/>
    </row>
    <row r="119" spans="1:15" s="24" customFormat="1" ht="19.5" customHeight="1">
      <c r="A119" s="98"/>
      <c r="B119" s="94"/>
      <c r="C119" s="77">
        <v>3030</v>
      </c>
      <c r="D119" s="42" t="s">
        <v>110</v>
      </c>
      <c r="E119" s="92">
        <v>0</v>
      </c>
      <c r="F119" s="92">
        <v>19125</v>
      </c>
      <c r="G119" s="92">
        <v>18855</v>
      </c>
      <c r="H119" s="255">
        <f t="shared" si="1"/>
        <v>98.58823529411764</v>
      </c>
      <c r="I119" s="471"/>
      <c r="J119" s="471"/>
      <c r="K119" s="471"/>
      <c r="L119" s="471"/>
      <c r="M119" s="471"/>
      <c r="N119" s="471"/>
      <c r="O119" s="471"/>
    </row>
    <row r="120" spans="1:15" s="24" customFormat="1" ht="19.5" customHeight="1">
      <c r="A120" s="98"/>
      <c r="B120" s="94"/>
      <c r="C120" s="77">
        <v>4110</v>
      </c>
      <c r="D120" s="42" t="s">
        <v>107</v>
      </c>
      <c r="E120" s="92">
        <v>0</v>
      </c>
      <c r="F120" s="92">
        <v>814</v>
      </c>
      <c r="G120" s="92">
        <v>812.15</v>
      </c>
      <c r="H120" s="255">
        <f t="shared" si="1"/>
        <v>99.77272727272727</v>
      </c>
      <c r="I120" s="471"/>
      <c r="J120" s="471"/>
      <c r="K120" s="471"/>
      <c r="L120" s="471"/>
      <c r="M120" s="471"/>
      <c r="N120" s="471"/>
      <c r="O120" s="471"/>
    </row>
    <row r="121" spans="1:15" s="24" customFormat="1" ht="19.5" customHeight="1">
      <c r="A121" s="98"/>
      <c r="B121" s="94"/>
      <c r="C121" s="77">
        <v>4120</v>
      </c>
      <c r="D121" s="42" t="s">
        <v>108</v>
      </c>
      <c r="E121" s="92">
        <v>0</v>
      </c>
      <c r="F121" s="92">
        <v>117</v>
      </c>
      <c r="G121" s="92">
        <v>115.19</v>
      </c>
      <c r="H121" s="255">
        <f t="shared" si="1"/>
        <v>98.45299145299145</v>
      </c>
      <c r="I121" s="471"/>
      <c r="J121" s="471"/>
      <c r="K121" s="471"/>
      <c r="L121" s="471"/>
      <c r="M121" s="471"/>
      <c r="N121" s="471"/>
      <c r="O121" s="471"/>
    </row>
    <row r="122" spans="1:15" s="24" customFormat="1" ht="19.5" customHeight="1">
      <c r="A122" s="98"/>
      <c r="B122" s="94"/>
      <c r="C122" s="77">
        <v>4170</v>
      </c>
      <c r="D122" s="42" t="s">
        <v>238</v>
      </c>
      <c r="E122" s="92">
        <v>0</v>
      </c>
      <c r="F122" s="92">
        <v>7300</v>
      </c>
      <c r="G122" s="92">
        <v>7300</v>
      </c>
      <c r="H122" s="255">
        <f t="shared" si="1"/>
        <v>100</v>
      </c>
      <c r="I122" s="471"/>
      <c r="J122" s="471"/>
      <c r="K122" s="471"/>
      <c r="L122" s="471"/>
      <c r="M122" s="471"/>
      <c r="N122" s="471"/>
      <c r="O122" s="471"/>
    </row>
    <row r="123" spans="1:15" s="24" customFormat="1" ht="19.5" customHeight="1">
      <c r="A123" s="98"/>
      <c r="B123" s="94"/>
      <c r="C123" s="77">
        <v>4210</v>
      </c>
      <c r="D123" s="42" t="s">
        <v>113</v>
      </c>
      <c r="E123" s="92">
        <v>0</v>
      </c>
      <c r="F123" s="92">
        <v>6756</v>
      </c>
      <c r="G123" s="92">
        <v>6756</v>
      </c>
      <c r="H123" s="255">
        <f t="shared" si="1"/>
        <v>100</v>
      </c>
      <c r="I123" s="471"/>
      <c r="J123" s="471"/>
      <c r="K123" s="471"/>
      <c r="L123" s="471"/>
      <c r="M123" s="471"/>
      <c r="N123" s="471"/>
      <c r="O123" s="471"/>
    </row>
    <row r="124" spans="1:15" s="24" customFormat="1" ht="19.5" customHeight="1">
      <c r="A124" s="98"/>
      <c r="B124" s="94"/>
      <c r="C124" s="77">
        <v>4300</v>
      </c>
      <c r="D124" s="42" t="s">
        <v>100</v>
      </c>
      <c r="E124" s="92">
        <v>0</v>
      </c>
      <c r="F124" s="92">
        <v>1114</v>
      </c>
      <c r="G124" s="92">
        <v>1113.52</v>
      </c>
      <c r="H124" s="255">
        <f t="shared" si="1"/>
        <v>99.95691202872531</v>
      </c>
      <c r="I124" s="471"/>
      <c r="J124" s="471"/>
      <c r="K124" s="471"/>
      <c r="L124" s="471"/>
      <c r="M124" s="471"/>
      <c r="N124" s="471"/>
      <c r="O124" s="471"/>
    </row>
    <row r="125" spans="1:15" s="24" customFormat="1" ht="19.5" customHeight="1">
      <c r="A125" s="98"/>
      <c r="B125" s="94"/>
      <c r="C125" s="77">
        <v>4410</v>
      </c>
      <c r="D125" s="42" t="s">
        <v>111</v>
      </c>
      <c r="E125" s="92">
        <v>0</v>
      </c>
      <c r="F125" s="92">
        <v>1256</v>
      </c>
      <c r="G125" s="92">
        <v>1255.31</v>
      </c>
      <c r="H125" s="255">
        <f t="shared" si="1"/>
        <v>99.94506369426752</v>
      </c>
      <c r="I125" s="471"/>
      <c r="J125" s="471"/>
      <c r="K125" s="471"/>
      <c r="L125" s="471"/>
      <c r="M125" s="471"/>
      <c r="N125" s="471"/>
      <c r="O125" s="471"/>
    </row>
    <row r="126" spans="1:15" s="24" customFormat="1" ht="33.75">
      <c r="A126" s="98"/>
      <c r="B126" s="94"/>
      <c r="C126" s="77">
        <v>4740</v>
      </c>
      <c r="D126" s="42" t="s">
        <v>289</v>
      </c>
      <c r="E126" s="92">
        <v>0</v>
      </c>
      <c r="F126" s="92">
        <v>907</v>
      </c>
      <c r="G126" s="92">
        <v>906.78</v>
      </c>
      <c r="H126" s="255">
        <f t="shared" si="1"/>
        <v>99.97574421168687</v>
      </c>
      <c r="I126" s="471"/>
      <c r="J126" s="471"/>
      <c r="K126" s="471"/>
      <c r="L126" s="471"/>
      <c r="M126" s="471"/>
      <c r="N126" s="471"/>
      <c r="O126" s="471"/>
    </row>
    <row r="127" spans="1:15" s="24" customFormat="1" ht="22.5">
      <c r="A127" s="98"/>
      <c r="B127" s="94"/>
      <c r="C127" s="77">
        <v>4750</v>
      </c>
      <c r="D127" s="42" t="s">
        <v>502</v>
      </c>
      <c r="E127" s="92">
        <v>0</v>
      </c>
      <c r="F127" s="92">
        <v>1022</v>
      </c>
      <c r="G127" s="92">
        <v>1021.36</v>
      </c>
      <c r="H127" s="255">
        <f t="shared" si="1"/>
        <v>99.93737769080235</v>
      </c>
      <c r="I127" s="471"/>
      <c r="J127" s="471"/>
      <c r="K127" s="471"/>
      <c r="L127" s="471"/>
      <c r="M127" s="471"/>
      <c r="N127" s="471"/>
      <c r="O127" s="471"/>
    </row>
    <row r="128" spans="1:15" s="7" customFormat="1" ht="24.75" customHeight="1">
      <c r="A128" s="37" t="s">
        <v>37</v>
      </c>
      <c r="B128" s="38"/>
      <c r="C128" s="39"/>
      <c r="D128" s="40" t="s">
        <v>120</v>
      </c>
      <c r="E128" s="41">
        <f>SUM(E131,E144,E161,E129)</f>
        <v>492000</v>
      </c>
      <c r="F128" s="41">
        <f>SUM(F131,F144,F161,F129)</f>
        <v>504190</v>
      </c>
      <c r="G128" s="41">
        <f>SUM(G131,G144,G161,G129)</f>
        <v>341541.95</v>
      </c>
      <c r="H128" s="475">
        <f t="shared" si="1"/>
        <v>67.74072274341022</v>
      </c>
      <c r="I128" s="472"/>
      <c r="J128" s="472"/>
      <c r="K128" s="472"/>
      <c r="L128" s="472"/>
      <c r="M128" s="472"/>
      <c r="N128" s="472"/>
      <c r="O128" s="472"/>
    </row>
    <row r="129" spans="1:15" s="24" customFormat="1" ht="24.75" customHeight="1">
      <c r="A129" s="77"/>
      <c r="B129" s="99">
        <v>75411</v>
      </c>
      <c r="C129" s="98"/>
      <c r="D129" s="42" t="s">
        <v>494</v>
      </c>
      <c r="E129" s="92">
        <f>SUM(E130:E130)</f>
        <v>0</v>
      </c>
      <c r="F129" s="92">
        <f>SUM(F130:F130)</f>
        <v>25000</v>
      </c>
      <c r="G129" s="92">
        <f>SUM(G130:G130)</f>
        <v>25000</v>
      </c>
      <c r="H129" s="255">
        <f t="shared" si="1"/>
        <v>100</v>
      </c>
      <c r="I129" s="471"/>
      <c r="J129" s="471"/>
      <c r="K129" s="471"/>
      <c r="L129" s="471"/>
      <c r="M129" s="471"/>
      <c r="N129" s="471"/>
      <c r="O129" s="471"/>
    </row>
    <row r="130" spans="1:15" s="24" customFormat="1" ht="56.25">
      <c r="A130" s="77"/>
      <c r="B130" s="99"/>
      <c r="C130" s="98">
        <v>6620</v>
      </c>
      <c r="D130" s="42" t="s">
        <v>548</v>
      </c>
      <c r="E130" s="92">
        <v>0</v>
      </c>
      <c r="F130" s="211">
        <v>25000</v>
      </c>
      <c r="G130" s="211">
        <v>25000</v>
      </c>
      <c r="H130" s="255">
        <f t="shared" si="1"/>
        <v>100</v>
      </c>
      <c r="I130" s="471"/>
      <c r="J130" s="471"/>
      <c r="K130" s="471"/>
      <c r="L130" s="471"/>
      <c r="M130" s="471"/>
      <c r="N130" s="471"/>
      <c r="O130" s="471"/>
    </row>
    <row r="131" spans="1:15" s="24" customFormat="1" ht="19.5" customHeight="1">
      <c r="A131" s="98"/>
      <c r="B131" s="94" t="s">
        <v>121</v>
      </c>
      <c r="C131" s="98"/>
      <c r="D131" s="42" t="s">
        <v>122</v>
      </c>
      <c r="E131" s="92">
        <f>SUM(E132:E143)</f>
        <v>202000</v>
      </c>
      <c r="F131" s="92">
        <f>SUM(F132:F143)</f>
        <v>200900</v>
      </c>
      <c r="G131" s="92">
        <f>SUM(G132:G143)</f>
        <v>187310.84000000003</v>
      </c>
      <c r="H131" s="255">
        <f t="shared" si="1"/>
        <v>93.2358586361374</v>
      </c>
      <c r="I131" s="471"/>
      <c r="J131" s="471"/>
      <c r="K131" s="471"/>
      <c r="L131" s="471"/>
      <c r="M131" s="471"/>
      <c r="N131" s="471"/>
      <c r="O131" s="471"/>
    </row>
    <row r="132" spans="1:15" s="24" customFormat="1" ht="24.75" customHeight="1">
      <c r="A132" s="98"/>
      <c r="B132" s="94"/>
      <c r="C132" s="98">
        <v>3020</v>
      </c>
      <c r="D132" s="42" t="s">
        <v>234</v>
      </c>
      <c r="E132" s="92">
        <v>18800</v>
      </c>
      <c r="F132" s="92">
        <v>16800</v>
      </c>
      <c r="G132" s="92">
        <v>14539.95</v>
      </c>
      <c r="H132" s="255">
        <f t="shared" si="1"/>
        <v>86.54732142857144</v>
      </c>
      <c r="I132" s="471"/>
      <c r="J132" s="471"/>
      <c r="K132" s="471"/>
      <c r="L132" s="471"/>
      <c r="M132" s="471"/>
      <c r="N132" s="471"/>
      <c r="O132" s="471"/>
    </row>
    <row r="133" spans="1:15" s="24" customFormat="1" ht="19.5" customHeight="1">
      <c r="A133" s="98"/>
      <c r="B133" s="94"/>
      <c r="C133" s="98">
        <v>4110</v>
      </c>
      <c r="D133" s="42" t="s">
        <v>107</v>
      </c>
      <c r="E133" s="92">
        <v>4200</v>
      </c>
      <c r="F133" s="92">
        <v>1900</v>
      </c>
      <c r="G133" s="92">
        <v>1800.8</v>
      </c>
      <c r="H133" s="255">
        <f t="shared" si="1"/>
        <v>94.77894736842106</v>
      </c>
      <c r="I133" s="471"/>
      <c r="J133" s="471"/>
      <c r="K133" s="471"/>
      <c r="L133" s="471"/>
      <c r="M133" s="471"/>
      <c r="N133" s="471"/>
      <c r="O133" s="471"/>
    </row>
    <row r="134" spans="1:15" s="24" customFormat="1" ht="19.5" customHeight="1">
      <c r="A134" s="98"/>
      <c r="B134" s="94"/>
      <c r="C134" s="98">
        <v>4120</v>
      </c>
      <c r="D134" s="42" t="s">
        <v>275</v>
      </c>
      <c r="E134" s="92">
        <v>600</v>
      </c>
      <c r="F134" s="92">
        <v>0</v>
      </c>
      <c r="G134" s="92">
        <v>0</v>
      </c>
      <c r="H134" s="255" t="s">
        <v>514</v>
      </c>
      <c r="I134" s="471"/>
      <c r="J134" s="471"/>
      <c r="K134" s="471"/>
      <c r="L134" s="471"/>
      <c r="M134" s="471"/>
      <c r="N134" s="471"/>
      <c r="O134" s="471"/>
    </row>
    <row r="135" spans="1:15" s="24" customFormat="1" ht="19.5" customHeight="1">
      <c r="A135" s="98"/>
      <c r="B135" s="94"/>
      <c r="C135" s="77">
        <v>4170</v>
      </c>
      <c r="D135" s="42" t="s">
        <v>238</v>
      </c>
      <c r="E135" s="92">
        <v>24000</v>
      </c>
      <c r="F135" s="92">
        <v>22200</v>
      </c>
      <c r="G135" s="92">
        <v>21831.31</v>
      </c>
      <c r="H135" s="255">
        <f t="shared" si="1"/>
        <v>98.33923423423424</v>
      </c>
      <c r="I135" s="471"/>
      <c r="J135" s="471"/>
      <c r="K135" s="471"/>
      <c r="L135" s="471"/>
      <c r="M135" s="471"/>
      <c r="N135" s="471"/>
      <c r="O135" s="471"/>
    </row>
    <row r="136" spans="1:15" s="24" customFormat="1" ht="19.5" customHeight="1">
      <c r="A136" s="98"/>
      <c r="B136" s="94"/>
      <c r="C136" s="77">
        <v>4210</v>
      </c>
      <c r="D136" s="42" t="s">
        <v>113</v>
      </c>
      <c r="E136" s="92">
        <f>23730+5000</f>
        <v>28730</v>
      </c>
      <c r="F136" s="92">
        <v>48230</v>
      </c>
      <c r="G136" s="92">
        <v>45072.5</v>
      </c>
      <c r="H136" s="255">
        <f t="shared" si="1"/>
        <v>93.4532448683392</v>
      </c>
      <c r="I136" s="471"/>
      <c r="J136" s="471"/>
      <c r="K136" s="471"/>
      <c r="L136" s="471"/>
      <c r="M136" s="471"/>
      <c r="N136" s="471"/>
      <c r="O136" s="471"/>
    </row>
    <row r="137" spans="1:15" s="24" customFormat="1" ht="19.5" customHeight="1">
      <c r="A137" s="98"/>
      <c r="B137" s="94"/>
      <c r="C137" s="77">
        <v>4260</v>
      </c>
      <c r="D137" s="42" t="s">
        <v>116</v>
      </c>
      <c r="E137" s="92">
        <v>10000</v>
      </c>
      <c r="F137" s="92">
        <v>11700</v>
      </c>
      <c r="G137" s="92">
        <v>10736.81</v>
      </c>
      <c r="H137" s="255">
        <f t="shared" si="1"/>
        <v>91.76760683760683</v>
      </c>
      <c r="I137" s="471"/>
      <c r="J137" s="471"/>
      <c r="K137" s="471"/>
      <c r="L137" s="471"/>
      <c r="M137" s="471"/>
      <c r="N137" s="471"/>
      <c r="O137" s="471"/>
    </row>
    <row r="138" spans="1:15" s="24" customFormat="1" ht="19.5" customHeight="1">
      <c r="A138" s="98"/>
      <c r="B138" s="94"/>
      <c r="C138" s="77">
        <v>4270</v>
      </c>
      <c r="D138" s="42" t="s">
        <v>99</v>
      </c>
      <c r="E138" s="92">
        <v>14000</v>
      </c>
      <c r="F138" s="92">
        <v>6000</v>
      </c>
      <c r="G138" s="92">
        <v>4255.36</v>
      </c>
      <c r="H138" s="255">
        <f t="shared" si="1"/>
        <v>70.92266666666666</v>
      </c>
      <c r="I138" s="471"/>
      <c r="J138" s="471"/>
      <c r="K138" s="471"/>
      <c r="L138" s="471"/>
      <c r="M138" s="471"/>
      <c r="N138" s="471"/>
      <c r="O138" s="471"/>
    </row>
    <row r="139" spans="1:15" s="24" customFormat="1" ht="19.5" customHeight="1">
      <c r="A139" s="98"/>
      <c r="B139" s="94"/>
      <c r="C139" s="77">
        <v>4280</v>
      </c>
      <c r="D139" s="42" t="s">
        <v>274</v>
      </c>
      <c r="E139" s="92">
        <v>3600</v>
      </c>
      <c r="F139" s="92">
        <v>3600</v>
      </c>
      <c r="G139" s="92">
        <v>0</v>
      </c>
      <c r="H139" s="255">
        <f t="shared" si="1"/>
        <v>0</v>
      </c>
      <c r="I139" s="471"/>
      <c r="J139" s="471"/>
      <c r="K139" s="471"/>
      <c r="L139" s="471"/>
      <c r="M139" s="471"/>
      <c r="N139" s="471"/>
      <c r="O139" s="471"/>
    </row>
    <row r="140" spans="1:15" s="24" customFormat="1" ht="19.5" customHeight="1">
      <c r="A140" s="98"/>
      <c r="B140" s="94"/>
      <c r="C140" s="77">
        <v>4300</v>
      </c>
      <c r="D140" s="42" t="s">
        <v>100</v>
      </c>
      <c r="E140" s="92">
        <v>16500</v>
      </c>
      <c r="F140" s="92">
        <v>8900</v>
      </c>
      <c r="G140" s="92">
        <v>8573.69</v>
      </c>
      <c r="H140" s="255">
        <f t="shared" si="1"/>
        <v>96.33359550561799</v>
      </c>
      <c r="I140" s="471"/>
      <c r="J140" s="471"/>
      <c r="K140" s="471"/>
      <c r="L140" s="471"/>
      <c r="M140" s="471"/>
      <c r="N140" s="471"/>
      <c r="O140" s="471"/>
    </row>
    <row r="141" spans="1:15" s="24" customFormat="1" ht="19.5" customHeight="1">
      <c r="A141" s="98"/>
      <c r="B141" s="94"/>
      <c r="C141" s="77">
        <v>4410</v>
      </c>
      <c r="D141" s="42" t="s">
        <v>111</v>
      </c>
      <c r="E141" s="92">
        <v>3400</v>
      </c>
      <c r="F141" s="92">
        <v>3400</v>
      </c>
      <c r="G141" s="92">
        <v>2845.99</v>
      </c>
      <c r="H141" s="255">
        <f t="shared" si="1"/>
        <v>83.70558823529412</v>
      </c>
      <c r="I141" s="471"/>
      <c r="J141" s="471"/>
      <c r="K141" s="471"/>
      <c r="L141" s="471"/>
      <c r="M141" s="471"/>
      <c r="N141" s="471"/>
      <c r="O141" s="471"/>
    </row>
    <row r="142" spans="1:15" s="24" customFormat="1" ht="19.5" customHeight="1">
      <c r="A142" s="98"/>
      <c r="B142" s="94"/>
      <c r="C142" s="77">
        <v>4430</v>
      </c>
      <c r="D142" s="42" t="s">
        <v>115</v>
      </c>
      <c r="E142" s="92">
        <v>10000</v>
      </c>
      <c r="F142" s="92">
        <v>6500</v>
      </c>
      <c r="G142" s="92">
        <v>6293.74</v>
      </c>
      <c r="H142" s="255">
        <f t="shared" si="1"/>
        <v>96.82676923076923</v>
      </c>
      <c r="I142" s="471"/>
      <c r="J142" s="471"/>
      <c r="K142" s="471"/>
      <c r="L142" s="471"/>
      <c r="M142" s="471"/>
      <c r="N142" s="471"/>
      <c r="O142" s="471"/>
    </row>
    <row r="143" spans="1:15" s="24" customFormat="1" ht="24.75" customHeight="1">
      <c r="A143" s="98"/>
      <c r="B143" s="94"/>
      <c r="C143" s="77">
        <v>6050</v>
      </c>
      <c r="D143" s="42" t="s">
        <v>94</v>
      </c>
      <c r="E143" s="92">
        <v>68170</v>
      </c>
      <c r="F143" s="211">
        <v>71670</v>
      </c>
      <c r="G143" s="211">
        <v>71360.69</v>
      </c>
      <c r="H143" s="255">
        <f t="shared" si="1"/>
        <v>99.56842472443142</v>
      </c>
      <c r="I143" s="471"/>
      <c r="J143" s="471"/>
      <c r="K143" s="471"/>
      <c r="L143" s="471"/>
      <c r="M143" s="471"/>
      <c r="N143" s="471"/>
      <c r="O143" s="471"/>
    </row>
    <row r="144" spans="1:15" s="24" customFormat="1" ht="19.5" customHeight="1">
      <c r="A144" s="98"/>
      <c r="B144" s="94">
        <v>75416</v>
      </c>
      <c r="C144" s="98"/>
      <c r="D144" s="42" t="s">
        <v>40</v>
      </c>
      <c r="E144" s="92">
        <f>SUM(E145:E160)</f>
        <v>265000</v>
      </c>
      <c r="F144" s="92">
        <f>SUM(F145:F160)</f>
        <v>253290</v>
      </c>
      <c r="G144" s="92">
        <f>SUM(G145:G160)</f>
        <v>124231.10999999999</v>
      </c>
      <c r="H144" s="255">
        <f t="shared" si="1"/>
        <v>49.0469856686012</v>
      </c>
      <c r="I144" s="471"/>
      <c r="J144" s="471"/>
      <c r="K144" s="471"/>
      <c r="L144" s="471"/>
      <c r="M144" s="471"/>
      <c r="N144" s="471"/>
      <c r="O144" s="471"/>
    </row>
    <row r="145" spans="1:15" s="24" customFormat="1" ht="24.75" customHeight="1">
      <c r="A145" s="98"/>
      <c r="B145" s="94"/>
      <c r="C145" s="77">
        <v>3020</v>
      </c>
      <c r="D145" s="42" t="s">
        <v>234</v>
      </c>
      <c r="E145" s="92">
        <f>10400+3500</f>
        <v>13900</v>
      </c>
      <c r="F145" s="92">
        <v>13300</v>
      </c>
      <c r="G145" s="92">
        <v>1591.06</v>
      </c>
      <c r="H145" s="255">
        <f t="shared" si="1"/>
        <v>11.962857142857143</v>
      </c>
      <c r="I145" s="471"/>
      <c r="J145" s="471"/>
      <c r="K145" s="471"/>
      <c r="L145" s="471"/>
      <c r="M145" s="471"/>
      <c r="N145" s="471"/>
      <c r="O145" s="471"/>
    </row>
    <row r="146" spans="1:15" s="24" customFormat="1" ht="19.5" customHeight="1">
      <c r="A146" s="98"/>
      <c r="B146" s="94"/>
      <c r="C146" s="77">
        <v>4010</v>
      </c>
      <c r="D146" s="42" t="s">
        <v>105</v>
      </c>
      <c r="E146" s="92">
        <f>126900+43000</f>
        <v>169900</v>
      </c>
      <c r="F146" s="92">
        <v>169900</v>
      </c>
      <c r="G146" s="92">
        <v>87329.73</v>
      </c>
      <c r="H146" s="255">
        <f t="shared" si="1"/>
        <v>51.40066509711595</v>
      </c>
      <c r="I146" s="471"/>
      <c r="J146" s="471"/>
      <c r="K146" s="471"/>
      <c r="L146" s="471"/>
      <c r="M146" s="471"/>
      <c r="N146" s="471"/>
      <c r="O146" s="471"/>
    </row>
    <row r="147" spans="1:15" s="24" customFormat="1" ht="19.5" customHeight="1">
      <c r="A147" s="98"/>
      <c r="B147" s="94"/>
      <c r="C147" s="77">
        <v>4040</v>
      </c>
      <c r="D147" s="42" t="s">
        <v>106</v>
      </c>
      <c r="E147" s="92">
        <v>6300</v>
      </c>
      <c r="F147" s="92">
        <v>5690</v>
      </c>
      <c r="G147" s="92">
        <v>5689.84</v>
      </c>
      <c r="H147" s="255">
        <f t="shared" si="1"/>
        <v>99.99718804920914</v>
      </c>
      <c r="I147" s="471"/>
      <c r="J147" s="471"/>
      <c r="K147" s="471"/>
      <c r="L147" s="471"/>
      <c r="M147" s="471"/>
      <c r="N147" s="471"/>
      <c r="O147" s="471"/>
    </row>
    <row r="148" spans="1:15" s="24" customFormat="1" ht="19.5" customHeight="1">
      <c r="A148" s="98"/>
      <c r="B148" s="94"/>
      <c r="C148" s="77">
        <v>4110</v>
      </c>
      <c r="D148" s="42" t="s">
        <v>107</v>
      </c>
      <c r="E148" s="92">
        <f>23200+7400</f>
        <v>30600</v>
      </c>
      <c r="F148" s="92">
        <v>30600</v>
      </c>
      <c r="G148" s="92">
        <v>14605.25</v>
      </c>
      <c r="H148" s="255">
        <f t="shared" si="1"/>
        <v>47.72957516339869</v>
      </c>
      <c r="I148" s="471"/>
      <c r="J148" s="471"/>
      <c r="K148" s="471"/>
      <c r="L148" s="471"/>
      <c r="M148" s="471"/>
      <c r="N148" s="471"/>
      <c r="O148" s="471"/>
    </row>
    <row r="149" spans="1:15" s="24" customFormat="1" ht="19.5" customHeight="1">
      <c r="A149" s="98"/>
      <c r="B149" s="94"/>
      <c r="C149" s="77">
        <v>4120</v>
      </c>
      <c r="D149" s="42" t="s">
        <v>108</v>
      </c>
      <c r="E149" s="92">
        <f>3300+1000</f>
        <v>4300</v>
      </c>
      <c r="F149" s="92">
        <v>4300</v>
      </c>
      <c r="G149" s="92">
        <v>2066.21</v>
      </c>
      <c r="H149" s="255">
        <f t="shared" si="1"/>
        <v>48.05139534883721</v>
      </c>
      <c r="I149" s="471"/>
      <c r="J149" s="471"/>
      <c r="K149" s="471"/>
      <c r="L149" s="471"/>
      <c r="M149" s="471"/>
      <c r="N149" s="471"/>
      <c r="O149" s="471"/>
    </row>
    <row r="150" spans="1:15" s="24" customFormat="1" ht="19.5" customHeight="1">
      <c r="A150" s="98"/>
      <c r="B150" s="94"/>
      <c r="C150" s="77">
        <v>4210</v>
      </c>
      <c r="D150" s="42" t="s">
        <v>113</v>
      </c>
      <c r="E150" s="92">
        <v>8500</v>
      </c>
      <c r="F150" s="92">
        <v>7229</v>
      </c>
      <c r="G150" s="92">
        <v>5196.69</v>
      </c>
      <c r="H150" s="255">
        <f aca="true" t="shared" si="2" ref="H150:H214">G150/F150*100</f>
        <v>71.88670632175958</v>
      </c>
      <c r="I150" s="471"/>
      <c r="J150" s="471"/>
      <c r="K150" s="471"/>
      <c r="L150" s="471"/>
      <c r="M150" s="471"/>
      <c r="N150" s="471"/>
      <c r="O150" s="471"/>
    </row>
    <row r="151" spans="1:15" s="24" customFormat="1" ht="19.5" customHeight="1">
      <c r="A151" s="98"/>
      <c r="B151" s="94"/>
      <c r="C151" s="77">
        <v>4270</v>
      </c>
      <c r="D151" s="42" t="s">
        <v>99</v>
      </c>
      <c r="E151" s="92">
        <v>4000</v>
      </c>
      <c r="F151" s="92">
        <v>1000</v>
      </c>
      <c r="G151" s="92">
        <v>540</v>
      </c>
      <c r="H151" s="255">
        <f t="shared" si="2"/>
        <v>54</v>
      </c>
      <c r="I151" s="471"/>
      <c r="J151" s="471"/>
      <c r="K151" s="471"/>
      <c r="L151" s="471"/>
      <c r="M151" s="471"/>
      <c r="N151" s="471"/>
      <c r="O151" s="471"/>
    </row>
    <row r="152" spans="1:15" s="24" customFormat="1" ht="19.5" customHeight="1">
      <c r="A152" s="98"/>
      <c r="B152" s="94"/>
      <c r="C152" s="77">
        <v>4280</v>
      </c>
      <c r="D152" s="42" t="s">
        <v>274</v>
      </c>
      <c r="E152" s="92">
        <f>1200+500</f>
        <v>1700</v>
      </c>
      <c r="F152" s="92">
        <v>500</v>
      </c>
      <c r="G152" s="92">
        <v>0</v>
      </c>
      <c r="H152" s="255">
        <f t="shared" si="2"/>
        <v>0</v>
      </c>
      <c r="I152" s="471"/>
      <c r="J152" s="471"/>
      <c r="K152" s="471"/>
      <c r="L152" s="471"/>
      <c r="M152" s="471"/>
      <c r="N152" s="471"/>
      <c r="O152" s="471"/>
    </row>
    <row r="153" spans="1:15" s="24" customFormat="1" ht="19.5" customHeight="1">
      <c r="A153" s="98"/>
      <c r="B153" s="94"/>
      <c r="C153" s="77">
        <v>4300</v>
      </c>
      <c r="D153" s="42" t="s">
        <v>100</v>
      </c>
      <c r="E153" s="92">
        <v>4000</v>
      </c>
      <c r="F153" s="92">
        <v>1542</v>
      </c>
      <c r="G153" s="92">
        <v>1057.12</v>
      </c>
      <c r="H153" s="255">
        <f t="shared" si="2"/>
        <v>68.55512321660181</v>
      </c>
      <c r="I153" s="471"/>
      <c r="J153" s="471"/>
      <c r="K153" s="471"/>
      <c r="L153" s="471"/>
      <c r="M153" s="471"/>
      <c r="N153" s="471"/>
      <c r="O153" s="471"/>
    </row>
    <row r="154" spans="1:15" s="24" customFormat="1" ht="24.75" customHeight="1">
      <c r="A154" s="98"/>
      <c r="B154" s="94"/>
      <c r="C154" s="77">
        <v>4360</v>
      </c>
      <c r="D154" s="42" t="s">
        <v>291</v>
      </c>
      <c r="E154" s="92">
        <v>2000</v>
      </c>
      <c r="F154" s="92">
        <v>1000</v>
      </c>
      <c r="G154" s="92">
        <v>854.25</v>
      </c>
      <c r="H154" s="255">
        <f t="shared" si="2"/>
        <v>85.425</v>
      </c>
      <c r="I154" s="471"/>
      <c r="J154" s="471"/>
      <c r="K154" s="471"/>
      <c r="L154" s="471"/>
      <c r="M154" s="471"/>
      <c r="N154" s="471"/>
      <c r="O154" s="471"/>
    </row>
    <row r="155" spans="1:15" s="24" customFormat="1" ht="24.75" customHeight="1">
      <c r="A155" s="98"/>
      <c r="B155" s="94"/>
      <c r="C155" s="77">
        <v>4370</v>
      </c>
      <c r="D155" s="42" t="s">
        <v>287</v>
      </c>
      <c r="E155" s="92">
        <v>1000</v>
      </c>
      <c r="F155" s="92">
        <v>1000</v>
      </c>
      <c r="G155" s="92">
        <v>527.68</v>
      </c>
      <c r="H155" s="255">
        <f t="shared" si="2"/>
        <v>52.767999999999994</v>
      </c>
      <c r="I155" s="471"/>
      <c r="J155" s="471"/>
      <c r="K155" s="471"/>
      <c r="L155" s="471"/>
      <c r="M155" s="471"/>
      <c r="N155" s="471"/>
      <c r="O155" s="471"/>
    </row>
    <row r="156" spans="1:15" s="24" customFormat="1" ht="33.75">
      <c r="A156" s="98"/>
      <c r="B156" s="94"/>
      <c r="C156" s="77">
        <v>4400</v>
      </c>
      <c r="D156" s="42" t="s">
        <v>447</v>
      </c>
      <c r="E156" s="92">
        <v>0</v>
      </c>
      <c r="F156" s="92">
        <v>558</v>
      </c>
      <c r="G156" s="92">
        <v>558</v>
      </c>
      <c r="H156" s="255">
        <f t="shared" si="2"/>
        <v>100</v>
      </c>
      <c r="I156" s="471"/>
      <c r="J156" s="471"/>
      <c r="K156" s="471"/>
      <c r="L156" s="471"/>
      <c r="M156" s="471"/>
      <c r="N156" s="471"/>
      <c r="O156" s="471"/>
    </row>
    <row r="157" spans="1:15" s="24" customFormat="1" ht="19.5" customHeight="1">
      <c r="A157" s="98"/>
      <c r="B157" s="94"/>
      <c r="C157" s="77">
        <v>4410</v>
      </c>
      <c r="D157" s="42" t="s">
        <v>111</v>
      </c>
      <c r="E157" s="92">
        <v>500</v>
      </c>
      <c r="F157" s="92">
        <v>500</v>
      </c>
      <c r="G157" s="92">
        <v>260.49</v>
      </c>
      <c r="H157" s="255">
        <f t="shared" si="2"/>
        <v>52.098</v>
      </c>
      <c r="I157" s="471"/>
      <c r="J157" s="471"/>
      <c r="K157" s="471"/>
      <c r="L157" s="471"/>
      <c r="M157" s="471"/>
      <c r="N157" s="471"/>
      <c r="O157" s="471"/>
    </row>
    <row r="158" spans="1:15" s="24" customFormat="1" ht="19.5" customHeight="1">
      <c r="A158" s="98"/>
      <c r="B158" s="94"/>
      <c r="C158" s="80">
        <v>4430</v>
      </c>
      <c r="D158" s="42" t="s">
        <v>115</v>
      </c>
      <c r="E158" s="92">
        <v>3500</v>
      </c>
      <c r="F158" s="92">
        <v>1371</v>
      </c>
      <c r="G158" s="92">
        <v>1371</v>
      </c>
      <c r="H158" s="255">
        <f t="shared" si="2"/>
        <v>100</v>
      </c>
      <c r="I158" s="471"/>
      <c r="J158" s="471"/>
      <c r="K158" s="471"/>
      <c r="L158" s="471"/>
      <c r="M158" s="471"/>
      <c r="N158" s="471"/>
      <c r="O158" s="471"/>
    </row>
    <row r="159" spans="1:15" s="24" customFormat="1" ht="24.75" customHeight="1">
      <c r="A159" s="98"/>
      <c r="B159" s="94"/>
      <c r="C159" s="80">
        <v>4440</v>
      </c>
      <c r="D159" s="42" t="s">
        <v>109</v>
      </c>
      <c r="E159" s="92">
        <f>4000+800</f>
        <v>4800</v>
      </c>
      <c r="F159" s="92">
        <v>4800</v>
      </c>
      <c r="G159" s="92">
        <v>2413.79</v>
      </c>
      <c r="H159" s="255">
        <f t="shared" si="2"/>
        <v>50.28729166666667</v>
      </c>
      <c r="I159" s="471"/>
      <c r="J159" s="471"/>
      <c r="K159" s="471"/>
      <c r="L159" s="471"/>
      <c r="M159" s="471"/>
      <c r="N159" s="471"/>
      <c r="O159" s="471"/>
    </row>
    <row r="160" spans="1:15" s="24" customFormat="1" ht="24.75" customHeight="1">
      <c r="A160" s="98"/>
      <c r="B160" s="94"/>
      <c r="C160" s="80">
        <v>4700</v>
      </c>
      <c r="D160" s="42" t="s">
        <v>290</v>
      </c>
      <c r="E160" s="92">
        <f>7000+3000</f>
        <v>10000</v>
      </c>
      <c r="F160" s="92">
        <v>10000</v>
      </c>
      <c r="G160" s="92">
        <v>170</v>
      </c>
      <c r="H160" s="255">
        <f t="shared" si="2"/>
        <v>1.7000000000000002</v>
      </c>
      <c r="I160" s="471"/>
      <c r="J160" s="471"/>
      <c r="K160" s="471"/>
      <c r="L160" s="471"/>
      <c r="M160" s="471"/>
      <c r="N160" s="471"/>
      <c r="O160" s="471"/>
    </row>
    <row r="161" spans="1:15" s="24" customFormat="1" ht="19.5" customHeight="1">
      <c r="A161" s="98"/>
      <c r="B161" s="94" t="s">
        <v>123</v>
      </c>
      <c r="C161" s="98"/>
      <c r="D161" s="42" t="s">
        <v>18</v>
      </c>
      <c r="E161" s="92">
        <f>SUM(E162:E163)</f>
        <v>25000</v>
      </c>
      <c r="F161" s="92">
        <f>SUM(F162:F163)</f>
        <v>25000</v>
      </c>
      <c r="G161" s="92">
        <f>SUM(G162:G163)</f>
        <v>5000</v>
      </c>
      <c r="H161" s="255">
        <f t="shared" si="2"/>
        <v>20</v>
      </c>
      <c r="I161" s="471"/>
      <c r="J161" s="471"/>
      <c r="K161" s="471"/>
      <c r="L161" s="471"/>
      <c r="M161" s="471"/>
      <c r="N161" s="471"/>
      <c r="O161" s="471"/>
    </row>
    <row r="162" spans="1:15" s="24" customFormat="1" ht="19.5" customHeight="1">
      <c r="A162" s="98"/>
      <c r="B162" s="94"/>
      <c r="C162" s="98">
        <v>4300</v>
      </c>
      <c r="D162" s="42" t="s">
        <v>100</v>
      </c>
      <c r="E162" s="92">
        <v>20000</v>
      </c>
      <c r="F162" s="92">
        <v>20000</v>
      </c>
      <c r="G162" s="92">
        <v>0</v>
      </c>
      <c r="H162" s="255">
        <f t="shared" si="2"/>
        <v>0</v>
      </c>
      <c r="I162" s="471"/>
      <c r="J162" s="471"/>
      <c r="K162" s="471"/>
      <c r="L162" s="471"/>
      <c r="M162" s="471"/>
      <c r="N162" s="471"/>
      <c r="O162" s="471"/>
    </row>
    <row r="163" spans="1:15" s="24" customFormat="1" ht="19.5" customHeight="1">
      <c r="A163" s="98"/>
      <c r="B163" s="94"/>
      <c r="C163" s="80">
        <v>4430</v>
      </c>
      <c r="D163" s="42" t="s">
        <v>115</v>
      </c>
      <c r="E163" s="92">
        <v>5000</v>
      </c>
      <c r="F163" s="92">
        <v>5000</v>
      </c>
      <c r="G163" s="92">
        <v>5000</v>
      </c>
      <c r="H163" s="255">
        <f t="shared" si="2"/>
        <v>100</v>
      </c>
      <c r="I163" s="471"/>
      <c r="J163" s="471"/>
      <c r="K163" s="471"/>
      <c r="L163" s="471"/>
      <c r="M163" s="471"/>
      <c r="N163" s="471"/>
      <c r="O163" s="471"/>
    </row>
    <row r="164" spans="1:15" s="45" customFormat="1" ht="60">
      <c r="A164" s="39">
        <v>756</v>
      </c>
      <c r="B164" s="71"/>
      <c r="C164" s="70"/>
      <c r="D164" s="40" t="s">
        <v>187</v>
      </c>
      <c r="E164" s="41">
        <f>SUM(E165)</f>
        <v>82800</v>
      </c>
      <c r="F164" s="41">
        <f>SUM(F165)</f>
        <v>75400</v>
      </c>
      <c r="G164" s="41">
        <f>SUM(G165)</f>
        <v>67161.53</v>
      </c>
      <c r="H164" s="475">
        <f t="shared" si="2"/>
        <v>89.0736472148541</v>
      </c>
      <c r="I164" s="473"/>
      <c r="J164" s="473"/>
      <c r="K164" s="473"/>
      <c r="L164" s="473"/>
      <c r="M164" s="473"/>
      <c r="N164" s="473"/>
      <c r="O164" s="473"/>
    </row>
    <row r="165" spans="1:15" s="24" customFormat="1" ht="24.75" customHeight="1">
      <c r="A165" s="98"/>
      <c r="B165" s="94">
        <v>75647</v>
      </c>
      <c r="C165" s="80"/>
      <c r="D165" s="42" t="s">
        <v>220</v>
      </c>
      <c r="E165" s="92">
        <f>SUM(E166:E173)</f>
        <v>82800</v>
      </c>
      <c r="F165" s="92">
        <f>SUM(F166:F173)</f>
        <v>75400</v>
      </c>
      <c r="G165" s="92">
        <f>SUM(G166:G173)</f>
        <v>67161.53</v>
      </c>
      <c r="H165" s="255">
        <f t="shared" si="2"/>
        <v>89.0736472148541</v>
      </c>
      <c r="I165" s="471"/>
      <c r="J165" s="471"/>
      <c r="K165" s="471"/>
      <c r="L165" s="471"/>
      <c r="M165" s="471"/>
      <c r="N165" s="471"/>
      <c r="O165" s="471"/>
    </row>
    <row r="166" spans="1:15" s="24" customFormat="1" ht="19.5" customHeight="1">
      <c r="A166" s="98"/>
      <c r="B166" s="94"/>
      <c r="C166" s="80">
        <v>4100</v>
      </c>
      <c r="D166" s="42" t="s">
        <v>118</v>
      </c>
      <c r="E166" s="92">
        <v>39000</v>
      </c>
      <c r="F166" s="92">
        <v>34000</v>
      </c>
      <c r="G166" s="92">
        <v>31348.97</v>
      </c>
      <c r="H166" s="255">
        <f t="shared" si="2"/>
        <v>92.20285294117647</v>
      </c>
      <c r="I166" s="471"/>
      <c r="J166" s="471"/>
      <c r="K166" s="471"/>
      <c r="L166" s="471"/>
      <c r="M166" s="471"/>
      <c r="N166" s="471"/>
      <c r="O166" s="471"/>
    </row>
    <row r="167" spans="1:15" s="24" customFormat="1" ht="19.5" customHeight="1">
      <c r="A167" s="98"/>
      <c r="B167" s="94"/>
      <c r="C167" s="80">
        <v>4170</v>
      </c>
      <c r="D167" s="42" t="s">
        <v>238</v>
      </c>
      <c r="E167" s="92">
        <v>10800</v>
      </c>
      <c r="F167" s="92">
        <v>272</v>
      </c>
      <c r="G167" s="92">
        <v>179.25</v>
      </c>
      <c r="H167" s="255">
        <f t="shared" si="2"/>
        <v>65.90073529411765</v>
      </c>
      <c r="I167" s="471"/>
      <c r="J167" s="471"/>
      <c r="K167" s="471"/>
      <c r="L167" s="471"/>
      <c r="M167" s="471"/>
      <c r="N167" s="471"/>
      <c r="O167" s="471"/>
    </row>
    <row r="168" spans="1:15" s="24" customFormat="1" ht="19.5" customHeight="1">
      <c r="A168" s="98"/>
      <c r="B168" s="94"/>
      <c r="C168" s="80">
        <v>4210</v>
      </c>
      <c r="D168" s="42" t="s">
        <v>93</v>
      </c>
      <c r="E168" s="92">
        <v>2000</v>
      </c>
      <c r="F168" s="92">
        <v>5000</v>
      </c>
      <c r="G168" s="92">
        <v>5000</v>
      </c>
      <c r="H168" s="255">
        <f t="shared" si="2"/>
        <v>100</v>
      </c>
      <c r="I168" s="471"/>
      <c r="J168" s="471"/>
      <c r="K168" s="471"/>
      <c r="L168" s="471"/>
      <c r="M168" s="471"/>
      <c r="N168" s="471"/>
      <c r="O168" s="471"/>
    </row>
    <row r="169" spans="1:15" s="24" customFormat="1" ht="19.5" customHeight="1">
      <c r="A169" s="98"/>
      <c r="B169" s="94"/>
      <c r="C169" s="80">
        <v>4300</v>
      </c>
      <c r="D169" s="42" t="s">
        <v>100</v>
      </c>
      <c r="E169" s="92">
        <v>18000</v>
      </c>
      <c r="F169" s="92">
        <v>18000</v>
      </c>
      <c r="G169" s="92">
        <v>18000</v>
      </c>
      <c r="H169" s="255">
        <f t="shared" si="2"/>
        <v>100</v>
      </c>
      <c r="I169" s="471"/>
      <c r="J169" s="471"/>
      <c r="K169" s="471"/>
      <c r="L169" s="471"/>
      <c r="M169" s="471"/>
      <c r="N169" s="471"/>
      <c r="O169" s="471"/>
    </row>
    <row r="170" spans="1:15" s="24" customFormat="1" ht="19.5" customHeight="1">
      <c r="A170" s="98"/>
      <c r="B170" s="94"/>
      <c r="C170" s="80">
        <v>4430</v>
      </c>
      <c r="D170" s="42" t="s">
        <v>115</v>
      </c>
      <c r="E170" s="92">
        <v>1000</v>
      </c>
      <c r="F170" s="92">
        <v>1000</v>
      </c>
      <c r="G170" s="92">
        <v>200</v>
      </c>
      <c r="H170" s="255">
        <f t="shared" si="2"/>
        <v>20</v>
      </c>
      <c r="I170" s="471"/>
      <c r="J170" s="471"/>
      <c r="K170" s="471"/>
      <c r="L170" s="471"/>
      <c r="M170" s="471"/>
      <c r="N170" s="471"/>
      <c r="O170" s="471"/>
    </row>
    <row r="171" spans="1:15" s="24" customFormat="1" ht="19.5" customHeight="1">
      <c r="A171" s="98"/>
      <c r="B171" s="94"/>
      <c r="C171" s="80">
        <v>4580</v>
      </c>
      <c r="D171" s="42" t="s">
        <v>26</v>
      </c>
      <c r="E171" s="92">
        <v>0</v>
      </c>
      <c r="F171" s="92">
        <v>128</v>
      </c>
      <c r="G171" s="92">
        <v>128</v>
      </c>
      <c r="H171" s="255">
        <f t="shared" si="2"/>
        <v>100</v>
      </c>
      <c r="I171" s="471"/>
      <c r="J171" s="471"/>
      <c r="K171" s="471"/>
      <c r="L171" s="471"/>
      <c r="M171" s="471"/>
      <c r="N171" s="471"/>
      <c r="O171" s="471"/>
    </row>
    <row r="172" spans="1:15" s="24" customFormat="1" ht="24.75" customHeight="1">
      <c r="A172" s="98"/>
      <c r="B172" s="94"/>
      <c r="C172" s="80">
        <v>4610</v>
      </c>
      <c r="D172" s="42" t="s">
        <v>222</v>
      </c>
      <c r="E172" s="92">
        <v>8000</v>
      </c>
      <c r="F172" s="92">
        <v>13000</v>
      </c>
      <c r="G172" s="92">
        <v>9757.72</v>
      </c>
      <c r="H172" s="255">
        <f t="shared" si="2"/>
        <v>75.0593846153846</v>
      </c>
      <c r="I172" s="471"/>
      <c r="J172" s="471"/>
      <c r="K172" s="471"/>
      <c r="L172" s="471"/>
      <c r="M172" s="471"/>
      <c r="N172" s="471"/>
      <c r="O172" s="471"/>
    </row>
    <row r="173" spans="1:15" s="24" customFormat="1" ht="33.75">
      <c r="A173" s="98"/>
      <c r="B173" s="94"/>
      <c r="C173" s="80">
        <v>4740</v>
      </c>
      <c r="D173" s="42" t="s">
        <v>289</v>
      </c>
      <c r="E173" s="92">
        <v>4000</v>
      </c>
      <c r="F173" s="92">
        <v>4000</v>
      </c>
      <c r="G173" s="92">
        <v>2547.59</v>
      </c>
      <c r="H173" s="255">
        <f t="shared" si="2"/>
        <v>63.689750000000004</v>
      </c>
      <c r="I173" s="471"/>
      <c r="J173" s="471"/>
      <c r="K173" s="471"/>
      <c r="L173" s="471"/>
      <c r="M173" s="471"/>
      <c r="N173" s="471"/>
      <c r="O173" s="471"/>
    </row>
    <row r="174" spans="1:15" s="7" customFormat="1" ht="19.5" customHeight="1">
      <c r="A174" s="37" t="s">
        <v>124</v>
      </c>
      <c r="B174" s="38"/>
      <c r="C174" s="39"/>
      <c r="D174" s="40" t="s">
        <v>125</v>
      </c>
      <c r="E174" s="41">
        <f>SUM(E175)</f>
        <v>573410</v>
      </c>
      <c r="F174" s="41">
        <f>SUM(F175)</f>
        <v>535647</v>
      </c>
      <c r="G174" s="41">
        <f>SUM(G175)</f>
        <v>525594.43</v>
      </c>
      <c r="H174" s="475">
        <f t="shared" si="2"/>
        <v>98.1232845512063</v>
      </c>
      <c r="I174" s="472"/>
      <c r="J174" s="472"/>
      <c r="K174" s="472"/>
      <c r="L174" s="472"/>
      <c r="M174" s="472"/>
      <c r="N174" s="472"/>
      <c r="O174" s="472"/>
    </row>
    <row r="175" spans="1:15" s="24" customFormat="1" ht="33.75">
      <c r="A175" s="77"/>
      <c r="B175" s="94" t="s">
        <v>126</v>
      </c>
      <c r="C175" s="98"/>
      <c r="D175" s="42" t="s">
        <v>127</v>
      </c>
      <c r="E175" s="92">
        <f>SUM(E176:E176)</f>
        <v>573410</v>
      </c>
      <c r="F175" s="92">
        <f>SUM(F176)</f>
        <v>535647</v>
      </c>
      <c r="G175" s="92">
        <f>SUM(G176)</f>
        <v>525594.43</v>
      </c>
      <c r="H175" s="255">
        <f t="shared" si="2"/>
        <v>98.1232845512063</v>
      </c>
      <c r="I175" s="471"/>
      <c r="J175" s="471"/>
      <c r="K175" s="471"/>
      <c r="L175" s="471"/>
      <c r="M175" s="471"/>
      <c r="N175" s="471"/>
      <c r="O175" s="471"/>
    </row>
    <row r="176" spans="1:15" s="24" customFormat="1" ht="36" customHeight="1">
      <c r="A176" s="77"/>
      <c r="B176" s="99"/>
      <c r="C176" s="98">
        <v>8070</v>
      </c>
      <c r="D176" s="42" t="s">
        <v>128</v>
      </c>
      <c r="E176" s="92">
        <f>563410+10000</f>
        <v>573410</v>
      </c>
      <c r="F176" s="92">
        <v>535647</v>
      </c>
      <c r="G176" s="92">
        <v>525594.43</v>
      </c>
      <c r="H176" s="255">
        <f t="shared" si="2"/>
        <v>98.1232845512063</v>
      </c>
      <c r="I176" s="471"/>
      <c r="J176" s="471"/>
      <c r="K176" s="471"/>
      <c r="L176" s="471"/>
      <c r="M176" s="471"/>
      <c r="N176" s="471"/>
      <c r="O176" s="471"/>
    </row>
    <row r="177" spans="1:15" s="7" customFormat="1" ht="19.5" customHeight="1">
      <c r="A177" s="37" t="s">
        <v>65</v>
      </c>
      <c r="B177" s="38"/>
      <c r="C177" s="39"/>
      <c r="D177" s="40" t="s">
        <v>66</v>
      </c>
      <c r="E177" s="41">
        <f aca="true" t="shared" si="3" ref="E177:G178">SUM(E178)</f>
        <v>300000</v>
      </c>
      <c r="F177" s="41">
        <f t="shared" si="3"/>
        <v>214000</v>
      </c>
      <c r="G177" s="41">
        <f t="shared" si="3"/>
        <v>0</v>
      </c>
      <c r="H177" s="475">
        <f t="shared" si="2"/>
        <v>0</v>
      </c>
      <c r="I177" s="472"/>
      <c r="J177" s="472"/>
      <c r="K177" s="472"/>
      <c r="L177" s="472"/>
      <c r="M177" s="472"/>
      <c r="N177" s="472"/>
      <c r="O177" s="472"/>
    </row>
    <row r="178" spans="1:15" s="24" customFormat="1" ht="19.5" customHeight="1">
      <c r="A178" s="77"/>
      <c r="B178" s="94" t="s">
        <v>129</v>
      </c>
      <c r="C178" s="98"/>
      <c r="D178" s="42" t="s">
        <v>130</v>
      </c>
      <c r="E178" s="92">
        <f t="shared" si="3"/>
        <v>300000</v>
      </c>
      <c r="F178" s="92">
        <f t="shared" si="3"/>
        <v>214000</v>
      </c>
      <c r="G178" s="92">
        <f t="shared" si="3"/>
        <v>0</v>
      </c>
      <c r="H178" s="255">
        <f t="shared" si="2"/>
        <v>0</v>
      </c>
      <c r="I178" s="471"/>
      <c r="J178" s="471"/>
      <c r="K178" s="471"/>
      <c r="L178" s="471"/>
      <c r="M178" s="471"/>
      <c r="N178" s="471"/>
      <c r="O178" s="471"/>
    </row>
    <row r="179" spans="1:15" s="24" customFormat="1" ht="19.5" customHeight="1">
      <c r="A179" s="77"/>
      <c r="B179" s="99"/>
      <c r="C179" s="98">
        <v>4810</v>
      </c>
      <c r="D179" s="42" t="s">
        <v>131</v>
      </c>
      <c r="E179" s="92">
        <f>158429+141571</f>
        <v>300000</v>
      </c>
      <c r="F179" s="92">
        <v>214000</v>
      </c>
      <c r="G179" s="92">
        <v>0</v>
      </c>
      <c r="H179" s="255">
        <f t="shared" si="2"/>
        <v>0</v>
      </c>
      <c r="I179" s="471"/>
      <c r="J179" s="471"/>
      <c r="K179" s="471"/>
      <c r="L179" s="471"/>
      <c r="M179" s="471"/>
      <c r="N179" s="471"/>
      <c r="O179" s="471"/>
    </row>
    <row r="180" spans="1:15" s="8" customFormat="1" ht="19.5" customHeight="1">
      <c r="A180" s="37" t="s">
        <v>132</v>
      </c>
      <c r="B180" s="38"/>
      <c r="C180" s="39"/>
      <c r="D180" s="40" t="s">
        <v>133</v>
      </c>
      <c r="E180" s="41">
        <f>SUM(E181,E207,E220,E224,E252,E259,E263)</f>
        <v>18636553</v>
      </c>
      <c r="F180" s="41">
        <f>SUM(F181,F207,F220,F224,F252,F259,F263,)</f>
        <v>19174832</v>
      </c>
      <c r="G180" s="41">
        <f>SUM(G181,G207,G220,G224,G252,G259,G263,)</f>
        <v>18465542.29</v>
      </c>
      <c r="H180" s="475">
        <f t="shared" si="2"/>
        <v>96.30093390127224</v>
      </c>
      <c r="I180" s="23"/>
      <c r="J180" s="23"/>
      <c r="K180" s="23"/>
      <c r="L180" s="23"/>
      <c r="M180" s="23"/>
      <c r="N180" s="23"/>
      <c r="O180" s="23"/>
    </row>
    <row r="181" spans="1:15" s="24" customFormat="1" ht="19.5" customHeight="1">
      <c r="A181" s="77"/>
      <c r="B181" s="94" t="s">
        <v>134</v>
      </c>
      <c r="C181" s="98"/>
      <c r="D181" s="42" t="s">
        <v>71</v>
      </c>
      <c r="E181" s="92">
        <f>SUM(E182:E206)</f>
        <v>10099032</v>
      </c>
      <c r="F181" s="92">
        <f>SUM(F182:F206)</f>
        <v>10221949</v>
      </c>
      <c r="G181" s="92">
        <f>SUM(G182:G206)</f>
        <v>10095424.739999998</v>
      </c>
      <c r="H181" s="255">
        <f t="shared" si="2"/>
        <v>98.76222959046262</v>
      </c>
      <c r="I181" s="471"/>
      <c r="J181" s="471"/>
      <c r="K181" s="471"/>
      <c r="L181" s="471"/>
      <c r="M181" s="471"/>
      <c r="N181" s="471"/>
      <c r="O181" s="471"/>
    </row>
    <row r="182" spans="1:15" s="24" customFormat="1" ht="24.75" customHeight="1">
      <c r="A182" s="77"/>
      <c r="B182" s="94"/>
      <c r="C182" s="98">
        <v>2540</v>
      </c>
      <c r="D182" s="42" t="s">
        <v>224</v>
      </c>
      <c r="E182" s="92">
        <v>262446</v>
      </c>
      <c r="F182" s="92">
        <v>284668</v>
      </c>
      <c r="G182" s="92">
        <v>284668</v>
      </c>
      <c r="H182" s="255">
        <f t="shared" si="2"/>
        <v>100</v>
      </c>
      <c r="I182" s="471"/>
      <c r="J182" s="471"/>
      <c r="K182" s="471"/>
      <c r="L182" s="471"/>
      <c r="M182" s="471"/>
      <c r="N182" s="471"/>
      <c r="O182" s="471"/>
    </row>
    <row r="183" spans="1:15" s="24" customFormat="1" ht="24.75" customHeight="1">
      <c r="A183" s="77"/>
      <c r="B183" s="94"/>
      <c r="C183" s="77">
        <v>3020</v>
      </c>
      <c r="D183" s="42" t="s">
        <v>266</v>
      </c>
      <c r="E183" s="92">
        <v>168777</v>
      </c>
      <c r="F183" s="92">
        <v>169775</v>
      </c>
      <c r="G183" s="92">
        <v>168050.53</v>
      </c>
      <c r="H183" s="255">
        <f t="shared" si="2"/>
        <v>98.98426152260345</v>
      </c>
      <c r="I183" s="471"/>
      <c r="J183" s="471"/>
      <c r="K183" s="471"/>
      <c r="L183" s="471"/>
      <c r="M183" s="471"/>
      <c r="N183" s="471"/>
      <c r="O183" s="471"/>
    </row>
    <row r="184" spans="1:15" s="24" customFormat="1" ht="19.5" customHeight="1">
      <c r="A184" s="77"/>
      <c r="B184" s="94"/>
      <c r="C184" s="77">
        <v>4010</v>
      </c>
      <c r="D184" s="42" t="s">
        <v>105</v>
      </c>
      <c r="E184" s="92">
        <v>5948500</v>
      </c>
      <c r="F184" s="92">
        <v>6090616</v>
      </c>
      <c r="G184" s="92">
        <v>6039531.21</v>
      </c>
      <c r="H184" s="255">
        <f t="shared" si="2"/>
        <v>99.16125413258692</v>
      </c>
      <c r="I184" s="471"/>
      <c r="J184" s="471"/>
      <c r="K184" s="471"/>
      <c r="L184" s="471"/>
      <c r="M184" s="471"/>
      <c r="N184" s="471"/>
      <c r="O184" s="471"/>
    </row>
    <row r="185" spans="1:15" s="24" customFormat="1" ht="19.5" customHeight="1">
      <c r="A185" s="77"/>
      <c r="B185" s="94"/>
      <c r="C185" s="77">
        <v>4040</v>
      </c>
      <c r="D185" s="42" t="s">
        <v>106</v>
      </c>
      <c r="E185" s="92">
        <v>462147</v>
      </c>
      <c r="F185" s="92">
        <v>437825</v>
      </c>
      <c r="G185" s="92">
        <v>437819.72</v>
      </c>
      <c r="H185" s="255">
        <f t="shared" si="2"/>
        <v>99.9987940387141</v>
      </c>
      <c r="I185" s="471"/>
      <c r="J185" s="471"/>
      <c r="K185" s="471"/>
      <c r="L185" s="471"/>
      <c r="M185" s="471"/>
      <c r="N185" s="471"/>
      <c r="O185" s="471"/>
    </row>
    <row r="186" spans="1:15" s="24" customFormat="1" ht="19.5" customHeight="1">
      <c r="A186" s="77"/>
      <c r="B186" s="94"/>
      <c r="C186" s="77">
        <v>4110</v>
      </c>
      <c r="D186" s="42" t="s">
        <v>107</v>
      </c>
      <c r="E186" s="92">
        <v>1109510</v>
      </c>
      <c r="F186" s="92">
        <v>1144205</v>
      </c>
      <c r="G186" s="92">
        <v>1129463.47</v>
      </c>
      <c r="H186" s="255">
        <f t="shared" si="2"/>
        <v>98.71163558977631</v>
      </c>
      <c r="I186" s="471"/>
      <c r="J186" s="471"/>
      <c r="K186" s="471"/>
      <c r="L186" s="471"/>
      <c r="M186" s="471"/>
      <c r="N186" s="471"/>
      <c r="O186" s="471"/>
    </row>
    <row r="187" spans="1:15" s="24" customFormat="1" ht="19.5" customHeight="1">
      <c r="A187" s="77"/>
      <c r="B187" s="94"/>
      <c r="C187" s="77">
        <v>4120</v>
      </c>
      <c r="D187" s="42" t="s">
        <v>108</v>
      </c>
      <c r="E187" s="92">
        <v>156481</v>
      </c>
      <c r="F187" s="92">
        <v>160351</v>
      </c>
      <c r="G187" s="92">
        <v>157187.12</v>
      </c>
      <c r="H187" s="255">
        <f t="shared" si="2"/>
        <v>98.02690348048966</v>
      </c>
      <c r="I187" s="471"/>
      <c r="J187" s="471"/>
      <c r="K187" s="471"/>
      <c r="L187" s="471"/>
      <c r="M187" s="471"/>
      <c r="N187" s="471"/>
      <c r="O187" s="471"/>
    </row>
    <row r="188" spans="1:15" s="24" customFormat="1" ht="19.5" customHeight="1">
      <c r="A188" s="77"/>
      <c r="B188" s="94"/>
      <c r="C188" s="77">
        <v>4170</v>
      </c>
      <c r="D188" s="42" t="s">
        <v>238</v>
      </c>
      <c r="E188" s="92">
        <v>30986</v>
      </c>
      <c r="F188" s="92">
        <v>26538</v>
      </c>
      <c r="G188" s="92">
        <v>25800.24</v>
      </c>
      <c r="H188" s="255">
        <f t="shared" si="2"/>
        <v>97.21998643454668</v>
      </c>
      <c r="I188" s="471"/>
      <c r="J188" s="471"/>
      <c r="K188" s="471"/>
      <c r="L188" s="471"/>
      <c r="M188" s="471"/>
      <c r="N188" s="471"/>
      <c r="O188" s="471"/>
    </row>
    <row r="189" spans="1:15" s="24" customFormat="1" ht="19.5" customHeight="1">
      <c r="A189" s="77"/>
      <c r="B189" s="94"/>
      <c r="C189" s="77">
        <v>4210</v>
      </c>
      <c r="D189" s="42" t="s">
        <v>113</v>
      </c>
      <c r="E189" s="92">
        <f>3000+329460</f>
        <v>332460</v>
      </c>
      <c r="F189" s="92">
        <v>374930</v>
      </c>
      <c r="G189" s="92">
        <v>369792.73</v>
      </c>
      <c r="H189" s="255">
        <f t="shared" si="2"/>
        <v>98.62980556370522</v>
      </c>
      <c r="I189" s="471"/>
      <c r="J189" s="471"/>
      <c r="K189" s="471"/>
      <c r="L189" s="471"/>
      <c r="M189" s="471"/>
      <c r="N189" s="471"/>
      <c r="O189" s="471"/>
    </row>
    <row r="190" spans="1:15" s="24" customFormat="1" ht="24.75" customHeight="1">
      <c r="A190" s="77"/>
      <c r="B190" s="94"/>
      <c r="C190" s="98">
        <v>4230</v>
      </c>
      <c r="D190" s="42" t="s">
        <v>439</v>
      </c>
      <c r="E190" s="92">
        <v>1360</v>
      </c>
      <c r="F190" s="92">
        <v>1360</v>
      </c>
      <c r="G190" s="92">
        <v>1318.13</v>
      </c>
      <c r="H190" s="255">
        <f t="shared" si="2"/>
        <v>96.92132352941178</v>
      </c>
      <c r="I190" s="471"/>
      <c r="J190" s="471"/>
      <c r="K190" s="471"/>
      <c r="L190" s="471"/>
      <c r="M190" s="471"/>
      <c r="N190" s="471"/>
      <c r="O190" s="471"/>
    </row>
    <row r="191" spans="1:15" s="24" customFormat="1" ht="24.75" customHeight="1">
      <c r="A191" s="77"/>
      <c r="B191" s="94"/>
      <c r="C191" s="98">
        <v>4240</v>
      </c>
      <c r="D191" s="42" t="s">
        <v>146</v>
      </c>
      <c r="E191" s="92">
        <f>14050+50000</f>
        <v>64050</v>
      </c>
      <c r="F191" s="92">
        <v>65325</v>
      </c>
      <c r="G191" s="92">
        <v>65233.51</v>
      </c>
      <c r="H191" s="255">
        <f t="shared" si="2"/>
        <v>99.85994642173746</v>
      </c>
      <c r="I191" s="471"/>
      <c r="J191" s="471"/>
      <c r="K191" s="471"/>
      <c r="L191" s="471"/>
      <c r="M191" s="471"/>
      <c r="N191" s="471"/>
      <c r="O191" s="471"/>
    </row>
    <row r="192" spans="1:15" s="24" customFormat="1" ht="19.5" customHeight="1">
      <c r="A192" s="77"/>
      <c r="B192" s="94"/>
      <c r="C192" s="77">
        <v>4260</v>
      </c>
      <c r="D192" s="42" t="s">
        <v>116</v>
      </c>
      <c r="E192" s="92">
        <v>471760</v>
      </c>
      <c r="F192" s="92">
        <v>448767</v>
      </c>
      <c r="G192" s="92">
        <v>427142.56</v>
      </c>
      <c r="H192" s="255">
        <f t="shared" si="2"/>
        <v>95.18136583126656</v>
      </c>
      <c r="I192" s="471"/>
      <c r="J192" s="471"/>
      <c r="K192" s="471"/>
      <c r="L192" s="471"/>
      <c r="M192" s="471"/>
      <c r="N192" s="471"/>
      <c r="O192" s="471"/>
    </row>
    <row r="193" spans="1:15" s="24" customFormat="1" ht="19.5" customHeight="1">
      <c r="A193" s="77"/>
      <c r="B193" s="94"/>
      <c r="C193" s="77">
        <v>4270</v>
      </c>
      <c r="D193" s="42" t="s">
        <v>99</v>
      </c>
      <c r="E193" s="92">
        <f>300000+71200</f>
        <v>371200</v>
      </c>
      <c r="F193" s="211">
        <v>419804</v>
      </c>
      <c r="G193" s="211">
        <v>415222.29</v>
      </c>
      <c r="H193" s="255">
        <f t="shared" si="2"/>
        <v>98.90860735009672</v>
      </c>
      <c r="I193" s="471"/>
      <c r="J193" s="471"/>
      <c r="K193" s="471"/>
      <c r="L193" s="471"/>
      <c r="M193" s="471"/>
      <c r="N193" s="471"/>
      <c r="O193" s="471"/>
    </row>
    <row r="194" spans="1:15" s="24" customFormat="1" ht="19.5" customHeight="1">
      <c r="A194" s="77"/>
      <c r="B194" s="94"/>
      <c r="C194" s="77">
        <v>4280</v>
      </c>
      <c r="D194" s="42" t="s">
        <v>247</v>
      </c>
      <c r="E194" s="92">
        <v>21650</v>
      </c>
      <c r="F194" s="92">
        <v>19542</v>
      </c>
      <c r="G194" s="92">
        <v>14820.5</v>
      </c>
      <c r="H194" s="255">
        <f t="shared" si="2"/>
        <v>75.83921809436086</v>
      </c>
      <c r="I194" s="471"/>
      <c r="J194" s="471"/>
      <c r="K194" s="471"/>
      <c r="L194" s="471"/>
      <c r="M194" s="471"/>
      <c r="N194" s="471"/>
      <c r="O194" s="471"/>
    </row>
    <row r="195" spans="1:15" s="24" customFormat="1" ht="19.5" customHeight="1">
      <c r="A195" s="77"/>
      <c r="B195" s="94"/>
      <c r="C195" s="77">
        <v>4300</v>
      </c>
      <c r="D195" s="42" t="s">
        <v>100</v>
      </c>
      <c r="E195" s="92">
        <f>4000+85000</f>
        <v>89000</v>
      </c>
      <c r="F195" s="92">
        <v>121776</v>
      </c>
      <c r="G195" s="92">
        <v>112177.48</v>
      </c>
      <c r="H195" s="255">
        <f t="shared" si="2"/>
        <v>92.11788858231506</v>
      </c>
      <c r="I195" s="471"/>
      <c r="J195" s="471"/>
      <c r="K195" s="471"/>
      <c r="L195" s="471"/>
      <c r="M195" s="471"/>
      <c r="N195" s="471"/>
      <c r="O195" s="471"/>
    </row>
    <row r="196" spans="1:15" s="24" customFormat="1" ht="19.5" customHeight="1">
      <c r="A196" s="77"/>
      <c r="B196" s="94"/>
      <c r="C196" s="77">
        <v>4350</v>
      </c>
      <c r="D196" s="42" t="s">
        <v>258</v>
      </c>
      <c r="E196" s="92">
        <v>6150</v>
      </c>
      <c r="F196" s="92">
        <v>3840</v>
      </c>
      <c r="G196" s="92">
        <v>3018.41</v>
      </c>
      <c r="H196" s="255">
        <f t="shared" si="2"/>
        <v>78.60442708333333</v>
      </c>
      <c r="I196" s="471"/>
      <c r="J196" s="471"/>
      <c r="K196" s="471"/>
      <c r="L196" s="471"/>
      <c r="M196" s="471"/>
      <c r="N196" s="471"/>
      <c r="O196" s="471"/>
    </row>
    <row r="197" spans="1:15" s="24" customFormat="1" ht="24.75" customHeight="1">
      <c r="A197" s="77"/>
      <c r="B197" s="94"/>
      <c r="C197" s="77">
        <v>4370</v>
      </c>
      <c r="D197" s="14" t="s">
        <v>287</v>
      </c>
      <c r="E197" s="92">
        <v>15150</v>
      </c>
      <c r="F197" s="92">
        <v>16006</v>
      </c>
      <c r="G197" s="92">
        <v>13738.2</v>
      </c>
      <c r="H197" s="255">
        <f t="shared" si="2"/>
        <v>85.83156316381357</v>
      </c>
      <c r="I197" s="471"/>
      <c r="J197" s="471"/>
      <c r="K197" s="471"/>
      <c r="L197" s="471"/>
      <c r="M197" s="471"/>
      <c r="N197" s="471"/>
      <c r="O197" s="471"/>
    </row>
    <row r="198" spans="1:15" s="24" customFormat="1" ht="24.75" customHeight="1">
      <c r="A198" s="77"/>
      <c r="B198" s="94"/>
      <c r="C198" s="77">
        <v>4390</v>
      </c>
      <c r="D198" s="42" t="s">
        <v>292</v>
      </c>
      <c r="E198" s="92">
        <v>14500</v>
      </c>
      <c r="F198" s="92">
        <v>3400</v>
      </c>
      <c r="G198" s="92">
        <v>2659.6</v>
      </c>
      <c r="H198" s="255">
        <f t="shared" si="2"/>
        <v>78.2235294117647</v>
      </c>
      <c r="I198" s="471"/>
      <c r="J198" s="471"/>
      <c r="K198" s="471"/>
      <c r="L198" s="471"/>
      <c r="M198" s="471"/>
      <c r="N198" s="471"/>
      <c r="O198" s="471"/>
    </row>
    <row r="199" spans="1:15" s="24" customFormat="1" ht="19.5" customHeight="1">
      <c r="A199" s="77"/>
      <c r="B199" s="94"/>
      <c r="C199" s="77">
        <v>4410</v>
      </c>
      <c r="D199" s="42" t="s">
        <v>111</v>
      </c>
      <c r="E199" s="92">
        <v>13800</v>
      </c>
      <c r="F199" s="92">
        <v>15961</v>
      </c>
      <c r="G199" s="92">
        <v>14508.45</v>
      </c>
      <c r="H199" s="255">
        <f t="shared" si="2"/>
        <v>90.89937973811165</v>
      </c>
      <c r="I199" s="471"/>
      <c r="J199" s="471"/>
      <c r="K199" s="471"/>
      <c r="L199" s="471"/>
      <c r="M199" s="471"/>
      <c r="N199" s="471"/>
      <c r="O199" s="471"/>
    </row>
    <row r="200" spans="1:15" s="24" customFormat="1" ht="19.5" customHeight="1">
      <c r="A200" s="77"/>
      <c r="B200" s="94"/>
      <c r="C200" s="80">
        <v>4430</v>
      </c>
      <c r="D200" s="42" t="s">
        <v>115</v>
      </c>
      <c r="E200" s="92">
        <v>6100</v>
      </c>
      <c r="F200" s="92">
        <v>5610</v>
      </c>
      <c r="G200" s="92">
        <v>5347.3</v>
      </c>
      <c r="H200" s="255">
        <f t="shared" si="2"/>
        <v>95.31729055258468</v>
      </c>
      <c r="I200" s="471"/>
      <c r="J200" s="471"/>
      <c r="K200" s="471"/>
      <c r="L200" s="471"/>
      <c r="M200" s="471"/>
      <c r="N200" s="471"/>
      <c r="O200" s="471"/>
    </row>
    <row r="201" spans="1:15" s="24" customFormat="1" ht="24.75" customHeight="1">
      <c r="A201" s="77"/>
      <c r="B201" s="94"/>
      <c r="C201" s="80">
        <v>4440</v>
      </c>
      <c r="D201" s="42" t="s">
        <v>109</v>
      </c>
      <c r="E201" s="92">
        <v>347245</v>
      </c>
      <c r="F201" s="92">
        <v>366334</v>
      </c>
      <c r="G201" s="92">
        <v>366334</v>
      </c>
      <c r="H201" s="104">
        <f t="shared" si="2"/>
        <v>100</v>
      </c>
      <c r="I201" s="471"/>
      <c r="J201" s="471"/>
      <c r="K201" s="471"/>
      <c r="L201" s="471"/>
      <c r="M201" s="471"/>
      <c r="N201" s="471"/>
      <c r="O201" s="471"/>
    </row>
    <row r="202" spans="1:15" s="24" customFormat="1" ht="24.75" customHeight="1">
      <c r="A202" s="77"/>
      <c r="B202" s="94"/>
      <c r="C202" s="80">
        <v>4700</v>
      </c>
      <c r="D202" s="42" t="s">
        <v>290</v>
      </c>
      <c r="E202" s="92">
        <v>0</v>
      </c>
      <c r="F202" s="92">
        <v>5200</v>
      </c>
      <c r="G202" s="92">
        <v>4824</v>
      </c>
      <c r="H202" s="104">
        <f t="shared" si="2"/>
        <v>92.76923076923077</v>
      </c>
      <c r="I202" s="471"/>
      <c r="J202" s="471"/>
      <c r="K202" s="471"/>
      <c r="L202" s="471"/>
      <c r="M202" s="471"/>
      <c r="N202" s="471"/>
      <c r="O202" s="471"/>
    </row>
    <row r="203" spans="1:15" s="24" customFormat="1" ht="33.75">
      <c r="A203" s="77"/>
      <c r="B203" s="94"/>
      <c r="C203" s="80">
        <v>4740</v>
      </c>
      <c r="D203" s="14" t="s">
        <v>289</v>
      </c>
      <c r="E203" s="92">
        <v>6800</v>
      </c>
      <c r="F203" s="92">
        <v>5160</v>
      </c>
      <c r="G203" s="92">
        <v>4982.35</v>
      </c>
      <c r="H203" s="104">
        <f t="shared" si="2"/>
        <v>96.55717054263566</v>
      </c>
      <c r="I203" s="471"/>
      <c r="J203" s="471"/>
      <c r="K203" s="471"/>
      <c r="L203" s="471"/>
      <c r="M203" s="471"/>
      <c r="N203" s="471"/>
      <c r="O203" s="471"/>
    </row>
    <row r="204" spans="1:15" s="24" customFormat="1" ht="24.75" customHeight="1">
      <c r="A204" s="77"/>
      <c r="B204" s="94"/>
      <c r="C204" s="80">
        <v>4750</v>
      </c>
      <c r="D204" s="14" t="s">
        <v>516</v>
      </c>
      <c r="E204" s="92">
        <v>14400</v>
      </c>
      <c r="F204" s="92">
        <v>31296</v>
      </c>
      <c r="G204" s="92">
        <v>28124.94</v>
      </c>
      <c r="H204" s="104">
        <f t="shared" si="2"/>
        <v>89.86752300613496</v>
      </c>
      <c r="I204" s="471"/>
      <c r="J204" s="471"/>
      <c r="K204" s="471"/>
      <c r="L204" s="471"/>
      <c r="M204" s="471"/>
      <c r="N204" s="471"/>
      <c r="O204" s="471"/>
    </row>
    <row r="205" spans="1:15" s="24" customFormat="1" ht="24.75" customHeight="1">
      <c r="A205" s="77"/>
      <c r="B205" s="94"/>
      <c r="C205" s="80">
        <v>6050</v>
      </c>
      <c r="D205" s="42" t="s">
        <v>94</v>
      </c>
      <c r="E205" s="92">
        <v>150000</v>
      </c>
      <c r="F205" s="92">
        <v>0</v>
      </c>
      <c r="G205" s="92">
        <v>0</v>
      </c>
      <c r="H205" s="289" t="s">
        <v>514</v>
      </c>
      <c r="I205" s="471"/>
      <c r="J205" s="471"/>
      <c r="K205" s="471"/>
      <c r="L205" s="471"/>
      <c r="M205" s="471"/>
      <c r="N205" s="471"/>
      <c r="O205" s="471"/>
    </row>
    <row r="206" spans="1:15" s="24" customFormat="1" ht="24.75" customHeight="1">
      <c r="A206" s="77"/>
      <c r="B206" s="94"/>
      <c r="C206" s="93">
        <v>6060</v>
      </c>
      <c r="D206" s="14" t="s">
        <v>117</v>
      </c>
      <c r="E206" s="81">
        <f>34560</f>
        <v>34560</v>
      </c>
      <c r="F206" s="81">
        <v>3660</v>
      </c>
      <c r="G206" s="81">
        <v>3660</v>
      </c>
      <c r="H206" s="104">
        <f t="shared" si="2"/>
        <v>100</v>
      </c>
      <c r="I206" s="471"/>
      <c r="J206" s="471"/>
      <c r="K206" s="471"/>
      <c r="L206" s="471"/>
      <c r="M206" s="471"/>
      <c r="N206" s="471"/>
      <c r="O206" s="471"/>
    </row>
    <row r="207" spans="1:15" s="24" customFormat="1" ht="24.75" customHeight="1">
      <c r="A207" s="77"/>
      <c r="B207" s="94">
        <v>80103</v>
      </c>
      <c r="C207" s="80"/>
      <c r="D207" s="42" t="s">
        <v>255</v>
      </c>
      <c r="E207" s="92">
        <f>SUM(E208:E219)</f>
        <v>356706</v>
      </c>
      <c r="F207" s="92">
        <f>SUM(F208:F219)</f>
        <v>365063</v>
      </c>
      <c r="G207" s="92">
        <f>SUM(G208:G219)</f>
        <v>357396.5</v>
      </c>
      <c r="H207" s="104">
        <f t="shared" si="2"/>
        <v>97.89995151521792</v>
      </c>
      <c r="I207" s="471"/>
      <c r="J207" s="471"/>
      <c r="K207" s="471"/>
      <c r="L207" s="471"/>
      <c r="M207" s="471"/>
      <c r="N207" s="471"/>
      <c r="O207" s="471"/>
    </row>
    <row r="208" spans="1:15" s="24" customFormat="1" ht="24.75" customHeight="1">
      <c r="A208" s="77"/>
      <c r="B208" s="94"/>
      <c r="C208" s="98">
        <v>2540</v>
      </c>
      <c r="D208" s="42" t="s">
        <v>224</v>
      </c>
      <c r="E208" s="92">
        <v>67245</v>
      </c>
      <c r="F208" s="92">
        <v>67245</v>
      </c>
      <c r="G208" s="92">
        <v>67245</v>
      </c>
      <c r="H208" s="104">
        <f t="shared" si="2"/>
        <v>100</v>
      </c>
      <c r="I208" s="471"/>
      <c r="J208" s="471"/>
      <c r="K208" s="471"/>
      <c r="L208" s="471"/>
      <c r="M208" s="471"/>
      <c r="N208" s="471"/>
      <c r="O208" s="471"/>
    </row>
    <row r="209" spans="1:15" s="24" customFormat="1" ht="24.75" customHeight="1">
      <c r="A209" s="77"/>
      <c r="B209" s="94"/>
      <c r="C209" s="98">
        <v>3020</v>
      </c>
      <c r="D209" s="42" t="s">
        <v>234</v>
      </c>
      <c r="E209" s="92">
        <v>16845</v>
      </c>
      <c r="F209" s="92">
        <v>18629</v>
      </c>
      <c r="G209" s="92">
        <v>18418.81</v>
      </c>
      <c r="H209" s="104">
        <f t="shared" si="2"/>
        <v>98.87170540555049</v>
      </c>
      <c r="I209" s="471"/>
      <c r="J209" s="471"/>
      <c r="K209" s="471"/>
      <c r="L209" s="471"/>
      <c r="M209" s="471"/>
      <c r="N209" s="471"/>
      <c r="O209" s="471"/>
    </row>
    <row r="210" spans="1:15" s="24" customFormat="1" ht="19.5" customHeight="1">
      <c r="A210" s="77"/>
      <c r="B210" s="94"/>
      <c r="C210" s="98">
        <v>4010</v>
      </c>
      <c r="D210" s="42" t="s">
        <v>105</v>
      </c>
      <c r="E210" s="92">
        <v>190216</v>
      </c>
      <c r="F210" s="92">
        <v>195173</v>
      </c>
      <c r="G210" s="92">
        <v>190669.06</v>
      </c>
      <c r="H210" s="104">
        <f t="shared" si="2"/>
        <v>97.69233449298828</v>
      </c>
      <c r="I210" s="471"/>
      <c r="J210" s="471"/>
      <c r="K210" s="471"/>
      <c r="L210" s="471"/>
      <c r="M210" s="471"/>
      <c r="N210" s="471"/>
      <c r="O210" s="471"/>
    </row>
    <row r="211" spans="1:15" s="24" customFormat="1" ht="19.5" customHeight="1">
      <c r="A211" s="77"/>
      <c r="B211" s="94"/>
      <c r="C211" s="98">
        <v>4040</v>
      </c>
      <c r="D211" s="42" t="s">
        <v>106</v>
      </c>
      <c r="E211" s="92">
        <v>14968</v>
      </c>
      <c r="F211" s="92">
        <v>12922</v>
      </c>
      <c r="G211" s="92">
        <v>12918.72</v>
      </c>
      <c r="H211" s="104">
        <f t="shared" si="2"/>
        <v>99.9746169323634</v>
      </c>
      <c r="I211" s="471"/>
      <c r="J211" s="471"/>
      <c r="K211" s="471"/>
      <c r="L211" s="471"/>
      <c r="M211" s="471"/>
      <c r="N211" s="471"/>
      <c r="O211" s="471"/>
    </row>
    <row r="212" spans="1:15" s="24" customFormat="1" ht="19.5" customHeight="1">
      <c r="A212" s="77"/>
      <c r="B212" s="94"/>
      <c r="C212" s="98">
        <v>4110</v>
      </c>
      <c r="D212" s="42" t="s">
        <v>107</v>
      </c>
      <c r="E212" s="92">
        <v>37470</v>
      </c>
      <c r="F212" s="92">
        <v>38710</v>
      </c>
      <c r="G212" s="92">
        <v>36450.58</v>
      </c>
      <c r="H212" s="104">
        <f t="shared" si="2"/>
        <v>94.16321363988634</v>
      </c>
      <c r="I212" s="471"/>
      <c r="J212" s="471"/>
      <c r="K212" s="471"/>
      <c r="L212" s="471"/>
      <c r="M212" s="471"/>
      <c r="N212" s="471"/>
      <c r="O212" s="471"/>
    </row>
    <row r="213" spans="1:15" s="24" customFormat="1" ht="19.5" customHeight="1">
      <c r="A213" s="77"/>
      <c r="B213" s="94"/>
      <c r="C213" s="98">
        <v>4120</v>
      </c>
      <c r="D213" s="42" t="s">
        <v>108</v>
      </c>
      <c r="E213" s="92">
        <v>5276</v>
      </c>
      <c r="F213" s="92">
        <v>5591</v>
      </c>
      <c r="G213" s="92">
        <v>5138.55</v>
      </c>
      <c r="H213" s="104">
        <f t="shared" si="2"/>
        <v>91.90752995886247</v>
      </c>
      <c r="I213" s="471"/>
      <c r="J213" s="471"/>
      <c r="K213" s="471"/>
      <c r="L213" s="471"/>
      <c r="M213" s="471"/>
      <c r="N213" s="471"/>
      <c r="O213" s="471"/>
    </row>
    <row r="214" spans="1:15" s="24" customFormat="1" ht="19.5" customHeight="1">
      <c r="A214" s="77"/>
      <c r="B214" s="94"/>
      <c r="C214" s="98">
        <v>4210</v>
      </c>
      <c r="D214" s="42" t="s">
        <v>93</v>
      </c>
      <c r="E214" s="92">
        <f>1000+3800</f>
        <v>4800</v>
      </c>
      <c r="F214" s="92">
        <v>5870</v>
      </c>
      <c r="G214" s="92">
        <v>5818.76</v>
      </c>
      <c r="H214" s="104">
        <f t="shared" si="2"/>
        <v>99.12708688245316</v>
      </c>
      <c r="I214" s="471"/>
      <c r="J214" s="471"/>
      <c r="K214" s="471"/>
      <c r="L214" s="471"/>
      <c r="M214" s="471"/>
      <c r="N214" s="471"/>
      <c r="O214" s="471"/>
    </row>
    <row r="215" spans="1:15" s="24" customFormat="1" ht="24.75" customHeight="1">
      <c r="A215" s="77"/>
      <c r="B215" s="94"/>
      <c r="C215" s="98">
        <v>4240</v>
      </c>
      <c r="D215" s="42" t="s">
        <v>146</v>
      </c>
      <c r="E215" s="92">
        <v>2350</v>
      </c>
      <c r="F215" s="92">
        <v>1850</v>
      </c>
      <c r="G215" s="92">
        <v>1844.81</v>
      </c>
      <c r="H215" s="104">
        <f aca="true" t="shared" si="4" ref="H215:H278">G215/F215*100</f>
        <v>99.71945945945946</v>
      </c>
      <c r="I215" s="471"/>
      <c r="J215" s="471"/>
      <c r="K215" s="471"/>
      <c r="L215" s="471"/>
      <c r="M215" s="471"/>
      <c r="N215" s="471"/>
      <c r="O215" s="471"/>
    </row>
    <row r="216" spans="1:15" s="24" customFormat="1" ht="19.5" customHeight="1">
      <c r="A216" s="77"/>
      <c r="B216" s="94"/>
      <c r="C216" s="98">
        <v>4260</v>
      </c>
      <c r="D216" s="42" t="s">
        <v>116</v>
      </c>
      <c r="E216" s="92">
        <v>500</v>
      </c>
      <c r="F216" s="92">
        <v>299</v>
      </c>
      <c r="G216" s="92">
        <v>298.21</v>
      </c>
      <c r="H216" s="104">
        <f t="shared" si="4"/>
        <v>99.73578595317724</v>
      </c>
      <c r="I216" s="471"/>
      <c r="J216" s="471"/>
      <c r="K216" s="471"/>
      <c r="L216" s="471"/>
      <c r="M216" s="471"/>
      <c r="N216" s="471"/>
      <c r="O216" s="471"/>
    </row>
    <row r="217" spans="1:15" s="24" customFormat="1" ht="19.5" customHeight="1">
      <c r="A217" s="77"/>
      <c r="B217" s="94"/>
      <c r="C217" s="98">
        <v>4270</v>
      </c>
      <c r="D217" s="42" t="s">
        <v>99</v>
      </c>
      <c r="E217" s="92">
        <v>1100</v>
      </c>
      <c r="F217" s="92">
        <v>650</v>
      </c>
      <c r="G217" s="92">
        <v>650</v>
      </c>
      <c r="H217" s="104">
        <f t="shared" si="4"/>
        <v>100</v>
      </c>
      <c r="I217" s="471"/>
      <c r="J217" s="471"/>
      <c r="K217" s="471"/>
      <c r="L217" s="471"/>
      <c r="M217" s="471"/>
      <c r="N217" s="471"/>
      <c r="O217" s="471"/>
    </row>
    <row r="218" spans="1:15" s="24" customFormat="1" ht="19.5" customHeight="1">
      <c r="A218" s="77"/>
      <c r="B218" s="94"/>
      <c r="C218" s="98">
        <v>4280</v>
      </c>
      <c r="D218" s="42" t="s">
        <v>247</v>
      </c>
      <c r="E218" s="92">
        <v>400</v>
      </c>
      <c r="F218" s="92">
        <v>400</v>
      </c>
      <c r="G218" s="92">
        <v>220</v>
      </c>
      <c r="H218" s="104">
        <f t="shared" si="4"/>
        <v>55.00000000000001</v>
      </c>
      <c r="I218" s="471"/>
      <c r="J218" s="471"/>
      <c r="K218" s="471"/>
      <c r="L218" s="471"/>
      <c r="M218" s="471"/>
      <c r="N218" s="471"/>
      <c r="O218" s="471"/>
    </row>
    <row r="219" spans="1:15" s="24" customFormat="1" ht="24.75" customHeight="1">
      <c r="A219" s="77"/>
      <c r="B219" s="94"/>
      <c r="C219" s="98">
        <v>4440</v>
      </c>
      <c r="D219" s="42" t="s">
        <v>137</v>
      </c>
      <c r="E219" s="92">
        <v>15536</v>
      </c>
      <c r="F219" s="92">
        <v>17724</v>
      </c>
      <c r="G219" s="92">
        <v>17724</v>
      </c>
      <c r="H219" s="104">
        <f t="shared" si="4"/>
        <v>100</v>
      </c>
      <c r="I219" s="471"/>
      <c r="J219" s="471"/>
      <c r="K219" s="471"/>
      <c r="L219" s="471"/>
      <c r="M219" s="471"/>
      <c r="N219" s="471"/>
      <c r="O219" s="471"/>
    </row>
    <row r="220" spans="1:15" s="24" customFormat="1" ht="19.5" customHeight="1">
      <c r="A220" s="100"/>
      <c r="B220" s="94" t="s">
        <v>136</v>
      </c>
      <c r="C220" s="98"/>
      <c r="D220" s="42" t="s">
        <v>147</v>
      </c>
      <c r="E220" s="92">
        <f>SUM(E221:E223)</f>
        <v>2725008</v>
      </c>
      <c r="F220" s="92">
        <f>SUM(F221:F223)</f>
        <v>2860832</v>
      </c>
      <c r="G220" s="92">
        <f>SUM(G221:G223)</f>
        <v>2607113.64</v>
      </c>
      <c r="H220" s="104">
        <f t="shared" si="4"/>
        <v>91.13130865426562</v>
      </c>
      <c r="I220" s="471"/>
      <c r="J220" s="471"/>
      <c r="K220" s="471"/>
      <c r="L220" s="471"/>
      <c r="M220" s="471"/>
      <c r="N220" s="471"/>
      <c r="O220" s="471"/>
    </row>
    <row r="221" spans="1:15" s="24" customFormat="1" ht="24.75" customHeight="1">
      <c r="A221" s="100"/>
      <c r="B221" s="94"/>
      <c r="C221" s="98">
        <v>2510</v>
      </c>
      <c r="D221" s="42" t="s">
        <v>148</v>
      </c>
      <c r="E221" s="92">
        <v>2624508</v>
      </c>
      <c r="F221" s="92">
        <v>2760832</v>
      </c>
      <c r="G221" s="92">
        <v>2507124</v>
      </c>
      <c r="H221" s="104">
        <f t="shared" si="4"/>
        <v>90.81045134220409</v>
      </c>
      <c r="I221" s="471"/>
      <c r="J221" s="471"/>
      <c r="K221" s="471"/>
      <c r="L221" s="471"/>
      <c r="M221" s="471"/>
      <c r="N221" s="471"/>
      <c r="O221" s="471"/>
    </row>
    <row r="222" spans="1:15" s="24" customFormat="1" ht="19.5" customHeight="1">
      <c r="A222" s="100"/>
      <c r="B222" s="94"/>
      <c r="C222" s="98">
        <v>4210</v>
      </c>
      <c r="D222" s="42" t="s">
        <v>93</v>
      </c>
      <c r="E222" s="92">
        <v>500</v>
      </c>
      <c r="F222" s="92">
        <v>0</v>
      </c>
      <c r="G222" s="92">
        <v>0</v>
      </c>
      <c r="H222" s="104" t="s">
        <v>514</v>
      </c>
      <c r="I222" s="471"/>
      <c r="J222" s="471"/>
      <c r="K222" s="471"/>
      <c r="L222" s="471"/>
      <c r="M222" s="471"/>
      <c r="N222" s="471"/>
      <c r="O222" s="471"/>
    </row>
    <row r="223" spans="1:15" s="24" customFormat="1" ht="19.5" customHeight="1">
      <c r="A223" s="100"/>
      <c r="B223" s="94"/>
      <c r="C223" s="98">
        <v>4270</v>
      </c>
      <c r="D223" s="42" t="s">
        <v>99</v>
      </c>
      <c r="E223" s="92">
        <v>100000</v>
      </c>
      <c r="F223" s="92">
        <v>100000</v>
      </c>
      <c r="G223" s="92">
        <v>99989.64</v>
      </c>
      <c r="H223" s="104">
        <f t="shared" si="4"/>
        <v>99.98964000000001</v>
      </c>
      <c r="I223" s="471"/>
      <c r="J223" s="471"/>
      <c r="K223" s="471"/>
      <c r="L223" s="471"/>
      <c r="M223" s="471"/>
      <c r="N223" s="471"/>
      <c r="O223" s="471"/>
    </row>
    <row r="224" spans="1:15" s="24" customFormat="1" ht="19.5" customHeight="1">
      <c r="A224" s="100"/>
      <c r="B224" s="94" t="s">
        <v>138</v>
      </c>
      <c r="C224" s="98"/>
      <c r="D224" s="42" t="s">
        <v>72</v>
      </c>
      <c r="E224" s="92">
        <f>SUM(E225:E251)</f>
        <v>4860168</v>
      </c>
      <c r="F224" s="92">
        <f>SUM(F225:F251)</f>
        <v>4907819</v>
      </c>
      <c r="G224" s="92">
        <f>SUM(G225:G251)</f>
        <v>4700562.359999999</v>
      </c>
      <c r="H224" s="104">
        <f t="shared" si="4"/>
        <v>95.77701133640014</v>
      </c>
      <c r="I224" s="471"/>
      <c r="J224" s="471"/>
      <c r="K224" s="471"/>
      <c r="L224" s="471"/>
      <c r="M224" s="471"/>
      <c r="N224" s="471"/>
      <c r="O224" s="471"/>
    </row>
    <row r="225" spans="1:15" s="24" customFormat="1" ht="24.75" customHeight="1">
      <c r="A225" s="77"/>
      <c r="B225" s="94"/>
      <c r="C225" s="98">
        <v>3020</v>
      </c>
      <c r="D225" s="42" t="s">
        <v>234</v>
      </c>
      <c r="E225" s="92">
        <v>28916</v>
      </c>
      <c r="F225" s="92">
        <v>26802</v>
      </c>
      <c r="G225" s="92">
        <v>25262.51</v>
      </c>
      <c r="H225" s="104">
        <f t="shared" si="4"/>
        <v>94.2560629803746</v>
      </c>
      <c r="I225" s="471"/>
      <c r="J225" s="471"/>
      <c r="K225" s="471"/>
      <c r="L225" s="471"/>
      <c r="M225" s="471"/>
      <c r="N225" s="471"/>
      <c r="O225" s="471"/>
    </row>
    <row r="226" spans="1:15" s="24" customFormat="1" ht="19.5" customHeight="1">
      <c r="A226" s="77"/>
      <c r="B226" s="94"/>
      <c r="C226" s="98">
        <v>4010</v>
      </c>
      <c r="D226" s="42" t="s">
        <v>105</v>
      </c>
      <c r="E226" s="92">
        <v>2920180</v>
      </c>
      <c r="F226" s="92">
        <v>2938069</v>
      </c>
      <c r="G226" s="92">
        <v>2929548.64</v>
      </c>
      <c r="H226" s="104">
        <f t="shared" si="4"/>
        <v>99.71000136484201</v>
      </c>
      <c r="I226" s="471"/>
      <c r="J226" s="471"/>
      <c r="K226" s="471"/>
      <c r="L226" s="471"/>
      <c r="M226" s="471"/>
      <c r="N226" s="471"/>
      <c r="O226" s="471"/>
    </row>
    <row r="227" spans="1:15" s="24" customFormat="1" ht="19.5" customHeight="1">
      <c r="A227" s="77"/>
      <c r="B227" s="94"/>
      <c r="C227" s="98">
        <v>4040</v>
      </c>
      <c r="D227" s="42" t="s">
        <v>106</v>
      </c>
      <c r="E227" s="92">
        <v>233840</v>
      </c>
      <c r="F227" s="92">
        <v>219681</v>
      </c>
      <c r="G227" s="92">
        <v>219679.16</v>
      </c>
      <c r="H227" s="104">
        <f t="shared" si="4"/>
        <v>99.99916242187535</v>
      </c>
      <c r="I227" s="471"/>
      <c r="J227" s="471"/>
      <c r="K227" s="471"/>
      <c r="L227" s="471"/>
      <c r="M227" s="471"/>
      <c r="N227" s="471"/>
      <c r="O227" s="471"/>
    </row>
    <row r="228" spans="1:15" s="24" customFormat="1" ht="19.5" customHeight="1">
      <c r="A228" s="77"/>
      <c r="B228" s="94"/>
      <c r="C228" s="98">
        <v>4110</v>
      </c>
      <c r="D228" s="42" t="s">
        <v>107</v>
      </c>
      <c r="E228" s="92">
        <v>539098</v>
      </c>
      <c r="F228" s="92">
        <v>547862</v>
      </c>
      <c r="G228" s="92">
        <v>541838.25</v>
      </c>
      <c r="H228" s="104">
        <f t="shared" si="4"/>
        <v>98.9004986657224</v>
      </c>
      <c r="I228" s="471"/>
      <c r="J228" s="471"/>
      <c r="K228" s="471"/>
      <c r="L228" s="471"/>
      <c r="M228" s="471"/>
      <c r="N228" s="471"/>
      <c r="O228" s="471"/>
    </row>
    <row r="229" spans="1:15" s="24" customFormat="1" ht="19.5" customHeight="1">
      <c r="A229" s="77"/>
      <c r="B229" s="94"/>
      <c r="C229" s="98">
        <v>4120</v>
      </c>
      <c r="D229" s="42" t="s">
        <v>108</v>
      </c>
      <c r="E229" s="92">
        <v>76111</v>
      </c>
      <c r="F229" s="92">
        <v>77281</v>
      </c>
      <c r="G229" s="92">
        <v>75543.93</v>
      </c>
      <c r="H229" s="104">
        <f t="shared" si="4"/>
        <v>97.75226769839934</v>
      </c>
      <c r="I229" s="471"/>
      <c r="J229" s="471"/>
      <c r="K229" s="471"/>
      <c r="L229" s="471"/>
      <c r="M229" s="471"/>
      <c r="N229" s="471"/>
      <c r="O229" s="471"/>
    </row>
    <row r="230" spans="1:15" s="24" customFormat="1" ht="19.5" customHeight="1">
      <c r="A230" s="77"/>
      <c r="B230" s="94"/>
      <c r="C230" s="98">
        <v>4170</v>
      </c>
      <c r="D230" s="42" t="s">
        <v>238</v>
      </c>
      <c r="E230" s="92">
        <v>11400</v>
      </c>
      <c r="F230" s="92">
        <v>11300</v>
      </c>
      <c r="G230" s="92">
        <v>11171.25</v>
      </c>
      <c r="H230" s="104">
        <f t="shared" si="4"/>
        <v>98.86061946902655</v>
      </c>
      <c r="I230" s="471"/>
      <c r="J230" s="471"/>
      <c r="K230" s="471"/>
      <c r="L230" s="471"/>
      <c r="M230" s="471"/>
      <c r="N230" s="471"/>
      <c r="O230" s="471"/>
    </row>
    <row r="231" spans="1:15" s="24" customFormat="1" ht="19.5" customHeight="1">
      <c r="A231" s="77"/>
      <c r="B231" s="94"/>
      <c r="C231" s="98">
        <v>4210</v>
      </c>
      <c r="D231" s="42" t="s">
        <v>113</v>
      </c>
      <c r="E231" s="92">
        <v>129060</v>
      </c>
      <c r="F231" s="92">
        <v>145984</v>
      </c>
      <c r="G231" s="92">
        <v>145924.3</v>
      </c>
      <c r="H231" s="104">
        <f t="shared" si="4"/>
        <v>99.95910510740902</v>
      </c>
      <c r="I231" s="471"/>
      <c r="J231" s="471"/>
      <c r="K231" s="471"/>
      <c r="L231" s="471"/>
      <c r="M231" s="471"/>
      <c r="N231" s="471"/>
      <c r="O231" s="471"/>
    </row>
    <row r="232" spans="1:15" s="24" customFormat="1" ht="19.5" customHeight="1">
      <c r="A232" s="77"/>
      <c r="B232" s="94"/>
      <c r="C232" s="98">
        <v>4215</v>
      </c>
      <c r="D232" s="42" t="s">
        <v>113</v>
      </c>
      <c r="E232" s="92">
        <v>0</v>
      </c>
      <c r="F232" s="92">
        <v>521</v>
      </c>
      <c r="G232" s="92">
        <v>480.21</v>
      </c>
      <c r="H232" s="104">
        <f t="shared" si="4"/>
        <v>92.17082533589252</v>
      </c>
      <c r="I232" s="471"/>
      <c r="J232" s="471"/>
      <c r="K232" s="471"/>
      <c r="L232" s="471"/>
      <c r="M232" s="471"/>
      <c r="N232" s="471"/>
      <c r="O232" s="471"/>
    </row>
    <row r="233" spans="1:15" s="24" customFormat="1" ht="24.75" customHeight="1">
      <c r="A233" s="77"/>
      <c r="B233" s="94"/>
      <c r="C233" s="98">
        <v>4230</v>
      </c>
      <c r="D233" s="42" t="s">
        <v>439</v>
      </c>
      <c r="E233" s="92">
        <v>1400</v>
      </c>
      <c r="F233" s="92">
        <v>1400</v>
      </c>
      <c r="G233" s="92">
        <v>1398.75</v>
      </c>
      <c r="H233" s="104">
        <f t="shared" si="4"/>
        <v>99.91071428571429</v>
      </c>
      <c r="I233" s="471"/>
      <c r="J233" s="471"/>
      <c r="K233" s="471"/>
      <c r="L233" s="471"/>
      <c r="M233" s="471"/>
      <c r="N233" s="471"/>
      <c r="O233" s="471"/>
    </row>
    <row r="234" spans="1:15" s="24" customFormat="1" ht="24.75" customHeight="1">
      <c r="A234" s="77"/>
      <c r="B234" s="94"/>
      <c r="C234" s="98">
        <v>4240</v>
      </c>
      <c r="D234" s="42" t="s">
        <v>146</v>
      </c>
      <c r="E234" s="92">
        <f>4500+50000</f>
        <v>54500</v>
      </c>
      <c r="F234" s="92">
        <v>54500</v>
      </c>
      <c r="G234" s="92">
        <v>54392.85</v>
      </c>
      <c r="H234" s="104">
        <f t="shared" si="4"/>
        <v>99.80339449541285</v>
      </c>
      <c r="I234" s="471"/>
      <c r="J234" s="471"/>
      <c r="K234" s="471"/>
      <c r="L234" s="471"/>
      <c r="M234" s="471"/>
      <c r="N234" s="471"/>
      <c r="O234" s="471"/>
    </row>
    <row r="235" spans="1:15" s="24" customFormat="1" ht="19.5" customHeight="1">
      <c r="A235" s="77"/>
      <c r="B235" s="94"/>
      <c r="C235" s="98">
        <v>4260</v>
      </c>
      <c r="D235" s="42" t="s">
        <v>116</v>
      </c>
      <c r="E235" s="92">
        <v>288300</v>
      </c>
      <c r="F235" s="92">
        <v>275704</v>
      </c>
      <c r="G235" s="92">
        <v>257397.86</v>
      </c>
      <c r="H235" s="104">
        <f t="shared" si="4"/>
        <v>93.3602196558628</v>
      </c>
      <c r="I235" s="471"/>
      <c r="J235" s="471"/>
      <c r="K235" s="471"/>
      <c r="L235" s="471"/>
      <c r="M235" s="471"/>
      <c r="N235" s="471"/>
      <c r="O235" s="471"/>
    </row>
    <row r="236" spans="1:15" s="24" customFormat="1" ht="19.5" customHeight="1">
      <c r="A236" s="77"/>
      <c r="B236" s="94"/>
      <c r="C236" s="98">
        <v>4270</v>
      </c>
      <c r="D236" s="42" t="s">
        <v>99</v>
      </c>
      <c r="E236" s="92">
        <f>150000+18600</f>
        <v>168600</v>
      </c>
      <c r="F236" s="92">
        <v>188500</v>
      </c>
      <c r="G236" s="92">
        <v>181426.88</v>
      </c>
      <c r="H236" s="104">
        <f t="shared" si="4"/>
        <v>96.24768169761273</v>
      </c>
      <c r="I236" s="471"/>
      <c r="J236" s="471"/>
      <c r="K236" s="471"/>
      <c r="L236" s="471"/>
      <c r="M236" s="471"/>
      <c r="N236" s="471"/>
      <c r="O236" s="471"/>
    </row>
    <row r="237" spans="1:15" s="24" customFormat="1" ht="19.5" customHeight="1">
      <c r="A237" s="77"/>
      <c r="B237" s="94"/>
      <c r="C237" s="98">
        <v>4280</v>
      </c>
      <c r="D237" s="42" t="s">
        <v>247</v>
      </c>
      <c r="E237" s="92">
        <v>7200</v>
      </c>
      <c r="F237" s="92">
        <v>7200</v>
      </c>
      <c r="G237" s="92">
        <v>6210</v>
      </c>
      <c r="H237" s="104">
        <f t="shared" si="4"/>
        <v>86.25</v>
      </c>
      <c r="I237" s="471"/>
      <c r="J237" s="471"/>
      <c r="K237" s="471"/>
      <c r="L237" s="471"/>
      <c r="M237" s="471"/>
      <c r="N237" s="471"/>
      <c r="O237" s="471"/>
    </row>
    <row r="238" spans="1:15" s="24" customFormat="1" ht="19.5" customHeight="1">
      <c r="A238" s="77"/>
      <c r="B238" s="94"/>
      <c r="C238" s="98">
        <v>4300</v>
      </c>
      <c r="D238" s="42" t="s">
        <v>100</v>
      </c>
      <c r="E238" s="92">
        <v>88940</v>
      </c>
      <c r="F238" s="211">
        <v>99327</v>
      </c>
      <c r="G238" s="211">
        <v>42775.56</v>
      </c>
      <c r="H238" s="104">
        <f t="shared" si="4"/>
        <v>43.06539007520613</v>
      </c>
      <c r="I238" s="471"/>
      <c r="J238" s="471"/>
      <c r="K238" s="471"/>
      <c r="L238" s="471"/>
      <c r="M238" s="471"/>
      <c r="N238" s="471"/>
      <c r="O238" s="471"/>
    </row>
    <row r="239" spans="1:15" s="24" customFormat="1" ht="19.5" customHeight="1">
      <c r="A239" s="77"/>
      <c r="B239" s="94"/>
      <c r="C239" s="98">
        <v>4305</v>
      </c>
      <c r="D239" s="42" t="s">
        <v>100</v>
      </c>
      <c r="E239" s="92">
        <v>0</v>
      </c>
      <c r="F239" s="92">
        <v>465</v>
      </c>
      <c r="G239" s="92">
        <v>443.76</v>
      </c>
      <c r="H239" s="104">
        <f t="shared" si="4"/>
        <v>95.43225806451613</v>
      </c>
      <c r="I239" s="471"/>
      <c r="J239" s="471"/>
      <c r="K239" s="471"/>
      <c r="L239" s="471"/>
      <c r="M239" s="471"/>
      <c r="N239" s="471"/>
      <c r="O239" s="471"/>
    </row>
    <row r="240" spans="1:15" s="24" customFormat="1" ht="19.5" customHeight="1">
      <c r="A240" s="77"/>
      <c r="B240" s="94"/>
      <c r="C240" s="98">
        <v>4350</v>
      </c>
      <c r="D240" s="42" t="s">
        <v>258</v>
      </c>
      <c r="E240" s="92">
        <v>4400</v>
      </c>
      <c r="F240" s="92">
        <v>3850</v>
      </c>
      <c r="G240" s="92">
        <v>3201.83</v>
      </c>
      <c r="H240" s="104">
        <f t="shared" si="4"/>
        <v>83.16441558441558</v>
      </c>
      <c r="I240" s="471"/>
      <c r="J240" s="471"/>
      <c r="K240" s="471"/>
      <c r="L240" s="471"/>
      <c r="M240" s="471"/>
      <c r="N240" s="471"/>
      <c r="O240" s="471"/>
    </row>
    <row r="241" spans="1:15" s="24" customFormat="1" ht="24.75" customHeight="1">
      <c r="A241" s="77"/>
      <c r="B241" s="94"/>
      <c r="C241" s="98">
        <v>4370</v>
      </c>
      <c r="D241" s="14" t="s">
        <v>287</v>
      </c>
      <c r="E241" s="92">
        <v>8000</v>
      </c>
      <c r="F241" s="92">
        <v>8000</v>
      </c>
      <c r="G241" s="92">
        <v>6491.22</v>
      </c>
      <c r="H241" s="104">
        <f t="shared" si="4"/>
        <v>81.14025000000001</v>
      </c>
      <c r="I241" s="471"/>
      <c r="J241" s="471"/>
      <c r="K241" s="471"/>
      <c r="L241" s="471"/>
      <c r="M241" s="471"/>
      <c r="N241" s="471"/>
      <c r="O241" s="471"/>
    </row>
    <row r="242" spans="1:15" s="24" customFormat="1" ht="24.75" customHeight="1">
      <c r="A242" s="77"/>
      <c r="B242" s="94"/>
      <c r="C242" s="98">
        <v>4390</v>
      </c>
      <c r="D242" s="42" t="s">
        <v>292</v>
      </c>
      <c r="E242" s="92">
        <v>3800</v>
      </c>
      <c r="F242" s="92">
        <v>600</v>
      </c>
      <c r="G242" s="92">
        <v>512.4</v>
      </c>
      <c r="H242" s="104">
        <f t="shared" si="4"/>
        <v>85.39999999999999</v>
      </c>
      <c r="I242" s="471"/>
      <c r="J242" s="471"/>
      <c r="K242" s="471"/>
      <c r="L242" s="471"/>
      <c r="M242" s="471"/>
      <c r="N242" s="471"/>
      <c r="O242" s="471"/>
    </row>
    <row r="243" spans="1:15" s="24" customFormat="1" ht="19.5" customHeight="1">
      <c r="A243" s="77"/>
      <c r="B243" s="94"/>
      <c r="C243" s="98">
        <v>4410</v>
      </c>
      <c r="D243" s="42" t="s">
        <v>111</v>
      </c>
      <c r="E243" s="92">
        <v>6000</v>
      </c>
      <c r="F243" s="92">
        <v>6000</v>
      </c>
      <c r="G243" s="92">
        <v>4333.64</v>
      </c>
      <c r="H243" s="104">
        <f t="shared" si="4"/>
        <v>72.22733333333335</v>
      </c>
      <c r="I243" s="471"/>
      <c r="J243" s="471"/>
      <c r="K243" s="471"/>
      <c r="L243" s="471"/>
      <c r="M243" s="471"/>
      <c r="N243" s="471"/>
      <c r="O243" s="471"/>
    </row>
    <row r="244" spans="1:15" s="24" customFormat="1" ht="19.5" customHeight="1">
      <c r="A244" s="77"/>
      <c r="B244" s="94"/>
      <c r="C244" s="98">
        <v>4425</v>
      </c>
      <c r="D244" s="42" t="s">
        <v>114</v>
      </c>
      <c r="E244" s="92">
        <v>0</v>
      </c>
      <c r="F244" s="92">
        <v>2565</v>
      </c>
      <c r="G244" s="92">
        <v>2120.84</v>
      </c>
      <c r="H244" s="104">
        <f t="shared" si="4"/>
        <v>82.68382066276804</v>
      </c>
      <c r="I244" s="471"/>
      <c r="J244" s="471"/>
      <c r="K244" s="471"/>
      <c r="L244" s="471"/>
      <c r="M244" s="471"/>
      <c r="N244" s="471"/>
      <c r="O244" s="471"/>
    </row>
    <row r="245" spans="1:15" s="24" customFormat="1" ht="19.5" customHeight="1">
      <c r="A245" s="77"/>
      <c r="B245" s="94"/>
      <c r="C245" s="98">
        <v>4430</v>
      </c>
      <c r="D245" s="42" t="s">
        <v>115</v>
      </c>
      <c r="E245" s="92">
        <v>3300</v>
      </c>
      <c r="F245" s="92">
        <v>1913</v>
      </c>
      <c r="G245" s="92">
        <v>1767.7</v>
      </c>
      <c r="H245" s="104">
        <f t="shared" si="4"/>
        <v>92.40460010454782</v>
      </c>
      <c r="I245" s="471"/>
      <c r="J245" s="471"/>
      <c r="K245" s="471"/>
      <c r="L245" s="471"/>
      <c r="M245" s="471"/>
      <c r="N245" s="471"/>
      <c r="O245" s="471"/>
    </row>
    <row r="246" spans="1:15" s="24" customFormat="1" ht="24.75" customHeight="1">
      <c r="A246" s="77"/>
      <c r="B246" s="94"/>
      <c r="C246" s="98">
        <v>4440</v>
      </c>
      <c r="D246" s="42" t="s">
        <v>109</v>
      </c>
      <c r="E246" s="92">
        <v>166073</v>
      </c>
      <c r="F246" s="92">
        <v>179545</v>
      </c>
      <c r="G246" s="92">
        <v>179545</v>
      </c>
      <c r="H246" s="104">
        <f t="shared" si="4"/>
        <v>100</v>
      </c>
      <c r="I246" s="471"/>
      <c r="J246" s="471"/>
      <c r="K246" s="471"/>
      <c r="L246" s="471"/>
      <c r="M246" s="471"/>
      <c r="N246" s="471"/>
      <c r="O246" s="471"/>
    </row>
    <row r="247" spans="1:15" s="24" customFormat="1" ht="24.75" customHeight="1">
      <c r="A247" s="77"/>
      <c r="B247" s="94"/>
      <c r="C247" s="98">
        <v>4700</v>
      </c>
      <c r="D247" s="42" t="s">
        <v>290</v>
      </c>
      <c r="E247" s="92">
        <v>0</v>
      </c>
      <c r="F247" s="92">
        <v>2000</v>
      </c>
      <c r="G247" s="92">
        <v>0</v>
      </c>
      <c r="H247" s="104">
        <f t="shared" si="4"/>
        <v>0</v>
      </c>
      <c r="I247" s="471"/>
      <c r="J247" s="471"/>
      <c r="K247" s="471"/>
      <c r="L247" s="471"/>
      <c r="M247" s="471"/>
      <c r="N247" s="471"/>
      <c r="O247" s="471"/>
    </row>
    <row r="248" spans="1:15" s="24" customFormat="1" ht="33.75">
      <c r="A248" s="77"/>
      <c r="B248" s="94"/>
      <c r="C248" s="98">
        <v>4740</v>
      </c>
      <c r="D248" s="14" t="s">
        <v>289</v>
      </c>
      <c r="E248" s="92">
        <v>3500</v>
      </c>
      <c r="F248" s="92">
        <v>2900</v>
      </c>
      <c r="G248" s="92">
        <v>2836.04</v>
      </c>
      <c r="H248" s="104">
        <f t="shared" si="4"/>
        <v>97.79448275862069</v>
      </c>
      <c r="I248" s="471"/>
      <c r="J248" s="471"/>
      <c r="K248" s="471"/>
      <c r="L248" s="471"/>
      <c r="M248" s="471"/>
      <c r="N248" s="471"/>
      <c r="O248" s="471"/>
    </row>
    <row r="249" spans="1:15" s="24" customFormat="1" ht="24.75" customHeight="1">
      <c r="A249" s="77"/>
      <c r="B249" s="94"/>
      <c r="C249" s="98">
        <v>4750</v>
      </c>
      <c r="D249" s="14" t="s">
        <v>502</v>
      </c>
      <c r="E249" s="92">
        <v>8050</v>
      </c>
      <c r="F249" s="92">
        <v>5850</v>
      </c>
      <c r="G249" s="92">
        <v>5781.33</v>
      </c>
      <c r="H249" s="104">
        <f t="shared" si="4"/>
        <v>98.82615384615384</v>
      </c>
      <c r="I249" s="471"/>
      <c r="J249" s="471"/>
      <c r="K249" s="471"/>
      <c r="L249" s="471"/>
      <c r="M249" s="471"/>
      <c r="N249" s="471"/>
      <c r="O249" s="471"/>
    </row>
    <row r="250" spans="1:15" s="24" customFormat="1" ht="24.75" customHeight="1">
      <c r="A250" s="77"/>
      <c r="B250" s="94"/>
      <c r="C250" s="98">
        <v>6050</v>
      </c>
      <c r="D250" s="14" t="s">
        <v>94</v>
      </c>
      <c r="E250" s="92">
        <v>100000</v>
      </c>
      <c r="F250" s="211">
        <v>100000</v>
      </c>
      <c r="G250" s="211">
        <v>478.45</v>
      </c>
      <c r="H250" s="104">
        <f t="shared" si="4"/>
        <v>0.47845</v>
      </c>
      <c r="I250" s="471"/>
      <c r="J250" s="471"/>
      <c r="K250" s="471"/>
      <c r="L250" s="471"/>
      <c r="M250" s="471"/>
      <c r="N250" s="471"/>
      <c r="O250" s="471"/>
    </row>
    <row r="251" spans="1:15" s="24" customFormat="1" ht="24.75" customHeight="1">
      <c r="A251" s="77"/>
      <c r="B251" s="94"/>
      <c r="C251" s="98">
        <v>6060</v>
      </c>
      <c r="D251" s="42" t="s">
        <v>117</v>
      </c>
      <c r="E251" s="92">
        <v>9500</v>
      </c>
      <c r="F251" s="92">
        <v>0</v>
      </c>
      <c r="G251" s="92">
        <v>0</v>
      </c>
      <c r="H251" s="289" t="s">
        <v>514</v>
      </c>
      <c r="I251" s="471"/>
      <c r="J251" s="471"/>
      <c r="K251" s="471"/>
      <c r="L251" s="471"/>
      <c r="M251" s="471"/>
      <c r="N251" s="471"/>
      <c r="O251" s="471"/>
    </row>
    <row r="252" spans="1:15" s="24" customFormat="1" ht="19.5" customHeight="1">
      <c r="A252" s="77"/>
      <c r="B252" s="82" t="s">
        <v>139</v>
      </c>
      <c r="C252" s="59"/>
      <c r="D252" s="14" t="s">
        <v>140</v>
      </c>
      <c r="E252" s="81">
        <f>SUM(E253:E258)</f>
        <v>327983</v>
      </c>
      <c r="F252" s="92">
        <f>SUM(F253:F258)</f>
        <v>326348</v>
      </c>
      <c r="G252" s="92">
        <f>SUM(G253:G258)</f>
        <v>218853.31</v>
      </c>
      <c r="H252" s="104">
        <f t="shared" si="4"/>
        <v>67.06133023643473</v>
      </c>
      <c r="I252" s="471"/>
      <c r="J252" s="471"/>
      <c r="K252" s="471"/>
      <c r="L252" s="471"/>
      <c r="M252" s="471"/>
      <c r="N252" s="471"/>
      <c r="O252" s="471"/>
    </row>
    <row r="253" spans="1:15" s="24" customFormat="1" ht="19.5" customHeight="1">
      <c r="A253" s="77"/>
      <c r="B253" s="82"/>
      <c r="C253" s="59">
        <v>4110</v>
      </c>
      <c r="D253" s="42" t="s">
        <v>107</v>
      </c>
      <c r="E253" s="81">
        <v>245</v>
      </c>
      <c r="F253" s="81">
        <v>2100</v>
      </c>
      <c r="G253" s="81">
        <v>2016.36</v>
      </c>
      <c r="H253" s="104">
        <f t="shared" si="4"/>
        <v>96.01714285714286</v>
      </c>
      <c r="I253" s="471"/>
      <c r="J253" s="471"/>
      <c r="K253" s="471"/>
      <c r="L253" s="471"/>
      <c r="M253" s="471"/>
      <c r="N253" s="471"/>
      <c r="O253" s="471"/>
    </row>
    <row r="254" spans="1:15" s="24" customFormat="1" ht="19.5" customHeight="1">
      <c r="A254" s="77"/>
      <c r="B254" s="82"/>
      <c r="C254" s="59">
        <v>4120</v>
      </c>
      <c r="D254" s="42" t="s">
        <v>108</v>
      </c>
      <c r="E254" s="81">
        <v>1738</v>
      </c>
      <c r="F254" s="81">
        <v>300</v>
      </c>
      <c r="G254" s="81">
        <v>81.25</v>
      </c>
      <c r="H254" s="104">
        <f t="shared" si="4"/>
        <v>27.083333333333332</v>
      </c>
      <c r="I254" s="471"/>
      <c r="J254" s="471"/>
      <c r="K254" s="471"/>
      <c r="L254" s="471"/>
      <c r="M254" s="471"/>
      <c r="N254" s="471"/>
      <c r="O254" s="471"/>
    </row>
    <row r="255" spans="1:15" s="24" customFormat="1" ht="19.5" customHeight="1">
      <c r="A255" s="77"/>
      <c r="B255" s="82"/>
      <c r="C255" s="59">
        <v>4170</v>
      </c>
      <c r="D255" s="42" t="s">
        <v>238</v>
      </c>
      <c r="E255" s="81">
        <v>20000</v>
      </c>
      <c r="F255" s="81">
        <v>19583</v>
      </c>
      <c r="G255" s="81">
        <v>19527.83</v>
      </c>
      <c r="H255" s="104">
        <f t="shared" si="4"/>
        <v>99.71827605576266</v>
      </c>
      <c r="I255" s="471"/>
      <c r="J255" s="471"/>
      <c r="K255" s="471"/>
      <c r="L255" s="471"/>
      <c r="M255" s="471"/>
      <c r="N255" s="471"/>
      <c r="O255" s="471"/>
    </row>
    <row r="256" spans="1:15" s="24" customFormat="1" ht="19.5" customHeight="1">
      <c r="A256" s="77"/>
      <c r="B256" s="82"/>
      <c r="C256" s="59">
        <v>4210</v>
      </c>
      <c r="D256" s="14" t="s">
        <v>113</v>
      </c>
      <c r="E256" s="81">
        <v>64000</v>
      </c>
      <c r="F256" s="81">
        <v>62365</v>
      </c>
      <c r="G256" s="81">
        <v>31752.09</v>
      </c>
      <c r="H256" s="104">
        <f t="shared" si="4"/>
        <v>50.91331676421069</v>
      </c>
      <c r="I256" s="471"/>
      <c r="J256" s="471"/>
      <c r="K256" s="471"/>
      <c r="L256" s="471"/>
      <c r="M256" s="471"/>
      <c r="N256" s="471"/>
      <c r="O256" s="471"/>
    </row>
    <row r="257" spans="1:15" s="24" customFormat="1" ht="19.5" customHeight="1">
      <c r="A257" s="77"/>
      <c r="B257" s="82"/>
      <c r="C257" s="59">
        <v>4300</v>
      </c>
      <c r="D257" s="14" t="s">
        <v>100</v>
      </c>
      <c r="E257" s="81">
        <v>236000</v>
      </c>
      <c r="F257" s="81">
        <v>236000</v>
      </c>
      <c r="G257" s="81">
        <v>161718.78</v>
      </c>
      <c r="H257" s="104">
        <f t="shared" si="4"/>
        <v>68.52490677966102</v>
      </c>
      <c r="I257" s="471"/>
      <c r="J257" s="471"/>
      <c r="K257" s="471"/>
      <c r="L257" s="471"/>
      <c r="M257" s="471"/>
      <c r="N257" s="471"/>
      <c r="O257" s="471"/>
    </row>
    <row r="258" spans="1:15" s="24" customFormat="1" ht="19.5" customHeight="1">
      <c r="A258" s="77"/>
      <c r="B258" s="82"/>
      <c r="C258" s="59">
        <v>4430</v>
      </c>
      <c r="D258" s="42" t="s">
        <v>115</v>
      </c>
      <c r="E258" s="81">
        <v>6000</v>
      </c>
      <c r="F258" s="81">
        <v>6000</v>
      </c>
      <c r="G258" s="81">
        <v>3757</v>
      </c>
      <c r="H258" s="104">
        <f t="shared" si="4"/>
        <v>62.61666666666667</v>
      </c>
      <c r="I258" s="471"/>
      <c r="J258" s="471"/>
      <c r="K258" s="471"/>
      <c r="L258" s="471"/>
      <c r="M258" s="471"/>
      <c r="N258" s="471"/>
      <c r="O258" s="471"/>
    </row>
    <row r="259" spans="1:15" s="24" customFormat="1" ht="19.5" customHeight="1">
      <c r="A259" s="77"/>
      <c r="B259" s="99">
        <v>80146</v>
      </c>
      <c r="C259" s="80"/>
      <c r="D259" s="42" t="s">
        <v>181</v>
      </c>
      <c r="E259" s="92">
        <f>SUM(E260:E262)</f>
        <v>87684</v>
      </c>
      <c r="F259" s="92">
        <f>SUM(F260:F262)</f>
        <v>93955</v>
      </c>
      <c r="G259" s="92">
        <f>SUM(G260:G262)</f>
        <v>90978.12</v>
      </c>
      <c r="H259" s="104">
        <f t="shared" si="4"/>
        <v>96.83158959076152</v>
      </c>
      <c r="I259" s="471"/>
      <c r="J259" s="471"/>
      <c r="K259" s="471"/>
      <c r="L259" s="471"/>
      <c r="M259" s="471"/>
      <c r="N259" s="471"/>
      <c r="O259" s="471"/>
    </row>
    <row r="260" spans="1:15" s="24" customFormat="1" ht="24.75" customHeight="1">
      <c r="A260" s="77"/>
      <c r="B260" s="99"/>
      <c r="C260" s="80">
        <v>2510</v>
      </c>
      <c r="D260" s="42" t="s">
        <v>148</v>
      </c>
      <c r="E260" s="92">
        <v>9289</v>
      </c>
      <c r="F260" s="92">
        <v>9289</v>
      </c>
      <c r="G260" s="92">
        <v>9162</v>
      </c>
      <c r="H260" s="104">
        <f t="shared" si="4"/>
        <v>98.6327914737862</v>
      </c>
      <c r="I260" s="471"/>
      <c r="J260" s="471"/>
      <c r="K260" s="471"/>
      <c r="L260" s="471"/>
      <c r="M260" s="471"/>
      <c r="N260" s="471"/>
      <c r="O260" s="471"/>
    </row>
    <row r="261" spans="1:15" s="24" customFormat="1" ht="19.5" customHeight="1">
      <c r="A261" s="77"/>
      <c r="B261" s="99"/>
      <c r="C261" s="80">
        <v>4300</v>
      </c>
      <c r="D261" s="42" t="s">
        <v>100</v>
      </c>
      <c r="E261" s="92">
        <v>78395</v>
      </c>
      <c r="F261" s="92">
        <v>53083</v>
      </c>
      <c r="G261" s="92">
        <v>51305.95</v>
      </c>
      <c r="H261" s="104">
        <f t="shared" si="4"/>
        <v>96.65231806793135</v>
      </c>
      <c r="I261" s="471"/>
      <c r="J261" s="471"/>
      <c r="K261" s="471"/>
      <c r="L261" s="471"/>
      <c r="M261" s="471"/>
      <c r="N261" s="471"/>
      <c r="O261" s="471"/>
    </row>
    <row r="262" spans="1:15" s="24" customFormat="1" ht="19.5" customHeight="1">
      <c r="A262" s="77"/>
      <c r="B262" s="99"/>
      <c r="C262" s="80">
        <v>4410</v>
      </c>
      <c r="D262" s="42" t="s">
        <v>111</v>
      </c>
      <c r="E262" s="92">
        <v>0</v>
      </c>
      <c r="F262" s="92">
        <v>31583</v>
      </c>
      <c r="G262" s="92">
        <v>30510.17</v>
      </c>
      <c r="H262" s="104">
        <f t="shared" si="4"/>
        <v>96.60314093024728</v>
      </c>
      <c r="I262" s="471"/>
      <c r="J262" s="471"/>
      <c r="K262" s="471"/>
      <c r="L262" s="471"/>
      <c r="M262" s="471"/>
      <c r="N262" s="471"/>
      <c r="O262" s="471"/>
    </row>
    <row r="263" spans="1:15" s="24" customFormat="1" ht="19.5" customHeight="1">
      <c r="A263" s="77"/>
      <c r="B263" s="94">
        <v>80195</v>
      </c>
      <c r="C263" s="77"/>
      <c r="D263" s="42" t="s">
        <v>18</v>
      </c>
      <c r="E263" s="92">
        <f>SUM(E264:E269)</f>
        <v>179972</v>
      </c>
      <c r="F263" s="92">
        <f>SUM(F264:F269)</f>
        <v>398866</v>
      </c>
      <c r="G263" s="92">
        <f>SUM(G264:G269)</f>
        <v>395213.62000000005</v>
      </c>
      <c r="H263" s="104">
        <f t="shared" si="4"/>
        <v>99.08430901606054</v>
      </c>
      <c r="I263" s="471"/>
      <c r="J263" s="471"/>
      <c r="K263" s="471"/>
      <c r="L263" s="471"/>
      <c r="M263" s="471"/>
      <c r="N263" s="471"/>
      <c r="O263" s="471"/>
    </row>
    <row r="264" spans="1:15" s="24" customFormat="1" ht="19.5" customHeight="1">
      <c r="A264" s="77"/>
      <c r="B264" s="94"/>
      <c r="C264" s="77">
        <v>4170</v>
      </c>
      <c r="D264" s="42" t="s">
        <v>238</v>
      </c>
      <c r="E264" s="92">
        <v>0</v>
      </c>
      <c r="F264" s="92">
        <v>880</v>
      </c>
      <c r="G264" s="92">
        <v>400</v>
      </c>
      <c r="H264" s="104">
        <f t="shared" si="4"/>
        <v>45.45454545454545</v>
      </c>
      <c r="I264" s="471"/>
      <c r="J264" s="471"/>
      <c r="K264" s="471"/>
      <c r="L264" s="471"/>
      <c r="M264" s="471"/>
      <c r="N264" s="471"/>
      <c r="O264" s="471"/>
    </row>
    <row r="265" spans="1:15" s="24" customFormat="1" ht="19.5" customHeight="1">
      <c r="A265" s="77"/>
      <c r="B265" s="94"/>
      <c r="C265" s="77">
        <v>4210</v>
      </c>
      <c r="D265" s="14" t="s">
        <v>113</v>
      </c>
      <c r="E265" s="92">
        <v>0</v>
      </c>
      <c r="F265" s="92">
        <v>2100</v>
      </c>
      <c r="G265" s="92">
        <v>2100.09</v>
      </c>
      <c r="H265" s="104">
        <f t="shared" si="4"/>
        <v>100.00428571428573</v>
      </c>
      <c r="I265" s="471"/>
      <c r="J265" s="471"/>
      <c r="K265" s="471"/>
      <c r="L265" s="471"/>
      <c r="M265" s="471"/>
      <c r="N265" s="471"/>
      <c r="O265" s="471"/>
    </row>
    <row r="266" spans="1:15" s="24" customFormat="1" ht="19.5" customHeight="1">
      <c r="A266" s="77"/>
      <c r="B266" s="94"/>
      <c r="C266" s="77">
        <v>4300</v>
      </c>
      <c r="D266" s="14" t="s">
        <v>100</v>
      </c>
      <c r="E266" s="92">
        <v>0</v>
      </c>
      <c r="F266" s="92">
        <v>205505</v>
      </c>
      <c r="G266" s="92">
        <v>205504.7</v>
      </c>
      <c r="H266" s="104">
        <f t="shared" si="4"/>
        <v>99.99985401815042</v>
      </c>
      <c r="I266" s="471"/>
      <c r="J266" s="471"/>
      <c r="K266" s="471"/>
      <c r="L266" s="471"/>
      <c r="M266" s="471"/>
      <c r="N266" s="471"/>
      <c r="O266" s="471"/>
    </row>
    <row r="267" spans="1:15" s="24" customFormat="1" ht="24.75" customHeight="1">
      <c r="A267" s="77"/>
      <c r="B267" s="94"/>
      <c r="C267" s="77">
        <v>4440</v>
      </c>
      <c r="D267" s="42" t="s">
        <v>109</v>
      </c>
      <c r="E267" s="92">
        <v>144752</v>
      </c>
      <c r="F267" s="92">
        <v>144661</v>
      </c>
      <c r="G267" s="92">
        <v>144661</v>
      </c>
      <c r="H267" s="104">
        <f t="shared" si="4"/>
        <v>100</v>
      </c>
      <c r="I267" s="471"/>
      <c r="J267" s="471"/>
      <c r="K267" s="471"/>
      <c r="L267" s="471"/>
      <c r="M267" s="471"/>
      <c r="N267" s="471"/>
      <c r="O267" s="471"/>
    </row>
    <row r="268" spans="1:15" s="24" customFormat="1" ht="24.75" customHeight="1">
      <c r="A268" s="77"/>
      <c r="B268" s="94"/>
      <c r="C268" s="77">
        <v>4700</v>
      </c>
      <c r="D268" s="42" t="s">
        <v>290</v>
      </c>
      <c r="E268" s="92">
        <v>22660</v>
      </c>
      <c r="F268" s="92">
        <v>26092</v>
      </c>
      <c r="G268" s="92">
        <v>23620</v>
      </c>
      <c r="H268" s="104">
        <f t="shared" si="4"/>
        <v>90.5258316725433</v>
      </c>
      <c r="I268" s="471"/>
      <c r="J268" s="471"/>
      <c r="K268" s="471"/>
      <c r="L268" s="471"/>
      <c r="M268" s="471"/>
      <c r="N268" s="471"/>
      <c r="O268" s="471"/>
    </row>
    <row r="269" spans="1:15" s="24" customFormat="1" ht="24.75" customHeight="1">
      <c r="A269" s="77"/>
      <c r="B269" s="94"/>
      <c r="C269" s="77">
        <v>4750</v>
      </c>
      <c r="D269" s="42" t="s">
        <v>502</v>
      </c>
      <c r="E269" s="92">
        <v>12560</v>
      </c>
      <c r="F269" s="92">
        <v>19628</v>
      </c>
      <c r="G269" s="92">
        <v>18927.83</v>
      </c>
      <c r="H269" s="104">
        <f t="shared" si="4"/>
        <v>96.4328000815162</v>
      </c>
      <c r="I269" s="471"/>
      <c r="J269" s="471"/>
      <c r="K269" s="471"/>
      <c r="L269" s="471"/>
      <c r="M269" s="471"/>
      <c r="N269" s="471"/>
      <c r="O269" s="471"/>
    </row>
    <row r="270" spans="1:15" s="7" customFormat="1" ht="19.5" customHeight="1">
      <c r="A270" s="37" t="s">
        <v>141</v>
      </c>
      <c r="B270" s="38"/>
      <c r="C270" s="39"/>
      <c r="D270" s="40" t="s">
        <v>73</v>
      </c>
      <c r="E270" s="41">
        <f>SUM(E273,E285,E271)</f>
        <v>123720</v>
      </c>
      <c r="F270" s="41">
        <f>SUM(F271,F273,F285,)</f>
        <v>140770</v>
      </c>
      <c r="G270" s="41">
        <f>SUM(G271,G273,G285,)</f>
        <v>128000.96</v>
      </c>
      <c r="H270" s="47">
        <f t="shared" si="4"/>
        <v>90.9291468352632</v>
      </c>
      <c r="I270" s="472"/>
      <c r="J270" s="472"/>
      <c r="K270" s="472"/>
      <c r="L270" s="472"/>
      <c r="M270" s="472"/>
      <c r="N270" s="472"/>
      <c r="O270" s="472"/>
    </row>
    <row r="271" spans="1:15" s="7" customFormat="1" ht="19.5" customHeight="1">
      <c r="A271" s="37"/>
      <c r="B271" s="99">
        <v>85153</v>
      </c>
      <c r="C271" s="98"/>
      <c r="D271" s="42" t="s">
        <v>283</v>
      </c>
      <c r="E271" s="92">
        <f>SUM(E272:E272)</f>
        <v>20000</v>
      </c>
      <c r="F271" s="92">
        <f>SUM(F272)</f>
        <v>20000</v>
      </c>
      <c r="G271" s="92">
        <f>SUM(G272)</f>
        <v>20000</v>
      </c>
      <c r="H271" s="104">
        <f t="shared" si="4"/>
        <v>100</v>
      </c>
      <c r="I271" s="472"/>
      <c r="J271" s="472"/>
      <c r="K271" s="472"/>
      <c r="L271" s="472"/>
      <c r="M271" s="472"/>
      <c r="N271" s="472"/>
      <c r="O271" s="472"/>
    </row>
    <row r="272" spans="1:15" s="7" customFormat="1" ht="24.75" customHeight="1">
      <c r="A272" s="37"/>
      <c r="B272" s="99"/>
      <c r="C272" s="98">
        <v>6060</v>
      </c>
      <c r="D272" s="42" t="s">
        <v>117</v>
      </c>
      <c r="E272" s="92">
        <v>20000</v>
      </c>
      <c r="F272" s="92">
        <v>20000</v>
      </c>
      <c r="G272" s="92">
        <v>20000</v>
      </c>
      <c r="H272" s="104">
        <f t="shared" si="4"/>
        <v>100</v>
      </c>
      <c r="I272" s="472"/>
      <c r="J272" s="472"/>
      <c r="K272" s="472"/>
      <c r="L272" s="472"/>
      <c r="M272" s="472"/>
      <c r="N272" s="472"/>
      <c r="O272" s="472"/>
    </row>
    <row r="273" spans="1:15" s="24" customFormat="1" ht="19.5" customHeight="1">
      <c r="A273" s="77"/>
      <c r="B273" s="94" t="s">
        <v>142</v>
      </c>
      <c r="C273" s="98"/>
      <c r="D273" s="42" t="s">
        <v>74</v>
      </c>
      <c r="E273" s="92">
        <f>SUM(E274:E284)</f>
        <v>98720</v>
      </c>
      <c r="F273" s="92">
        <f>SUM(F274:F284)</f>
        <v>115770</v>
      </c>
      <c r="G273" s="92">
        <f>SUM(G274:G284)</f>
        <v>103000.96</v>
      </c>
      <c r="H273" s="104">
        <f t="shared" si="4"/>
        <v>88.97033773861969</v>
      </c>
      <c r="I273" s="471"/>
      <c r="J273" s="471"/>
      <c r="K273" s="471"/>
      <c r="L273" s="471"/>
      <c r="M273" s="471"/>
      <c r="N273" s="471"/>
      <c r="O273" s="471"/>
    </row>
    <row r="274" spans="1:15" s="24" customFormat="1" ht="33.75">
      <c r="A274" s="77"/>
      <c r="B274" s="99"/>
      <c r="C274" s="98">
        <v>2630</v>
      </c>
      <c r="D274" s="42" t="s">
        <v>281</v>
      </c>
      <c r="E274" s="92">
        <f>10000+16000+40000</f>
        <v>66000</v>
      </c>
      <c r="F274" s="92">
        <v>0</v>
      </c>
      <c r="G274" s="92">
        <v>0</v>
      </c>
      <c r="H274" s="289" t="s">
        <v>514</v>
      </c>
      <c r="I274" s="471"/>
      <c r="J274" s="471"/>
      <c r="K274" s="471"/>
      <c r="L274" s="471"/>
      <c r="M274" s="471"/>
      <c r="N274" s="471"/>
      <c r="O274" s="471"/>
    </row>
    <row r="275" spans="1:15" s="24" customFormat="1" ht="45">
      <c r="A275" s="77"/>
      <c r="B275" s="99"/>
      <c r="C275" s="98">
        <v>2710</v>
      </c>
      <c r="D275" s="42" t="s">
        <v>430</v>
      </c>
      <c r="E275" s="92">
        <v>0</v>
      </c>
      <c r="F275" s="92">
        <v>11551</v>
      </c>
      <c r="G275" s="92">
        <v>11551</v>
      </c>
      <c r="H275" s="104">
        <f t="shared" si="4"/>
        <v>100</v>
      </c>
      <c r="I275" s="471"/>
      <c r="J275" s="471"/>
      <c r="K275" s="471"/>
      <c r="L275" s="471"/>
      <c r="M275" s="471"/>
      <c r="N275" s="471"/>
      <c r="O275" s="471"/>
    </row>
    <row r="276" spans="1:15" s="24" customFormat="1" ht="45">
      <c r="A276" s="77"/>
      <c r="B276" s="99"/>
      <c r="C276" s="98">
        <v>2820</v>
      </c>
      <c r="D276" s="42" t="s">
        <v>403</v>
      </c>
      <c r="E276" s="92">
        <v>0</v>
      </c>
      <c r="F276" s="92">
        <v>7953</v>
      </c>
      <c r="G276" s="92">
        <v>7953</v>
      </c>
      <c r="H276" s="104">
        <f t="shared" si="4"/>
        <v>100</v>
      </c>
      <c r="I276" s="471"/>
      <c r="J276" s="471"/>
      <c r="K276" s="471"/>
      <c r="L276" s="471"/>
      <c r="M276" s="471"/>
      <c r="N276" s="471"/>
      <c r="O276" s="471"/>
    </row>
    <row r="277" spans="1:15" s="24" customFormat="1" ht="56.25">
      <c r="A277" s="77"/>
      <c r="B277" s="99"/>
      <c r="C277" s="98">
        <v>2830</v>
      </c>
      <c r="D277" s="42" t="s">
        <v>402</v>
      </c>
      <c r="E277" s="92">
        <v>0</v>
      </c>
      <c r="F277" s="92">
        <v>39147</v>
      </c>
      <c r="G277" s="92">
        <v>39147</v>
      </c>
      <c r="H277" s="104">
        <f t="shared" si="4"/>
        <v>100</v>
      </c>
      <c r="I277" s="471"/>
      <c r="J277" s="471"/>
      <c r="K277" s="471"/>
      <c r="L277" s="471"/>
      <c r="M277" s="471"/>
      <c r="N277" s="471"/>
      <c r="O277" s="471"/>
    </row>
    <row r="278" spans="1:15" s="24" customFormat="1" ht="19.5" customHeight="1">
      <c r="A278" s="77"/>
      <c r="B278" s="99"/>
      <c r="C278" s="98">
        <v>4110</v>
      </c>
      <c r="D278" s="14" t="s">
        <v>107</v>
      </c>
      <c r="E278" s="92">
        <v>0</v>
      </c>
      <c r="F278" s="92">
        <v>338</v>
      </c>
      <c r="G278" s="92">
        <v>413.97</v>
      </c>
      <c r="H278" s="104">
        <f t="shared" si="4"/>
        <v>122.47633136094676</v>
      </c>
      <c r="I278" s="471"/>
      <c r="J278" s="471"/>
      <c r="K278" s="471"/>
      <c r="L278" s="471"/>
      <c r="M278" s="471"/>
      <c r="N278" s="471"/>
      <c r="O278" s="471"/>
    </row>
    <row r="279" spans="1:15" s="24" customFormat="1" ht="19.5" customHeight="1">
      <c r="A279" s="77"/>
      <c r="B279" s="99"/>
      <c r="C279" s="98">
        <v>4170</v>
      </c>
      <c r="D279" s="42" t="s">
        <v>238</v>
      </c>
      <c r="E279" s="92">
        <v>16000</v>
      </c>
      <c r="F279" s="92">
        <v>21616</v>
      </c>
      <c r="G279" s="92">
        <v>18526.24</v>
      </c>
      <c r="H279" s="255">
        <f aca="true" t="shared" si="5" ref="H279:H344">G279/F279*100</f>
        <v>85.70614359733531</v>
      </c>
      <c r="I279" s="471"/>
      <c r="J279" s="471"/>
      <c r="K279" s="471"/>
      <c r="L279" s="471"/>
      <c r="M279" s="471"/>
      <c r="N279" s="471"/>
      <c r="O279" s="471"/>
    </row>
    <row r="280" spans="1:15" s="24" customFormat="1" ht="19.5" customHeight="1">
      <c r="A280" s="77"/>
      <c r="B280" s="99"/>
      <c r="C280" s="98">
        <v>4210</v>
      </c>
      <c r="D280" s="14" t="s">
        <v>113</v>
      </c>
      <c r="E280" s="92">
        <v>0</v>
      </c>
      <c r="F280" s="92">
        <v>13343</v>
      </c>
      <c r="G280" s="92">
        <v>11242.83</v>
      </c>
      <c r="H280" s="104">
        <f t="shared" si="5"/>
        <v>84.2601364011092</v>
      </c>
      <c r="I280" s="471"/>
      <c r="J280" s="471"/>
      <c r="K280" s="471"/>
      <c r="L280" s="471"/>
      <c r="M280" s="471"/>
      <c r="N280" s="471"/>
      <c r="O280" s="471"/>
    </row>
    <row r="281" spans="1:15" s="24" customFormat="1" ht="19.5" customHeight="1">
      <c r="A281" s="77"/>
      <c r="B281" s="99"/>
      <c r="C281" s="98">
        <v>4220</v>
      </c>
      <c r="D281" s="14" t="s">
        <v>219</v>
      </c>
      <c r="E281" s="92">
        <v>0</v>
      </c>
      <c r="F281" s="92">
        <v>2000</v>
      </c>
      <c r="G281" s="92">
        <v>1015.08</v>
      </c>
      <c r="H281" s="104">
        <f t="shared" si="5"/>
        <v>50.754</v>
      </c>
      <c r="I281" s="471"/>
      <c r="J281" s="471"/>
      <c r="K281" s="471"/>
      <c r="L281" s="471"/>
      <c r="M281" s="471"/>
      <c r="N281" s="471"/>
      <c r="O281" s="471"/>
    </row>
    <row r="282" spans="1:15" s="24" customFormat="1" ht="19.5" customHeight="1">
      <c r="A282" s="77"/>
      <c r="B282" s="99"/>
      <c r="C282" s="98">
        <v>4300</v>
      </c>
      <c r="D282" s="42" t="s">
        <v>100</v>
      </c>
      <c r="E282" s="92">
        <f>11000+860+860+4000</f>
        <v>16720</v>
      </c>
      <c r="F282" s="92">
        <v>16850</v>
      </c>
      <c r="G282" s="92">
        <v>12158.59</v>
      </c>
      <c r="H282" s="104">
        <f t="shared" si="5"/>
        <v>72.15780415430267</v>
      </c>
      <c r="I282" s="471"/>
      <c r="J282" s="471"/>
      <c r="K282" s="471"/>
      <c r="L282" s="471"/>
      <c r="M282" s="471"/>
      <c r="N282" s="471"/>
      <c r="O282" s="471"/>
    </row>
    <row r="283" spans="1:15" s="24" customFormat="1" ht="19.5" customHeight="1">
      <c r="A283" s="77"/>
      <c r="B283" s="99"/>
      <c r="C283" s="98">
        <v>4350</v>
      </c>
      <c r="D283" s="14" t="s">
        <v>276</v>
      </c>
      <c r="E283" s="92">
        <v>0</v>
      </c>
      <c r="F283" s="92">
        <v>1072</v>
      </c>
      <c r="G283" s="92">
        <v>545.02</v>
      </c>
      <c r="H283" s="104">
        <f t="shared" si="5"/>
        <v>50.84141791044776</v>
      </c>
      <c r="I283" s="471"/>
      <c r="J283" s="471"/>
      <c r="K283" s="471"/>
      <c r="L283" s="471"/>
      <c r="M283" s="471"/>
      <c r="N283" s="471"/>
      <c r="O283" s="471"/>
    </row>
    <row r="284" spans="1:15" s="24" customFormat="1" ht="19.5" customHeight="1">
      <c r="A284" s="77"/>
      <c r="B284" s="99"/>
      <c r="C284" s="98">
        <v>4410</v>
      </c>
      <c r="D284" s="14" t="s">
        <v>111</v>
      </c>
      <c r="E284" s="92">
        <v>0</v>
      </c>
      <c r="F284" s="92">
        <v>1900</v>
      </c>
      <c r="G284" s="92">
        <v>448.23</v>
      </c>
      <c r="H284" s="104">
        <f t="shared" si="5"/>
        <v>23.59105263157895</v>
      </c>
      <c r="I284" s="471"/>
      <c r="J284" s="471"/>
      <c r="K284" s="471"/>
      <c r="L284" s="471"/>
      <c r="M284" s="471"/>
      <c r="N284" s="471"/>
      <c r="O284" s="471"/>
    </row>
    <row r="285" spans="1:15" s="24" customFormat="1" ht="19.5" customHeight="1">
      <c r="A285" s="77"/>
      <c r="B285" s="99">
        <v>85195</v>
      </c>
      <c r="C285" s="98"/>
      <c r="D285" s="42" t="s">
        <v>18</v>
      </c>
      <c r="E285" s="92">
        <f>SUM(E286)</f>
        <v>5000</v>
      </c>
      <c r="F285" s="92">
        <f>SUM(F286)</f>
        <v>5000</v>
      </c>
      <c r="G285" s="92">
        <f>SUM(G286)</f>
        <v>5000</v>
      </c>
      <c r="H285" s="104">
        <f t="shared" si="5"/>
        <v>100</v>
      </c>
      <c r="I285" s="471"/>
      <c r="J285" s="471"/>
      <c r="K285" s="471"/>
      <c r="L285" s="471"/>
      <c r="M285" s="471"/>
      <c r="N285" s="471"/>
      <c r="O285" s="471"/>
    </row>
    <row r="286" spans="1:15" s="24" customFormat="1" ht="19.5" customHeight="1">
      <c r="A286" s="77"/>
      <c r="B286" s="99"/>
      <c r="C286" s="98">
        <v>4430</v>
      </c>
      <c r="D286" s="42" t="s">
        <v>115</v>
      </c>
      <c r="E286" s="92">
        <v>5000</v>
      </c>
      <c r="F286" s="92">
        <v>5000</v>
      </c>
      <c r="G286" s="92">
        <v>5000</v>
      </c>
      <c r="H286" s="104">
        <f t="shared" si="5"/>
        <v>100</v>
      </c>
      <c r="I286" s="471"/>
      <c r="J286" s="471"/>
      <c r="K286" s="471"/>
      <c r="L286" s="471"/>
      <c r="M286" s="471"/>
      <c r="N286" s="471"/>
      <c r="O286" s="471"/>
    </row>
    <row r="287" spans="1:15" s="7" customFormat="1" ht="19.5" customHeight="1">
      <c r="A287" s="70">
        <v>852</v>
      </c>
      <c r="B287" s="38"/>
      <c r="C287" s="39"/>
      <c r="D287" s="40" t="s">
        <v>231</v>
      </c>
      <c r="E287" s="41">
        <f>SUM(E288,E309,E311,E314,E316,E341,E343,)</f>
        <v>12388325</v>
      </c>
      <c r="F287" s="41">
        <f>SUM(F288,F309,F311,F314,F316,F341,F343,)</f>
        <v>11694793</v>
      </c>
      <c r="G287" s="41">
        <f>SUM(G288,G309,G311,G314,G316,G341,G343,)</f>
        <v>11482367.92</v>
      </c>
      <c r="H287" s="47">
        <f t="shared" si="5"/>
        <v>98.18359264674457</v>
      </c>
      <c r="I287" s="472"/>
      <c r="J287" s="472"/>
      <c r="K287" s="472"/>
      <c r="L287" s="472"/>
      <c r="M287" s="472"/>
      <c r="N287" s="472"/>
      <c r="O287" s="472"/>
    </row>
    <row r="288" spans="1:15" s="24" customFormat="1" ht="45">
      <c r="A288" s="109"/>
      <c r="B288" s="59">
        <v>85212</v>
      </c>
      <c r="C288" s="90"/>
      <c r="D288" s="88" t="s">
        <v>566</v>
      </c>
      <c r="E288" s="81">
        <f>SUM(E289:E308)</f>
        <v>7804800</v>
      </c>
      <c r="F288" s="92">
        <f>SUM(F289:F308)</f>
        <v>6572881</v>
      </c>
      <c r="G288" s="92">
        <f>SUM(G289:G308)</f>
        <v>6572739.710000001</v>
      </c>
      <c r="H288" s="104">
        <f t="shared" si="5"/>
        <v>99.99785040988877</v>
      </c>
      <c r="I288" s="471"/>
      <c r="J288" s="471"/>
      <c r="K288" s="471"/>
      <c r="L288" s="474"/>
      <c r="M288" s="474"/>
      <c r="N288" s="474"/>
      <c r="O288" s="471"/>
    </row>
    <row r="289" spans="1:15" s="24" customFormat="1" ht="24.75" customHeight="1">
      <c r="A289" s="109"/>
      <c r="B289" s="59"/>
      <c r="C289" s="90">
        <v>3020</v>
      </c>
      <c r="D289" s="42" t="s">
        <v>234</v>
      </c>
      <c r="E289" s="81">
        <v>1000</v>
      </c>
      <c r="F289" s="81">
        <v>245</v>
      </c>
      <c r="G289" s="81">
        <v>245</v>
      </c>
      <c r="H289" s="104">
        <f t="shared" si="5"/>
        <v>100</v>
      </c>
      <c r="I289" s="477"/>
      <c r="J289" s="477"/>
      <c r="K289" s="477"/>
      <c r="L289" s="474"/>
      <c r="M289" s="474"/>
      <c r="N289" s="474"/>
      <c r="O289" s="471"/>
    </row>
    <row r="290" spans="1:15" s="24" customFormat="1" ht="19.5" customHeight="1">
      <c r="A290" s="109"/>
      <c r="B290" s="59"/>
      <c r="C290" s="90">
        <v>3110</v>
      </c>
      <c r="D290" s="88" t="s">
        <v>135</v>
      </c>
      <c r="E290" s="81">
        <v>7510656</v>
      </c>
      <c r="F290" s="81">
        <v>6324156</v>
      </c>
      <c r="G290" s="81">
        <v>6324155.67</v>
      </c>
      <c r="H290" s="104">
        <f t="shared" si="5"/>
        <v>99.9999947819124</v>
      </c>
      <c r="I290" s="477"/>
      <c r="J290" s="477"/>
      <c r="K290" s="477"/>
      <c r="L290" s="474"/>
      <c r="M290" s="474"/>
      <c r="N290" s="474"/>
      <c r="O290" s="471"/>
    </row>
    <row r="291" spans="1:15" s="24" customFormat="1" ht="19.5" customHeight="1">
      <c r="A291" s="109"/>
      <c r="B291" s="59"/>
      <c r="C291" s="59">
        <v>4010</v>
      </c>
      <c r="D291" s="14" t="s">
        <v>105</v>
      </c>
      <c r="E291" s="81">
        <v>123700</v>
      </c>
      <c r="F291" s="81">
        <v>118963</v>
      </c>
      <c r="G291" s="81">
        <v>118963</v>
      </c>
      <c r="H291" s="104">
        <f t="shared" si="5"/>
        <v>100</v>
      </c>
      <c r="I291" s="477"/>
      <c r="J291" s="477"/>
      <c r="K291" s="477"/>
      <c r="L291" s="474"/>
      <c r="M291" s="474"/>
      <c r="N291" s="474"/>
      <c r="O291" s="471"/>
    </row>
    <row r="292" spans="1:15" s="24" customFormat="1" ht="19.5" customHeight="1">
      <c r="A292" s="109"/>
      <c r="B292" s="59"/>
      <c r="C292" s="59">
        <v>4040</v>
      </c>
      <c r="D292" s="14" t="s">
        <v>106</v>
      </c>
      <c r="E292" s="81">
        <v>11000</v>
      </c>
      <c r="F292" s="81">
        <v>10127</v>
      </c>
      <c r="G292" s="81">
        <v>10126.47</v>
      </c>
      <c r="H292" s="104">
        <f t="shared" si="5"/>
        <v>99.99476646588327</v>
      </c>
      <c r="I292" s="477"/>
      <c r="J292" s="477"/>
      <c r="K292" s="477"/>
      <c r="L292" s="474"/>
      <c r="M292" s="474"/>
      <c r="N292" s="474"/>
      <c r="O292" s="471"/>
    </row>
    <row r="293" spans="1:15" s="24" customFormat="1" ht="19.5" customHeight="1">
      <c r="A293" s="109"/>
      <c r="B293" s="59"/>
      <c r="C293" s="59">
        <v>4110</v>
      </c>
      <c r="D293" s="14" t="s">
        <v>107</v>
      </c>
      <c r="E293" s="81">
        <f>23500+60000</f>
        <v>83500</v>
      </c>
      <c r="F293" s="81">
        <v>82461</v>
      </c>
      <c r="G293" s="81">
        <v>82460.19</v>
      </c>
      <c r="H293" s="104">
        <f t="shared" si="5"/>
        <v>99.99901771746644</v>
      </c>
      <c r="I293" s="477"/>
      <c r="J293" s="477"/>
      <c r="K293" s="477"/>
      <c r="L293" s="474"/>
      <c r="M293" s="474"/>
      <c r="N293" s="474"/>
      <c r="O293" s="471"/>
    </row>
    <row r="294" spans="1:15" s="24" customFormat="1" ht="19.5" customHeight="1">
      <c r="A294" s="109"/>
      <c r="B294" s="59"/>
      <c r="C294" s="59">
        <v>4120</v>
      </c>
      <c r="D294" s="14" t="s">
        <v>108</v>
      </c>
      <c r="E294" s="81">
        <v>3400</v>
      </c>
      <c r="F294" s="81">
        <v>3478</v>
      </c>
      <c r="G294" s="81">
        <v>3477.56</v>
      </c>
      <c r="H294" s="104">
        <f t="shared" si="5"/>
        <v>99.98734905117884</v>
      </c>
      <c r="I294" s="477"/>
      <c r="J294" s="477"/>
      <c r="K294" s="477"/>
      <c r="L294" s="474"/>
      <c r="M294" s="474"/>
      <c r="N294" s="474"/>
      <c r="O294" s="471"/>
    </row>
    <row r="295" spans="1:15" s="24" customFormat="1" ht="19.5" customHeight="1">
      <c r="A295" s="109"/>
      <c r="B295" s="89"/>
      <c r="C295" s="59">
        <v>4170</v>
      </c>
      <c r="D295" s="42" t="s">
        <v>238</v>
      </c>
      <c r="E295" s="81">
        <v>4000</v>
      </c>
      <c r="F295" s="81">
        <v>80</v>
      </c>
      <c r="G295" s="81">
        <v>80</v>
      </c>
      <c r="H295" s="104">
        <f t="shared" si="5"/>
        <v>100</v>
      </c>
      <c r="I295" s="477"/>
      <c r="J295" s="477"/>
      <c r="K295" s="477"/>
      <c r="L295" s="474"/>
      <c r="M295" s="474"/>
      <c r="N295" s="474"/>
      <c r="O295" s="471"/>
    </row>
    <row r="296" spans="1:15" s="24" customFormat="1" ht="19.5" customHeight="1">
      <c r="A296" s="109"/>
      <c r="B296" s="89"/>
      <c r="C296" s="59">
        <v>4210</v>
      </c>
      <c r="D296" s="14" t="s">
        <v>113</v>
      </c>
      <c r="E296" s="81">
        <f>8000+3410</f>
        <v>11410</v>
      </c>
      <c r="F296" s="81">
        <v>1417</v>
      </c>
      <c r="G296" s="81">
        <v>1415.98</v>
      </c>
      <c r="H296" s="104">
        <f t="shared" si="5"/>
        <v>99.92801693719126</v>
      </c>
      <c r="I296" s="477"/>
      <c r="J296" s="477"/>
      <c r="K296" s="477"/>
      <c r="L296" s="474"/>
      <c r="M296" s="474"/>
      <c r="N296" s="474"/>
      <c r="O296" s="471"/>
    </row>
    <row r="297" spans="1:15" s="24" customFormat="1" ht="19.5" customHeight="1">
      <c r="A297" s="109"/>
      <c r="B297" s="89"/>
      <c r="C297" s="59">
        <v>4270</v>
      </c>
      <c r="D297" s="14" t="s">
        <v>99</v>
      </c>
      <c r="E297" s="81">
        <v>1000</v>
      </c>
      <c r="F297" s="81">
        <v>275</v>
      </c>
      <c r="G297" s="81">
        <v>274.5</v>
      </c>
      <c r="H297" s="104">
        <f t="shared" si="5"/>
        <v>99.81818181818181</v>
      </c>
      <c r="I297" s="477"/>
      <c r="J297" s="477"/>
      <c r="K297" s="477"/>
      <c r="L297" s="474"/>
      <c r="M297" s="474"/>
      <c r="N297" s="474"/>
      <c r="O297" s="471"/>
    </row>
    <row r="298" spans="1:15" s="24" customFormat="1" ht="19.5" customHeight="1">
      <c r="A298" s="109"/>
      <c r="B298" s="89"/>
      <c r="C298" s="59">
        <v>4280</v>
      </c>
      <c r="D298" s="14" t="s">
        <v>274</v>
      </c>
      <c r="E298" s="81">
        <v>500</v>
      </c>
      <c r="F298" s="81">
        <v>196</v>
      </c>
      <c r="G298" s="81">
        <v>196</v>
      </c>
      <c r="H298" s="104">
        <f t="shared" si="5"/>
        <v>100</v>
      </c>
      <c r="I298" s="477"/>
      <c r="J298" s="477"/>
      <c r="K298" s="477"/>
      <c r="L298" s="474"/>
      <c r="M298" s="474"/>
      <c r="N298" s="474"/>
      <c r="O298" s="471"/>
    </row>
    <row r="299" spans="1:15" s="24" customFormat="1" ht="19.5" customHeight="1">
      <c r="A299" s="109"/>
      <c r="B299" s="89"/>
      <c r="C299" s="59">
        <v>4300</v>
      </c>
      <c r="D299" s="14" t="s">
        <v>100</v>
      </c>
      <c r="E299" s="81">
        <f>24150+3410</f>
        <v>27560</v>
      </c>
      <c r="F299" s="81">
        <v>11199</v>
      </c>
      <c r="G299" s="81">
        <v>11198.91</v>
      </c>
      <c r="H299" s="104">
        <f t="shared" si="5"/>
        <v>99.99919635681758</v>
      </c>
      <c r="I299" s="477"/>
      <c r="J299" s="477"/>
      <c r="K299" s="477"/>
      <c r="L299" s="474"/>
      <c r="M299" s="474"/>
      <c r="N299" s="474"/>
      <c r="O299" s="471"/>
    </row>
    <row r="300" spans="1:15" s="24" customFormat="1" ht="19.5" customHeight="1">
      <c r="A300" s="109"/>
      <c r="B300" s="89"/>
      <c r="C300" s="59">
        <v>4350</v>
      </c>
      <c r="D300" s="14" t="s">
        <v>276</v>
      </c>
      <c r="E300" s="81">
        <v>3500</v>
      </c>
      <c r="F300" s="81">
        <v>3039</v>
      </c>
      <c r="G300" s="81">
        <v>3033.1</v>
      </c>
      <c r="H300" s="104">
        <f t="shared" si="5"/>
        <v>99.8058571898651</v>
      </c>
      <c r="I300" s="477"/>
      <c r="J300" s="477"/>
      <c r="K300" s="477"/>
      <c r="L300" s="474"/>
      <c r="M300" s="474"/>
      <c r="N300" s="474"/>
      <c r="O300" s="471"/>
    </row>
    <row r="301" spans="1:15" s="24" customFormat="1" ht="24.75" customHeight="1">
      <c r="A301" s="109"/>
      <c r="B301" s="89"/>
      <c r="C301" s="59">
        <v>4360</v>
      </c>
      <c r="D301" s="14" t="s">
        <v>291</v>
      </c>
      <c r="E301" s="81">
        <v>1000</v>
      </c>
      <c r="F301" s="81">
        <v>832</v>
      </c>
      <c r="G301" s="81">
        <v>819.49</v>
      </c>
      <c r="H301" s="104">
        <f t="shared" si="5"/>
        <v>98.49639423076924</v>
      </c>
      <c r="I301" s="477"/>
      <c r="J301" s="477"/>
      <c r="K301" s="477"/>
      <c r="L301" s="474"/>
      <c r="M301" s="474"/>
      <c r="N301" s="474"/>
      <c r="O301" s="471"/>
    </row>
    <row r="302" spans="1:15" s="24" customFormat="1" ht="24.75" customHeight="1">
      <c r="A302" s="109"/>
      <c r="B302" s="89"/>
      <c r="C302" s="59">
        <v>4370</v>
      </c>
      <c r="D302" s="14" t="s">
        <v>287</v>
      </c>
      <c r="E302" s="81">
        <v>4000</v>
      </c>
      <c r="F302" s="81">
        <v>3271</v>
      </c>
      <c r="G302" s="81">
        <v>3250.2</v>
      </c>
      <c r="H302" s="104">
        <f t="shared" si="5"/>
        <v>99.36410883521857</v>
      </c>
      <c r="I302" s="477"/>
      <c r="J302" s="477"/>
      <c r="K302" s="477"/>
      <c r="L302" s="474"/>
      <c r="M302" s="474"/>
      <c r="N302" s="474"/>
      <c r="O302" s="471"/>
    </row>
    <row r="303" spans="1:15" s="24" customFormat="1" ht="19.5" customHeight="1">
      <c r="A303" s="109"/>
      <c r="B303" s="89"/>
      <c r="C303" s="59">
        <v>4410</v>
      </c>
      <c r="D303" s="14" t="s">
        <v>111</v>
      </c>
      <c r="E303" s="81">
        <v>2500</v>
      </c>
      <c r="F303" s="81">
        <v>2750</v>
      </c>
      <c r="G303" s="81">
        <v>2652.68</v>
      </c>
      <c r="H303" s="104">
        <f t="shared" si="5"/>
        <v>96.46109090909091</v>
      </c>
      <c r="I303" s="477"/>
      <c r="J303" s="477"/>
      <c r="K303" s="477"/>
      <c r="L303" s="474"/>
      <c r="M303" s="474"/>
      <c r="N303" s="474"/>
      <c r="O303" s="471"/>
    </row>
    <row r="304" spans="1:15" s="24" customFormat="1" ht="19.5" customHeight="1">
      <c r="A304" s="109"/>
      <c r="B304" s="89"/>
      <c r="C304" s="59">
        <v>4430</v>
      </c>
      <c r="D304" s="42" t="s">
        <v>115</v>
      </c>
      <c r="E304" s="81">
        <v>2000</v>
      </c>
      <c r="F304" s="81">
        <v>2916</v>
      </c>
      <c r="G304" s="81">
        <v>2915.63</v>
      </c>
      <c r="H304" s="104">
        <f t="shared" si="5"/>
        <v>99.98731138545953</v>
      </c>
      <c r="I304" s="477"/>
      <c r="J304" s="477"/>
      <c r="K304" s="477"/>
      <c r="L304" s="474"/>
      <c r="M304" s="474"/>
      <c r="N304" s="474"/>
      <c r="O304" s="471"/>
    </row>
    <row r="305" spans="1:15" s="24" customFormat="1" ht="24.75" customHeight="1">
      <c r="A305" s="109"/>
      <c r="B305" s="89"/>
      <c r="C305" s="59">
        <v>4440</v>
      </c>
      <c r="D305" s="14" t="s">
        <v>109</v>
      </c>
      <c r="E305" s="81">
        <v>4000</v>
      </c>
      <c r="F305" s="81">
        <v>4023</v>
      </c>
      <c r="G305" s="81">
        <v>4022.98</v>
      </c>
      <c r="H305" s="104">
        <f t="shared" si="5"/>
        <v>99.99950285856326</v>
      </c>
      <c r="I305" s="477"/>
      <c r="J305" s="477"/>
      <c r="K305" s="477"/>
      <c r="L305" s="474"/>
      <c r="M305" s="474"/>
      <c r="N305" s="474"/>
      <c r="O305" s="471"/>
    </row>
    <row r="306" spans="1:15" s="24" customFormat="1" ht="24.75" customHeight="1">
      <c r="A306" s="109"/>
      <c r="B306" s="89"/>
      <c r="C306" s="59">
        <v>4700</v>
      </c>
      <c r="D306" s="14" t="s">
        <v>290</v>
      </c>
      <c r="E306" s="81">
        <v>3000</v>
      </c>
      <c r="F306" s="81">
        <v>1460</v>
      </c>
      <c r="G306" s="81">
        <v>1460</v>
      </c>
      <c r="H306" s="104">
        <f t="shared" si="5"/>
        <v>100</v>
      </c>
      <c r="I306" s="477"/>
      <c r="J306" s="477"/>
      <c r="K306" s="477"/>
      <c r="L306" s="474"/>
      <c r="M306" s="474"/>
      <c r="N306" s="474"/>
      <c r="O306" s="471"/>
    </row>
    <row r="307" spans="1:15" s="24" customFormat="1" ht="33.75">
      <c r="A307" s="109"/>
      <c r="B307" s="89"/>
      <c r="C307" s="59">
        <v>4740</v>
      </c>
      <c r="D307" s="14" t="s">
        <v>289</v>
      </c>
      <c r="E307" s="81">
        <v>4000</v>
      </c>
      <c r="F307" s="81">
        <v>326</v>
      </c>
      <c r="G307" s="81">
        <v>325.37</v>
      </c>
      <c r="H307" s="104">
        <f t="shared" si="5"/>
        <v>99.80674846625767</v>
      </c>
      <c r="I307" s="477"/>
      <c r="J307" s="477"/>
      <c r="K307" s="477"/>
      <c r="L307" s="474"/>
      <c r="M307" s="474"/>
      <c r="N307" s="474"/>
      <c r="O307" s="471"/>
    </row>
    <row r="308" spans="1:15" s="24" customFormat="1" ht="24.75" customHeight="1">
      <c r="A308" s="109"/>
      <c r="B308" s="89"/>
      <c r="C308" s="59">
        <v>4750</v>
      </c>
      <c r="D308" s="14" t="s">
        <v>502</v>
      </c>
      <c r="E308" s="81">
        <v>3074</v>
      </c>
      <c r="F308" s="81">
        <v>1667</v>
      </c>
      <c r="G308" s="81">
        <v>1666.98</v>
      </c>
      <c r="H308" s="104">
        <f t="shared" si="5"/>
        <v>99.99880023995202</v>
      </c>
      <c r="I308" s="477"/>
      <c r="J308" s="477"/>
      <c r="K308" s="477"/>
      <c r="L308" s="474"/>
      <c r="M308" s="474"/>
      <c r="N308" s="474"/>
      <c r="O308" s="471"/>
    </row>
    <row r="309" spans="1:15" s="24" customFormat="1" ht="56.25">
      <c r="A309" s="77"/>
      <c r="B309" s="99">
        <v>85213</v>
      </c>
      <c r="C309" s="98"/>
      <c r="D309" s="42" t="s">
        <v>252</v>
      </c>
      <c r="E309" s="92">
        <f>SUM(E310)</f>
        <v>99900</v>
      </c>
      <c r="F309" s="92">
        <f>SUM(F310)</f>
        <v>78400</v>
      </c>
      <c r="G309" s="92">
        <f>SUM(G310)</f>
        <v>53196.75</v>
      </c>
      <c r="H309" s="104">
        <f t="shared" si="5"/>
        <v>67.8529974489796</v>
      </c>
      <c r="I309" s="471"/>
      <c r="J309" s="471"/>
      <c r="K309" s="471"/>
      <c r="L309" s="471"/>
      <c r="M309" s="471"/>
      <c r="N309" s="471"/>
      <c r="O309" s="471"/>
    </row>
    <row r="310" spans="1:15" s="24" customFormat="1" ht="19.5" customHeight="1">
      <c r="A310" s="77"/>
      <c r="B310" s="99"/>
      <c r="C310" s="98">
        <v>4130</v>
      </c>
      <c r="D310" s="42" t="s">
        <v>143</v>
      </c>
      <c r="E310" s="92">
        <v>99900</v>
      </c>
      <c r="F310" s="92">
        <v>78400</v>
      </c>
      <c r="G310" s="92">
        <v>53196.75</v>
      </c>
      <c r="H310" s="255">
        <f t="shared" si="5"/>
        <v>67.8529974489796</v>
      </c>
      <c r="I310" s="471"/>
      <c r="J310" s="471"/>
      <c r="K310" s="471"/>
      <c r="L310" s="471"/>
      <c r="M310" s="471"/>
      <c r="N310" s="471"/>
      <c r="O310" s="471"/>
    </row>
    <row r="311" spans="1:15" s="24" customFormat="1" ht="24.75" customHeight="1">
      <c r="A311" s="77"/>
      <c r="B311" s="94">
        <v>85214</v>
      </c>
      <c r="C311" s="98"/>
      <c r="D311" s="42" t="s">
        <v>257</v>
      </c>
      <c r="E311" s="92">
        <f>SUM(E312:E313)</f>
        <v>1514100</v>
      </c>
      <c r="F311" s="92">
        <f>SUM(F312:F313)</f>
        <v>1616575</v>
      </c>
      <c r="G311" s="92">
        <f>SUM(G312:G313)</f>
        <v>1560478.8199999998</v>
      </c>
      <c r="H311" s="255">
        <f t="shared" si="5"/>
        <v>96.52993643969502</v>
      </c>
      <c r="I311" s="471"/>
      <c r="J311" s="471"/>
      <c r="K311" s="471"/>
      <c r="L311" s="471"/>
      <c r="M311" s="471"/>
      <c r="N311" s="471"/>
      <c r="O311" s="471"/>
    </row>
    <row r="312" spans="1:15" s="24" customFormat="1" ht="19.5" customHeight="1">
      <c r="A312" s="77"/>
      <c r="B312" s="94"/>
      <c r="C312" s="98">
        <v>3110</v>
      </c>
      <c r="D312" s="42" t="s">
        <v>135</v>
      </c>
      <c r="E312" s="92">
        <f>3000+500000+439200-3000+571900</f>
        <v>1511100</v>
      </c>
      <c r="F312" s="92">
        <v>1614190</v>
      </c>
      <c r="G312" s="92">
        <v>1558093.88</v>
      </c>
      <c r="H312" s="255">
        <f t="shared" si="5"/>
        <v>96.52481306413743</v>
      </c>
      <c r="I312" s="471"/>
      <c r="J312" s="471"/>
      <c r="K312" s="471"/>
      <c r="L312" s="471"/>
      <c r="M312" s="471"/>
      <c r="N312" s="471"/>
      <c r="O312" s="471"/>
    </row>
    <row r="313" spans="1:15" s="24" customFormat="1" ht="19.5" customHeight="1">
      <c r="A313" s="77"/>
      <c r="B313" s="94"/>
      <c r="C313" s="98">
        <v>4110</v>
      </c>
      <c r="D313" s="42" t="s">
        <v>107</v>
      </c>
      <c r="E313" s="92">
        <v>3000</v>
      </c>
      <c r="F313" s="92">
        <v>2385</v>
      </c>
      <c r="G313" s="92">
        <v>2384.94</v>
      </c>
      <c r="H313" s="255">
        <f t="shared" si="5"/>
        <v>99.99748427672957</v>
      </c>
      <c r="I313" s="471"/>
      <c r="J313" s="471"/>
      <c r="K313" s="471"/>
      <c r="L313" s="471"/>
      <c r="M313" s="471"/>
      <c r="N313" s="471"/>
      <c r="O313" s="471"/>
    </row>
    <row r="314" spans="1:15" s="24" customFormat="1" ht="19.5" customHeight="1">
      <c r="A314" s="77"/>
      <c r="B314" s="94">
        <v>85215</v>
      </c>
      <c r="C314" s="98"/>
      <c r="D314" s="42" t="s">
        <v>78</v>
      </c>
      <c r="E314" s="92">
        <f>SUM(E315)</f>
        <v>1450000</v>
      </c>
      <c r="F314" s="92">
        <f>SUM(F315)</f>
        <v>1198449</v>
      </c>
      <c r="G314" s="92">
        <f>SUM(G315)</f>
        <v>1073457.95</v>
      </c>
      <c r="H314" s="255">
        <f t="shared" si="5"/>
        <v>89.57059916608884</v>
      </c>
      <c r="I314" s="471"/>
      <c r="J314" s="471"/>
      <c r="K314" s="471"/>
      <c r="L314" s="471"/>
      <c r="M314" s="471"/>
      <c r="N314" s="471"/>
      <c r="O314" s="471"/>
    </row>
    <row r="315" spans="1:15" s="24" customFormat="1" ht="19.5" customHeight="1">
      <c r="A315" s="77"/>
      <c r="B315" s="94"/>
      <c r="C315" s="98">
        <v>3110</v>
      </c>
      <c r="D315" s="42" t="s">
        <v>135</v>
      </c>
      <c r="E315" s="92">
        <v>1450000</v>
      </c>
      <c r="F315" s="211">
        <v>1198449</v>
      </c>
      <c r="G315" s="211">
        <v>1073457.95</v>
      </c>
      <c r="H315" s="255">
        <f t="shared" si="5"/>
        <v>89.57059916608884</v>
      </c>
      <c r="I315" s="471"/>
      <c r="J315" s="471"/>
      <c r="K315" s="471"/>
      <c r="L315" s="471"/>
      <c r="M315" s="471"/>
      <c r="N315" s="471"/>
      <c r="O315" s="471"/>
    </row>
    <row r="316" spans="1:15" s="24" customFormat="1" ht="19.5" customHeight="1">
      <c r="A316" s="77"/>
      <c r="B316" s="94">
        <v>85219</v>
      </c>
      <c r="C316" s="98"/>
      <c r="D316" s="42" t="s">
        <v>79</v>
      </c>
      <c r="E316" s="92">
        <f>SUM(E317:E340)</f>
        <v>1045805</v>
      </c>
      <c r="F316" s="92">
        <f>SUM(F317:F340)</f>
        <v>1082769</v>
      </c>
      <c r="G316" s="92">
        <f>SUM(G317:G340)</f>
        <v>1081444.86</v>
      </c>
      <c r="H316" s="255">
        <f t="shared" si="5"/>
        <v>99.8777079875763</v>
      </c>
      <c r="I316" s="471"/>
      <c r="J316" s="471"/>
      <c r="K316" s="471"/>
      <c r="L316" s="471"/>
      <c r="M316" s="471"/>
      <c r="N316" s="471"/>
      <c r="O316" s="471"/>
    </row>
    <row r="317" spans="1:15" s="24" customFormat="1" ht="24.75" customHeight="1">
      <c r="A317" s="77"/>
      <c r="B317" s="94"/>
      <c r="C317" s="98">
        <v>3020</v>
      </c>
      <c r="D317" s="42" t="s">
        <v>266</v>
      </c>
      <c r="E317" s="92">
        <f>2100+550</f>
        <v>2650</v>
      </c>
      <c r="F317" s="92">
        <v>2225</v>
      </c>
      <c r="G317" s="92">
        <v>2224.48</v>
      </c>
      <c r="H317" s="255">
        <f t="shared" si="5"/>
        <v>99.97662921348315</v>
      </c>
      <c r="I317" s="471"/>
      <c r="J317" s="471"/>
      <c r="K317" s="471"/>
      <c r="L317" s="471"/>
      <c r="M317" s="471"/>
      <c r="N317" s="471"/>
      <c r="O317" s="471"/>
    </row>
    <row r="318" spans="1:15" s="24" customFormat="1" ht="19.5" customHeight="1">
      <c r="A318" s="77"/>
      <c r="B318" s="94"/>
      <c r="C318" s="98">
        <v>4010</v>
      </c>
      <c r="D318" s="42" t="s">
        <v>105</v>
      </c>
      <c r="E318" s="92">
        <f>19769+463372+44252</f>
        <v>527393</v>
      </c>
      <c r="F318" s="92">
        <v>543853</v>
      </c>
      <c r="G318" s="92">
        <v>543853</v>
      </c>
      <c r="H318" s="255">
        <f t="shared" si="5"/>
        <v>100</v>
      </c>
      <c r="I318" s="471"/>
      <c r="J318" s="471"/>
      <c r="K318" s="471"/>
      <c r="L318" s="471"/>
      <c r="M318" s="471"/>
      <c r="N318" s="471"/>
      <c r="O318" s="471"/>
    </row>
    <row r="319" spans="1:15" s="24" customFormat="1" ht="19.5" customHeight="1">
      <c r="A319" s="77"/>
      <c r="B319" s="94"/>
      <c r="C319" s="98">
        <v>4040</v>
      </c>
      <c r="D319" s="42" t="s">
        <v>106</v>
      </c>
      <c r="E319" s="92">
        <f>1500+32700+2985</f>
        <v>37185</v>
      </c>
      <c r="F319" s="92">
        <v>36741</v>
      </c>
      <c r="G319" s="92">
        <v>36739.83</v>
      </c>
      <c r="H319" s="255">
        <f t="shared" si="5"/>
        <v>99.9968155466645</v>
      </c>
      <c r="I319" s="471"/>
      <c r="J319" s="471"/>
      <c r="K319" s="471"/>
      <c r="L319" s="471"/>
      <c r="M319" s="471"/>
      <c r="N319" s="471"/>
      <c r="O319" s="471"/>
    </row>
    <row r="320" spans="1:15" s="24" customFormat="1" ht="19.5" customHeight="1">
      <c r="A320" s="77"/>
      <c r="B320" s="94"/>
      <c r="C320" s="98">
        <v>4110</v>
      </c>
      <c r="D320" s="42" t="s">
        <v>107</v>
      </c>
      <c r="E320" s="92">
        <f>3771+86738+8141</f>
        <v>98650</v>
      </c>
      <c r="F320" s="92">
        <v>98811</v>
      </c>
      <c r="G320" s="92">
        <v>98811</v>
      </c>
      <c r="H320" s="255">
        <f t="shared" si="5"/>
        <v>100</v>
      </c>
      <c r="I320" s="471"/>
      <c r="J320" s="471"/>
      <c r="K320" s="471"/>
      <c r="L320" s="471"/>
      <c r="M320" s="471"/>
      <c r="N320" s="471"/>
      <c r="O320" s="471"/>
    </row>
    <row r="321" spans="1:15" s="24" customFormat="1" ht="19.5" customHeight="1">
      <c r="A321" s="77"/>
      <c r="B321" s="94"/>
      <c r="C321" s="98">
        <v>4120</v>
      </c>
      <c r="D321" s="42" t="s">
        <v>108</v>
      </c>
      <c r="E321" s="92">
        <f>522+1125+11986</f>
        <v>13633</v>
      </c>
      <c r="F321" s="92">
        <v>13290</v>
      </c>
      <c r="G321" s="92">
        <v>13290</v>
      </c>
      <c r="H321" s="255">
        <f t="shared" si="5"/>
        <v>100</v>
      </c>
      <c r="I321" s="471"/>
      <c r="J321" s="471"/>
      <c r="K321" s="471"/>
      <c r="L321" s="471"/>
      <c r="M321" s="471"/>
      <c r="N321" s="471"/>
      <c r="O321" s="471"/>
    </row>
    <row r="322" spans="1:15" s="24" customFormat="1" ht="19.5" customHeight="1">
      <c r="A322" s="77"/>
      <c r="B322" s="94"/>
      <c r="C322" s="98">
        <v>4170</v>
      </c>
      <c r="D322" s="42" t="s">
        <v>238</v>
      </c>
      <c r="E322" s="92">
        <f>13200+9240</f>
        <v>22440</v>
      </c>
      <c r="F322" s="92">
        <v>20438</v>
      </c>
      <c r="G322" s="92">
        <v>20438</v>
      </c>
      <c r="H322" s="255">
        <f t="shared" si="5"/>
        <v>100</v>
      </c>
      <c r="I322" s="471"/>
      <c r="J322" s="471"/>
      <c r="K322" s="471"/>
      <c r="L322" s="471"/>
      <c r="M322" s="471"/>
      <c r="N322" s="471"/>
      <c r="O322" s="471"/>
    </row>
    <row r="323" spans="1:15" s="24" customFormat="1" ht="19.5" customHeight="1">
      <c r="A323" s="77"/>
      <c r="B323" s="94"/>
      <c r="C323" s="98">
        <v>4210</v>
      </c>
      <c r="D323" s="42" t="s">
        <v>113</v>
      </c>
      <c r="E323" s="92">
        <f>9300+5600+20500</f>
        <v>35400</v>
      </c>
      <c r="F323" s="92">
        <v>40465</v>
      </c>
      <c r="G323" s="92">
        <v>40474.92</v>
      </c>
      <c r="H323" s="255">
        <f t="shared" si="5"/>
        <v>100.02451501297418</v>
      </c>
      <c r="I323" s="471"/>
      <c r="J323" s="471"/>
      <c r="K323" s="471"/>
      <c r="L323" s="471"/>
      <c r="M323" s="471"/>
      <c r="N323" s="471"/>
      <c r="O323" s="471"/>
    </row>
    <row r="324" spans="1:15" s="24" customFormat="1" ht="19.5" customHeight="1">
      <c r="A324" s="77"/>
      <c r="B324" s="94"/>
      <c r="C324" s="98">
        <v>4220</v>
      </c>
      <c r="D324" s="42" t="s">
        <v>219</v>
      </c>
      <c r="E324" s="92">
        <v>85000</v>
      </c>
      <c r="F324" s="92">
        <v>130913</v>
      </c>
      <c r="G324" s="92">
        <v>130912.02</v>
      </c>
      <c r="H324" s="255">
        <f t="shared" si="5"/>
        <v>99.99925141124258</v>
      </c>
      <c r="I324" s="471"/>
      <c r="J324" s="471"/>
      <c r="K324" s="471"/>
      <c r="L324" s="471"/>
      <c r="M324" s="471"/>
      <c r="N324" s="471"/>
      <c r="O324" s="471"/>
    </row>
    <row r="325" spans="1:15" s="24" customFormat="1" ht="24.75" customHeight="1">
      <c r="A325" s="77"/>
      <c r="B325" s="94"/>
      <c r="C325" s="98">
        <v>4230</v>
      </c>
      <c r="D325" s="42" t="s">
        <v>439</v>
      </c>
      <c r="E325" s="92">
        <v>200</v>
      </c>
      <c r="F325" s="92">
        <v>100</v>
      </c>
      <c r="G325" s="92">
        <v>99.8</v>
      </c>
      <c r="H325" s="255">
        <f t="shared" si="5"/>
        <v>99.8</v>
      </c>
      <c r="I325" s="471"/>
      <c r="J325" s="471"/>
      <c r="K325" s="471"/>
      <c r="L325" s="471"/>
      <c r="M325" s="471"/>
      <c r="N325" s="471"/>
      <c r="O325" s="471"/>
    </row>
    <row r="326" spans="1:15" s="24" customFormat="1" ht="19.5" customHeight="1">
      <c r="A326" s="77"/>
      <c r="B326" s="94"/>
      <c r="C326" s="98">
        <v>4260</v>
      </c>
      <c r="D326" s="42" t="s">
        <v>116</v>
      </c>
      <c r="E326" s="92">
        <f>4000+5200</f>
        <v>9200</v>
      </c>
      <c r="F326" s="92">
        <v>9435</v>
      </c>
      <c r="G326" s="92">
        <v>9418.6</v>
      </c>
      <c r="H326" s="255">
        <f t="shared" si="5"/>
        <v>99.82617912029677</v>
      </c>
      <c r="I326" s="471"/>
      <c r="J326" s="471"/>
      <c r="K326" s="471"/>
      <c r="L326" s="471"/>
      <c r="M326" s="471"/>
      <c r="N326" s="471"/>
      <c r="O326" s="471"/>
    </row>
    <row r="327" spans="1:15" s="24" customFormat="1" ht="19.5" customHeight="1">
      <c r="A327" s="77"/>
      <c r="B327" s="94"/>
      <c r="C327" s="98">
        <v>4270</v>
      </c>
      <c r="D327" s="42" t="s">
        <v>99</v>
      </c>
      <c r="E327" s="92">
        <v>3244</v>
      </c>
      <c r="F327" s="92">
        <v>684</v>
      </c>
      <c r="G327" s="92">
        <v>683.1</v>
      </c>
      <c r="H327" s="255">
        <f t="shared" si="5"/>
        <v>99.86842105263159</v>
      </c>
      <c r="I327" s="471"/>
      <c r="J327" s="471"/>
      <c r="K327" s="471"/>
      <c r="L327" s="471"/>
      <c r="M327" s="471"/>
      <c r="N327" s="471"/>
      <c r="O327" s="471"/>
    </row>
    <row r="328" spans="1:15" s="24" customFormat="1" ht="19.5" customHeight="1">
      <c r="A328" s="77"/>
      <c r="B328" s="94"/>
      <c r="C328" s="98">
        <v>4280</v>
      </c>
      <c r="D328" s="42" t="s">
        <v>247</v>
      </c>
      <c r="E328" s="92">
        <f>150+350+300</f>
        <v>800</v>
      </c>
      <c r="F328" s="92">
        <v>550</v>
      </c>
      <c r="G328" s="92">
        <v>550</v>
      </c>
      <c r="H328" s="255">
        <f t="shared" si="5"/>
        <v>100</v>
      </c>
      <c r="I328" s="471"/>
      <c r="J328" s="471"/>
      <c r="K328" s="471"/>
      <c r="L328" s="471"/>
      <c r="M328" s="471"/>
      <c r="N328" s="471"/>
      <c r="O328" s="471"/>
    </row>
    <row r="329" spans="1:15" s="24" customFormat="1" ht="19.5" customHeight="1">
      <c r="A329" s="77"/>
      <c r="B329" s="94"/>
      <c r="C329" s="98">
        <v>4300</v>
      </c>
      <c r="D329" s="42" t="s">
        <v>100</v>
      </c>
      <c r="E329" s="92">
        <f>46605+23261+4400</f>
        <v>74266</v>
      </c>
      <c r="F329" s="92">
        <v>61662</v>
      </c>
      <c r="G329" s="92">
        <v>60577.31</v>
      </c>
      <c r="H329" s="255">
        <f t="shared" si="5"/>
        <v>98.24091012292821</v>
      </c>
      <c r="I329" s="471"/>
      <c r="J329" s="471"/>
      <c r="K329" s="471"/>
      <c r="L329" s="471"/>
      <c r="M329" s="471"/>
      <c r="N329" s="471"/>
      <c r="O329" s="471"/>
    </row>
    <row r="330" spans="1:15" s="24" customFormat="1" ht="19.5" customHeight="1">
      <c r="A330" s="77"/>
      <c r="B330" s="94"/>
      <c r="C330" s="98">
        <v>4350</v>
      </c>
      <c r="D330" s="42" t="s">
        <v>258</v>
      </c>
      <c r="E330" s="92">
        <f>665+627</f>
        <v>1292</v>
      </c>
      <c r="F330" s="92">
        <v>1061</v>
      </c>
      <c r="G330" s="92">
        <v>1059.94</v>
      </c>
      <c r="H330" s="255">
        <f t="shared" si="5"/>
        <v>99.90009425070689</v>
      </c>
      <c r="I330" s="471"/>
      <c r="J330" s="471"/>
      <c r="K330" s="471"/>
      <c r="L330" s="471"/>
      <c r="M330" s="471"/>
      <c r="N330" s="471"/>
      <c r="O330" s="471"/>
    </row>
    <row r="331" spans="1:15" s="24" customFormat="1" ht="24.75" customHeight="1">
      <c r="A331" s="77"/>
      <c r="B331" s="94"/>
      <c r="C331" s="98">
        <v>4360</v>
      </c>
      <c r="D331" s="42" t="s">
        <v>291</v>
      </c>
      <c r="E331" s="92">
        <v>366</v>
      </c>
      <c r="F331" s="92">
        <v>598</v>
      </c>
      <c r="G331" s="92">
        <v>598</v>
      </c>
      <c r="H331" s="255">
        <f t="shared" si="5"/>
        <v>100</v>
      </c>
      <c r="I331" s="471"/>
      <c r="J331" s="471"/>
      <c r="K331" s="471"/>
      <c r="L331" s="471"/>
      <c r="M331" s="471"/>
      <c r="N331" s="471"/>
      <c r="O331" s="471"/>
    </row>
    <row r="332" spans="1:15" s="24" customFormat="1" ht="24.75" customHeight="1">
      <c r="A332" s="77"/>
      <c r="B332" s="94"/>
      <c r="C332" s="98">
        <v>4370</v>
      </c>
      <c r="D332" s="42" t="s">
        <v>287</v>
      </c>
      <c r="E332" s="92">
        <f>2400+10200+360</f>
        <v>12960</v>
      </c>
      <c r="F332" s="92">
        <v>8073</v>
      </c>
      <c r="G332" s="92">
        <v>7783.72</v>
      </c>
      <c r="H332" s="255">
        <f t="shared" si="5"/>
        <v>96.41669763408895</v>
      </c>
      <c r="I332" s="471"/>
      <c r="J332" s="471"/>
      <c r="K332" s="471"/>
      <c r="L332" s="471"/>
      <c r="M332" s="471"/>
      <c r="N332" s="471"/>
      <c r="O332" s="471"/>
    </row>
    <row r="333" spans="1:15" s="24" customFormat="1" ht="33.75">
      <c r="A333" s="77"/>
      <c r="B333" s="94"/>
      <c r="C333" s="98">
        <v>4400</v>
      </c>
      <c r="D333" s="42" t="s">
        <v>447</v>
      </c>
      <c r="E333" s="92">
        <f>1922+54307+11378</f>
        <v>67607</v>
      </c>
      <c r="F333" s="92">
        <v>64857</v>
      </c>
      <c r="G333" s="92">
        <v>64925.61</v>
      </c>
      <c r="H333" s="255">
        <f t="shared" si="5"/>
        <v>100.1057865766224</v>
      </c>
      <c r="I333" s="474"/>
      <c r="J333" s="471"/>
      <c r="K333" s="471"/>
      <c r="L333" s="471"/>
      <c r="M333" s="471"/>
      <c r="N333" s="471"/>
      <c r="O333" s="471"/>
    </row>
    <row r="334" spans="1:15" s="24" customFormat="1" ht="19.5" customHeight="1">
      <c r="A334" s="77"/>
      <c r="B334" s="94"/>
      <c r="C334" s="98">
        <v>4410</v>
      </c>
      <c r="D334" s="42" t="s">
        <v>111</v>
      </c>
      <c r="E334" s="92">
        <f>500+10260</f>
        <v>10760</v>
      </c>
      <c r="F334" s="92">
        <v>7610</v>
      </c>
      <c r="G334" s="92">
        <v>7610.03</v>
      </c>
      <c r="H334" s="255">
        <f t="shared" si="5"/>
        <v>100.00039421813402</v>
      </c>
      <c r="I334" s="471"/>
      <c r="J334" s="471"/>
      <c r="K334" s="471"/>
      <c r="L334" s="471"/>
      <c r="M334" s="471"/>
      <c r="N334" s="471"/>
      <c r="O334" s="471"/>
    </row>
    <row r="335" spans="1:15" s="24" customFormat="1" ht="19.5" customHeight="1">
      <c r="A335" s="77"/>
      <c r="B335" s="94"/>
      <c r="C335" s="98">
        <v>4430</v>
      </c>
      <c r="D335" s="42" t="s">
        <v>115</v>
      </c>
      <c r="E335" s="92">
        <v>600</v>
      </c>
      <c r="F335" s="92">
        <v>2105</v>
      </c>
      <c r="G335" s="92">
        <v>2105</v>
      </c>
      <c r="H335" s="255">
        <f t="shared" si="5"/>
        <v>100</v>
      </c>
      <c r="I335" s="471"/>
      <c r="J335" s="471"/>
      <c r="K335" s="471"/>
      <c r="L335" s="471"/>
      <c r="M335" s="471"/>
      <c r="N335" s="471"/>
      <c r="O335" s="471"/>
    </row>
    <row r="336" spans="1:15" s="24" customFormat="1" ht="24.75" customHeight="1">
      <c r="A336" s="77"/>
      <c r="B336" s="94"/>
      <c r="C336" s="98">
        <v>4440</v>
      </c>
      <c r="D336" s="42" t="s">
        <v>109</v>
      </c>
      <c r="E336" s="92">
        <f>776+2327+14690</f>
        <v>17793</v>
      </c>
      <c r="F336" s="92">
        <v>18071</v>
      </c>
      <c r="G336" s="92">
        <v>18069.71</v>
      </c>
      <c r="H336" s="255">
        <f t="shared" si="5"/>
        <v>99.99286149078634</v>
      </c>
      <c r="I336" s="471"/>
      <c r="J336" s="471"/>
      <c r="K336" s="471"/>
      <c r="L336" s="471"/>
      <c r="M336" s="471"/>
      <c r="N336" s="471"/>
      <c r="O336" s="471"/>
    </row>
    <row r="337" spans="1:15" s="24" customFormat="1" ht="24.75" customHeight="1">
      <c r="A337" s="77"/>
      <c r="B337" s="94"/>
      <c r="C337" s="98">
        <v>4700</v>
      </c>
      <c r="D337" s="42" t="s">
        <v>290</v>
      </c>
      <c r="E337" s="92">
        <v>3500</v>
      </c>
      <c r="F337" s="92">
        <v>660</v>
      </c>
      <c r="G337" s="92">
        <v>660</v>
      </c>
      <c r="H337" s="255">
        <f t="shared" si="5"/>
        <v>100</v>
      </c>
      <c r="I337" s="471"/>
      <c r="J337" s="471"/>
      <c r="K337" s="471"/>
      <c r="L337" s="471"/>
      <c r="M337" s="471"/>
      <c r="N337" s="471"/>
      <c r="O337" s="471"/>
    </row>
    <row r="338" spans="1:15" s="24" customFormat="1" ht="33.75">
      <c r="A338" s="77"/>
      <c r="B338" s="94"/>
      <c r="C338" s="98">
        <v>4740</v>
      </c>
      <c r="D338" s="42" t="s">
        <v>289</v>
      </c>
      <c r="E338" s="92">
        <f>200+1406</f>
        <v>1606</v>
      </c>
      <c r="F338" s="92">
        <v>1606</v>
      </c>
      <c r="G338" s="92">
        <v>1600.7</v>
      </c>
      <c r="H338" s="255">
        <f t="shared" si="5"/>
        <v>99.66998754669987</v>
      </c>
      <c r="I338" s="471"/>
      <c r="J338" s="471"/>
      <c r="K338" s="471"/>
      <c r="L338" s="471"/>
      <c r="M338" s="471"/>
      <c r="N338" s="471"/>
      <c r="O338" s="471"/>
    </row>
    <row r="339" spans="1:15" s="24" customFormat="1" ht="24.75" customHeight="1">
      <c r="A339" s="77"/>
      <c r="B339" s="94"/>
      <c r="C339" s="98">
        <v>4750</v>
      </c>
      <c r="D339" s="42" t="s">
        <v>502</v>
      </c>
      <c r="E339" s="92">
        <v>710</v>
      </c>
      <c r="F339" s="92">
        <v>3089</v>
      </c>
      <c r="G339" s="92">
        <v>3088.31</v>
      </c>
      <c r="H339" s="255">
        <f t="shared" si="5"/>
        <v>99.97766267400453</v>
      </c>
      <c r="I339" s="471"/>
      <c r="J339" s="471"/>
      <c r="K339" s="471"/>
      <c r="L339" s="471"/>
      <c r="M339" s="471"/>
      <c r="N339" s="471"/>
      <c r="O339" s="471"/>
    </row>
    <row r="340" spans="1:15" s="24" customFormat="1" ht="24.75" customHeight="1">
      <c r="A340" s="77"/>
      <c r="B340" s="94"/>
      <c r="C340" s="98">
        <v>6060</v>
      </c>
      <c r="D340" s="42" t="s">
        <v>117</v>
      </c>
      <c r="E340" s="92">
        <f>9750+8800</f>
        <v>18550</v>
      </c>
      <c r="F340" s="92">
        <v>15872</v>
      </c>
      <c r="G340" s="92">
        <v>15871.78</v>
      </c>
      <c r="H340" s="255">
        <f t="shared" si="5"/>
        <v>99.99861391129032</v>
      </c>
      <c r="I340" s="471"/>
      <c r="J340" s="471"/>
      <c r="K340" s="471"/>
      <c r="L340" s="471"/>
      <c r="M340" s="471"/>
      <c r="N340" s="471"/>
      <c r="O340" s="471"/>
    </row>
    <row r="341" spans="1:15" s="24" customFormat="1" ht="24.75" customHeight="1">
      <c r="A341" s="77"/>
      <c r="B341" s="94">
        <v>85228</v>
      </c>
      <c r="C341" s="98"/>
      <c r="D341" s="42" t="s">
        <v>144</v>
      </c>
      <c r="E341" s="92">
        <f>SUM(E342)</f>
        <v>140000</v>
      </c>
      <c r="F341" s="92">
        <f>SUM(F342)</f>
        <v>147000</v>
      </c>
      <c r="G341" s="92">
        <f>SUM(G342)</f>
        <v>146378.9</v>
      </c>
      <c r="H341" s="255">
        <f t="shared" si="5"/>
        <v>99.57748299319728</v>
      </c>
      <c r="I341" s="471"/>
      <c r="J341" s="471"/>
      <c r="K341" s="471"/>
      <c r="L341" s="471"/>
      <c r="M341" s="471"/>
      <c r="N341" s="471"/>
      <c r="O341" s="471"/>
    </row>
    <row r="342" spans="1:15" s="24" customFormat="1" ht="19.5" customHeight="1">
      <c r="A342" s="77"/>
      <c r="B342" s="94"/>
      <c r="C342" s="98">
        <v>4300</v>
      </c>
      <c r="D342" s="42" t="s">
        <v>100</v>
      </c>
      <c r="E342" s="92">
        <v>140000</v>
      </c>
      <c r="F342" s="92">
        <v>147000</v>
      </c>
      <c r="G342" s="92">
        <v>146378.9</v>
      </c>
      <c r="H342" s="255">
        <f t="shared" si="5"/>
        <v>99.57748299319728</v>
      </c>
      <c r="I342" s="471"/>
      <c r="J342" s="471"/>
      <c r="K342" s="471"/>
      <c r="L342" s="471"/>
      <c r="M342" s="471"/>
      <c r="N342" s="471"/>
      <c r="O342" s="471"/>
    </row>
    <row r="343" spans="1:15" s="24" customFormat="1" ht="19.5" customHeight="1">
      <c r="A343" s="77"/>
      <c r="B343" s="94" t="s">
        <v>192</v>
      </c>
      <c r="C343" s="98"/>
      <c r="D343" s="42" t="s">
        <v>18</v>
      </c>
      <c r="E343" s="92">
        <f>SUM(E344:E347)</f>
        <v>333720</v>
      </c>
      <c r="F343" s="92">
        <f>SUM(F344:F347)</f>
        <v>998719</v>
      </c>
      <c r="G343" s="92">
        <f>SUM(G344:G347)</f>
        <v>994670.93</v>
      </c>
      <c r="H343" s="255">
        <f t="shared" si="5"/>
        <v>99.59467377710848</v>
      </c>
      <c r="I343" s="471"/>
      <c r="J343" s="471"/>
      <c r="K343" s="471"/>
      <c r="L343" s="471"/>
      <c r="M343" s="471"/>
      <c r="N343" s="471"/>
      <c r="O343" s="471"/>
    </row>
    <row r="344" spans="1:15" s="24" customFormat="1" ht="33.75">
      <c r="A344" s="77"/>
      <c r="B344" s="94"/>
      <c r="C344" s="98">
        <v>2910</v>
      </c>
      <c r="D344" s="42" t="s">
        <v>549</v>
      </c>
      <c r="E344" s="92">
        <v>0</v>
      </c>
      <c r="F344" s="92">
        <v>32295</v>
      </c>
      <c r="G344" s="92">
        <v>32294.93</v>
      </c>
      <c r="H344" s="255">
        <f t="shared" si="5"/>
        <v>99.99978324818083</v>
      </c>
      <c r="I344" s="471"/>
      <c r="J344" s="471"/>
      <c r="K344" s="471"/>
      <c r="L344" s="471"/>
      <c r="M344" s="471"/>
      <c r="N344" s="471"/>
      <c r="O344" s="471"/>
    </row>
    <row r="345" spans="1:15" s="24" customFormat="1" ht="19.5" customHeight="1">
      <c r="A345" s="77"/>
      <c r="B345" s="94"/>
      <c r="C345" s="98">
        <v>3110</v>
      </c>
      <c r="D345" s="42" t="s">
        <v>135</v>
      </c>
      <c r="E345" s="92">
        <v>328200</v>
      </c>
      <c r="F345" s="92">
        <v>959424</v>
      </c>
      <c r="G345" s="92">
        <v>955376</v>
      </c>
      <c r="H345" s="255">
        <f>G345/F345*100</f>
        <v>99.5780801814422</v>
      </c>
      <c r="I345" s="471"/>
      <c r="J345" s="471"/>
      <c r="K345" s="471"/>
      <c r="L345" s="471"/>
      <c r="M345" s="471"/>
      <c r="N345" s="471"/>
      <c r="O345" s="471"/>
    </row>
    <row r="346" spans="1:15" s="24" customFormat="1" ht="19.5" customHeight="1">
      <c r="A346" s="77"/>
      <c r="B346" s="94"/>
      <c r="C346" s="98">
        <v>4430</v>
      </c>
      <c r="D346" s="42" t="s">
        <v>115</v>
      </c>
      <c r="E346" s="92">
        <v>5520</v>
      </c>
      <c r="F346" s="92">
        <v>5520</v>
      </c>
      <c r="G346" s="92">
        <v>5520</v>
      </c>
      <c r="H346" s="255">
        <f>G346/F346*100</f>
        <v>100</v>
      </c>
      <c r="I346" s="471"/>
      <c r="J346" s="471"/>
      <c r="K346" s="471"/>
      <c r="L346" s="471"/>
      <c r="M346" s="471"/>
      <c r="N346" s="471"/>
      <c r="O346" s="471"/>
    </row>
    <row r="347" spans="1:15" s="24" customFormat="1" ht="33.75">
      <c r="A347" s="77"/>
      <c r="B347" s="94"/>
      <c r="C347" s="98">
        <v>4560</v>
      </c>
      <c r="D347" s="42" t="s">
        <v>550</v>
      </c>
      <c r="E347" s="92">
        <v>0</v>
      </c>
      <c r="F347" s="92">
        <v>1480</v>
      </c>
      <c r="G347" s="92">
        <v>1480</v>
      </c>
      <c r="H347" s="255">
        <f>G347/F347*100</f>
        <v>100</v>
      </c>
      <c r="I347" s="471"/>
      <c r="J347" s="471"/>
      <c r="K347" s="471"/>
      <c r="L347" s="471"/>
      <c r="M347" s="471"/>
      <c r="N347" s="471"/>
      <c r="O347" s="471"/>
    </row>
    <row r="348" spans="1:15" s="45" customFormat="1" ht="24.75" customHeight="1">
      <c r="A348" s="37">
        <v>853</v>
      </c>
      <c r="B348" s="71"/>
      <c r="C348" s="39"/>
      <c r="D348" s="40" t="s">
        <v>467</v>
      </c>
      <c r="E348" s="41">
        <f aca="true" t="shared" si="6" ref="E348:G349">SUM(E349)</f>
        <v>0</v>
      </c>
      <c r="F348" s="41">
        <f t="shared" si="6"/>
        <v>5352</v>
      </c>
      <c r="G348" s="41">
        <f t="shared" si="6"/>
        <v>5352</v>
      </c>
      <c r="H348" s="475">
        <f aca="true" t="shared" si="7" ref="H348:H418">G348/F348*100</f>
        <v>100</v>
      </c>
      <c r="I348" s="473"/>
      <c r="J348" s="473"/>
      <c r="K348" s="473"/>
      <c r="L348" s="473"/>
      <c r="M348" s="473"/>
      <c r="N348" s="473"/>
      <c r="O348" s="473"/>
    </row>
    <row r="349" spans="1:15" s="24" customFormat="1" ht="24.75" customHeight="1">
      <c r="A349" s="77"/>
      <c r="B349" s="94">
        <v>85311</v>
      </c>
      <c r="C349" s="98"/>
      <c r="D349" s="42" t="s">
        <v>468</v>
      </c>
      <c r="E349" s="92">
        <f t="shared" si="6"/>
        <v>0</v>
      </c>
      <c r="F349" s="92">
        <f t="shared" si="6"/>
        <v>5352</v>
      </c>
      <c r="G349" s="92">
        <f t="shared" si="6"/>
        <v>5352</v>
      </c>
      <c r="H349" s="255">
        <f t="shared" si="7"/>
        <v>100</v>
      </c>
      <c r="I349" s="471"/>
      <c r="J349" s="471"/>
      <c r="K349" s="471"/>
      <c r="L349" s="471"/>
      <c r="M349" s="471"/>
      <c r="N349" s="471"/>
      <c r="O349" s="471"/>
    </row>
    <row r="350" spans="1:15" s="24" customFormat="1" ht="45">
      <c r="A350" s="77"/>
      <c r="B350" s="94"/>
      <c r="C350" s="98">
        <v>2710</v>
      </c>
      <c r="D350" s="42" t="s">
        <v>567</v>
      </c>
      <c r="E350" s="92">
        <v>0</v>
      </c>
      <c r="F350" s="92">
        <v>5352</v>
      </c>
      <c r="G350" s="92">
        <v>5352</v>
      </c>
      <c r="H350" s="255">
        <f t="shared" si="7"/>
        <v>100</v>
      </c>
      <c r="I350" s="471"/>
      <c r="J350" s="471"/>
      <c r="K350" s="471"/>
      <c r="L350" s="471"/>
      <c r="M350" s="471"/>
      <c r="N350" s="471"/>
      <c r="O350" s="471"/>
    </row>
    <row r="351" spans="1:15" s="8" customFormat="1" ht="19.5" customHeight="1">
      <c r="A351" s="37" t="s">
        <v>145</v>
      </c>
      <c r="B351" s="38"/>
      <c r="C351" s="39"/>
      <c r="D351" s="40" t="s">
        <v>80</v>
      </c>
      <c r="E351" s="41">
        <f>SUM(E352,E368,E386,E383,E375,E366)</f>
        <v>1103390</v>
      </c>
      <c r="F351" s="41">
        <f>SUM(F352,F368,F386,F383,F375,F366)</f>
        <v>1674690</v>
      </c>
      <c r="G351" s="41">
        <f>SUM(G352,G368,G386,G383,G375,G366)</f>
        <v>1629058.58</v>
      </c>
      <c r="H351" s="475">
        <f t="shared" si="7"/>
        <v>97.27523183395135</v>
      </c>
      <c r="I351" s="23"/>
      <c r="J351" s="23"/>
      <c r="K351" s="23"/>
      <c r="L351" s="23"/>
      <c r="M351" s="23"/>
      <c r="N351" s="23"/>
      <c r="O351" s="23"/>
    </row>
    <row r="352" spans="1:15" s="24" customFormat="1" ht="19.5" customHeight="1">
      <c r="A352" s="77"/>
      <c r="B352" s="94">
        <v>85401</v>
      </c>
      <c r="C352" s="98"/>
      <c r="D352" s="42" t="s">
        <v>81</v>
      </c>
      <c r="E352" s="92">
        <f>SUM(E353:E365)</f>
        <v>675335</v>
      </c>
      <c r="F352" s="92">
        <f>SUM(F353:F365)</f>
        <v>634744</v>
      </c>
      <c r="G352" s="92">
        <f>SUM(G353:G365)</f>
        <v>621066.96</v>
      </c>
      <c r="H352" s="255">
        <f t="shared" si="7"/>
        <v>97.84526675321074</v>
      </c>
      <c r="I352" s="471"/>
      <c r="J352" s="471"/>
      <c r="K352" s="471"/>
      <c r="L352" s="471"/>
      <c r="M352" s="471"/>
      <c r="N352" s="471"/>
      <c r="O352" s="471"/>
    </row>
    <row r="353" spans="1:15" s="24" customFormat="1" ht="24.75" customHeight="1">
      <c r="A353" s="77"/>
      <c r="B353" s="94"/>
      <c r="C353" s="98">
        <v>3020</v>
      </c>
      <c r="D353" s="42" t="s">
        <v>266</v>
      </c>
      <c r="E353" s="92">
        <v>10983</v>
      </c>
      <c r="F353" s="92">
        <v>9985</v>
      </c>
      <c r="G353" s="92">
        <v>9963.75</v>
      </c>
      <c r="H353" s="255">
        <f t="shared" si="7"/>
        <v>99.78718077115674</v>
      </c>
      <c r="I353" s="471"/>
      <c r="J353" s="471"/>
      <c r="K353" s="471"/>
      <c r="L353" s="471"/>
      <c r="M353" s="471"/>
      <c r="N353" s="471"/>
      <c r="O353" s="471"/>
    </row>
    <row r="354" spans="1:15" s="24" customFormat="1" ht="19.5" customHeight="1">
      <c r="A354" s="77"/>
      <c r="B354" s="94"/>
      <c r="C354" s="98">
        <v>4010</v>
      </c>
      <c r="D354" s="42" t="s">
        <v>105</v>
      </c>
      <c r="E354" s="92">
        <v>485405</v>
      </c>
      <c r="F354" s="92">
        <v>454627</v>
      </c>
      <c r="G354" s="92">
        <v>445901.28</v>
      </c>
      <c r="H354" s="255">
        <f t="shared" si="7"/>
        <v>98.08068592494507</v>
      </c>
      <c r="I354" s="471"/>
      <c r="J354" s="471"/>
      <c r="K354" s="471"/>
      <c r="L354" s="471"/>
      <c r="M354" s="471"/>
      <c r="N354" s="471"/>
      <c r="O354" s="471"/>
    </row>
    <row r="355" spans="1:15" s="24" customFormat="1" ht="19.5" customHeight="1">
      <c r="A355" s="77"/>
      <c r="B355" s="94"/>
      <c r="C355" s="98">
        <v>4040</v>
      </c>
      <c r="D355" s="42" t="s">
        <v>106</v>
      </c>
      <c r="E355" s="92">
        <v>34981</v>
      </c>
      <c r="F355" s="92">
        <v>30169</v>
      </c>
      <c r="G355" s="92">
        <v>30163.67</v>
      </c>
      <c r="H355" s="255">
        <f t="shared" si="7"/>
        <v>99.98233285823196</v>
      </c>
      <c r="I355" s="471"/>
      <c r="J355" s="471"/>
      <c r="K355" s="471"/>
      <c r="L355" s="471"/>
      <c r="M355" s="471"/>
      <c r="N355" s="471"/>
      <c r="O355" s="471"/>
    </row>
    <row r="356" spans="1:15" s="24" customFormat="1" ht="19.5" customHeight="1">
      <c r="A356" s="77"/>
      <c r="B356" s="94"/>
      <c r="C356" s="98">
        <v>4110</v>
      </c>
      <c r="D356" s="42" t="s">
        <v>107</v>
      </c>
      <c r="E356" s="92">
        <v>84863</v>
      </c>
      <c r="F356" s="92">
        <v>81115</v>
      </c>
      <c r="G356" s="92">
        <v>77856.64</v>
      </c>
      <c r="H356" s="255">
        <f t="shared" si="7"/>
        <v>95.98303642976022</v>
      </c>
      <c r="I356" s="471"/>
      <c r="J356" s="471"/>
      <c r="K356" s="471"/>
      <c r="L356" s="471"/>
      <c r="M356" s="471"/>
      <c r="N356" s="471"/>
      <c r="O356" s="471"/>
    </row>
    <row r="357" spans="1:15" s="24" customFormat="1" ht="19.5" customHeight="1">
      <c r="A357" s="77"/>
      <c r="B357" s="94"/>
      <c r="C357" s="98">
        <v>4120</v>
      </c>
      <c r="D357" s="42" t="s">
        <v>108</v>
      </c>
      <c r="E357" s="92">
        <v>11990</v>
      </c>
      <c r="F357" s="92">
        <v>11607</v>
      </c>
      <c r="G357" s="92">
        <v>11087</v>
      </c>
      <c r="H357" s="255">
        <f t="shared" si="7"/>
        <v>95.51994486085982</v>
      </c>
      <c r="I357" s="471"/>
      <c r="J357" s="471"/>
      <c r="K357" s="471"/>
      <c r="L357" s="471"/>
      <c r="M357" s="471"/>
      <c r="N357" s="471"/>
      <c r="O357" s="471"/>
    </row>
    <row r="358" spans="1:15" s="24" customFormat="1" ht="19.5" customHeight="1">
      <c r="A358" s="77"/>
      <c r="B358" s="94"/>
      <c r="C358" s="98">
        <v>4170</v>
      </c>
      <c r="D358" s="42" t="s">
        <v>238</v>
      </c>
      <c r="E358" s="92">
        <v>0</v>
      </c>
      <c r="F358" s="92">
        <v>1200</v>
      </c>
      <c r="G358" s="92">
        <v>1157.58</v>
      </c>
      <c r="H358" s="255">
        <f t="shared" si="7"/>
        <v>96.46499999999999</v>
      </c>
      <c r="I358" s="471"/>
      <c r="J358" s="471"/>
      <c r="K358" s="471"/>
      <c r="L358" s="471"/>
      <c r="M358" s="471"/>
      <c r="N358" s="471"/>
      <c r="O358" s="471"/>
    </row>
    <row r="359" spans="1:15" s="24" customFormat="1" ht="19.5" customHeight="1">
      <c r="A359" s="77"/>
      <c r="B359" s="94"/>
      <c r="C359" s="98">
        <v>4210</v>
      </c>
      <c r="D359" s="42" t="s">
        <v>113</v>
      </c>
      <c r="E359" s="92">
        <v>14070</v>
      </c>
      <c r="F359" s="92">
        <v>14870</v>
      </c>
      <c r="G359" s="92">
        <v>14247.53</v>
      </c>
      <c r="H359" s="255">
        <f t="shared" si="7"/>
        <v>95.81392064559516</v>
      </c>
      <c r="I359" s="471"/>
      <c r="J359" s="471"/>
      <c r="K359" s="471"/>
      <c r="L359" s="471"/>
      <c r="M359" s="471"/>
      <c r="N359" s="471"/>
      <c r="O359" s="471"/>
    </row>
    <row r="360" spans="1:15" s="24" customFormat="1" ht="24.75" customHeight="1">
      <c r="A360" s="77"/>
      <c r="B360" s="94"/>
      <c r="C360" s="98">
        <v>4230</v>
      </c>
      <c r="D360" s="42" t="s">
        <v>439</v>
      </c>
      <c r="E360" s="92">
        <v>100</v>
      </c>
      <c r="F360" s="92">
        <v>100</v>
      </c>
      <c r="G360" s="92">
        <v>92.66</v>
      </c>
      <c r="H360" s="255">
        <f t="shared" si="7"/>
        <v>92.66</v>
      </c>
      <c r="I360" s="471"/>
      <c r="J360" s="471"/>
      <c r="K360" s="471"/>
      <c r="L360" s="471"/>
      <c r="M360" s="471"/>
      <c r="N360" s="471"/>
      <c r="O360" s="471"/>
    </row>
    <row r="361" spans="1:15" s="24" customFormat="1" ht="24.75" customHeight="1">
      <c r="A361" s="77"/>
      <c r="B361" s="94"/>
      <c r="C361" s="98">
        <v>4240</v>
      </c>
      <c r="D361" s="42" t="s">
        <v>146</v>
      </c>
      <c r="E361" s="92">
        <v>1100</v>
      </c>
      <c r="F361" s="92">
        <v>1100</v>
      </c>
      <c r="G361" s="92">
        <v>1095.85</v>
      </c>
      <c r="H361" s="255">
        <f t="shared" si="7"/>
        <v>99.62272727272726</v>
      </c>
      <c r="I361" s="471"/>
      <c r="J361" s="471"/>
      <c r="K361" s="471"/>
      <c r="L361" s="471"/>
      <c r="M361" s="471"/>
      <c r="N361" s="471"/>
      <c r="O361" s="471"/>
    </row>
    <row r="362" spans="1:15" s="24" customFormat="1" ht="19.5" customHeight="1">
      <c r="A362" s="77"/>
      <c r="B362" s="94"/>
      <c r="C362" s="98">
        <v>4270</v>
      </c>
      <c r="D362" s="42" t="s">
        <v>99</v>
      </c>
      <c r="E362" s="92">
        <v>600</v>
      </c>
      <c r="F362" s="92">
        <v>0</v>
      </c>
      <c r="G362" s="92">
        <v>0</v>
      </c>
      <c r="H362" s="476" t="s">
        <v>514</v>
      </c>
      <c r="I362" s="471"/>
      <c r="J362" s="471"/>
      <c r="K362" s="471"/>
      <c r="L362" s="471"/>
      <c r="M362" s="471"/>
      <c r="N362" s="471"/>
      <c r="O362" s="471"/>
    </row>
    <row r="363" spans="1:15" s="24" customFormat="1" ht="19.5" customHeight="1">
      <c r="A363" s="77"/>
      <c r="B363" s="94"/>
      <c r="C363" s="98">
        <v>4280</v>
      </c>
      <c r="D363" s="42" t="s">
        <v>247</v>
      </c>
      <c r="E363" s="92">
        <v>610</v>
      </c>
      <c r="F363" s="92">
        <v>610</v>
      </c>
      <c r="G363" s="92">
        <v>140</v>
      </c>
      <c r="H363" s="255">
        <f t="shared" si="7"/>
        <v>22.950819672131146</v>
      </c>
      <c r="I363" s="471"/>
      <c r="J363" s="471"/>
      <c r="K363" s="471"/>
      <c r="L363" s="471"/>
      <c r="M363" s="471"/>
      <c r="N363" s="471"/>
      <c r="O363" s="471"/>
    </row>
    <row r="364" spans="1:15" s="24" customFormat="1" ht="19.5" customHeight="1">
      <c r="A364" s="77"/>
      <c r="B364" s="94"/>
      <c r="C364" s="98">
        <v>4300</v>
      </c>
      <c r="D364" s="42" t="s">
        <v>100</v>
      </c>
      <c r="E364" s="92">
        <v>300</v>
      </c>
      <c r="F364" s="92">
        <v>202</v>
      </c>
      <c r="G364" s="92">
        <v>202</v>
      </c>
      <c r="H364" s="255">
        <f t="shared" si="7"/>
        <v>100</v>
      </c>
      <c r="I364" s="471"/>
      <c r="J364" s="471"/>
      <c r="K364" s="471"/>
      <c r="L364" s="471"/>
      <c r="M364" s="471"/>
      <c r="N364" s="471"/>
      <c r="O364" s="471"/>
    </row>
    <row r="365" spans="1:15" s="24" customFormat="1" ht="24.75" customHeight="1">
      <c r="A365" s="77"/>
      <c r="B365" s="94"/>
      <c r="C365" s="98">
        <v>4440</v>
      </c>
      <c r="D365" s="42" t="s">
        <v>109</v>
      </c>
      <c r="E365" s="92">
        <v>30333</v>
      </c>
      <c r="F365" s="92">
        <v>29159</v>
      </c>
      <c r="G365" s="92">
        <v>29159</v>
      </c>
      <c r="H365" s="255">
        <f t="shared" si="7"/>
        <v>100</v>
      </c>
      <c r="I365" s="471"/>
      <c r="J365" s="471"/>
      <c r="K365" s="471"/>
      <c r="L365" s="471"/>
      <c r="M365" s="471"/>
      <c r="N365" s="471"/>
      <c r="O365" s="471"/>
    </row>
    <row r="366" spans="1:15" s="24" customFormat="1" ht="19.5" customHeight="1">
      <c r="A366" s="77"/>
      <c r="B366" s="94">
        <v>85407</v>
      </c>
      <c r="C366" s="98"/>
      <c r="D366" s="42" t="s">
        <v>551</v>
      </c>
      <c r="E366" s="92">
        <f>SUM(E367)</f>
        <v>0</v>
      </c>
      <c r="F366" s="92">
        <f>SUM(F367)</f>
        <v>3000</v>
      </c>
      <c r="G366" s="92">
        <f>SUM(G367)</f>
        <v>3000</v>
      </c>
      <c r="H366" s="255">
        <f t="shared" si="7"/>
        <v>100</v>
      </c>
      <c r="I366" s="471"/>
      <c r="J366" s="471"/>
      <c r="K366" s="471"/>
      <c r="L366" s="471"/>
      <c r="M366" s="471"/>
      <c r="N366" s="471"/>
      <c r="O366" s="471"/>
    </row>
    <row r="367" spans="1:15" s="24" customFormat="1" ht="45">
      <c r="A367" s="77"/>
      <c r="B367" s="94"/>
      <c r="C367" s="98">
        <v>2320</v>
      </c>
      <c r="D367" s="42" t="s">
        <v>184</v>
      </c>
      <c r="E367" s="92">
        <v>0</v>
      </c>
      <c r="F367" s="92">
        <v>3000</v>
      </c>
      <c r="G367" s="92">
        <v>3000</v>
      </c>
      <c r="H367" s="255">
        <f t="shared" si="7"/>
        <v>100</v>
      </c>
      <c r="I367" s="471"/>
      <c r="J367" s="471"/>
      <c r="K367" s="471"/>
      <c r="L367" s="471"/>
      <c r="M367" s="471"/>
      <c r="N367" s="471"/>
      <c r="O367" s="471"/>
    </row>
    <row r="368" spans="1:15" s="24" customFormat="1" ht="33.75">
      <c r="A368" s="77"/>
      <c r="B368" s="94" t="s">
        <v>149</v>
      </c>
      <c r="C368" s="98"/>
      <c r="D368" s="42" t="s">
        <v>193</v>
      </c>
      <c r="E368" s="92">
        <f>SUM(E369:E374)</f>
        <v>79500</v>
      </c>
      <c r="F368" s="92">
        <f>SUM(F369:F374)</f>
        <v>185518</v>
      </c>
      <c r="G368" s="92">
        <f>SUM(G369:G374)</f>
        <v>157349.28999999998</v>
      </c>
      <c r="H368" s="255">
        <f t="shared" si="7"/>
        <v>84.81618495240353</v>
      </c>
      <c r="I368" s="471"/>
      <c r="J368" s="471"/>
      <c r="K368" s="471"/>
      <c r="L368" s="471"/>
      <c r="M368" s="471"/>
      <c r="N368" s="471"/>
      <c r="O368" s="471"/>
    </row>
    <row r="369" spans="1:15" s="24" customFormat="1" ht="33.75">
      <c r="A369" s="77"/>
      <c r="B369" s="94"/>
      <c r="C369" s="98">
        <v>2630</v>
      </c>
      <c r="D369" s="42" t="s">
        <v>281</v>
      </c>
      <c r="E369" s="92">
        <v>36000</v>
      </c>
      <c r="F369" s="92">
        <v>25710</v>
      </c>
      <c r="G369" s="92">
        <v>0</v>
      </c>
      <c r="H369" s="255">
        <v>0</v>
      </c>
      <c r="I369" s="471"/>
      <c r="J369" s="471"/>
      <c r="K369" s="471"/>
      <c r="L369" s="471"/>
      <c r="M369" s="471"/>
      <c r="N369" s="471"/>
      <c r="O369" s="471"/>
    </row>
    <row r="370" spans="1:15" s="24" customFormat="1" ht="36" customHeight="1">
      <c r="A370" s="77"/>
      <c r="B370" s="94"/>
      <c r="C370" s="98">
        <v>2820</v>
      </c>
      <c r="D370" s="42" t="s">
        <v>403</v>
      </c>
      <c r="E370" s="92">
        <v>0</v>
      </c>
      <c r="F370" s="92">
        <v>9290</v>
      </c>
      <c r="G370" s="92">
        <v>9290</v>
      </c>
      <c r="H370" s="255">
        <f t="shared" si="7"/>
        <v>100</v>
      </c>
      <c r="I370" s="471"/>
      <c r="J370" s="471"/>
      <c r="K370" s="471"/>
      <c r="L370" s="471"/>
      <c r="M370" s="471"/>
      <c r="N370" s="471"/>
      <c r="O370" s="471"/>
    </row>
    <row r="371" spans="1:15" s="24" customFormat="1" ht="56.25">
      <c r="A371" s="77"/>
      <c r="B371" s="94"/>
      <c r="C371" s="98">
        <v>2830</v>
      </c>
      <c r="D371" s="42" t="s">
        <v>402</v>
      </c>
      <c r="E371" s="92">
        <v>0</v>
      </c>
      <c r="F371" s="92">
        <v>26710</v>
      </c>
      <c r="G371" s="92">
        <v>26710</v>
      </c>
      <c r="H371" s="255">
        <f t="shared" si="7"/>
        <v>100</v>
      </c>
      <c r="I371" s="471"/>
      <c r="J371" s="471"/>
      <c r="K371" s="471"/>
      <c r="L371" s="471"/>
      <c r="M371" s="471"/>
      <c r="N371" s="471"/>
      <c r="O371" s="471"/>
    </row>
    <row r="372" spans="1:15" s="24" customFormat="1" ht="19.5" customHeight="1">
      <c r="A372" s="77"/>
      <c r="B372" s="94"/>
      <c r="C372" s="98">
        <v>4210</v>
      </c>
      <c r="D372" s="42" t="s">
        <v>113</v>
      </c>
      <c r="E372" s="92">
        <f>5500+1500</f>
        <v>7000</v>
      </c>
      <c r="F372" s="92">
        <v>9653</v>
      </c>
      <c r="G372" s="92">
        <v>7825.06</v>
      </c>
      <c r="H372" s="255">
        <f t="shared" si="7"/>
        <v>81.06350357401844</v>
      </c>
      <c r="I372" s="471"/>
      <c r="J372" s="471"/>
      <c r="K372" s="471"/>
      <c r="L372" s="471"/>
      <c r="M372" s="471"/>
      <c r="N372" s="471"/>
      <c r="O372" s="471"/>
    </row>
    <row r="373" spans="1:15" s="24" customFormat="1" ht="19.5" customHeight="1">
      <c r="A373" s="98"/>
      <c r="B373" s="99"/>
      <c r="C373" s="98">
        <v>4300</v>
      </c>
      <c r="D373" s="42" t="s">
        <v>100</v>
      </c>
      <c r="E373" s="92">
        <f>5500+1000</f>
        <v>6500</v>
      </c>
      <c r="F373" s="92">
        <v>2155</v>
      </c>
      <c r="G373" s="92">
        <v>1578.5</v>
      </c>
      <c r="H373" s="255">
        <f t="shared" si="7"/>
        <v>73.24825986078886</v>
      </c>
      <c r="I373" s="471"/>
      <c r="J373" s="471"/>
      <c r="K373" s="471"/>
      <c r="L373" s="471"/>
      <c r="M373" s="471"/>
      <c r="N373" s="471"/>
      <c r="O373" s="471"/>
    </row>
    <row r="374" spans="1:15" s="24" customFormat="1" ht="24.75" customHeight="1">
      <c r="A374" s="98"/>
      <c r="B374" s="99"/>
      <c r="C374" s="98">
        <v>6050</v>
      </c>
      <c r="D374" s="210" t="s">
        <v>94</v>
      </c>
      <c r="E374" s="211">
        <v>30000</v>
      </c>
      <c r="F374" s="211">
        <v>112000</v>
      </c>
      <c r="G374" s="211">
        <v>111945.73</v>
      </c>
      <c r="H374" s="255">
        <f t="shared" si="7"/>
        <v>99.95154464285714</v>
      </c>
      <c r="I374" s="471"/>
      <c r="J374" s="471"/>
      <c r="K374" s="471"/>
      <c r="L374" s="471"/>
      <c r="M374" s="471"/>
      <c r="N374" s="471"/>
      <c r="O374" s="471"/>
    </row>
    <row r="375" spans="1:15" s="24" customFormat="1" ht="19.5" customHeight="1">
      <c r="A375" s="98"/>
      <c r="B375" s="99">
        <v>85415</v>
      </c>
      <c r="C375" s="98"/>
      <c r="D375" s="42" t="s">
        <v>295</v>
      </c>
      <c r="E375" s="92">
        <f>SUM(E376:E382)</f>
        <v>117924</v>
      </c>
      <c r="F375" s="92">
        <f>SUM(F376:F382)</f>
        <v>621790</v>
      </c>
      <c r="G375" s="92">
        <f>SUM(G376:G382)</f>
        <v>618186.73</v>
      </c>
      <c r="H375" s="255">
        <f t="shared" si="7"/>
        <v>99.4205004905193</v>
      </c>
      <c r="I375" s="471"/>
      <c r="J375" s="471"/>
      <c r="K375" s="471"/>
      <c r="L375" s="471"/>
      <c r="M375" s="471"/>
      <c r="N375" s="471"/>
      <c r="O375" s="471"/>
    </row>
    <row r="376" spans="1:15" s="24" customFormat="1" ht="19.5" customHeight="1">
      <c r="A376" s="98"/>
      <c r="B376" s="99"/>
      <c r="C376" s="98">
        <v>3240</v>
      </c>
      <c r="D376" s="42" t="s">
        <v>296</v>
      </c>
      <c r="E376" s="92">
        <v>117924</v>
      </c>
      <c r="F376" s="81">
        <v>539970</v>
      </c>
      <c r="G376" s="81">
        <v>539586</v>
      </c>
      <c r="H376" s="255">
        <f t="shared" si="7"/>
        <v>99.92888493805211</v>
      </c>
      <c r="I376" s="471"/>
      <c r="J376" s="471"/>
      <c r="K376" s="471"/>
      <c r="L376" s="471"/>
      <c r="M376" s="471"/>
      <c r="N376" s="471"/>
      <c r="O376" s="471"/>
    </row>
    <row r="377" spans="1:15" s="24" customFormat="1" ht="19.5" customHeight="1">
      <c r="A377" s="98"/>
      <c r="B377" s="99"/>
      <c r="C377" s="98">
        <v>3260</v>
      </c>
      <c r="D377" s="42" t="s">
        <v>552</v>
      </c>
      <c r="E377" s="92">
        <v>0</v>
      </c>
      <c r="F377" s="81">
        <v>59840</v>
      </c>
      <c r="G377" s="81">
        <v>56621.72</v>
      </c>
      <c r="H377" s="255">
        <f t="shared" si="7"/>
        <v>94.62185828877006</v>
      </c>
      <c r="I377" s="471"/>
      <c r="J377" s="471"/>
      <c r="K377" s="471"/>
      <c r="L377" s="471"/>
      <c r="M377" s="471"/>
      <c r="N377" s="471"/>
      <c r="O377" s="471"/>
    </row>
    <row r="378" spans="1:15" s="24" customFormat="1" ht="19.5" customHeight="1">
      <c r="A378" s="98"/>
      <c r="B378" s="99"/>
      <c r="C378" s="98">
        <v>4110</v>
      </c>
      <c r="D378" s="42" t="s">
        <v>107</v>
      </c>
      <c r="E378" s="92">
        <v>0</v>
      </c>
      <c r="F378" s="81">
        <v>2598</v>
      </c>
      <c r="G378" s="81">
        <v>2597.53</v>
      </c>
      <c r="H378" s="255">
        <f t="shared" si="7"/>
        <v>99.981909160893</v>
      </c>
      <c r="I378" s="471"/>
      <c r="J378" s="471"/>
      <c r="K378" s="471"/>
      <c r="L378" s="471"/>
      <c r="M378" s="471"/>
      <c r="N378" s="471"/>
      <c r="O378" s="471"/>
    </row>
    <row r="379" spans="1:15" s="24" customFormat="1" ht="19.5" customHeight="1">
      <c r="A379" s="98"/>
      <c r="B379" s="99"/>
      <c r="C379" s="98">
        <v>4120</v>
      </c>
      <c r="D379" s="42" t="s">
        <v>108</v>
      </c>
      <c r="E379" s="92">
        <v>0</v>
      </c>
      <c r="F379" s="81">
        <v>365</v>
      </c>
      <c r="G379" s="81">
        <v>364.49</v>
      </c>
      <c r="H379" s="255">
        <f t="shared" si="7"/>
        <v>99.86027397260274</v>
      </c>
      <c r="I379" s="471"/>
      <c r="J379" s="471"/>
      <c r="K379" s="471"/>
      <c r="L379" s="471"/>
      <c r="M379" s="471"/>
      <c r="N379" s="471"/>
      <c r="O379" s="471"/>
    </row>
    <row r="380" spans="1:15" s="24" customFormat="1" ht="19.5" customHeight="1">
      <c r="A380" s="98"/>
      <c r="B380" s="99"/>
      <c r="C380" s="98">
        <v>4170</v>
      </c>
      <c r="D380" s="42" t="s">
        <v>238</v>
      </c>
      <c r="E380" s="92">
        <v>0</v>
      </c>
      <c r="F380" s="81">
        <v>14877</v>
      </c>
      <c r="G380" s="81">
        <v>14877</v>
      </c>
      <c r="H380" s="255">
        <f t="shared" si="7"/>
        <v>100</v>
      </c>
      <c r="I380" s="471"/>
      <c r="J380" s="471"/>
      <c r="K380" s="471"/>
      <c r="L380" s="471"/>
      <c r="M380" s="471"/>
      <c r="N380" s="471"/>
      <c r="O380" s="471"/>
    </row>
    <row r="381" spans="1:15" s="24" customFormat="1" ht="19.5" customHeight="1">
      <c r="A381" s="98"/>
      <c r="B381" s="99"/>
      <c r="C381" s="98">
        <v>4210</v>
      </c>
      <c r="D381" s="42" t="s">
        <v>553</v>
      </c>
      <c r="E381" s="92">
        <v>0</v>
      </c>
      <c r="F381" s="81">
        <v>230</v>
      </c>
      <c r="G381" s="81">
        <v>230.49</v>
      </c>
      <c r="H381" s="255">
        <f t="shared" si="7"/>
        <v>100.21304347826087</v>
      </c>
      <c r="I381" s="471"/>
      <c r="J381" s="471"/>
      <c r="K381" s="471"/>
      <c r="L381" s="471"/>
      <c r="M381" s="471"/>
      <c r="N381" s="471"/>
      <c r="O381" s="471"/>
    </row>
    <row r="382" spans="1:15" s="24" customFormat="1" ht="19.5" customHeight="1">
      <c r="A382" s="98"/>
      <c r="B382" s="99"/>
      <c r="C382" s="98">
        <v>4300</v>
      </c>
      <c r="D382" s="42" t="s">
        <v>100</v>
      </c>
      <c r="E382" s="92">
        <v>0</v>
      </c>
      <c r="F382" s="81">
        <v>3910</v>
      </c>
      <c r="G382" s="81">
        <v>3909.5</v>
      </c>
      <c r="H382" s="255">
        <f t="shared" si="7"/>
        <v>99.98721227621483</v>
      </c>
      <c r="I382" s="471"/>
      <c r="J382" s="471"/>
      <c r="K382" s="471"/>
      <c r="L382" s="471"/>
      <c r="M382" s="471"/>
      <c r="N382" s="471"/>
      <c r="O382" s="471"/>
    </row>
    <row r="383" spans="1:15" s="24" customFormat="1" ht="19.5" customHeight="1">
      <c r="A383" s="98"/>
      <c r="B383" s="99">
        <v>85446</v>
      </c>
      <c r="C383" s="98"/>
      <c r="D383" s="42" t="s">
        <v>181</v>
      </c>
      <c r="E383" s="92">
        <f>SUM(E384:E385)</f>
        <v>3981</v>
      </c>
      <c r="F383" s="92">
        <f>SUM(F384:F385)</f>
        <v>2988</v>
      </c>
      <c r="G383" s="92">
        <f>SUM(G384:G385)</f>
        <v>2805.6</v>
      </c>
      <c r="H383" s="255">
        <f t="shared" si="7"/>
        <v>93.89558232931726</v>
      </c>
      <c r="I383" s="471"/>
      <c r="J383" s="471"/>
      <c r="K383" s="471"/>
      <c r="L383" s="471"/>
      <c r="M383" s="471"/>
      <c r="N383" s="471"/>
      <c r="O383" s="471"/>
    </row>
    <row r="384" spans="1:15" s="24" customFormat="1" ht="19.5" customHeight="1">
      <c r="A384" s="98"/>
      <c r="B384" s="99"/>
      <c r="C384" s="98">
        <v>4300</v>
      </c>
      <c r="D384" s="42" t="s">
        <v>100</v>
      </c>
      <c r="E384" s="92">
        <v>3981</v>
      </c>
      <c r="F384" s="92">
        <v>1395</v>
      </c>
      <c r="G384" s="92">
        <v>1269</v>
      </c>
      <c r="H384" s="255">
        <f t="shared" si="7"/>
        <v>90.96774193548387</v>
      </c>
      <c r="I384" s="471"/>
      <c r="J384" s="471"/>
      <c r="K384" s="471"/>
      <c r="L384" s="471"/>
      <c r="M384" s="471"/>
      <c r="N384" s="471"/>
      <c r="O384" s="471"/>
    </row>
    <row r="385" spans="1:15" s="24" customFormat="1" ht="19.5" customHeight="1">
      <c r="A385" s="98"/>
      <c r="B385" s="99"/>
      <c r="C385" s="98">
        <v>4410</v>
      </c>
      <c r="D385" s="42" t="s">
        <v>111</v>
      </c>
      <c r="E385" s="92">
        <v>0</v>
      </c>
      <c r="F385" s="92">
        <v>1593</v>
      </c>
      <c r="G385" s="92">
        <v>1536.6</v>
      </c>
      <c r="H385" s="255">
        <f t="shared" si="7"/>
        <v>96.45951035781543</v>
      </c>
      <c r="I385" s="471"/>
      <c r="J385" s="471"/>
      <c r="K385" s="471"/>
      <c r="L385" s="471"/>
      <c r="M385" s="471"/>
      <c r="N385" s="471"/>
      <c r="O385" s="471"/>
    </row>
    <row r="386" spans="1:15" s="24" customFormat="1" ht="19.5" customHeight="1">
      <c r="A386" s="98"/>
      <c r="B386" s="99">
        <v>85495</v>
      </c>
      <c r="C386" s="98"/>
      <c r="D386" s="42" t="s">
        <v>18</v>
      </c>
      <c r="E386" s="92">
        <f>SUM(E387:E387)</f>
        <v>226650</v>
      </c>
      <c r="F386" s="92">
        <f>SUM(F387)</f>
        <v>226650</v>
      </c>
      <c r="G386" s="92">
        <f>SUM(G387)</f>
        <v>226650</v>
      </c>
      <c r="H386" s="255">
        <f t="shared" si="7"/>
        <v>100</v>
      </c>
      <c r="I386" s="471"/>
      <c r="J386" s="471"/>
      <c r="K386" s="471"/>
      <c r="L386" s="471"/>
      <c r="M386" s="471"/>
      <c r="N386" s="471"/>
      <c r="O386" s="471"/>
    </row>
    <row r="387" spans="1:15" s="24" customFormat="1" ht="45">
      <c r="A387" s="98"/>
      <c r="B387" s="99"/>
      <c r="C387" s="98">
        <v>2320</v>
      </c>
      <c r="D387" s="42" t="s">
        <v>184</v>
      </c>
      <c r="E387" s="92">
        <f>200000+26650</f>
        <v>226650</v>
      </c>
      <c r="F387" s="92">
        <v>226650</v>
      </c>
      <c r="G387" s="92">
        <v>226650</v>
      </c>
      <c r="H387" s="255">
        <f t="shared" si="7"/>
        <v>100</v>
      </c>
      <c r="I387" s="471"/>
      <c r="J387" s="471"/>
      <c r="K387" s="471"/>
      <c r="L387" s="471"/>
      <c r="M387" s="471"/>
      <c r="N387" s="471"/>
      <c r="O387" s="471"/>
    </row>
    <row r="388" spans="1:15" s="8" customFormat="1" ht="24.75" customHeight="1">
      <c r="A388" s="37" t="s">
        <v>151</v>
      </c>
      <c r="B388" s="38"/>
      <c r="C388" s="39"/>
      <c r="D388" s="40" t="s">
        <v>82</v>
      </c>
      <c r="E388" s="41">
        <f>SUM(E389,E394,E396,E400,E402,E404,E409,)</f>
        <v>2412241</v>
      </c>
      <c r="F388" s="41">
        <f>SUM(F389,F394,F396,F400,F402,F404,F409,)</f>
        <v>3541415</v>
      </c>
      <c r="G388" s="41">
        <f>SUM(G389,G394,G396,G400,G402,G404,G409,)</f>
        <v>2956353.5599999996</v>
      </c>
      <c r="H388" s="475">
        <f t="shared" si="7"/>
        <v>83.47944423344906</v>
      </c>
      <c r="I388" s="23"/>
      <c r="J388" s="23"/>
      <c r="K388" s="23"/>
      <c r="L388" s="23"/>
      <c r="M388" s="23"/>
      <c r="N388" s="23"/>
      <c r="O388" s="23"/>
    </row>
    <row r="389" spans="1:15" s="24" customFormat="1" ht="19.5" customHeight="1">
      <c r="A389" s="77"/>
      <c r="B389" s="94" t="s">
        <v>152</v>
      </c>
      <c r="C389" s="98"/>
      <c r="D389" s="42" t="s">
        <v>83</v>
      </c>
      <c r="E389" s="92">
        <f>SUM(E390:E393)</f>
        <v>603075</v>
      </c>
      <c r="F389" s="92">
        <f>SUM(F390:F393)</f>
        <v>1624545</v>
      </c>
      <c r="G389" s="92">
        <f>SUM(G390:G393)</f>
        <v>1155162.0599999998</v>
      </c>
      <c r="H389" s="255">
        <f t="shared" si="7"/>
        <v>71.10680590565357</v>
      </c>
      <c r="I389" s="471"/>
      <c r="J389" s="471"/>
      <c r="K389" s="471"/>
      <c r="L389" s="471"/>
      <c r="M389" s="471"/>
      <c r="N389" s="471"/>
      <c r="O389" s="471"/>
    </row>
    <row r="390" spans="1:15" s="24" customFormat="1" ht="19.5" customHeight="1">
      <c r="A390" s="77"/>
      <c r="B390" s="94"/>
      <c r="C390" s="77">
        <v>4300</v>
      </c>
      <c r="D390" s="42" t="s">
        <v>100</v>
      </c>
      <c r="E390" s="92">
        <v>93000</v>
      </c>
      <c r="F390" s="92">
        <v>93720</v>
      </c>
      <c r="G390" s="92">
        <v>89864.99</v>
      </c>
      <c r="H390" s="255">
        <f t="shared" si="7"/>
        <v>95.88667306871533</v>
      </c>
      <c r="I390" s="471"/>
      <c r="J390" s="471"/>
      <c r="K390" s="471"/>
      <c r="L390" s="471"/>
      <c r="M390" s="471"/>
      <c r="N390" s="471"/>
      <c r="O390" s="471"/>
    </row>
    <row r="391" spans="1:15" s="24" customFormat="1" ht="19.5" customHeight="1">
      <c r="A391" s="77"/>
      <c r="B391" s="94"/>
      <c r="C391" s="77">
        <v>4430</v>
      </c>
      <c r="D391" s="42" t="s">
        <v>115</v>
      </c>
      <c r="E391" s="92">
        <v>75</v>
      </c>
      <c r="F391" s="92">
        <v>75</v>
      </c>
      <c r="G391" s="92">
        <v>75</v>
      </c>
      <c r="H391" s="255">
        <f t="shared" si="7"/>
        <v>100</v>
      </c>
      <c r="I391" s="471"/>
      <c r="J391" s="471"/>
      <c r="K391" s="471"/>
      <c r="L391" s="471"/>
      <c r="M391" s="471"/>
      <c r="N391" s="471"/>
      <c r="O391" s="471"/>
    </row>
    <row r="392" spans="1:15" s="24" customFormat="1" ht="67.5">
      <c r="A392" s="77"/>
      <c r="B392" s="94"/>
      <c r="C392" s="77">
        <v>6010</v>
      </c>
      <c r="D392" s="42" t="s">
        <v>294</v>
      </c>
      <c r="E392" s="92">
        <v>0</v>
      </c>
      <c r="F392" s="92">
        <v>750</v>
      </c>
      <c r="G392" s="92">
        <v>749.94</v>
      </c>
      <c r="H392" s="255">
        <f t="shared" si="7"/>
        <v>99.992</v>
      </c>
      <c r="I392" s="471"/>
      <c r="J392" s="471"/>
      <c r="K392" s="471"/>
      <c r="L392" s="471"/>
      <c r="M392" s="471"/>
      <c r="N392" s="471"/>
      <c r="O392" s="471"/>
    </row>
    <row r="393" spans="1:15" s="24" customFormat="1" ht="24.75" customHeight="1">
      <c r="A393" s="77"/>
      <c r="B393" s="94"/>
      <c r="C393" s="77">
        <v>6050</v>
      </c>
      <c r="D393" s="42" t="s">
        <v>94</v>
      </c>
      <c r="E393" s="92">
        <v>510000</v>
      </c>
      <c r="F393" s="92">
        <v>1530000</v>
      </c>
      <c r="G393" s="92">
        <v>1064472.13</v>
      </c>
      <c r="H393" s="255">
        <f t="shared" si="7"/>
        <v>69.57334183006535</v>
      </c>
      <c r="I393" s="471"/>
      <c r="J393" s="471"/>
      <c r="K393" s="471"/>
      <c r="L393" s="471"/>
      <c r="M393" s="471"/>
      <c r="N393" s="471"/>
      <c r="O393" s="471"/>
    </row>
    <row r="394" spans="1:15" s="24" customFormat="1" ht="19.5" customHeight="1">
      <c r="A394" s="77"/>
      <c r="B394" s="94" t="s">
        <v>153</v>
      </c>
      <c r="C394" s="98"/>
      <c r="D394" s="42" t="s">
        <v>154</v>
      </c>
      <c r="E394" s="92">
        <f>SUM(E395:E395)</f>
        <v>650946</v>
      </c>
      <c r="F394" s="92">
        <f>SUM(F395)</f>
        <v>686746</v>
      </c>
      <c r="G394" s="92">
        <f>SUM(G395)</f>
        <v>671502.39</v>
      </c>
      <c r="H394" s="255">
        <f t="shared" si="7"/>
        <v>97.78031324536292</v>
      </c>
      <c r="I394" s="471"/>
      <c r="J394" s="471"/>
      <c r="K394" s="471"/>
      <c r="L394" s="471"/>
      <c r="M394" s="471"/>
      <c r="N394" s="471"/>
      <c r="O394" s="471"/>
    </row>
    <row r="395" spans="1:15" s="24" customFormat="1" ht="19.5" customHeight="1">
      <c r="A395" s="77"/>
      <c r="B395" s="94"/>
      <c r="C395" s="98">
        <v>4300</v>
      </c>
      <c r="D395" s="102" t="s">
        <v>100</v>
      </c>
      <c r="E395" s="92">
        <f>2500+648446</f>
        <v>650946</v>
      </c>
      <c r="F395" s="92">
        <v>686746</v>
      </c>
      <c r="G395" s="92">
        <v>671502.39</v>
      </c>
      <c r="H395" s="255">
        <f t="shared" si="7"/>
        <v>97.78031324536292</v>
      </c>
      <c r="I395" s="471"/>
      <c r="J395" s="471"/>
      <c r="K395" s="471"/>
      <c r="L395" s="471"/>
      <c r="M395" s="471"/>
      <c r="N395" s="471"/>
      <c r="O395" s="471"/>
    </row>
    <row r="396" spans="1:15" s="24" customFormat="1" ht="19.5" customHeight="1">
      <c r="A396" s="77"/>
      <c r="B396" s="94" t="s">
        <v>155</v>
      </c>
      <c r="C396" s="98"/>
      <c r="D396" s="42" t="s">
        <v>186</v>
      </c>
      <c r="E396" s="92">
        <f>SUM(E397:E399)</f>
        <v>209620</v>
      </c>
      <c r="F396" s="92">
        <f>SUM(F397:F399)</f>
        <v>198823</v>
      </c>
      <c r="G396" s="92">
        <f>SUM(G397:G399)</f>
        <v>169534.52</v>
      </c>
      <c r="H396" s="255">
        <f t="shared" si="7"/>
        <v>85.26906846793378</v>
      </c>
      <c r="I396" s="471"/>
      <c r="J396" s="471"/>
      <c r="K396" s="471"/>
      <c r="L396" s="471"/>
      <c r="M396" s="471"/>
      <c r="N396" s="471"/>
      <c r="O396" s="471"/>
    </row>
    <row r="397" spans="1:15" s="24" customFormat="1" ht="19.5" customHeight="1">
      <c r="A397" s="77"/>
      <c r="B397" s="94"/>
      <c r="C397" s="77">
        <v>4210</v>
      </c>
      <c r="D397" s="42" t="s">
        <v>113</v>
      </c>
      <c r="E397" s="92">
        <f>20420+18000+10000</f>
        <v>48420</v>
      </c>
      <c r="F397" s="92">
        <v>51035</v>
      </c>
      <c r="G397" s="92">
        <v>37277.02</v>
      </c>
      <c r="H397" s="255">
        <f t="shared" si="7"/>
        <v>73.04206916821788</v>
      </c>
      <c r="I397" s="471"/>
      <c r="J397" s="471"/>
      <c r="K397" s="471"/>
      <c r="L397" s="471"/>
      <c r="M397" s="471"/>
      <c r="N397" s="471"/>
      <c r="O397" s="471"/>
    </row>
    <row r="398" spans="1:15" s="24" customFormat="1" ht="19.5" customHeight="1">
      <c r="A398" s="77"/>
      <c r="B398" s="94"/>
      <c r="C398" s="77">
        <v>4270</v>
      </c>
      <c r="D398" s="42" t="s">
        <v>99</v>
      </c>
      <c r="E398" s="92">
        <v>5000</v>
      </c>
      <c r="F398" s="92">
        <v>0</v>
      </c>
      <c r="G398" s="92">
        <v>0</v>
      </c>
      <c r="H398" s="476" t="s">
        <v>514</v>
      </c>
      <c r="I398" s="471"/>
      <c r="J398" s="471"/>
      <c r="K398" s="471"/>
      <c r="L398" s="471"/>
      <c r="M398" s="471"/>
      <c r="N398" s="471"/>
      <c r="O398" s="471"/>
    </row>
    <row r="399" spans="1:15" s="24" customFormat="1" ht="19.5" customHeight="1">
      <c r="A399" s="77"/>
      <c r="B399" s="94"/>
      <c r="C399" s="77">
        <v>4300</v>
      </c>
      <c r="D399" s="42" t="s">
        <v>100</v>
      </c>
      <c r="E399" s="92">
        <f>12940+143260</f>
        <v>156200</v>
      </c>
      <c r="F399" s="92">
        <v>147788</v>
      </c>
      <c r="G399" s="92">
        <v>132257.5</v>
      </c>
      <c r="H399" s="255">
        <f t="shared" si="7"/>
        <v>89.49136601077218</v>
      </c>
      <c r="I399" s="471"/>
      <c r="J399" s="471"/>
      <c r="K399" s="471"/>
      <c r="L399" s="471"/>
      <c r="M399" s="471"/>
      <c r="N399" s="471"/>
      <c r="O399" s="471"/>
    </row>
    <row r="400" spans="1:15" s="24" customFormat="1" ht="24.75" customHeight="1">
      <c r="A400" s="77"/>
      <c r="B400" s="94" t="s">
        <v>156</v>
      </c>
      <c r="C400" s="98"/>
      <c r="D400" s="42" t="s">
        <v>157</v>
      </c>
      <c r="E400" s="92">
        <f>SUM(E401:E401)</f>
        <v>12000</v>
      </c>
      <c r="F400" s="92">
        <f>SUM(F401)</f>
        <v>12300</v>
      </c>
      <c r="G400" s="92">
        <f>SUM(G401)</f>
        <v>12226.24</v>
      </c>
      <c r="H400" s="255">
        <f t="shared" si="7"/>
        <v>99.40032520325202</v>
      </c>
      <c r="I400" s="471"/>
      <c r="J400" s="471"/>
      <c r="K400" s="471"/>
      <c r="L400" s="471"/>
      <c r="M400" s="471"/>
      <c r="N400" s="471"/>
      <c r="O400" s="471"/>
    </row>
    <row r="401" spans="1:15" s="24" customFormat="1" ht="24.75" customHeight="1">
      <c r="A401" s="77"/>
      <c r="B401" s="94"/>
      <c r="C401" s="98">
        <v>4520</v>
      </c>
      <c r="D401" s="42" t="s">
        <v>158</v>
      </c>
      <c r="E401" s="92">
        <v>12000</v>
      </c>
      <c r="F401" s="92">
        <v>12300</v>
      </c>
      <c r="G401" s="92">
        <v>12226.24</v>
      </c>
      <c r="H401" s="255">
        <f t="shared" si="7"/>
        <v>99.40032520325202</v>
      </c>
      <c r="I401" s="471"/>
      <c r="J401" s="471"/>
      <c r="K401" s="471"/>
      <c r="L401" s="471"/>
      <c r="M401" s="471"/>
      <c r="N401" s="471"/>
      <c r="O401" s="471"/>
    </row>
    <row r="402" spans="1:15" s="24" customFormat="1" ht="19.5" customHeight="1">
      <c r="A402" s="77"/>
      <c r="B402" s="94" t="s">
        <v>159</v>
      </c>
      <c r="C402" s="98"/>
      <c r="D402" s="42" t="s">
        <v>160</v>
      </c>
      <c r="E402" s="92">
        <f>SUM(E403)</f>
        <v>84000</v>
      </c>
      <c r="F402" s="92">
        <f>SUM(F403)</f>
        <v>104000</v>
      </c>
      <c r="G402" s="92">
        <f>SUM(G403)</f>
        <v>91302.31</v>
      </c>
      <c r="H402" s="255">
        <f t="shared" si="7"/>
        <v>87.79068269230768</v>
      </c>
      <c r="I402" s="471"/>
      <c r="J402" s="471"/>
      <c r="K402" s="471"/>
      <c r="L402" s="471"/>
      <c r="M402" s="471"/>
      <c r="N402" s="471"/>
      <c r="O402" s="471"/>
    </row>
    <row r="403" spans="1:15" s="24" customFormat="1" ht="19.5" customHeight="1">
      <c r="A403" s="77"/>
      <c r="B403" s="94"/>
      <c r="C403" s="98">
        <v>4300</v>
      </c>
      <c r="D403" s="102" t="s">
        <v>100</v>
      </c>
      <c r="E403" s="92">
        <f>84000</f>
        <v>84000</v>
      </c>
      <c r="F403" s="92">
        <v>104000</v>
      </c>
      <c r="G403" s="92">
        <v>91302.31</v>
      </c>
      <c r="H403" s="255">
        <f t="shared" si="7"/>
        <v>87.79068269230768</v>
      </c>
      <c r="I403" s="471"/>
      <c r="J403" s="471"/>
      <c r="K403" s="471"/>
      <c r="L403" s="471"/>
      <c r="M403" s="471"/>
      <c r="N403" s="471"/>
      <c r="O403" s="471"/>
    </row>
    <row r="404" spans="1:15" s="24" customFormat="1" ht="19.5" customHeight="1">
      <c r="A404" s="77"/>
      <c r="B404" s="94" t="s">
        <v>161</v>
      </c>
      <c r="C404" s="98"/>
      <c r="D404" s="42" t="s">
        <v>162</v>
      </c>
      <c r="E404" s="92">
        <f>SUM(E405:E408)</f>
        <v>760400</v>
      </c>
      <c r="F404" s="92">
        <f>SUM(F405:F408)</f>
        <v>824900</v>
      </c>
      <c r="G404" s="92">
        <f>SUM(G405:G408)</f>
        <v>779845.69</v>
      </c>
      <c r="H404" s="255">
        <f t="shared" si="7"/>
        <v>94.53820947993695</v>
      </c>
      <c r="I404" s="471"/>
      <c r="J404" s="471"/>
      <c r="K404" s="471"/>
      <c r="L404" s="471"/>
      <c r="M404" s="471"/>
      <c r="N404" s="471"/>
      <c r="O404" s="471"/>
    </row>
    <row r="405" spans="1:15" s="24" customFormat="1" ht="19.5" customHeight="1">
      <c r="A405" s="77"/>
      <c r="B405" s="99"/>
      <c r="C405" s="77">
        <v>4260</v>
      </c>
      <c r="D405" s="42" t="s">
        <v>116</v>
      </c>
      <c r="E405" s="92">
        <v>450000</v>
      </c>
      <c r="F405" s="92">
        <v>484000</v>
      </c>
      <c r="G405" s="92">
        <v>469074.04</v>
      </c>
      <c r="H405" s="255">
        <f t="shared" si="7"/>
        <v>96.91612396694215</v>
      </c>
      <c r="I405" s="471"/>
      <c r="J405" s="471"/>
      <c r="K405" s="471"/>
      <c r="L405" s="471"/>
      <c r="M405" s="471"/>
      <c r="N405" s="471"/>
      <c r="O405" s="471"/>
    </row>
    <row r="406" spans="1:15" s="24" customFormat="1" ht="19.5" customHeight="1">
      <c r="A406" s="77"/>
      <c r="B406" s="99"/>
      <c r="C406" s="77">
        <v>4270</v>
      </c>
      <c r="D406" s="42" t="s">
        <v>99</v>
      </c>
      <c r="E406" s="92">
        <v>130000</v>
      </c>
      <c r="F406" s="92">
        <v>142000</v>
      </c>
      <c r="G406" s="92">
        <v>141766.82</v>
      </c>
      <c r="H406" s="255">
        <f t="shared" si="7"/>
        <v>99.83578873239438</v>
      </c>
      <c r="I406" s="471"/>
      <c r="J406" s="471"/>
      <c r="K406" s="471"/>
      <c r="L406" s="471"/>
      <c r="M406" s="471"/>
      <c r="N406" s="471"/>
      <c r="O406" s="471"/>
    </row>
    <row r="407" spans="1:15" s="24" customFormat="1" ht="19.5" customHeight="1">
      <c r="A407" s="77"/>
      <c r="B407" s="99"/>
      <c r="C407" s="77">
        <v>4300</v>
      </c>
      <c r="D407" s="42" t="s">
        <v>100</v>
      </c>
      <c r="E407" s="92">
        <v>25000</v>
      </c>
      <c r="F407" s="92">
        <v>25000</v>
      </c>
      <c r="G407" s="92">
        <v>24935.08</v>
      </c>
      <c r="H407" s="255">
        <f t="shared" si="7"/>
        <v>99.74032000000001</v>
      </c>
      <c r="I407" s="471"/>
      <c r="J407" s="471"/>
      <c r="K407" s="471"/>
      <c r="L407" s="471"/>
      <c r="M407" s="471"/>
      <c r="N407" s="471"/>
      <c r="O407" s="471"/>
    </row>
    <row r="408" spans="1:15" s="24" customFormat="1" ht="24.75" customHeight="1">
      <c r="A408" s="77"/>
      <c r="B408" s="99"/>
      <c r="C408" s="77">
        <v>6050</v>
      </c>
      <c r="D408" s="42" t="s">
        <v>94</v>
      </c>
      <c r="E408" s="92">
        <f>20400+85000+20000+10000+20000</f>
        <v>155400</v>
      </c>
      <c r="F408" s="211">
        <v>173900</v>
      </c>
      <c r="G408" s="211">
        <v>144069.75</v>
      </c>
      <c r="H408" s="255">
        <f t="shared" si="7"/>
        <v>82.8463197239793</v>
      </c>
      <c r="I408" s="471"/>
      <c r="J408" s="471"/>
      <c r="K408" s="471"/>
      <c r="L408" s="471"/>
      <c r="M408" s="471"/>
      <c r="N408" s="471"/>
      <c r="O408" s="471"/>
    </row>
    <row r="409" spans="1:15" s="24" customFormat="1" ht="19.5" customHeight="1">
      <c r="A409" s="77"/>
      <c r="B409" s="94" t="s">
        <v>163</v>
      </c>
      <c r="C409" s="98"/>
      <c r="D409" s="42" t="s">
        <v>18</v>
      </c>
      <c r="E409" s="92">
        <f>SUM(E410:E413)</f>
        <v>92200</v>
      </c>
      <c r="F409" s="92">
        <f>SUM(F410:F413)</f>
        <v>90101</v>
      </c>
      <c r="G409" s="92">
        <f>SUM(G410:G413)</f>
        <v>76780.34999999999</v>
      </c>
      <c r="H409" s="255">
        <f t="shared" si="7"/>
        <v>85.21586885828125</v>
      </c>
      <c r="I409" s="471"/>
      <c r="J409" s="471"/>
      <c r="K409" s="471"/>
      <c r="L409" s="471"/>
      <c r="M409" s="471"/>
      <c r="N409" s="471"/>
      <c r="O409" s="471"/>
    </row>
    <row r="410" spans="1:15" s="24" customFormat="1" ht="19.5" customHeight="1">
      <c r="A410" s="77"/>
      <c r="B410" s="99"/>
      <c r="C410" s="98">
        <v>4210</v>
      </c>
      <c r="D410" s="42" t="s">
        <v>113</v>
      </c>
      <c r="E410" s="92">
        <v>2700</v>
      </c>
      <c r="F410" s="92">
        <v>2601</v>
      </c>
      <c r="G410" s="92">
        <v>2600.97</v>
      </c>
      <c r="H410" s="255">
        <f t="shared" si="7"/>
        <v>99.9988465974625</v>
      </c>
      <c r="I410" s="471"/>
      <c r="J410" s="471"/>
      <c r="K410" s="471"/>
      <c r="L410" s="471"/>
      <c r="M410" s="471"/>
      <c r="N410" s="471"/>
      <c r="O410" s="471"/>
    </row>
    <row r="411" spans="1:15" s="24" customFormat="1" ht="19.5" customHeight="1">
      <c r="A411" s="77"/>
      <c r="B411" s="99"/>
      <c r="C411" s="77">
        <v>4260</v>
      </c>
      <c r="D411" s="42" t="s">
        <v>116</v>
      </c>
      <c r="E411" s="92">
        <v>5500</v>
      </c>
      <c r="F411" s="92">
        <v>5500</v>
      </c>
      <c r="G411" s="92">
        <v>2294.34</v>
      </c>
      <c r="H411" s="255">
        <f t="shared" si="7"/>
        <v>41.715272727272726</v>
      </c>
      <c r="I411" s="471"/>
      <c r="J411" s="471"/>
      <c r="K411" s="471"/>
      <c r="L411" s="471"/>
      <c r="M411" s="471"/>
      <c r="N411" s="471"/>
      <c r="O411" s="471"/>
    </row>
    <row r="412" spans="1:15" s="24" customFormat="1" ht="19.5" customHeight="1">
      <c r="A412" s="77"/>
      <c r="B412" s="99"/>
      <c r="C412" s="98">
        <v>4300</v>
      </c>
      <c r="D412" s="102" t="s">
        <v>100</v>
      </c>
      <c r="E412" s="92">
        <f>67000+5000+2000</f>
        <v>74000</v>
      </c>
      <c r="F412" s="92">
        <v>72000</v>
      </c>
      <c r="G412" s="92">
        <v>66252.5</v>
      </c>
      <c r="H412" s="255">
        <f t="shared" si="7"/>
        <v>92.0173611111111</v>
      </c>
      <c r="I412" s="471"/>
      <c r="J412" s="471"/>
      <c r="K412" s="471"/>
      <c r="L412" s="471"/>
      <c r="M412" s="471"/>
      <c r="N412" s="471"/>
      <c r="O412" s="471"/>
    </row>
    <row r="413" spans="1:15" s="24" customFormat="1" ht="24.75" customHeight="1">
      <c r="A413" s="77"/>
      <c r="B413" s="99"/>
      <c r="C413" s="98">
        <v>4390</v>
      </c>
      <c r="D413" s="42" t="s">
        <v>292</v>
      </c>
      <c r="E413" s="92">
        <f>6000+4000</f>
        <v>10000</v>
      </c>
      <c r="F413" s="92">
        <v>10000</v>
      </c>
      <c r="G413" s="92">
        <v>5632.54</v>
      </c>
      <c r="H413" s="255">
        <f t="shared" si="7"/>
        <v>56.3254</v>
      </c>
      <c r="I413" s="471"/>
      <c r="J413" s="471"/>
      <c r="K413" s="471"/>
      <c r="L413" s="471"/>
      <c r="M413" s="471"/>
      <c r="N413" s="471"/>
      <c r="O413" s="471"/>
    </row>
    <row r="414" spans="1:15" s="7" customFormat="1" ht="24.75" customHeight="1">
      <c r="A414" s="37" t="s">
        <v>84</v>
      </c>
      <c r="B414" s="38"/>
      <c r="C414" s="39"/>
      <c r="D414" s="40" t="s">
        <v>164</v>
      </c>
      <c r="E414" s="41">
        <f>SUM(E415,E424,E426,)</f>
        <v>1874030</v>
      </c>
      <c r="F414" s="41">
        <f>SUM(F415,F424,F426,)</f>
        <v>1903847</v>
      </c>
      <c r="G414" s="41">
        <f>SUM(G415,G424,G426,)</f>
        <v>1896997.84</v>
      </c>
      <c r="H414" s="475">
        <f t="shared" si="7"/>
        <v>99.64024630130469</v>
      </c>
      <c r="I414" s="472"/>
      <c r="J414" s="472"/>
      <c r="K414" s="472"/>
      <c r="L414" s="472"/>
      <c r="M414" s="472"/>
      <c r="N414" s="472"/>
      <c r="O414" s="472"/>
    </row>
    <row r="415" spans="1:15" s="24" customFormat="1" ht="19.5" customHeight="1">
      <c r="A415" s="77"/>
      <c r="B415" s="94" t="s">
        <v>165</v>
      </c>
      <c r="C415" s="98"/>
      <c r="D415" s="42" t="s">
        <v>185</v>
      </c>
      <c r="E415" s="92">
        <f>SUM(E416:E423)</f>
        <v>580660</v>
      </c>
      <c r="F415" s="92">
        <f>SUM(F416:F423)</f>
        <v>608477</v>
      </c>
      <c r="G415" s="92">
        <f>SUM(G416:G423)</f>
        <v>601627.8400000001</v>
      </c>
      <c r="H415" s="255">
        <f t="shared" si="7"/>
        <v>98.87437651710748</v>
      </c>
      <c r="I415" s="471"/>
      <c r="J415" s="471"/>
      <c r="K415" s="471"/>
      <c r="L415" s="471"/>
      <c r="M415" s="471"/>
      <c r="N415" s="471"/>
      <c r="O415" s="471"/>
    </row>
    <row r="416" spans="1:15" s="24" customFormat="1" ht="27" customHeight="1">
      <c r="A416" s="77"/>
      <c r="B416" s="94"/>
      <c r="C416" s="98">
        <v>2480</v>
      </c>
      <c r="D416" s="42" t="s">
        <v>233</v>
      </c>
      <c r="E416" s="92">
        <v>526590</v>
      </c>
      <c r="F416" s="211">
        <v>556090</v>
      </c>
      <c r="G416" s="211">
        <v>554590</v>
      </c>
      <c r="H416" s="255">
        <f t="shared" si="7"/>
        <v>99.73025949037026</v>
      </c>
      <c r="I416" s="471"/>
      <c r="J416" s="471"/>
      <c r="K416" s="471"/>
      <c r="L416" s="471"/>
      <c r="M416" s="471"/>
      <c r="N416" s="471"/>
      <c r="O416" s="471"/>
    </row>
    <row r="417" spans="1:15" s="24" customFormat="1" ht="19.5" customHeight="1">
      <c r="A417" s="77"/>
      <c r="B417" s="94"/>
      <c r="C417" s="77">
        <v>4210</v>
      </c>
      <c r="D417" s="42" t="s">
        <v>113</v>
      </c>
      <c r="E417" s="92">
        <v>16610</v>
      </c>
      <c r="F417" s="92">
        <v>28565</v>
      </c>
      <c r="G417" s="92">
        <v>26337.77</v>
      </c>
      <c r="H417" s="255">
        <f t="shared" si="7"/>
        <v>92.20294066164887</v>
      </c>
      <c r="I417" s="471"/>
      <c r="J417" s="471"/>
      <c r="K417" s="471"/>
      <c r="L417" s="471"/>
      <c r="M417" s="471"/>
      <c r="N417" s="471"/>
      <c r="O417" s="471"/>
    </row>
    <row r="418" spans="1:15" s="24" customFormat="1" ht="19.5" customHeight="1">
      <c r="A418" s="77"/>
      <c r="B418" s="94"/>
      <c r="C418" s="77">
        <v>4260</v>
      </c>
      <c r="D418" s="42" t="s">
        <v>116</v>
      </c>
      <c r="E418" s="92">
        <v>9540</v>
      </c>
      <c r="F418" s="92">
        <v>9701</v>
      </c>
      <c r="G418" s="92">
        <v>8120.28</v>
      </c>
      <c r="H418" s="255">
        <f t="shared" si="7"/>
        <v>83.70559736109679</v>
      </c>
      <c r="I418" s="471"/>
      <c r="J418" s="471"/>
      <c r="K418" s="471"/>
      <c r="L418" s="471"/>
      <c r="M418" s="471"/>
      <c r="N418" s="471"/>
      <c r="O418" s="471"/>
    </row>
    <row r="419" spans="1:15" s="24" customFormat="1" ht="19.5" customHeight="1">
      <c r="A419" s="77"/>
      <c r="B419" s="94"/>
      <c r="C419" s="77">
        <v>4270</v>
      </c>
      <c r="D419" s="42" t="s">
        <v>99</v>
      </c>
      <c r="E419" s="92">
        <v>20680</v>
      </c>
      <c r="F419" s="92">
        <v>4440</v>
      </c>
      <c r="G419" s="92">
        <v>4432.58</v>
      </c>
      <c r="H419" s="255">
        <f aca="true" t="shared" si="8" ref="H419:H446">G419/F419*100</f>
        <v>99.83288288288288</v>
      </c>
      <c r="I419" s="471"/>
      <c r="J419" s="471"/>
      <c r="K419" s="471"/>
      <c r="L419" s="471"/>
      <c r="M419" s="471"/>
      <c r="N419" s="471"/>
      <c r="O419" s="471"/>
    </row>
    <row r="420" spans="1:15" s="24" customFormat="1" ht="19.5" customHeight="1">
      <c r="A420" s="77"/>
      <c r="B420" s="94"/>
      <c r="C420" s="98">
        <v>4300</v>
      </c>
      <c r="D420" s="102" t="s">
        <v>100</v>
      </c>
      <c r="E420" s="92">
        <v>980</v>
      </c>
      <c r="F420" s="92">
        <v>421</v>
      </c>
      <c r="G420" s="92">
        <v>256.29</v>
      </c>
      <c r="H420" s="255">
        <f t="shared" si="8"/>
        <v>60.87648456057008</v>
      </c>
      <c r="I420" s="471"/>
      <c r="J420" s="471"/>
      <c r="K420" s="471"/>
      <c r="L420" s="471"/>
      <c r="M420" s="471"/>
      <c r="N420" s="471"/>
      <c r="O420" s="471"/>
    </row>
    <row r="421" spans="1:15" s="24" customFormat="1" ht="19.5" customHeight="1">
      <c r="A421" s="77"/>
      <c r="B421" s="94"/>
      <c r="C421" s="98">
        <v>4430</v>
      </c>
      <c r="D421" s="102" t="s">
        <v>115</v>
      </c>
      <c r="E421" s="92">
        <v>1280</v>
      </c>
      <c r="F421" s="92">
        <v>1280</v>
      </c>
      <c r="G421" s="92">
        <v>1202.92</v>
      </c>
      <c r="H421" s="255">
        <f t="shared" si="8"/>
        <v>93.978125</v>
      </c>
      <c r="I421" s="471"/>
      <c r="J421" s="471"/>
      <c r="K421" s="471"/>
      <c r="L421" s="471"/>
      <c r="M421" s="471"/>
      <c r="N421" s="471"/>
      <c r="O421" s="471"/>
    </row>
    <row r="422" spans="1:15" s="24" customFormat="1" ht="24.75" customHeight="1">
      <c r="A422" s="77"/>
      <c r="B422" s="94"/>
      <c r="C422" s="98">
        <v>6050</v>
      </c>
      <c r="D422" s="42" t="s">
        <v>94</v>
      </c>
      <c r="E422" s="92">
        <v>4980</v>
      </c>
      <c r="F422" s="92">
        <v>3000</v>
      </c>
      <c r="G422" s="92">
        <v>1708</v>
      </c>
      <c r="H422" s="255">
        <f t="shared" si="8"/>
        <v>56.93333333333334</v>
      </c>
      <c r="I422" s="471"/>
      <c r="J422" s="471"/>
      <c r="K422" s="471"/>
      <c r="L422" s="471"/>
      <c r="M422" s="471"/>
      <c r="N422" s="471"/>
      <c r="O422" s="471"/>
    </row>
    <row r="423" spans="1:15" s="24" customFormat="1" ht="24.75" customHeight="1">
      <c r="A423" s="77"/>
      <c r="B423" s="94"/>
      <c r="C423" s="98">
        <v>6060</v>
      </c>
      <c r="D423" s="42" t="s">
        <v>117</v>
      </c>
      <c r="E423" s="92">
        <v>0</v>
      </c>
      <c r="F423" s="92">
        <v>4980</v>
      </c>
      <c r="G423" s="92">
        <v>4980</v>
      </c>
      <c r="H423" s="255">
        <f t="shared" si="8"/>
        <v>100</v>
      </c>
      <c r="I423" s="471"/>
      <c r="J423" s="471"/>
      <c r="K423" s="471"/>
      <c r="L423" s="471"/>
      <c r="M423" s="471"/>
      <c r="N423" s="471"/>
      <c r="O423" s="471"/>
    </row>
    <row r="424" spans="1:15" s="24" customFormat="1" ht="19.5" customHeight="1">
      <c r="A424" s="77"/>
      <c r="B424" s="94" t="s">
        <v>85</v>
      </c>
      <c r="C424" s="98"/>
      <c r="D424" s="42" t="s">
        <v>86</v>
      </c>
      <c r="E424" s="92">
        <f>E425</f>
        <v>916900</v>
      </c>
      <c r="F424" s="92">
        <f>SUM(F425)</f>
        <v>916900</v>
      </c>
      <c r="G424" s="92">
        <f>SUM(G425)</f>
        <v>916900</v>
      </c>
      <c r="H424" s="255">
        <f t="shared" si="8"/>
        <v>100</v>
      </c>
      <c r="I424" s="471"/>
      <c r="J424" s="471"/>
      <c r="K424" s="471"/>
      <c r="L424" s="471"/>
      <c r="M424" s="471"/>
      <c r="N424" s="471"/>
      <c r="O424" s="471"/>
    </row>
    <row r="425" spans="1:15" s="24" customFormat="1" ht="24.75" customHeight="1">
      <c r="A425" s="77"/>
      <c r="B425" s="94"/>
      <c r="C425" s="98">
        <v>2480</v>
      </c>
      <c r="D425" s="42" t="s">
        <v>233</v>
      </c>
      <c r="E425" s="92">
        <v>916900</v>
      </c>
      <c r="F425" s="92">
        <v>916900</v>
      </c>
      <c r="G425" s="92">
        <v>916900</v>
      </c>
      <c r="H425" s="255">
        <f t="shared" si="8"/>
        <v>100</v>
      </c>
      <c r="I425" s="471"/>
      <c r="J425" s="471"/>
      <c r="K425" s="471"/>
      <c r="L425" s="471"/>
      <c r="M425" s="471"/>
      <c r="N425" s="471"/>
      <c r="O425" s="471"/>
    </row>
    <row r="426" spans="1:15" s="24" customFormat="1" ht="19.5" customHeight="1">
      <c r="A426" s="77"/>
      <c r="B426" s="94" t="s">
        <v>167</v>
      </c>
      <c r="C426" s="98"/>
      <c r="D426" s="42" t="s">
        <v>168</v>
      </c>
      <c r="E426" s="92">
        <f>E427</f>
        <v>376470</v>
      </c>
      <c r="F426" s="92">
        <f>SUM(F427)</f>
        <v>378470</v>
      </c>
      <c r="G426" s="92">
        <f>SUM(G427)</f>
        <v>378470</v>
      </c>
      <c r="H426" s="255">
        <f t="shared" si="8"/>
        <v>100</v>
      </c>
      <c r="I426" s="471"/>
      <c r="J426" s="471"/>
      <c r="K426" s="471"/>
      <c r="L426" s="471"/>
      <c r="M426" s="471"/>
      <c r="N426" s="471"/>
      <c r="O426" s="471"/>
    </row>
    <row r="427" spans="1:15" s="24" customFormat="1" ht="24.75" customHeight="1">
      <c r="A427" s="77"/>
      <c r="B427" s="94"/>
      <c r="C427" s="98">
        <v>2480</v>
      </c>
      <c r="D427" s="42" t="s">
        <v>233</v>
      </c>
      <c r="E427" s="92">
        <f>368470+8000</f>
        <v>376470</v>
      </c>
      <c r="F427" s="92">
        <v>378470</v>
      </c>
      <c r="G427" s="92">
        <v>378470</v>
      </c>
      <c r="H427" s="255">
        <f t="shared" si="8"/>
        <v>100</v>
      </c>
      <c r="I427" s="471"/>
      <c r="J427" s="471"/>
      <c r="K427" s="471"/>
      <c r="L427" s="471"/>
      <c r="M427" s="471"/>
      <c r="N427" s="471"/>
      <c r="O427" s="471"/>
    </row>
    <row r="428" spans="1:15" s="7" customFormat="1" ht="19.5" customHeight="1">
      <c r="A428" s="37" t="s">
        <v>169</v>
      </c>
      <c r="B428" s="38"/>
      <c r="C428" s="39"/>
      <c r="D428" s="40" t="s">
        <v>87</v>
      </c>
      <c r="E428" s="41">
        <f>SUM(E434,E431,E429)</f>
        <v>521580</v>
      </c>
      <c r="F428" s="41">
        <f>SUM(F429,F431,F434,)</f>
        <v>991140</v>
      </c>
      <c r="G428" s="41">
        <f>SUM(G429,G431,G434,)</f>
        <v>517601.83999999997</v>
      </c>
      <c r="H428" s="475">
        <f t="shared" si="8"/>
        <v>52.222878705329215</v>
      </c>
      <c r="I428" s="472"/>
      <c r="J428" s="472"/>
      <c r="K428" s="472"/>
      <c r="L428" s="472"/>
      <c r="M428" s="472"/>
      <c r="N428" s="472"/>
      <c r="O428" s="472"/>
    </row>
    <row r="429" spans="1:15" s="24" customFormat="1" ht="19.5" customHeight="1">
      <c r="A429" s="77"/>
      <c r="B429" s="99">
        <v>92601</v>
      </c>
      <c r="C429" s="98"/>
      <c r="D429" s="42" t="s">
        <v>298</v>
      </c>
      <c r="E429" s="92">
        <f>SUM(E430)</f>
        <v>100000</v>
      </c>
      <c r="F429" s="92">
        <f>SUM(F430)</f>
        <v>100000</v>
      </c>
      <c r="G429" s="92">
        <f>SUM(G430)</f>
        <v>0</v>
      </c>
      <c r="H429" s="255">
        <f t="shared" si="8"/>
        <v>0</v>
      </c>
      <c r="I429" s="471"/>
      <c r="J429" s="471"/>
      <c r="K429" s="471"/>
      <c r="L429" s="471"/>
      <c r="M429" s="471"/>
      <c r="N429" s="471"/>
      <c r="O429" s="471"/>
    </row>
    <row r="430" spans="1:15" s="24" customFormat="1" ht="24.75" customHeight="1">
      <c r="A430" s="77"/>
      <c r="B430" s="99"/>
      <c r="C430" s="98">
        <v>6050</v>
      </c>
      <c r="D430" s="42" t="s">
        <v>94</v>
      </c>
      <c r="E430" s="92">
        <f>100000</f>
        <v>100000</v>
      </c>
      <c r="F430" s="92">
        <v>100000</v>
      </c>
      <c r="G430" s="92">
        <v>0</v>
      </c>
      <c r="H430" s="255">
        <f t="shared" si="8"/>
        <v>0</v>
      </c>
      <c r="I430" s="471"/>
      <c r="J430" s="471"/>
      <c r="K430" s="471"/>
      <c r="L430" s="471"/>
      <c r="M430" s="471"/>
      <c r="N430" s="471"/>
      <c r="O430" s="471"/>
    </row>
    <row r="431" spans="1:15" s="24" customFormat="1" ht="19.5" customHeight="1">
      <c r="A431" s="77"/>
      <c r="B431" s="99">
        <v>92604</v>
      </c>
      <c r="C431" s="98"/>
      <c r="D431" s="42" t="s">
        <v>244</v>
      </c>
      <c r="E431" s="92">
        <f>SUM(E432:E433)</f>
        <v>108000</v>
      </c>
      <c r="F431" s="92">
        <f>SUM(F432:F433)</f>
        <v>108000</v>
      </c>
      <c r="G431" s="92">
        <f>SUM(G432:G433)</f>
        <v>83294</v>
      </c>
      <c r="H431" s="255">
        <f t="shared" si="8"/>
        <v>77.12407407407407</v>
      </c>
      <c r="I431" s="471"/>
      <c r="J431" s="471"/>
      <c r="K431" s="471"/>
      <c r="L431" s="471"/>
      <c r="M431" s="471"/>
      <c r="N431" s="471"/>
      <c r="O431" s="471"/>
    </row>
    <row r="432" spans="1:15" s="24" customFormat="1" ht="19.5" customHeight="1">
      <c r="A432" s="77"/>
      <c r="B432" s="99"/>
      <c r="C432" s="98">
        <v>4270</v>
      </c>
      <c r="D432" s="42" t="s">
        <v>99</v>
      </c>
      <c r="E432" s="92">
        <v>28000</v>
      </c>
      <c r="F432" s="92">
        <v>28000</v>
      </c>
      <c r="G432" s="92">
        <v>3294</v>
      </c>
      <c r="H432" s="255">
        <f t="shared" si="8"/>
        <v>11.764285714285714</v>
      </c>
      <c r="I432" s="471"/>
      <c r="J432" s="471"/>
      <c r="K432" s="471"/>
      <c r="L432" s="471"/>
      <c r="M432" s="471"/>
      <c r="N432" s="471"/>
      <c r="O432" s="471"/>
    </row>
    <row r="433" spans="1:15" s="24" customFormat="1" ht="19.5" customHeight="1">
      <c r="A433" s="77"/>
      <c r="B433" s="99"/>
      <c r="C433" s="98">
        <v>4300</v>
      </c>
      <c r="D433" s="102" t="s">
        <v>100</v>
      </c>
      <c r="E433" s="92">
        <f>60000+20000</f>
        <v>80000</v>
      </c>
      <c r="F433" s="92">
        <v>80000</v>
      </c>
      <c r="G433" s="92">
        <v>80000</v>
      </c>
      <c r="H433" s="255">
        <f t="shared" si="8"/>
        <v>100</v>
      </c>
      <c r="I433" s="471"/>
      <c r="J433" s="471"/>
      <c r="K433" s="471"/>
      <c r="L433" s="471"/>
      <c r="M433" s="471"/>
      <c r="N433" s="471"/>
      <c r="O433" s="471"/>
    </row>
    <row r="434" spans="1:15" s="24" customFormat="1" ht="24.75" customHeight="1">
      <c r="A434" s="98"/>
      <c r="B434" s="101">
        <v>92605</v>
      </c>
      <c r="C434" s="98"/>
      <c r="D434" s="42" t="s">
        <v>88</v>
      </c>
      <c r="E434" s="92">
        <f>SUM(E435:E445)</f>
        <v>313580</v>
      </c>
      <c r="F434" s="92">
        <f>SUM(F435:F445)</f>
        <v>783140</v>
      </c>
      <c r="G434" s="92">
        <f>SUM(G435:G445)</f>
        <v>434307.83999999997</v>
      </c>
      <c r="H434" s="255">
        <f t="shared" si="8"/>
        <v>55.457241361697776</v>
      </c>
      <c r="I434" s="471"/>
      <c r="J434" s="471"/>
      <c r="K434" s="471"/>
      <c r="L434" s="471"/>
      <c r="M434" s="471"/>
      <c r="N434" s="471"/>
      <c r="O434" s="471"/>
    </row>
    <row r="435" spans="1:15" s="24" customFormat="1" ht="45">
      <c r="A435" s="98"/>
      <c r="B435" s="101"/>
      <c r="C435" s="98">
        <v>2320</v>
      </c>
      <c r="D435" s="42" t="s">
        <v>184</v>
      </c>
      <c r="E435" s="92">
        <v>0</v>
      </c>
      <c r="F435" s="92">
        <v>4000</v>
      </c>
      <c r="G435" s="92">
        <v>4000</v>
      </c>
      <c r="H435" s="255">
        <f t="shared" si="8"/>
        <v>100</v>
      </c>
      <c r="I435" s="471"/>
      <c r="J435" s="471"/>
      <c r="K435" s="471"/>
      <c r="L435" s="471"/>
      <c r="M435" s="471"/>
      <c r="N435" s="471"/>
      <c r="O435" s="471"/>
    </row>
    <row r="436" spans="1:15" s="24" customFormat="1" ht="33.75">
      <c r="A436" s="98"/>
      <c r="B436" s="101"/>
      <c r="C436" s="98">
        <v>2630</v>
      </c>
      <c r="D436" s="42" t="s">
        <v>281</v>
      </c>
      <c r="E436" s="92">
        <v>250000</v>
      </c>
      <c r="F436" s="211">
        <v>0</v>
      </c>
      <c r="G436" s="211">
        <v>0</v>
      </c>
      <c r="H436" s="476" t="s">
        <v>514</v>
      </c>
      <c r="I436" s="471"/>
      <c r="J436" s="471"/>
      <c r="K436" s="471"/>
      <c r="L436" s="471"/>
      <c r="M436" s="471"/>
      <c r="N436" s="471"/>
      <c r="O436" s="471"/>
    </row>
    <row r="437" spans="1:15" s="24" customFormat="1" ht="32.25" customHeight="1">
      <c r="A437" s="98"/>
      <c r="B437" s="101"/>
      <c r="C437" s="98">
        <v>2820</v>
      </c>
      <c r="D437" s="42" t="s">
        <v>403</v>
      </c>
      <c r="E437" s="92">
        <v>0</v>
      </c>
      <c r="F437" s="211">
        <v>312400</v>
      </c>
      <c r="G437" s="211">
        <v>312399.31</v>
      </c>
      <c r="H437" s="255">
        <f t="shared" si="8"/>
        <v>99.99977912932138</v>
      </c>
      <c r="I437" s="471"/>
      <c r="J437" s="471"/>
      <c r="K437" s="471"/>
      <c r="L437" s="471"/>
      <c r="M437" s="471"/>
      <c r="N437" s="471"/>
      <c r="O437" s="471"/>
    </row>
    <row r="438" spans="1:15" s="24" customFormat="1" ht="56.25">
      <c r="A438" s="98"/>
      <c r="B438" s="101"/>
      <c r="C438" s="98">
        <v>2830</v>
      </c>
      <c r="D438" s="42" t="s">
        <v>402</v>
      </c>
      <c r="E438" s="92">
        <v>0</v>
      </c>
      <c r="F438" s="211">
        <v>600</v>
      </c>
      <c r="G438" s="211">
        <v>600</v>
      </c>
      <c r="H438" s="255">
        <f t="shared" si="8"/>
        <v>100</v>
      </c>
      <c r="I438" s="471"/>
      <c r="J438" s="471"/>
      <c r="K438" s="471"/>
      <c r="L438" s="471"/>
      <c r="M438" s="471"/>
      <c r="N438" s="471"/>
      <c r="O438" s="471"/>
    </row>
    <row r="439" spans="1:15" s="24" customFormat="1" ht="19.5" customHeight="1">
      <c r="A439" s="98"/>
      <c r="B439" s="101"/>
      <c r="C439" s="98">
        <v>4110</v>
      </c>
      <c r="D439" s="42" t="s">
        <v>107</v>
      </c>
      <c r="E439" s="92">
        <v>0</v>
      </c>
      <c r="F439" s="211">
        <v>506</v>
      </c>
      <c r="G439" s="211">
        <v>119.23</v>
      </c>
      <c r="H439" s="255">
        <f t="shared" si="8"/>
        <v>23.563241106719367</v>
      </c>
      <c r="I439" s="471"/>
      <c r="J439" s="471"/>
      <c r="K439" s="471"/>
      <c r="L439" s="471"/>
      <c r="M439" s="471"/>
      <c r="N439" s="471"/>
      <c r="O439" s="471"/>
    </row>
    <row r="440" spans="1:15" s="24" customFormat="1" ht="19.5" customHeight="1">
      <c r="A440" s="98"/>
      <c r="B440" s="101"/>
      <c r="C440" s="98">
        <v>4120</v>
      </c>
      <c r="D440" s="42" t="s">
        <v>108</v>
      </c>
      <c r="E440" s="92">
        <v>0</v>
      </c>
      <c r="F440" s="211">
        <v>49</v>
      </c>
      <c r="G440" s="211">
        <v>0</v>
      </c>
      <c r="H440" s="255">
        <f t="shared" si="8"/>
        <v>0</v>
      </c>
      <c r="I440" s="471"/>
      <c r="J440" s="471"/>
      <c r="K440" s="471"/>
      <c r="L440" s="471"/>
      <c r="M440" s="471"/>
      <c r="N440" s="471"/>
      <c r="O440" s="471"/>
    </row>
    <row r="441" spans="1:15" s="24" customFormat="1" ht="19.5" customHeight="1">
      <c r="A441" s="98"/>
      <c r="B441" s="101"/>
      <c r="C441" s="98">
        <v>4170</v>
      </c>
      <c r="D441" s="42" t="s">
        <v>242</v>
      </c>
      <c r="E441" s="92">
        <f>20000+11000</f>
        <v>31000</v>
      </c>
      <c r="F441" s="211">
        <v>35155</v>
      </c>
      <c r="G441" s="211">
        <v>17135</v>
      </c>
      <c r="H441" s="255">
        <f t="shared" si="8"/>
        <v>48.74128857914948</v>
      </c>
      <c r="I441" s="471"/>
      <c r="J441" s="471"/>
      <c r="K441" s="471"/>
      <c r="L441" s="471"/>
      <c r="M441" s="471"/>
      <c r="N441" s="471"/>
      <c r="O441" s="471"/>
    </row>
    <row r="442" spans="1:15" s="24" customFormat="1" ht="19.5" customHeight="1">
      <c r="A442" s="98"/>
      <c r="B442" s="94"/>
      <c r="C442" s="77">
        <v>4210</v>
      </c>
      <c r="D442" s="42" t="s">
        <v>113</v>
      </c>
      <c r="E442" s="92">
        <f>7780+10000</f>
        <v>17780</v>
      </c>
      <c r="F442" s="211">
        <v>21110</v>
      </c>
      <c r="G442" s="211">
        <v>20794.7</v>
      </c>
      <c r="H442" s="255">
        <f t="shared" si="8"/>
        <v>98.50639507342493</v>
      </c>
      <c r="I442" s="471"/>
      <c r="J442" s="471"/>
      <c r="K442" s="471"/>
      <c r="L442" s="471"/>
      <c r="M442" s="471"/>
      <c r="N442" s="471"/>
      <c r="O442" s="471"/>
    </row>
    <row r="443" spans="1:15" s="24" customFormat="1" ht="19.5" customHeight="1">
      <c r="A443" s="98"/>
      <c r="B443" s="94"/>
      <c r="C443" s="77">
        <v>4260</v>
      </c>
      <c r="D443" s="42" t="s">
        <v>116</v>
      </c>
      <c r="E443" s="92">
        <v>600</v>
      </c>
      <c r="F443" s="211">
        <v>350</v>
      </c>
      <c r="G443" s="211">
        <v>213.42</v>
      </c>
      <c r="H443" s="255">
        <f t="shared" si="8"/>
        <v>60.97714285714285</v>
      </c>
      <c r="I443" s="471"/>
      <c r="J443" s="471"/>
      <c r="K443" s="471"/>
      <c r="L443" s="471"/>
      <c r="M443" s="471"/>
      <c r="N443" s="471"/>
      <c r="O443" s="471"/>
    </row>
    <row r="444" spans="1:15" s="24" customFormat="1" ht="19.5" customHeight="1">
      <c r="A444" s="98"/>
      <c r="B444" s="94"/>
      <c r="C444" s="98">
        <v>4300</v>
      </c>
      <c r="D444" s="102" t="s">
        <v>100</v>
      </c>
      <c r="E444" s="92">
        <f>2200+10000+2000</f>
        <v>14200</v>
      </c>
      <c r="F444" s="211">
        <v>46170</v>
      </c>
      <c r="G444" s="211">
        <v>33663</v>
      </c>
      <c r="H444" s="255">
        <f t="shared" si="8"/>
        <v>72.91098115659518</v>
      </c>
      <c r="I444" s="471"/>
      <c r="J444" s="471"/>
      <c r="K444" s="471"/>
      <c r="L444" s="471"/>
      <c r="M444" s="471"/>
      <c r="N444" s="471"/>
      <c r="O444" s="471"/>
    </row>
    <row r="445" spans="1:15" s="24" customFormat="1" ht="24.75" customHeight="1">
      <c r="A445" s="98"/>
      <c r="B445" s="77"/>
      <c r="C445" s="98">
        <v>6050</v>
      </c>
      <c r="D445" s="42" t="s">
        <v>94</v>
      </c>
      <c r="E445" s="92">
        <v>0</v>
      </c>
      <c r="F445" s="165">
        <v>362800</v>
      </c>
      <c r="G445" s="165">
        <v>45383.18</v>
      </c>
      <c r="H445" s="255">
        <f t="shared" si="8"/>
        <v>12.509145534729878</v>
      </c>
      <c r="I445" s="471"/>
      <c r="J445" s="471"/>
      <c r="K445" s="471"/>
      <c r="L445" s="471"/>
      <c r="M445" s="471"/>
      <c r="N445" s="471"/>
      <c r="O445" s="471"/>
    </row>
    <row r="446" spans="1:15" s="8" customFormat="1" ht="24.75" customHeight="1">
      <c r="A446" s="10"/>
      <c r="B446" s="10"/>
      <c r="C446" s="10"/>
      <c r="D446" s="39" t="s">
        <v>89</v>
      </c>
      <c r="E446" s="41">
        <f>SUM(E428,E414,E388,E351,E287,E270,E180,E177,E174,E164,E128,E113,E54,E47,E29,E19,E8,)</f>
        <v>46627016</v>
      </c>
      <c r="F446" s="41">
        <f>SUM(F428,F414,F388,F351,F287,F270,F180,F177,F174,F164,F128,F113,F54,F47,F29,F19,F8,F348)</f>
        <v>50999275</v>
      </c>
      <c r="G446" s="41">
        <f>SUM(G428,G414,G388,G351,G287,G270,G180,G177,G174,G164,G128,G113,G54,G47,G29,G19,G8,G348)</f>
        <v>46787501.46000001</v>
      </c>
      <c r="H446" s="475">
        <f t="shared" si="8"/>
        <v>91.74150310960304</v>
      </c>
      <c r="I446" s="23"/>
      <c r="J446" s="23"/>
      <c r="K446" s="23"/>
      <c r="L446" s="23"/>
      <c r="M446" s="23"/>
      <c r="N446" s="23"/>
      <c r="O446" s="23"/>
    </row>
    <row r="447" spans="1:6" ht="12.75">
      <c r="A447" s="66"/>
      <c r="B447" s="66"/>
      <c r="C447" s="66"/>
      <c r="D447" s="66"/>
      <c r="E447" s="141"/>
      <c r="F447" s="141"/>
    </row>
    <row r="448" spans="4:6" ht="12.75">
      <c r="D448" s="66"/>
      <c r="E448" s="141"/>
      <c r="F448" s="141"/>
    </row>
    <row r="449" spans="4:6" ht="12.75">
      <c r="D449" s="66"/>
      <c r="E449" s="141"/>
      <c r="F449" s="141"/>
    </row>
    <row r="450" spans="4:6" ht="12.75">
      <c r="D450" s="66"/>
      <c r="E450" s="141"/>
      <c r="F450" s="141"/>
    </row>
    <row r="451" spans="4:6" ht="12.75">
      <c r="D451" s="66"/>
      <c r="E451" s="141"/>
      <c r="F451" s="68"/>
    </row>
    <row r="452" spans="1:8" s="21" customFormat="1" ht="12.75">
      <c r="A452" s="23"/>
      <c r="B452" s="23"/>
      <c r="C452" s="23"/>
      <c r="D452" s="125"/>
      <c r="E452" s="115"/>
      <c r="F452" s="115"/>
      <c r="G452" s="253"/>
      <c r="H452" s="252"/>
    </row>
    <row r="453" spans="1:8" s="21" customFormat="1" ht="12.75">
      <c r="A453" s="23"/>
      <c r="B453" s="23"/>
      <c r="C453" s="23"/>
      <c r="D453" s="125"/>
      <c r="E453" s="115"/>
      <c r="F453" s="115"/>
      <c r="G453" s="253"/>
      <c r="H453" s="252"/>
    </row>
    <row r="454" spans="1:8" s="21" customFormat="1" ht="12.75">
      <c r="A454" s="23"/>
      <c r="B454" s="23"/>
      <c r="C454" s="23"/>
      <c r="D454" s="23"/>
      <c r="E454" s="22"/>
      <c r="F454" s="22"/>
      <c r="G454" s="253"/>
      <c r="H454" s="252"/>
    </row>
    <row r="455" spans="1:8" s="21" customFormat="1" ht="12.75">
      <c r="A455" s="23"/>
      <c r="B455" s="23"/>
      <c r="C455" s="23"/>
      <c r="D455" s="23"/>
      <c r="E455" s="22"/>
      <c r="F455" s="22"/>
      <c r="G455" s="253"/>
      <c r="H455" s="252"/>
    </row>
    <row r="456" spans="1:8" s="21" customFormat="1" ht="12.75">
      <c r="A456" s="23"/>
      <c r="B456" s="23"/>
      <c r="C456" s="23"/>
      <c r="D456" s="23"/>
      <c r="E456" s="22"/>
      <c r="F456" s="22"/>
      <c r="G456" s="253"/>
      <c r="H456" s="252"/>
    </row>
    <row r="457" spans="1:8" s="21" customFormat="1" ht="12.75">
      <c r="A457" s="23"/>
      <c r="B457" s="23"/>
      <c r="C457" s="23"/>
      <c r="D457" s="23"/>
      <c r="E457" s="22"/>
      <c r="F457" s="22"/>
      <c r="G457" s="253"/>
      <c r="H457" s="252"/>
    </row>
    <row r="458" spans="1:8" s="21" customFormat="1" ht="12.75">
      <c r="A458" s="23"/>
      <c r="B458" s="23"/>
      <c r="C458" s="23"/>
      <c r="D458" s="23"/>
      <c r="E458" s="22"/>
      <c r="F458" s="22"/>
      <c r="G458" s="253"/>
      <c r="H458" s="252"/>
    </row>
    <row r="459" spans="1:8" s="21" customFormat="1" ht="12.75">
      <c r="A459" s="23"/>
      <c r="B459" s="23"/>
      <c r="C459" s="23"/>
      <c r="D459" s="23"/>
      <c r="E459" s="22"/>
      <c r="F459" s="22"/>
      <c r="G459" s="253"/>
      <c r="H459" s="252"/>
    </row>
    <row r="460" spans="1:8" s="21" customFormat="1" ht="12.75">
      <c r="A460" s="23"/>
      <c r="B460" s="23"/>
      <c r="C460" s="23"/>
      <c r="D460" s="23"/>
      <c r="E460" s="22"/>
      <c r="F460" s="22"/>
      <c r="G460" s="253"/>
      <c r="H460" s="252"/>
    </row>
    <row r="461" spans="1:8" s="21" customFormat="1" ht="12.75">
      <c r="A461" s="23"/>
      <c r="B461" s="23"/>
      <c r="C461" s="23"/>
      <c r="D461" s="23"/>
      <c r="E461" s="22"/>
      <c r="F461" s="22"/>
      <c r="G461" s="253"/>
      <c r="H461" s="252"/>
    </row>
    <row r="462" spans="1:8" s="21" customFormat="1" ht="12.75">
      <c r="A462" s="23"/>
      <c r="B462" s="23"/>
      <c r="C462" s="23"/>
      <c r="D462" s="23"/>
      <c r="E462" s="22"/>
      <c r="F462" s="22"/>
      <c r="G462" s="253"/>
      <c r="H462" s="252"/>
    </row>
    <row r="463" spans="1:8" s="21" customFormat="1" ht="12.75">
      <c r="A463" s="23"/>
      <c r="B463" s="23"/>
      <c r="C463" s="23"/>
      <c r="D463" s="23"/>
      <c r="E463" s="22"/>
      <c r="F463" s="22"/>
      <c r="G463" s="253"/>
      <c r="H463" s="252"/>
    </row>
    <row r="464" spans="1:8" s="21" customFormat="1" ht="12.75">
      <c r="A464" s="23"/>
      <c r="B464" s="23"/>
      <c r="C464" s="23"/>
      <c r="D464" s="23"/>
      <c r="E464" s="22"/>
      <c r="F464" s="22"/>
      <c r="G464" s="253"/>
      <c r="H464" s="252"/>
    </row>
    <row r="465" spans="1:8" s="21" customFormat="1" ht="12.75">
      <c r="A465" s="23"/>
      <c r="B465" s="23"/>
      <c r="C465" s="23"/>
      <c r="D465" s="23"/>
      <c r="E465" s="22"/>
      <c r="F465" s="22"/>
      <c r="G465" s="253"/>
      <c r="H465" s="252"/>
    </row>
    <row r="466" spans="1:8" s="21" customFormat="1" ht="12.75">
      <c r="A466" s="23"/>
      <c r="B466" s="23"/>
      <c r="C466" s="23"/>
      <c r="D466" s="23"/>
      <c r="E466" s="22"/>
      <c r="F466" s="22"/>
      <c r="G466" s="253"/>
      <c r="H466" s="252"/>
    </row>
    <row r="467" spans="1:8" s="21" customFormat="1" ht="12.75">
      <c r="A467" s="23"/>
      <c r="B467" s="23"/>
      <c r="C467" s="23"/>
      <c r="D467" s="23"/>
      <c r="E467" s="22"/>
      <c r="F467" s="22"/>
      <c r="G467" s="253"/>
      <c r="H467" s="252"/>
    </row>
    <row r="468" spans="1:8" s="21" customFormat="1" ht="12.75">
      <c r="A468" s="23"/>
      <c r="B468" s="23"/>
      <c r="C468" s="23"/>
      <c r="D468" s="23"/>
      <c r="E468" s="22"/>
      <c r="F468" s="22"/>
      <c r="G468" s="253"/>
      <c r="H468" s="252"/>
    </row>
    <row r="469" spans="1:8" s="21" customFormat="1" ht="12.75">
      <c r="A469" s="23"/>
      <c r="B469" s="23"/>
      <c r="C469" s="23"/>
      <c r="D469" s="23"/>
      <c r="E469" s="22"/>
      <c r="F469" s="22"/>
      <c r="G469" s="253"/>
      <c r="H469" s="252"/>
    </row>
    <row r="470" spans="1:8" s="21" customFormat="1" ht="12.75">
      <c r="A470" s="23"/>
      <c r="B470" s="23"/>
      <c r="C470" s="23"/>
      <c r="D470" s="23"/>
      <c r="E470" s="22"/>
      <c r="F470" s="22"/>
      <c r="G470" s="253"/>
      <c r="H470" s="252"/>
    </row>
    <row r="471" spans="1:8" s="21" customFormat="1" ht="12.75">
      <c r="A471" s="23"/>
      <c r="B471" s="23"/>
      <c r="C471" s="23"/>
      <c r="D471" s="23"/>
      <c r="E471" s="22"/>
      <c r="F471" s="22"/>
      <c r="G471" s="253"/>
      <c r="H471" s="252"/>
    </row>
    <row r="472" spans="1:8" s="21" customFormat="1" ht="12.75">
      <c r="A472" s="23"/>
      <c r="B472" s="23"/>
      <c r="C472" s="23"/>
      <c r="D472" s="23"/>
      <c r="E472" s="22"/>
      <c r="F472" s="22"/>
      <c r="G472" s="253"/>
      <c r="H472" s="252"/>
    </row>
    <row r="473" spans="1:8" s="21" customFormat="1" ht="12.75">
      <c r="A473" s="23"/>
      <c r="B473" s="23"/>
      <c r="C473" s="23"/>
      <c r="D473" s="23"/>
      <c r="E473" s="22"/>
      <c r="F473" s="22"/>
      <c r="G473" s="253"/>
      <c r="H473" s="252"/>
    </row>
    <row r="474" spans="1:8" s="21" customFormat="1" ht="12.75">
      <c r="A474" s="23"/>
      <c r="B474" s="23"/>
      <c r="C474" s="23"/>
      <c r="D474" s="23"/>
      <c r="E474" s="22"/>
      <c r="F474" s="22"/>
      <c r="G474" s="253"/>
      <c r="H474" s="252"/>
    </row>
    <row r="475" spans="1:8" s="21" customFormat="1" ht="12.75">
      <c r="A475" s="23"/>
      <c r="B475" s="23"/>
      <c r="C475" s="23"/>
      <c r="D475" s="23"/>
      <c r="E475" s="22"/>
      <c r="F475" s="22"/>
      <c r="G475" s="253"/>
      <c r="H475" s="252"/>
    </row>
    <row r="476" spans="1:8" s="21" customFormat="1" ht="12.75">
      <c r="A476" s="23"/>
      <c r="B476" s="23"/>
      <c r="C476" s="23"/>
      <c r="D476" s="23"/>
      <c r="E476" s="22"/>
      <c r="F476" s="22"/>
      <c r="G476" s="253"/>
      <c r="H476" s="252"/>
    </row>
    <row r="477" spans="1:8" s="21" customFormat="1" ht="12.75">
      <c r="A477" s="23"/>
      <c r="B477" s="23"/>
      <c r="C477" s="23"/>
      <c r="D477" s="23"/>
      <c r="E477" s="22"/>
      <c r="F477" s="22"/>
      <c r="G477" s="253"/>
      <c r="H477" s="252"/>
    </row>
    <row r="478" spans="1:8" s="21" customFormat="1" ht="12.75">
      <c r="A478" s="23"/>
      <c r="B478" s="23"/>
      <c r="C478" s="23"/>
      <c r="D478" s="23"/>
      <c r="E478" s="22"/>
      <c r="F478" s="22"/>
      <c r="G478" s="253"/>
      <c r="H478" s="252"/>
    </row>
    <row r="479" spans="1:8" s="21" customFormat="1" ht="12.75">
      <c r="A479" s="23"/>
      <c r="B479" s="23"/>
      <c r="C479" s="23"/>
      <c r="D479" s="23"/>
      <c r="E479" s="22"/>
      <c r="F479" s="22"/>
      <c r="G479" s="253"/>
      <c r="H479" s="252"/>
    </row>
    <row r="480" spans="1:8" s="21" customFormat="1" ht="12.75">
      <c r="A480" s="23"/>
      <c r="B480" s="23"/>
      <c r="C480" s="23"/>
      <c r="D480" s="23"/>
      <c r="E480" s="22"/>
      <c r="F480" s="136"/>
      <c r="G480" s="253"/>
      <c r="H480" s="252"/>
    </row>
    <row r="481" spans="1:8" s="21" customFormat="1" ht="12.75">
      <c r="A481" s="23"/>
      <c r="B481" s="23"/>
      <c r="C481" s="23"/>
      <c r="D481" s="23"/>
      <c r="E481" s="22"/>
      <c r="F481" s="136"/>
      <c r="G481" s="253"/>
      <c r="H481" s="252"/>
    </row>
    <row r="482" spans="1:8" s="21" customFormat="1" ht="12.75">
      <c r="A482" s="23"/>
      <c r="B482" s="23"/>
      <c r="C482" s="23"/>
      <c r="D482" s="23"/>
      <c r="E482" s="22"/>
      <c r="F482" s="22"/>
      <c r="G482" s="253"/>
      <c r="H482" s="252"/>
    </row>
    <row r="483" spans="1:8" s="21" customFormat="1" ht="12.75">
      <c r="A483" s="23"/>
      <c r="B483" s="23"/>
      <c r="C483" s="23"/>
      <c r="D483" s="23"/>
      <c r="E483" s="22"/>
      <c r="F483" s="136"/>
      <c r="G483" s="253"/>
      <c r="H483" s="252"/>
    </row>
    <row r="484" spans="1:8" s="21" customFormat="1" ht="12.75">
      <c r="A484" s="23"/>
      <c r="B484" s="23"/>
      <c r="C484" s="23"/>
      <c r="D484" s="23"/>
      <c r="E484" s="22"/>
      <c r="F484" s="136"/>
      <c r="G484" s="253"/>
      <c r="H484" s="252"/>
    </row>
    <row r="485" spans="1:8" s="21" customFormat="1" ht="12.75">
      <c r="A485" s="23"/>
      <c r="B485" s="23"/>
      <c r="C485" s="23"/>
      <c r="D485" s="23"/>
      <c r="E485" s="22"/>
      <c r="F485" s="22"/>
      <c r="G485" s="253"/>
      <c r="H485" s="252"/>
    </row>
    <row r="486" spans="1:8" s="21" customFormat="1" ht="12.75">
      <c r="A486" s="23"/>
      <c r="B486" s="23"/>
      <c r="C486" s="23"/>
      <c r="D486" s="23"/>
      <c r="E486" s="22"/>
      <c r="F486" s="22"/>
      <c r="G486" s="253"/>
      <c r="H486" s="252"/>
    </row>
    <row r="487" spans="1:8" s="21" customFormat="1" ht="12.75">
      <c r="A487" s="23"/>
      <c r="B487" s="23"/>
      <c r="C487" s="23"/>
      <c r="D487" s="23"/>
      <c r="E487" s="22"/>
      <c r="F487" s="22"/>
      <c r="G487" s="253"/>
      <c r="H487" s="252"/>
    </row>
    <row r="488" spans="1:8" s="21" customFormat="1" ht="12.75">
      <c r="A488" s="23"/>
      <c r="B488" s="23"/>
      <c r="C488" s="23"/>
      <c r="D488" s="23"/>
      <c r="E488" s="22"/>
      <c r="F488" s="136"/>
      <c r="G488" s="253"/>
      <c r="H488" s="252"/>
    </row>
    <row r="489" spans="1:8" s="21" customFormat="1" ht="12.75">
      <c r="A489" s="23"/>
      <c r="B489" s="23"/>
      <c r="C489" s="23"/>
      <c r="D489" s="23"/>
      <c r="E489" s="22"/>
      <c r="F489" s="22"/>
      <c r="G489" s="253"/>
      <c r="H489" s="252"/>
    </row>
    <row r="490" spans="1:8" s="21" customFormat="1" ht="12.75">
      <c r="A490" s="23"/>
      <c r="B490" s="23"/>
      <c r="C490" s="23"/>
      <c r="D490" s="23"/>
      <c r="E490" s="22"/>
      <c r="F490" s="22"/>
      <c r="G490" s="253"/>
      <c r="H490" s="252"/>
    </row>
    <row r="491" spans="1:8" s="21" customFormat="1" ht="12.75">
      <c r="A491" s="23"/>
      <c r="B491" s="23"/>
      <c r="C491" s="23"/>
      <c r="D491" s="23"/>
      <c r="E491" s="22"/>
      <c r="F491" s="22"/>
      <c r="G491" s="253"/>
      <c r="H491" s="252"/>
    </row>
    <row r="492" spans="1:8" s="21" customFormat="1" ht="12.75">
      <c r="A492" s="23"/>
      <c r="B492" s="23"/>
      <c r="C492" s="23"/>
      <c r="D492" s="23"/>
      <c r="E492" s="22"/>
      <c r="F492" s="22"/>
      <c r="G492" s="253"/>
      <c r="H492" s="252"/>
    </row>
    <row r="493" spans="1:8" s="21" customFormat="1" ht="12.75">
      <c r="A493" s="23"/>
      <c r="B493" s="23"/>
      <c r="C493" s="23"/>
      <c r="D493" s="23"/>
      <c r="E493" s="22"/>
      <c r="F493" s="22"/>
      <c r="G493" s="253"/>
      <c r="H493" s="252"/>
    </row>
    <row r="494" spans="1:8" s="21" customFormat="1" ht="12.75">
      <c r="A494" s="23"/>
      <c r="B494" s="23"/>
      <c r="C494" s="23"/>
      <c r="D494" s="23"/>
      <c r="E494" s="22"/>
      <c r="F494" s="22"/>
      <c r="G494" s="253"/>
      <c r="H494" s="252"/>
    </row>
    <row r="495" spans="1:8" s="21" customFormat="1" ht="12.75">
      <c r="A495" s="23"/>
      <c r="B495" s="23"/>
      <c r="C495" s="23"/>
      <c r="D495" s="23"/>
      <c r="E495" s="22"/>
      <c r="F495" s="22"/>
      <c r="G495" s="253"/>
      <c r="H495" s="252"/>
    </row>
    <row r="496" spans="1:8" s="21" customFormat="1" ht="12.75">
      <c r="A496" s="23"/>
      <c r="B496" s="23"/>
      <c r="C496" s="23"/>
      <c r="D496" s="23"/>
      <c r="E496" s="22"/>
      <c r="F496" s="22"/>
      <c r="G496" s="253"/>
      <c r="H496" s="252"/>
    </row>
    <row r="497" spans="1:8" s="21" customFormat="1" ht="12.75">
      <c r="A497" s="23"/>
      <c r="B497" s="23"/>
      <c r="C497" s="23"/>
      <c r="D497" s="23"/>
      <c r="E497" s="22"/>
      <c r="F497" s="22"/>
      <c r="G497" s="253"/>
      <c r="H497" s="252"/>
    </row>
    <row r="498" spans="1:8" s="21" customFormat="1" ht="12.75">
      <c r="A498" s="23"/>
      <c r="B498" s="23"/>
      <c r="C498" s="23"/>
      <c r="D498" s="23"/>
      <c r="E498" s="22"/>
      <c r="F498" s="22"/>
      <c r="G498" s="253"/>
      <c r="H498" s="252"/>
    </row>
    <row r="499" spans="1:8" s="21" customFormat="1" ht="12.75">
      <c r="A499" s="23"/>
      <c r="B499" s="23"/>
      <c r="C499" s="23"/>
      <c r="D499" s="23"/>
      <c r="E499" s="22"/>
      <c r="F499" s="22"/>
      <c r="G499" s="253"/>
      <c r="H499" s="252"/>
    </row>
    <row r="500" spans="1:8" s="21" customFormat="1" ht="12.75">
      <c r="A500" s="23"/>
      <c r="B500" s="23"/>
      <c r="C500" s="23"/>
      <c r="D500" s="23"/>
      <c r="E500" s="22"/>
      <c r="F500" s="22"/>
      <c r="G500" s="253"/>
      <c r="H500" s="252"/>
    </row>
    <row r="501" spans="1:8" s="21" customFormat="1" ht="12.75">
      <c r="A501" s="23"/>
      <c r="B501" s="23"/>
      <c r="C501" s="23"/>
      <c r="D501" s="23"/>
      <c r="E501" s="22"/>
      <c r="F501" s="22"/>
      <c r="G501" s="253"/>
      <c r="H501" s="252"/>
    </row>
    <row r="502" spans="1:8" s="21" customFormat="1" ht="12.75">
      <c r="A502" s="23"/>
      <c r="B502" s="23"/>
      <c r="C502" s="23"/>
      <c r="D502" s="23"/>
      <c r="E502" s="22"/>
      <c r="F502" s="22"/>
      <c r="G502" s="253"/>
      <c r="H502" s="252"/>
    </row>
    <row r="503" spans="1:8" s="21" customFormat="1" ht="12.75">
      <c r="A503" s="23"/>
      <c r="B503" s="23"/>
      <c r="C503" s="23"/>
      <c r="D503" s="23"/>
      <c r="E503" s="22"/>
      <c r="F503" s="136"/>
      <c r="G503" s="253"/>
      <c r="H503" s="252"/>
    </row>
    <row r="504" spans="1:8" s="21" customFormat="1" ht="12.75">
      <c r="A504" s="23"/>
      <c r="B504" s="23"/>
      <c r="C504" s="23"/>
      <c r="D504" s="23"/>
      <c r="E504" s="22"/>
      <c r="F504" s="22"/>
      <c r="G504" s="253"/>
      <c r="H504" s="252"/>
    </row>
    <row r="505" spans="1:8" s="21" customFormat="1" ht="12.75">
      <c r="A505" s="23"/>
      <c r="B505" s="23"/>
      <c r="C505" s="23"/>
      <c r="D505" s="23"/>
      <c r="E505" s="22"/>
      <c r="F505" s="22"/>
      <c r="G505" s="253"/>
      <c r="H505" s="252"/>
    </row>
    <row r="506" spans="1:8" s="21" customFormat="1" ht="12.75">
      <c r="A506" s="23"/>
      <c r="B506" s="23"/>
      <c r="C506" s="23"/>
      <c r="D506" s="23"/>
      <c r="E506" s="22"/>
      <c r="F506" s="22"/>
      <c r="G506" s="253"/>
      <c r="H506" s="252"/>
    </row>
    <row r="507" spans="1:8" s="21" customFormat="1" ht="12.75">
      <c r="A507" s="23"/>
      <c r="B507" s="23"/>
      <c r="C507" s="23"/>
      <c r="D507" s="23"/>
      <c r="E507" s="22"/>
      <c r="F507" s="22"/>
      <c r="G507" s="253"/>
      <c r="H507" s="252"/>
    </row>
    <row r="508" spans="1:8" s="21" customFormat="1" ht="12.75">
      <c r="A508" s="23"/>
      <c r="B508" s="23"/>
      <c r="C508" s="23"/>
      <c r="D508" s="23"/>
      <c r="E508" s="22"/>
      <c r="F508" s="22"/>
      <c r="G508" s="253"/>
      <c r="H508" s="252"/>
    </row>
    <row r="509" spans="1:8" s="21" customFormat="1" ht="12.75">
      <c r="A509" s="23"/>
      <c r="B509" s="23"/>
      <c r="C509" s="23"/>
      <c r="D509" s="23"/>
      <c r="E509" s="22"/>
      <c r="F509" s="136"/>
      <c r="G509" s="253"/>
      <c r="H509" s="252"/>
    </row>
    <row r="510" spans="1:8" s="21" customFormat="1" ht="12.75">
      <c r="A510" s="23"/>
      <c r="B510" s="23"/>
      <c r="C510" s="23"/>
      <c r="D510" s="23"/>
      <c r="E510" s="22"/>
      <c r="F510" s="22"/>
      <c r="G510" s="253"/>
      <c r="H510" s="252"/>
    </row>
    <row r="511" spans="1:8" s="21" customFormat="1" ht="12.75">
      <c r="A511" s="23"/>
      <c r="B511" s="23"/>
      <c r="C511" s="23"/>
      <c r="D511" s="23"/>
      <c r="E511" s="22"/>
      <c r="F511" s="22"/>
      <c r="G511" s="253"/>
      <c r="H511" s="252"/>
    </row>
    <row r="512" spans="1:8" s="21" customFormat="1" ht="12.75">
      <c r="A512" s="23"/>
      <c r="B512" s="23"/>
      <c r="C512" s="23"/>
      <c r="D512" s="23"/>
      <c r="E512" s="22"/>
      <c r="F512" s="22"/>
      <c r="G512" s="253"/>
      <c r="H512" s="252"/>
    </row>
    <row r="513" spans="1:8" s="21" customFormat="1" ht="12.75">
      <c r="A513" s="23"/>
      <c r="B513" s="23"/>
      <c r="C513" s="23"/>
      <c r="D513" s="23"/>
      <c r="E513" s="22"/>
      <c r="F513" s="22"/>
      <c r="G513" s="253"/>
      <c r="H513" s="252"/>
    </row>
    <row r="514" spans="1:8" s="21" customFormat="1" ht="12.75">
      <c r="A514" s="23"/>
      <c r="B514" s="23"/>
      <c r="C514" s="23"/>
      <c r="D514" s="23"/>
      <c r="E514" s="22"/>
      <c r="F514" s="22"/>
      <c r="G514" s="253"/>
      <c r="H514" s="252"/>
    </row>
    <row r="515" spans="1:8" s="21" customFormat="1" ht="12.75">
      <c r="A515" s="23"/>
      <c r="B515" s="23"/>
      <c r="C515" s="23"/>
      <c r="D515" s="23"/>
      <c r="E515" s="22"/>
      <c r="F515" s="22"/>
      <c r="G515" s="253"/>
      <c r="H515" s="252"/>
    </row>
    <row r="516" spans="1:8" s="21" customFormat="1" ht="12.75">
      <c r="A516" s="23"/>
      <c r="B516" s="23"/>
      <c r="C516" s="23"/>
      <c r="D516" s="23"/>
      <c r="E516" s="22"/>
      <c r="F516" s="22"/>
      <c r="G516" s="253"/>
      <c r="H516" s="252"/>
    </row>
    <row r="517" spans="1:8" s="21" customFormat="1" ht="12.75">
      <c r="A517" s="23"/>
      <c r="B517" s="23"/>
      <c r="C517" s="23"/>
      <c r="D517" s="23"/>
      <c r="E517" s="22"/>
      <c r="F517" s="22"/>
      <c r="G517" s="253"/>
      <c r="H517" s="252"/>
    </row>
    <row r="518" spans="1:8" s="21" customFormat="1" ht="12.75">
      <c r="A518" s="23"/>
      <c r="B518" s="23"/>
      <c r="C518" s="23"/>
      <c r="D518" s="23"/>
      <c r="E518" s="22"/>
      <c r="F518" s="22"/>
      <c r="G518" s="253"/>
      <c r="H518" s="252"/>
    </row>
    <row r="519" spans="1:8" s="21" customFormat="1" ht="12.75">
      <c r="A519" s="23"/>
      <c r="B519" s="23"/>
      <c r="C519" s="23"/>
      <c r="D519" s="23"/>
      <c r="E519" s="136"/>
      <c r="F519" s="136"/>
      <c r="G519" s="253"/>
      <c r="H519" s="252"/>
    </row>
    <row r="520" spans="1:8" s="21" customFormat="1" ht="12.75">
      <c r="A520" s="23"/>
      <c r="B520" s="23"/>
      <c r="C520" s="23"/>
      <c r="D520" s="23"/>
      <c r="E520" s="22"/>
      <c r="F520" s="22"/>
      <c r="G520" s="253"/>
      <c r="H520" s="252"/>
    </row>
    <row r="521" spans="1:8" s="21" customFormat="1" ht="12.75">
      <c r="A521" s="23"/>
      <c r="B521" s="23"/>
      <c r="C521" s="23"/>
      <c r="D521" s="23"/>
      <c r="E521" s="22"/>
      <c r="F521" s="22"/>
      <c r="G521" s="253"/>
      <c r="H521" s="252"/>
    </row>
    <row r="522" spans="1:8" s="21" customFormat="1" ht="12.75">
      <c r="A522" s="23"/>
      <c r="B522" s="23"/>
      <c r="C522" s="23"/>
      <c r="D522" s="23"/>
      <c r="E522" s="22"/>
      <c r="F522" s="22"/>
      <c r="G522" s="253"/>
      <c r="H522" s="252"/>
    </row>
    <row r="523" spans="1:8" s="21" customFormat="1" ht="12.75">
      <c r="A523" s="23"/>
      <c r="B523" s="23"/>
      <c r="C523" s="23"/>
      <c r="D523" s="23"/>
      <c r="E523" s="22"/>
      <c r="F523" s="22"/>
      <c r="G523" s="253"/>
      <c r="H523" s="252"/>
    </row>
    <row r="524" spans="1:8" s="21" customFormat="1" ht="12.75">
      <c r="A524" s="23"/>
      <c r="B524" s="23"/>
      <c r="C524" s="23"/>
      <c r="D524" s="23"/>
      <c r="E524" s="22"/>
      <c r="F524" s="22"/>
      <c r="G524" s="253"/>
      <c r="H524" s="252"/>
    </row>
    <row r="525" spans="1:8" s="21" customFormat="1" ht="12.75">
      <c r="A525" s="23"/>
      <c r="B525" s="23"/>
      <c r="C525" s="23"/>
      <c r="D525" s="23"/>
      <c r="E525" s="22"/>
      <c r="F525" s="22"/>
      <c r="G525" s="253"/>
      <c r="H525" s="252"/>
    </row>
    <row r="526" spans="1:8" s="21" customFormat="1" ht="12.75">
      <c r="A526" s="23"/>
      <c r="B526" s="23"/>
      <c r="C526" s="23"/>
      <c r="D526" s="23"/>
      <c r="E526" s="22"/>
      <c r="F526" s="22"/>
      <c r="G526" s="253"/>
      <c r="H526" s="252"/>
    </row>
    <row r="527" spans="1:8" s="21" customFormat="1" ht="12.75">
      <c r="A527" s="23"/>
      <c r="B527" s="23"/>
      <c r="C527" s="23"/>
      <c r="D527" s="23"/>
      <c r="E527" s="22"/>
      <c r="F527" s="22"/>
      <c r="G527" s="253"/>
      <c r="H527" s="252"/>
    </row>
    <row r="528" spans="1:8" s="21" customFormat="1" ht="12.75">
      <c r="A528" s="23"/>
      <c r="B528" s="23"/>
      <c r="C528" s="23"/>
      <c r="D528" s="23"/>
      <c r="E528" s="22"/>
      <c r="F528" s="22"/>
      <c r="G528" s="253"/>
      <c r="H528" s="252"/>
    </row>
    <row r="529" spans="1:8" s="21" customFormat="1" ht="12.75">
      <c r="A529" s="23"/>
      <c r="B529" s="23"/>
      <c r="C529" s="23"/>
      <c r="D529" s="23"/>
      <c r="E529" s="22"/>
      <c r="F529" s="22"/>
      <c r="G529" s="253"/>
      <c r="H529" s="252"/>
    </row>
    <row r="530" spans="1:8" s="21" customFormat="1" ht="12.75">
      <c r="A530" s="23"/>
      <c r="B530" s="23"/>
      <c r="C530" s="23"/>
      <c r="D530" s="23"/>
      <c r="E530" s="22"/>
      <c r="F530" s="22"/>
      <c r="G530" s="253"/>
      <c r="H530" s="252"/>
    </row>
    <row r="531" spans="1:8" s="21" customFormat="1" ht="12.75">
      <c r="A531" s="23"/>
      <c r="B531" s="23"/>
      <c r="C531" s="23"/>
      <c r="D531" s="23"/>
      <c r="E531" s="22"/>
      <c r="F531" s="22"/>
      <c r="G531" s="253"/>
      <c r="H531" s="252"/>
    </row>
    <row r="532" spans="1:8" s="21" customFormat="1" ht="12.75">
      <c r="A532" s="23"/>
      <c r="B532" s="23"/>
      <c r="C532" s="23"/>
      <c r="D532" s="23"/>
      <c r="E532" s="22"/>
      <c r="F532" s="22"/>
      <c r="G532" s="253"/>
      <c r="H532" s="252"/>
    </row>
    <row r="533" spans="1:8" s="21" customFormat="1" ht="12.75">
      <c r="A533" s="23"/>
      <c r="B533" s="23"/>
      <c r="C533" s="23"/>
      <c r="D533" s="23"/>
      <c r="E533" s="22"/>
      <c r="F533" s="22"/>
      <c r="G533" s="253"/>
      <c r="H533" s="252"/>
    </row>
    <row r="534" spans="1:8" s="21" customFormat="1" ht="12.75">
      <c r="A534" s="23"/>
      <c r="B534" s="23"/>
      <c r="C534" s="23"/>
      <c r="D534" s="23"/>
      <c r="E534" s="22"/>
      <c r="F534" s="22"/>
      <c r="G534" s="253"/>
      <c r="H534" s="252"/>
    </row>
    <row r="535" spans="1:8" s="21" customFormat="1" ht="12.75">
      <c r="A535" s="23"/>
      <c r="B535" s="23"/>
      <c r="C535" s="23"/>
      <c r="D535" s="23"/>
      <c r="E535" s="22"/>
      <c r="F535" s="22"/>
      <c r="G535" s="253"/>
      <c r="H535" s="252"/>
    </row>
    <row r="536" spans="1:8" s="21" customFormat="1" ht="12.75">
      <c r="A536" s="23"/>
      <c r="B536" s="23"/>
      <c r="C536" s="23"/>
      <c r="D536" s="23"/>
      <c r="E536" s="22"/>
      <c r="F536" s="22"/>
      <c r="G536" s="253"/>
      <c r="H536" s="252"/>
    </row>
    <row r="537" spans="1:8" s="21" customFormat="1" ht="12.75">
      <c r="A537" s="23"/>
      <c r="B537" s="23"/>
      <c r="C537" s="23"/>
      <c r="D537" s="23"/>
      <c r="E537" s="22"/>
      <c r="F537" s="22"/>
      <c r="G537" s="253"/>
      <c r="H537" s="252"/>
    </row>
    <row r="538" spans="1:8" s="21" customFormat="1" ht="12.75">
      <c r="A538" s="23"/>
      <c r="B538" s="23"/>
      <c r="C538" s="23"/>
      <c r="D538" s="23"/>
      <c r="E538" s="22"/>
      <c r="F538" s="22"/>
      <c r="G538" s="253"/>
      <c r="H538" s="252"/>
    </row>
    <row r="539" spans="1:8" s="21" customFormat="1" ht="12.75">
      <c r="A539" s="23"/>
      <c r="B539" s="23"/>
      <c r="C539" s="23"/>
      <c r="D539" s="23"/>
      <c r="E539" s="22"/>
      <c r="F539" s="22"/>
      <c r="G539" s="253"/>
      <c r="H539" s="252"/>
    </row>
    <row r="540" spans="1:8" s="21" customFormat="1" ht="12.75">
      <c r="A540" s="23"/>
      <c r="B540" s="23"/>
      <c r="C540" s="23"/>
      <c r="D540" s="23"/>
      <c r="E540" s="22"/>
      <c r="F540" s="22"/>
      <c r="G540" s="253"/>
      <c r="H540" s="252"/>
    </row>
    <row r="541" spans="1:8" s="21" customFormat="1" ht="12.75">
      <c r="A541" s="23"/>
      <c r="B541" s="23"/>
      <c r="C541" s="23"/>
      <c r="D541" s="23"/>
      <c r="E541" s="22"/>
      <c r="F541" s="22"/>
      <c r="G541" s="253"/>
      <c r="H541" s="252"/>
    </row>
    <row r="542" spans="1:8" s="21" customFormat="1" ht="12.75">
      <c r="A542" s="23"/>
      <c r="B542" s="23"/>
      <c r="C542" s="23"/>
      <c r="D542" s="23"/>
      <c r="E542" s="22"/>
      <c r="F542" s="22"/>
      <c r="G542" s="253"/>
      <c r="H542" s="252"/>
    </row>
    <row r="543" spans="1:8" s="21" customFormat="1" ht="12.75">
      <c r="A543" s="23"/>
      <c r="B543" s="23"/>
      <c r="C543" s="23"/>
      <c r="D543" s="23"/>
      <c r="E543" s="22"/>
      <c r="F543" s="22"/>
      <c r="G543" s="253"/>
      <c r="H543" s="252"/>
    </row>
    <row r="544" spans="1:8" s="21" customFormat="1" ht="12.75">
      <c r="A544" s="23"/>
      <c r="B544" s="23"/>
      <c r="C544" s="23"/>
      <c r="D544" s="23"/>
      <c r="E544" s="22"/>
      <c r="F544" s="22"/>
      <c r="G544" s="253"/>
      <c r="H544" s="252"/>
    </row>
    <row r="545" spans="1:8" s="21" customFormat="1" ht="12.75">
      <c r="A545" s="23"/>
      <c r="B545" s="23"/>
      <c r="C545" s="23"/>
      <c r="D545" s="23"/>
      <c r="E545" s="22"/>
      <c r="F545" s="22"/>
      <c r="G545" s="253"/>
      <c r="H545" s="252"/>
    </row>
    <row r="546" spans="1:8" s="21" customFormat="1" ht="12.75">
      <c r="A546" s="23"/>
      <c r="B546" s="23"/>
      <c r="C546" s="23"/>
      <c r="D546" s="23"/>
      <c r="E546" s="22"/>
      <c r="F546" s="22"/>
      <c r="G546" s="253"/>
      <c r="H546" s="252"/>
    </row>
    <row r="547" spans="1:8" s="21" customFormat="1" ht="12.75">
      <c r="A547" s="23"/>
      <c r="B547" s="23"/>
      <c r="C547" s="23"/>
      <c r="D547" s="23"/>
      <c r="E547" s="22"/>
      <c r="F547" s="22"/>
      <c r="G547" s="253"/>
      <c r="H547" s="252"/>
    </row>
    <row r="548" spans="1:8" s="21" customFormat="1" ht="12.75">
      <c r="A548" s="23"/>
      <c r="B548" s="23"/>
      <c r="C548" s="23"/>
      <c r="D548" s="23"/>
      <c r="E548" s="22"/>
      <c r="F548" s="22"/>
      <c r="G548" s="253"/>
      <c r="H548" s="252"/>
    </row>
    <row r="549" spans="1:8" s="21" customFormat="1" ht="12.75">
      <c r="A549" s="23"/>
      <c r="B549" s="23"/>
      <c r="C549" s="23"/>
      <c r="D549" s="23"/>
      <c r="E549" s="22"/>
      <c r="F549" s="22"/>
      <c r="G549" s="253"/>
      <c r="H549" s="252"/>
    </row>
    <row r="550" spans="1:8" s="21" customFormat="1" ht="12.75">
      <c r="A550" s="23"/>
      <c r="B550" s="23"/>
      <c r="C550" s="23"/>
      <c r="D550" s="23"/>
      <c r="E550" s="22"/>
      <c r="F550" s="22"/>
      <c r="G550" s="253"/>
      <c r="H550" s="252"/>
    </row>
    <row r="551" spans="1:8" s="21" customFormat="1" ht="12.75">
      <c r="A551" s="23"/>
      <c r="B551" s="23"/>
      <c r="C551" s="23"/>
      <c r="D551" s="23"/>
      <c r="E551" s="22"/>
      <c r="F551" s="22"/>
      <c r="G551" s="253"/>
      <c r="H551" s="252"/>
    </row>
    <row r="552" spans="1:8" s="21" customFormat="1" ht="12.75">
      <c r="A552" s="23"/>
      <c r="B552" s="23"/>
      <c r="C552" s="23"/>
      <c r="D552" s="23"/>
      <c r="E552" s="22"/>
      <c r="F552" s="22"/>
      <c r="G552" s="253"/>
      <c r="H552" s="252"/>
    </row>
    <row r="553" spans="1:8" s="21" customFormat="1" ht="12.75">
      <c r="A553" s="23"/>
      <c r="B553" s="23"/>
      <c r="C553" s="23"/>
      <c r="D553" s="23"/>
      <c r="E553" s="22"/>
      <c r="F553" s="22"/>
      <c r="G553" s="253"/>
      <c r="H553" s="252"/>
    </row>
    <row r="554" spans="1:8" s="21" customFormat="1" ht="12.75">
      <c r="A554" s="23"/>
      <c r="B554" s="23"/>
      <c r="C554" s="23"/>
      <c r="D554" s="23"/>
      <c r="E554" s="22"/>
      <c r="F554" s="22"/>
      <c r="G554" s="253"/>
      <c r="H554" s="252"/>
    </row>
    <row r="555" spans="1:8" s="21" customFormat="1" ht="12.75">
      <c r="A555" s="23"/>
      <c r="B555" s="23"/>
      <c r="C555" s="23"/>
      <c r="D555" s="23"/>
      <c r="E555" s="22"/>
      <c r="F555" s="22"/>
      <c r="G555" s="253"/>
      <c r="H555" s="252"/>
    </row>
    <row r="556" spans="1:8" s="21" customFormat="1" ht="12.75">
      <c r="A556" s="23"/>
      <c r="B556" s="23"/>
      <c r="C556" s="23"/>
      <c r="D556" s="23"/>
      <c r="E556" s="22"/>
      <c r="F556" s="22"/>
      <c r="G556" s="253"/>
      <c r="H556" s="252"/>
    </row>
    <row r="557" spans="1:8" s="21" customFormat="1" ht="12.75">
      <c r="A557" s="23"/>
      <c r="B557" s="23"/>
      <c r="C557" s="23"/>
      <c r="D557" s="23"/>
      <c r="E557" s="22"/>
      <c r="F557" s="22"/>
      <c r="G557" s="253"/>
      <c r="H557" s="252"/>
    </row>
    <row r="558" spans="1:8" s="21" customFormat="1" ht="12.75">
      <c r="A558" s="23"/>
      <c r="B558" s="23"/>
      <c r="C558" s="23"/>
      <c r="D558" s="23"/>
      <c r="E558" s="22"/>
      <c r="F558" s="22"/>
      <c r="G558" s="253"/>
      <c r="H558" s="252"/>
    </row>
    <row r="559" spans="1:8" s="21" customFormat="1" ht="12.75">
      <c r="A559" s="23"/>
      <c r="B559" s="23"/>
      <c r="C559" s="23"/>
      <c r="D559" s="23"/>
      <c r="E559" s="22"/>
      <c r="F559" s="22"/>
      <c r="G559" s="253"/>
      <c r="H559" s="252"/>
    </row>
    <row r="560" spans="1:8" s="21" customFormat="1" ht="12.75">
      <c r="A560" s="23"/>
      <c r="B560" s="23"/>
      <c r="C560" s="23"/>
      <c r="D560" s="23"/>
      <c r="E560" s="22"/>
      <c r="F560" s="22"/>
      <c r="G560" s="253"/>
      <c r="H560" s="252"/>
    </row>
    <row r="561" spans="1:8" s="21" customFormat="1" ht="12.75">
      <c r="A561" s="23"/>
      <c r="B561" s="23"/>
      <c r="C561" s="23"/>
      <c r="D561" s="23"/>
      <c r="E561" s="22"/>
      <c r="F561" s="22"/>
      <c r="G561" s="253"/>
      <c r="H561" s="252"/>
    </row>
    <row r="562" spans="1:8" s="21" customFormat="1" ht="12.75">
      <c r="A562" s="23"/>
      <c r="B562" s="23"/>
      <c r="C562" s="23"/>
      <c r="D562" s="23"/>
      <c r="E562" s="22"/>
      <c r="F562" s="22"/>
      <c r="G562" s="253"/>
      <c r="H562" s="252"/>
    </row>
    <row r="563" spans="1:8" s="21" customFormat="1" ht="12.75">
      <c r="A563" s="23"/>
      <c r="B563" s="23"/>
      <c r="C563" s="23"/>
      <c r="D563" s="23"/>
      <c r="E563" s="22"/>
      <c r="F563" s="22"/>
      <c r="G563" s="253"/>
      <c r="H563" s="252"/>
    </row>
    <row r="564" spans="1:8" s="21" customFormat="1" ht="12.75">
      <c r="A564" s="23"/>
      <c r="B564" s="23"/>
      <c r="C564" s="23"/>
      <c r="D564" s="23"/>
      <c r="E564" s="22"/>
      <c r="F564" s="22"/>
      <c r="G564" s="253"/>
      <c r="H564" s="252"/>
    </row>
    <row r="565" spans="1:8" s="21" customFormat="1" ht="12.75">
      <c r="A565" s="23"/>
      <c r="B565" s="23"/>
      <c r="C565" s="23"/>
      <c r="D565" s="23"/>
      <c r="E565" s="22"/>
      <c r="F565" s="22"/>
      <c r="G565" s="253"/>
      <c r="H565" s="252"/>
    </row>
    <row r="566" spans="1:8" s="21" customFormat="1" ht="12.75">
      <c r="A566" s="23"/>
      <c r="B566" s="23"/>
      <c r="C566" s="23"/>
      <c r="D566" s="23"/>
      <c r="E566" s="22"/>
      <c r="F566" s="22"/>
      <c r="G566" s="253"/>
      <c r="H566" s="252"/>
    </row>
    <row r="567" spans="1:8" s="21" customFormat="1" ht="12.75">
      <c r="A567" s="23"/>
      <c r="B567" s="23"/>
      <c r="C567" s="23"/>
      <c r="D567" s="23"/>
      <c r="E567" s="22"/>
      <c r="F567" s="22"/>
      <c r="G567" s="253"/>
      <c r="H567" s="252"/>
    </row>
    <row r="568" spans="1:8" s="21" customFormat="1" ht="12.75">
      <c r="A568" s="23"/>
      <c r="B568" s="23"/>
      <c r="C568" s="23"/>
      <c r="D568" s="23"/>
      <c r="E568" s="22"/>
      <c r="F568" s="22"/>
      <c r="G568" s="253"/>
      <c r="H568" s="252"/>
    </row>
    <row r="569" spans="1:8" s="21" customFormat="1" ht="12.75">
      <c r="A569" s="23"/>
      <c r="B569" s="23"/>
      <c r="C569" s="23"/>
      <c r="D569" s="23"/>
      <c r="E569" s="22"/>
      <c r="F569" s="22"/>
      <c r="G569" s="253"/>
      <c r="H569" s="252"/>
    </row>
    <row r="570" spans="1:8" s="21" customFormat="1" ht="12.75">
      <c r="A570" s="23"/>
      <c r="B570" s="23"/>
      <c r="C570" s="23"/>
      <c r="D570" s="23"/>
      <c r="E570" s="22"/>
      <c r="F570" s="22"/>
      <c r="G570" s="253"/>
      <c r="H570" s="252"/>
    </row>
    <row r="571" spans="1:8" s="21" customFormat="1" ht="12.75">
      <c r="A571" s="23"/>
      <c r="B571" s="23"/>
      <c r="C571" s="23"/>
      <c r="D571" s="23"/>
      <c r="E571" s="22"/>
      <c r="F571" s="22"/>
      <c r="G571" s="253"/>
      <c r="H571" s="252"/>
    </row>
    <row r="572" spans="1:8" s="21" customFormat="1" ht="12.75">
      <c r="A572" s="23"/>
      <c r="B572" s="23"/>
      <c r="C572" s="23"/>
      <c r="D572" s="23"/>
      <c r="E572" s="22"/>
      <c r="F572" s="22"/>
      <c r="G572" s="253"/>
      <c r="H572" s="252"/>
    </row>
    <row r="573" spans="1:8" s="21" customFormat="1" ht="12.75">
      <c r="A573" s="23"/>
      <c r="B573" s="23"/>
      <c r="C573" s="23"/>
      <c r="D573" s="23"/>
      <c r="E573" s="22"/>
      <c r="F573" s="22"/>
      <c r="G573" s="253"/>
      <c r="H573" s="252"/>
    </row>
    <row r="574" spans="1:8" s="21" customFormat="1" ht="12.75">
      <c r="A574" s="23"/>
      <c r="B574" s="23"/>
      <c r="C574" s="23"/>
      <c r="D574" s="23"/>
      <c r="E574" s="22"/>
      <c r="F574" s="22"/>
      <c r="G574" s="253"/>
      <c r="H574" s="252"/>
    </row>
    <row r="575" spans="1:8" s="21" customFormat="1" ht="12.75">
      <c r="A575" s="23"/>
      <c r="B575" s="23"/>
      <c r="C575" s="23"/>
      <c r="D575" s="23"/>
      <c r="E575" s="22"/>
      <c r="F575" s="22"/>
      <c r="G575" s="253"/>
      <c r="H575" s="252"/>
    </row>
    <row r="576" spans="1:8" s="21" customFormat="1" ht="12.75">
      <c r="A576" s="23"/>
      <c r="B576" s="23"/>
      <c r="C576" s="23"/>
      <c r="D576" s="23"/>
      <c r="E576" s="22"/>
      <c r="F576" s="22"/>
      <c r="G576" s="253"/>
      <c r="H576" s="252"/>
    </row>
    <row r="577" spans="1:8" s="21" customFormat="1" ht="12.75">
      <c r="A577" s="23"/>
      <c r="B577" s="23"/>
      <c r="C577" s="23"/>
      <c r="D577" s="23"/>
      <c r="E577" s="22"/>
      <c r="F577" s="22"/>
      <c r="G577" s="253"/>
      <c r="H577" s="252"/>
    </row>
    <row r="578" spans="1:8" s="21" customFormat="1" ht="12.75">
      <c r="A578" s="23"/>
      <c r="B578" s="23"/>
      <c r="C578" s="23"/>
      <c r="D578" s="23"/>
      <c r="E578" s="22"/>
      <c r="F578" s="22"/>
      <c r="G578" s="253"/>
      <c r="H578" s="252"/>
    </row>
    <row r="579" spans="1:8" s="21" customFormat="1" ht="12.75">
      <c r="A579" s="23"/>
      <c r="B579" s="23"/>
      <c r="C579" s="23"/>
      <c r="D579" s="23"/>
      <c r="E579" s="22"/>
      <c r="F579" s="22"/>
      <c r="G579" s="253"/>
      <c r="H579" s="252"/>
    </row>
    <row r="580" spans="1:8" s="21" customFormat="1" ht="12.75">
      <c r="A580" s="23"/>
      <c r="B580" s="23"/>
      <c r="C580" s="23"/>
      <c r="D580" s="23"/>
      <c r="E580" s="22"/>
      <c r="F580" s="22"/>
      <c r="G580" s="253"/>
      <c r="H580" s="252"/>
    </row>
    <row r="581" spans="1:8" s="21" customFormat="1" ht="12.75">
      <c r="A581" s="23"/>
      <c r="B581" s="23"/>
      <c r="C581" s="23"/>
      <c r="D581" s="23"/>
      <c r="E581" s="22"/>
      <c r="F581" s="22"/>
      <c r="G581" s="253"/>
      <c r="H581" s="252"/>
    </row>
    <row r="582" spans="1:8" s="21" customFormat="1" ht="12.75">
      <c r="A582" s="23"/>
      <c r="B582" s="23"/>
      <c r="C582" s="23"/>
      <c r="D582" s="23"/>
      <c r="E582" s="22"/>
      <c r="F582" s="22"/>
      <c r="G582" s="253"/>
      <c r="H582" s="252"/>
    </row>
    <row r="583" spans="1:8" s="21" customFormat="1" ht="12.75">
      <c r="A583" s="23"/>
      <c r="B583" s="23"/>
      <c r="C583" s="23"/>
      <c r="D583" s="23"/>
      <c r="E583" s="22"/>
      <c r="F583" s="22"/>
      <c r="G583" s="253"/>
      <c r="H583" s="252"/>
    </row>
    <row r="584" spans="1:8" s="21" customFormat="1" ht="12.75">
      <c r="A584" s="23"/>
      <c r="B584" s="23"/>
      <c r="C584" s="23"/>
      <c r="D584" s="23"/>
      <c r="E584" s="22"/>
      <c r="F584" s="22"/>
      <c r="G584" s="253"/>
      <c r="H584" s="252"/>
    </row>
    <row r="585" spans="1:8" s="21" customFormat="1" ht="12.75">
      <c r="A585" s="23"/>
      <c r="B585" s="23"/>
      <c r="C585" s="23"/>
      <c r="D585" s="23"/>
      <c r="E585" s="22"/>
      <c r="F585" s="22"/>
      <c r="G585" s="253"/>
      <c r="H585" s="252"/>
    </row>
    <row r="586" spans="1:8" s="21" customFormat="1" ht="12.75">
      <c r="A586" s="23"/>
      <c r="B586" s="23"/>
      <c r="C586" s="23"/>
      <c r="D586" s="23"/>
      <c r="E586" s="22"/>
      <c r="F586" s="22"/>
      <c r="G586" s="253"/>
      <c r="H586" s="252"/>
    </row>
    <row r="587" spans="1:8" s="21" customFormat="1" ht="12.75">
      <c r="A587" s="23"/>
      <c r="B587" s="23"/>
      <c r="C587" s="23"/>
      <c r="D587" s="23"/>
      <c r="E587" s="22"/>
      <c r="F587" s="22"/>
      <c r="G587" s="253"/>
      <c r="H587" s="252"/>
    </row>
    <row r="588" spans="1:8" s="21" customFormat="1" ht="12.75">
      <c r="A588" s="23"/>
      <c r="B588" s="23"/>
      <c r="C588" s="23"/>
      <c r="D588" s="23"/>
      <c r="E588" s="22"/>
      <c r="F588" s="22"/>
      <c r="G588" s="253"/>
      <c r="H588" s="252"/>
    </row>
    <row r="589" spans="1:8" s="21" customFormat="1" ht="12.75">
      <c r="A589" s="23"/>
      <c r="B589" s="23"/>
      <c r="C589" s="23"/>
      <c r="D589" s="23"/>
      <c r="E589" s="22"/>
      <c r="F589" s="22"/>
      <c r="G589" s="253"/>
      <c r="H589" s="252"/>
    </row>
    <row r="590" spans="1:8" s="21" customFormat="1" ht="12.75">
      <c r="A590" s="23"/>
      <c r="B590" s="23"/>
      <c r="C590" s="23"/>
      <c r="D590" s="23"/>
      <c r="E590" s="22"/>
      <c r="F590" s="22"/>
      <c r="G590" s="253"/>
      <c r="H590" s="252"/>
    </row>
    <row r="591" spans="1:8" s="21" customFormat="1" ht="12.75">
      <c r="A591" s="23"/>
      <c r="B591" s="23"/>
      <c r="C591" s="23"/>
      <c r="D591" s="23"/>
      <c r="E591" s="22"/>
      <c r="F591" s="22"/>
      <c r="G591" s="253"/>
      <c r="H591" s="252"/>
    </row>
    <row r="592" spans="1:8" s="21" customFormat="1" ht="12.75">
      <c r="A592" s="23"/>
      <c r="B592" s="23"/>
      <c r="C592" s="23"/>
      <c r="D592" s="23"/>
      <c r="E592" s="22"/>
      <c r="F592" s="22"/>
      <c r="G592" s="253"/>
      <c r="H592" s="252"/>
    </row>
    <row r="593" spans="1:8" s="21" customFormat="1" ht="12.75">
      <c r="A593" s="23"/>
      <c r="B593" s="23"/>
      <c r="C593" s="23"/>
      <c r="D593" s="23"/>
      <c r="E593" s="22"/>
      <c r="F593" s="22"/>
      <c r="G593" s="253"/>
      <c r="H593" s="252"/>
    </row>
    <row r="594" spans="1:8" s="21" customFormat="1" ht="12.75">
      <c r="A594" s="23"/>
      <c r="B594" s="23"/>
      <c r="C594" s="23"/>
      <c r="D594" s="23"/>
      <c r="E594" s="22"/>
      <c r="F594" s="22"/>
      <c r="G594" s="253"/>
      <c r="H594" s="252"/>
    </row>
    <row r="595" spans="1:8" s="21" customFormat="1" ht="12.75">
      <c r="A595" s="23"/>
      <c r="B595" s="23"/>
      <c r="C595" s="23"/>
      <c r="D595" s="23"/>
      <c r="E595" s="22"/>
      <c r="F595" s="22"/>
      <c r="G595" s="253"/>
      <c r="H595" s="252"/>
    </row>
    <row r="596" spans="1:8" s="21" customFormat="1" ht="12.75">
      <c r="A596" s="23"/>
      <c r="B596" s="23"/>
      <c r="C596" s="23"/>
      <c r="D596" s="23"/>
      <c r="E596" s="22"/>
      <c r="F596" s="22"/>
      <c r="G596" s="253"/>
      <c r="H596" s="252"/>
    </row>
    <row r="597" spans="1:8" s="21" customFormat="1" ht="12.75">
      <c r="A597" s="23"/>
      <c r="B597" s="23"/>
      <c r="C597" s="23"/>
      <c r="D597" s="23"/>
      <c r="E597" s="22"/>
      <c r="F597" s="22"/>
      <c r="G597" s="253"/>
      <c r="H597" s="252"/>
    </row>
    <row r="598" spans="1:8" s="21" customFormat="1" ht="12.75">
      <c r="A598" s="23"/>
      <c r="B598" s="23"/>
      <c r="C598" s="23"/>
      <c r="D598" s="23"/>
      <c r="E598" s="22"/>
      <c r="F598" s="22"/>
      <c r="G598" s="253"/>
      <c r="H598" s="252"/>
    </row>
    <row r="599" spans="1:8" s="21" customFormat="1" ht="12.75">
      <c r="A599" s="23"/>
      <c r="B599" s="23"/>
      <c r="C599" s="23"/>
      <c r="D599" s="23"/>
      <c r="E599" s="22"/>
      <c r="F599" s="22"/>
      <c r="G599" s="253"/>
      <c r="H599" s="252"/>
    </row>
    <row r="600" spans="1:8" s="21" customFormat="1" ht="12.75">
      <c r="A600" s="23"/>
      <c r="B600" s="23"/>
      <c r="C600" s="23"/>
      <c r="D600" s="23"/>
      <c r="E600" s="22"/>
      <c r="F600" s="22"/>
      <c r="G600" s="253"/>
      <c r="H600" s="252"/>
    </row>
    <row r="601" spans="1:8" s="21" customFormat="1" ht="12.75">
      <c r="A601" s="23"/>
      <c r="B601" s="23"/>
      <c r="C601" s="23"/>
      <c r="D601" s="23"/>
      <c r="E601" s="22"/>
      <c r="F601" s="22"/>
      <c r="G601" s="253"/>
      <c r="H601" s="252"/>
    </row>
    <row r="602" spans="1:8" s="21" customFormat="1" ht="12.75">
      <c r="A602" s="23"/>
      <c r="B602" s="23"/>
      <c r="C602" s="23"/>
      <c r="D602" s="23"/>
      <c r="E602" s="22"/>
      <c r="F602" s="22"/>
      <c r="G602" s="253"/>
      <c r="H602" s="252"/>
    </row>
    <row r="603" spans="1:8" s="21" customFormat="1" ht="12.75">
      <c r="A603" s="23"/>
      <c r="B603" s="23"/>
      <c r="C603" s="23"/>
      <c r="D603" s="23"/>
      <c r="E603" s="22"/>
      <c r="F603" s="22"/>
      <c r="G603" s="253"/>
      <c r="H603" s="252"/>
    </row>
    <row r="604" spans="1:8" s="21" customFormat="1" ht="12.75">
      <c r="A604" s="23"/>
      <c r="B604" s="23"/>
      <c r="C604" s="23"/>
      <c r="D604" s="23"/>
      <c r="E604" s="22"/>
      <c r="F604" s="22"/>
      <c r="G604" s="253"/>
      <c r="H604" s="252"/>
    </row>
    <row r="605" spans="1:8" s="21" customFormat="1" ht="12.75">
      <c r="A605" s="23"/>
      <c r="B605" s="23"/>
      <c r="C605" s="23"/>
      <c r="D605" s="23"/>
      <c r="E605" s="22"/>
      <c r="F605" s="22"/>
      <c r="G605" s="253"/>
      <c r="H605" s="252"/>
    </row>
    <row r="606" spans="1:8" s="21" customFormat="1" ht="12.75">
      <c r="A606" s="23"/>
      <c r="B606" s="23"/>
      <c r="C606" s="23"/>
      <c r="D606" s="23"/>
      <c r="E606" s="22"/>
      <c r="F606" s="22"/>
      <c r="G606" s="253"/>
      <c r="H606" s="252"/>
    </row>
    <row r="607" spans="1:8" s="21" customFormat="1" ht="12.75">
      <c r="A607" s="23"/>
      <c r="B607" s="23"/>
      <c r="C607" s="23"/>
      <c r="D607" s="23"/>
      <c r="E607" s="22"/>
      <c r="F607" s="22"/>
      <c r="G607" s="253"/>
      <c r="H607" s="252"/>
    </row>
    <row r="608" spans="1:8" s="21" customFormat="1" ht="12.75">
      <c r="A608" s="23"/>
      <c r="B608" s="23"/>
      <c r="C608" s="23"/>
      <c r="D608" s="23"/>
      <c r="E608" s="22"/>
      <c r="F608" s="22"/>
      <c r="G608" s="253"/>
      <c r="H608" s="252"/>
    </row>
    <row r="609" spans="1:8" s="21" customFormat="1" ht="12.75">
      <c r="A609" s="23"/>
      <c r="B609" s="23"/>
      <c r="C609" s="23"/>
      <c r="D609" s="23"/>
      <c r="E609" s="22"/>
      <c r="F609" s="22"/>
      <c r="G609" s="253"/>
      <c r="H609" s="252"/>
    </row>
    <row r="610" spans="1:8" s="21" customFormat="1" ht="12.75">
      <c r="A610" s="23"/>
      <c r="B610" s="23"/>
      <c r="C610" s="23"/>
      <c r="D610" s="23"/>
      <c r="E610" s="22"/>
      <c r="F610" s="22"/>
      <c r="G610" s="253"/>
      <c r="H610" s="252"/>
    </row>
    <row r="611" spans="1:8" s="21" customFormat="1" ht="12.75">
      <c r="A611" s="23"/>
      <c r="B611" s="23"/>
      <c r="C611" s="23"/>
      <c r="D611" s="23"/>
      <c r="E611" s="22"/>
      <c r="F611" s="22"/>
      <c r="G611" s="253"/>
      <c r="H611" s="252"/>
    </row>
    <row r="612" spans="1:8" s="21" customFormat="1" ht="12.75">
      <c r="A612" s="23"/>
      <c r="B612" s="23"/>
      <c r="C612" s="23"/>
      <c r="D612" s="23"/>
      <c r="E612" s="22"/>
      <c r="F612" s="22"/>
      <c r="G612" s="253"/>
      <c r="H612" s="252"/>
    </row>
    <row r="613" spans="1:8" s="21" customFormat="1" ht="12.75">
      <c r="A613" s="23"/>
      <c r="B613" s="23"/>
      <c r="C613" s="23"/>
      <c r="D613" s="23"/>
      <c r="E613" s="22"/>
      <c r="F613" s="22"/>
      <c r="G613" s="253"/>
      <c r="H613" s="252"/>
    </row>
    <row r="614" spans="1:8" s="21" customFormat="1" ht="12.75">
      <c r="A614" s="23"/>
      <c r="B614" s="23"/>
      <c r="C614" s="23"/>
      <c r="D614" s="23"/>
      <c r="E614" s="22"/>
      <c r="F614" s="22"/>
      <c r="G614" s="253"/>
      <c r="H614" s="252"/>
    </row>
    <row r="615" spans="1:8" s="21" customFormat="1" ht="12.75">
      <c r="A615" s="23"/>
      <c r="B615" s="23"/>
      <c r="C615" s="23"/>
      <c r="D615" s="23"/>
      <c r="E615" s="22"/>
      <c r="F615" s="22"/>
      <c r="G615" s="253"/>
      <c r="H615" s="252"/>
    </row>
    <row r="616" spans="1:8" s="21" customFormat="1" ht="12.75">
      <c r="A616" s="23"/>
      <c r="B616" s="23"/>
      <c r="C616" s="23"/>
      <c r="D616" s="23"/>
      <c r="E616" s="22"/>
      <c r="F616" s="22"/>
      <c r="G616" s="253"/>
      <c r="H616" s="252"/>
    </row>
    <row r="617" spans="1:8" s="21" customFormat="1" ht="12.75">
      <c r="A617" s="23"/>
      <c r="B617" s="23"/>
      <c r="C617" s="23"/>
      <c r="D617" s="23"/>
      <c r="E617" s="22"/>
      <c r="F617" s="22"/>
      <c r="G617" s="253"/>
      <c r="H617" s="252"/>
    </row>
    <row r="618" spans="1:8" s="21" customFormat="1" ht="12.75">
      <c r="A618" s="23"/>
      <c r="B618" s="23"/>
      <c r="C618" s="23"/>
      <c r="D618" s="23"/>
      <c r="E618" s="22"/>
      <c r="F618" s="22"/>
      <c r="G618" s="253"/>
      <c r="H618" s="252"/>
    </row>
    <row r="619" spans="1:8" s="21" customFormat="1" ht="12.75">
      <c r="A619" s="23"/>
      <c r="B619" s="23"/>
      <c r="C619" s="23"/>
      <c r="D619" s="23"/>
      <c r="E619" s="22"/>
      <c r="F619" s="22"/>
      <c r="G619" s="253"/>
      <c r="H619" s="252"/>
    </row>
    <row r="620" spans="1:8" s="21" customFormat="1" ht="12.75">
      <c r="A620" s="23"/>
      <c r="B620" s="23"/>
      <c r="C620" s="23"/>
      <c r="D620" s="23"/>
      <c r="E620" s="22"/>
      <c r="F620" s="22"/>
      <c r="G620" s="253"/>
      <c r="H620" s="252"/>
    </row>
    <row r="621" spans="1:8" s="21" customFormat="1" ht="12.75">
      <c r="A621" s="23"/>
      <c r="B621" s="23"/>
      <c r="C621" s="23"/>
      <c r="D621" s="23"/>
      <c r="E621" s="22"/>
      <c r="F621" s="22"/>
      <c r="G621" s="253"/>
      <c r="H621" s="252"/>
    </row>
    <row r="622" spans="1:8" s="21" customFormat="1" ht="12.75">
      <c r="A622" s="23"/>
      <c r="B622" s="23"/>
      <c r="C622" s="23"/>
      <c r="D622" s="23"/>
      <c r="E622" s="22"/>
      <c r="F622" s="22"/>
      <c r="G622" s="253"/>
      <c r="H622" s="252"/>
    </row>
    <row r="623" spans="1:8" s="21" customFormat="1" ht="12.75">
      <c r="A623" s="23"/>
      <c r="B623" s="23"/>
      <c r="C623" s="23"/>
      <c r="D623" s="23"/>
      <c r="E623" s="22"/>
      <c r="F623" s="22"/>
      <c r="G623" s="253"/>
      <c r="H623" s="252"/>
    </row>
    <row r="624" spans="1:8" s="21" customFormat="1" ht="12.75">
      <c r="A624" s="23"/>
      <c r="B624" s="23"/>
      <c r="C624" s="23"/>
      <c r="D624" s="23"/>
      <c r="E624" s="22"/>
      <c r="F624" s="22"/>
      <c r="G624" s="253"/>
      <c r="H624" s="252"/>
    </row>
    <row r="625" spans="1:8" s="21" customFormat="1" ht="12.75">
      <c r="A625" s="23"/>
      <c r="B625" s="23"/>
      <c r="C625" s="23"/>
      <c r="D625" s="23"/>
      <c r="E625" s="22"/>
      <c r="F625" s="22"/>
      <c r="G625" s="253"/>
      <c r="H625" s="252"/>
    </row>
    <row r="626" spans="1:8" s="21" customFormat="1" ht="12.75">
      <c r="A626" s="23"/>
      <c r="B626" s="23"/>
      <c r="C626" s="23"/>
      <c r="D626" s="23"/>
      <c r="E626" s="22"/>
      <c r="F626" s="22"/>
      <c r="G626" s="253"/>
      <c r="H626" s="252"/>
    </row>
    <row r="627" spans="1:8" s="21" customFormat="1" ht="12.75">
      <c r="A627" s="23"/>
      <c r="B627" s="23"/>
      <c r="C627" s="23"/>
      <c r="D627" s="23"/>
      <c r="E627" s="22"/>
      <c r="F627" s="22"/>
      <c r="G627" s="253"/>
      <c r="H627" s="252"/>
    </row>
    <row r="628" spans="1:8" s="21" customFormat="1" ht="12.75">
      <c r="A628" s="23"/>
      <c r="B628" s="23"/>
      <c r="C628" s="23"/>
      <c r="D628" s="23"/>
      <c r="E628" s="22"/>
      <c r="F628" s="22"/>
      <c r="G628" s="253"/>
      <c r="H628" s="252"/>
    </row>
    <row r="629" spans="1:8" s="21" customFormat="1" ht="12.75">
      <c r="A629" s="23"/>
      <c r="B629" s="23"/>
      <c r="C629" s="23"/>
      <c r="D629" s="23"/>
      <c r="E629" s="22"/>
      <c r="F629" s="22"/>
      <c r="G629" s="253"/>
      <c r="H629" s="252"/>
    </row>
    <row r="630" spans="1:8" s="21" customFormat="1" ht="12.75">
      <c r="A630" s="23"/>
      <c r="B630" s="23"/>
      <c r="C630" s="23"/>
      <c r="D630" s="23"/>
      <c r="E630" s="22"/>
      <c r="F630" s="22"/>
      <c r="G630" s="253"/>
      <c r="H630" s="252"/>
    </row>
    <row r="631" spans="1:8" s="21" customFormat="1" ht="12.75">
      <c r="A631" s="23"/>
      <c r="B631" s="23"/>
      <c r="C631" s="23"/>
      <c r="D631" s="23"/>
      <c r="E631" s="22"/>
      <c r="F631" s="22"/>
      <c r="G631" s="253"/>
      <c r="H631" s="252"/>
    </row>
    <row r="632" spans="1:8" s="21" customFormat="1" ht="12.75">
      <c r="A632" s="23"/>
      <c r="B632" s="23"/>
      <c r="C632" s="23"/>
      <c r="D632" s="23"/>
      <c r="E632" s="22"/>
      <c r="F632" s="22"/>
      <c r="G632" s="253"/>
      <c r="H632" s="252"/>
    </row>
    <row r="633" spans="1:8" s="21" customFormat="1" ht="12.75">
      <c r="A633" s="23"/>
      <c r="B633" s="23"/>
      <c r="C633" s="23"/>
      <c r="D633" s="23"/>
      <c r="E633" s="22"/>
      <c r="F633" s="22"/>
      <c r="G633" s="253"/>
      <c r="H633" s="252"/>
    </row>
    <row r="634" spans="1:8" s="21" customFormat="1" ht="12.75">
      <c r="A634" s="23"/>
      <c r="B634" s="23"/>
      <c r="C634" s="23"/>
      <c r="D634" s="23"/>
      <c r="E634" s="22"/>
      <c r="F634" s="22"/>
      <c r="G634" s="253"/>
      <c r="H634" s="252"/>
    </row>
    <row r="635" spans="1:8" s="21" customFormat="1" ht="12.75">
      <c r="A635" s="23"/>
      <c r="B635" s="23"/>
      <c r="C635" s="23"/>
      <c r="D635" s="23"/>
      <c r="E635" s="22"/>
      <c r="F635" s="22"/>
      <c r="G635" s="253"/>
      <c r="H635" s="252"/>
    </row>
    <row r="636" spans="1:8" s="21" customFormat="1" ht="12.75">
      <c r="A636" s="23"/>
      <c r="B636" s="23"/>
      <c r="C636" s="23"/>
      <c r="D636" s="23"/>
      <c r="E636" s="22"/>
      <c r="F636" s="22"/>
      <c r="G636" s="253"/>
      <c r="H636" s="252"/>
    </row>
    <row r="637" spans="1:8" s="21" customFormat="1" ht="12.75">
      <c r="A637" s="23"/>
      <c r="B637" s="23"/>
      <c r="C637" s="23"/>
      <c r="D637" s="23"/>
      <c r="E637" s="22"/>
      <c r="F637" s="22"/>
      <c r="G637" s="253"/>
      <c r="H637" s="252"/>
    </row>
    <row r="638" spans="1:8" s="21" customFormat="1" ht="12.75">
      <c r="A638" s="23"/>
      <c r="B638" s="23"/>
      <c r="C638" s="23"/>
      <c r="D638" s="23"/>
      <c r="E638" s="22"/>
      <c r="F638" s="22"/>
      <c r="G638" s="253"/>
      <c r="H638" s="252"/>
    </row>
    <row r="639" spans="1:8" s="21" customFormat="1" ht="12.75">
      <c r="A639" s="23"/>
      <c r="B639" s="23"/>
      <c r="C639" s="23"/>
      <c r="D639" s="23"/>
      <c r="E639" s="22"/>
      <c r="F639" s="22"/>
      <c r="G639" s="253"/>
      <c r="H639" s="252"/>
    </row>
    <row r="640" spans="1:8" s="21" customFormat="1" ht="12.75">
      <c r="A640" s="23"/>
      <c r="B640" s="23"/>
      <c r="C640" s="23"/>
      <c r="D640" s="23"/>
      <c r="E640" s="22"/>
      <c r="F640" s="22"/>
      <c r="G640" s="253"/>
      <c r="H640" s="252"/>
    </row>
    <row r="641" spans="1:8" s="21" customFormat="1" ht="12.75">
      <c r="A641" s="23"/>
      <c r="B641" s="23"/>
      <c r="C641" s="23"/>
      <c r="D641" s="23"/>
      <c r="E641" s="22"/>
      <c r="F641" s="22"/>
      <c r="G641" s="253"/>
      <c r="H641" s="252"/>
    </row>
    <row r="642" spans="1:8" s="21" customFormat="1" ht="12.75">
      <c r="A642" s="23"/>
      <c r="B642" s="23"/>
      <c r="C642" s="23"/>
      <c r="D642" s="23"/>
      <c r="E642" s="22"/>
      <c r="F642" s="22"/>
      <c r="G642" s="253"/>
      <c r="H642" s="252"/>
    </row>
    <row r="643" spans="1:8" s="21" customFormat="1" ht="12.75">
      <c r="A643" s="23"/>
      <c r="B643" s="23"/>
      <c r="C643" s="23"/>
      <c r="D643" s="23"/>
      <c r="E643" s="22"/>
      <c r="F643" s="22"/>
      <c r="G643" s="253"/>
      <c r="H643" s="252"/>
    </row>
    <row r="644" spans="1:8" s="21" customFormat="1" ht="12.75">
      <c r="A644" s="23"/>
      <c r="B644" s="23"/>
      <c r="C644" s="23"/>
      <c r="D644" s="23"/>
      <c r="E644" s="22"/>
      <c r="F644" s="22"/>
      <c r="G644" s="253"/>
      <c r="H644" s="252"/>
    </row>
    <row r="645" spans="1:8" s="21" customFormat="1" ht="12.75">
      <c r="A645" s="23"/>
      <c r="B645" s="23"/>
      <c r="C645" s="23"/>
      <c r="D645" s="23"/>
      <c r="E645" s="22"/>
      <c r="F645" s="22"/>
      <c r="G645" s="253"/>
      <c r="H645" s="252"/>
    </row>
    <row r="646" spans="1:8" s="21" customFormat="1" ht="12.75">
      <c r="A646" s="23"/>
      <c r="B646" s="23"/>
      <c r="C646" s="23"/>
      <c r="D646" s="23"/>
      <c r="E646" s="22"/>
      <c r="F646" s="22"/>
      <c r="G646" s="253"/>
      <c r="H646" s="252"/>
    </row>
    <row r="647" spans="1:8" s="21" customFormat="1" ht="12.75">
      <c r="A647" s="23"/>
      <c r="B647" s="23"/>
      <c r="C647" s="23"/>
      <c r="D647" s="23"/>
      <c r="E647" s="22"/>
      <c r="F647" s="22"/>
      <c r="G647" s="253"/>
      <c r="H647" s="252"/>
    </row>
    <row r="648" spans="1:8" s="21" customFormat="1" ht="12.75">
      <c r="A648" s="23"/>
      <c r="B648" s="23"/>
      <c r="C648" s="23"/>
      <c r="D648" s="23"/>
      <c r="E648" s="22"/>
      <c r="F648" s="22"/>
      <c r="G648" s="253"/>
      <c r="H648" s="252"/>
    </row>
    <row r="649" spans="1:8" s="21" customFormat="1" ht="12.75">
      <c r="A649" s="23"/>
      <c r="B649" s="23"/>
      <c r="C649" s="23"/>
      <c r="D649" s="23"/>
      <c r="E649" s="22"/>
      <c r="F649" s="22"/>
      <c r="G649" s="253"/>
      <c r="H649" s="252"/>
    </row>
    <row r="650" spans="1:8" s="21" customFormat="1" ht="12.75">
      <c r="A650" s="23"/>
      <c r="B650" s="23"/>
      <c r="C650" s="23"/>
      <c r="D650" s="23"/>
      <c r="E650" s="22"/>
      <c r="F650" s="22"/>
      <c r="G650" s="253"/>
      <c r="H650" s="252"/>
    </row>
    <row r="651" spans="1:8" s="21" customFormat="1" ht="12.75">
      <c r="A651" s="23"/>
      <c r="B651" s="23"/>
      <c r="C651" s="23"/>
      <c r="D651" s="23"/>
      <c r="E651" s="22"/>
      <c r="F651" s="22"/>
      <c r="G651" s="253"/>
      <c r="H651" s="252"/>
    </row>
    <row r="652" spans="1:8" s="21" customFormat="1" ht="12.75">
      <c r="A652" s="23"/>
      <c r="B652" s="23"/>
      <c r="C652" s="23"/>
      <c r="D652" s="23"/>
      <c r="E652" s="22"/>
      <c r="F652" s="22"/>
      <c r="G652" s="253"/>
      <c r="H652" s="252"/>
    </row>
    <row r="653" spans="1:8" s="21" customFormat="1" ht="12.75">
      <c r="A653" s="23"/>
      <c r="B653" s="23"/>
      <c r="C653" s="23"/>
      <c r="D653" s="23"/>
      <c r="E653" s="22"/>
      <c r="F653" s="22"/>
      <c r="G653" s="253"/>
      <c r="H653" s="252"/>
    </row>
    <row r="654" spans="1:8" s="21" customFormat="1" ht="12.75">
      <c r="A654" s="23"/>
      <c r="B654" s="23"/>
      <c r="C654" s="23"/>
      <c r="D654" s="23"/>
      <c r="E654" s="22"/>
      <c r="F654" s="22"/>
      <c r="G654" s="253"/>
      <c r="H654" s="252"/>
    </row>
    <row r="655" spans="1:8" s="21" customFormat="1" ht="12.75">
      <c r="A655" s="23"/>
      <c r="B655" s="23"/>
      <c r="C655" s="23"/>
      <c r="D655" s="23"/>
      <c r="E655" s="22"/>
      <c r="F655" s="22"/>
      <c r="G655" s="253"/>
      <c r="H655" s="252"/>
    </row>
    <row r="656" spans="1:8" s="21" customFormat="1" ht="12.75">
      <c r="A656" s="23"/>
      <c r="B656" s="23"/>
      <c r="C656" s="23"/>
      <c r="D656" s="23"/>
      <c r="E656" s="22"/>
      <c r="F656" s="22"/>
      <c r="G656" s="253"/>
      <c r="H656" s="252"/>
    </row>
    <row r="657" spans="1:8" s="21" customFormat="1" ht="12.75">
      <c r="A657" s="23"/>
      <c r="B657" s="23"/>
      <c r="C657" s="23"/>
      <c r="D657" s="23"/>
      <c r="E657" s="22"/>
      <c r="F657" s="22"/>
      <c r="G657" s="253"/>
      <c r="H657" s="252"/>
    </row>
    <row r="658" spans="1:8" s="21" customFormat="1" ht="12.75">
      <c r="A658" s="23"/>
      <c r="B658" s="23"/>
      <c r="C658" s="23"/>
      <c r="D658" s="23"/>
      <c r="E658" s="22"/>
      <c r="F658" s="22"/>
      <c r="G658" s="253"/>
      <c r="H658" s="252"/>
    </row>
    <row r="659" spans="1:8" s="21" customFormat="1" ht="12.75">
      <c r="A659" s="23"/>
      <c r="B659" s="23"/>
      <c r="C659" s="23"/>
      <c r="D659" s="23"/>
      <c r="E659" s="22"/>
      <c r="F659" s="22"/>
      <c r="G659" s="253"/>
      <c r="H659" s="252"/>
    </row>
    <row r="660" spans="1:8" s="21" customFormat="1" ht="12.75">
      <c r="A660" s="23"/>
      <c r="B660" s="23"/>
      <c r="C660" s="23"/>
      <c r="D660" s="23"/>
      <c r="E660" s="22"/>
      <c r="F660" s="22"/>
      <c r="G660" s="253"/>
      <c r="H660" s="252"/>
    </row>
    <row r="661" spans="1:8" s="21" customFormat="1" ht="12.75">
      <c r="A661" s="23"/>
      <c r="B661" s="23"/>
      <c r="C661" s="23"/>
      <c r="D661" s="23"/>
      <c r="E661" s="22"/>
      <c r="F661" s="22"/>
      <c r="G661" s="253"/>
      <c r="H661" s="252"/>
    </row>
    <row r="662" spans="1:8" s="21" customFormat="1" ht="12.75">
      <c r="A662" s="23"/>
      <c r="B662" s="23"/>
      <c r="C662" s="23"/>
      <c r="D662" s="23"/>
      <c r="E662" s="22"/>
      <c r="F662" s="22"/>
      <c r="G662" s="253"/>
      <c r="H662" s="252"/>
    </row>
    <row r="663" spans="1:8" s="21" customFormat="1" ht="12.75">
      <c r="A663" s="23"/>
      <c r="B663" s="23"/>
      <c r="C663" s="23"/>
      <c r="D663" s="23"/>
      <c r="E663" s="22"/>
      <c r="F663" s="22"/>
      <c r="G663" s="253"/>
      <c r="H663" s="252"/>
    </row>
    <row r="664" spans="1:8" s="21" customFormat="1" ht="12.75">
      <c r="A664" s="23"/>
      <c r="B664" s="23"/>
      <c r="C664" s="23"/>
      <c r="D664" s="23"/>
      <c r="E664" s="22"/>
      <c r="F664" s="22"/>
      <c r="G664" s="253"/>
      <c r="H664" s="252"/>
    </row>
    <row r="665" spans="1:8" s="21" customFormat="1" ht="12.75">
      <c r="A665" s="23"/>
      <c r="B665" s="23"/>
      <c r="C665" s="23"/>
      <c r="D665" s="23"/>
      <c r="E665" s="22"/>
      <c r="F665" s="22"/>
      <c r="G665" s="253"/>
      <c r="H665" s="252"/>
    </row>
    <row r="666" spans="1:8" s="21" customFormat="1" ht="12.75">
      <c r="A666" s="23"/>
      <c r="B666" s="23"/>
      <c r="C666" s="23"/>
      <c r="D666" s="23"/>
      <c r="E666" s="22"/>
      <c r="F666" s="22"/>
      <c r="G666" s="253"/>
      <c r="H666" s="252"/>
    </row>
    <row r="667" spans="1:8" s="21" customFormat="1" ht="12.75">
      <c r="A667" s="23"/>
      <c r="B667" s="23"/>
      <c r="C667" s="23"/>
      <c r="D667" s="23"/>
      <c r="E667" s="22"/>
      <c r="F667" s="22"/>
      <c r="G667" s="253"/>
      <c r="H667" s="252"/>
    </row>
    <row r="668" spans="1:8" s="21" customFormat="1" ht="12.75">
      <c r="A668" s="23"/>
      <c r="B668" s="23"/>
      <c r="C668" s="23"/>
      <c r="D668" s="23"/>
      <c r="E668" s="22"/>
      <c r="F668" s="22"/>
      <c r="G668" s="253"/>
      <c r="H668" s="252"/>
    </row>
    <row r="669" spans="1:8" s="21" customFormat="1" ht="12.75">
      <c r="A669" s="23"/>
      <c r="B669" s="23"/>
      <c r="C669" s="23"/>
      <c r="D669" s="23"/>
      <c r="E669" s="22"/>
      <c r="F669" s="22"/>
      <c r="G669" s="253"/>
      <c r="H669" s="252"/>
    </row>
    <row r="670" spans="1:8" s="21" customFormat="1" ht="12.75">
      <c r="A670" s="23"/>
      <c r="B670" s="23"/>
      <c r="C670" s="23"/>
      <c r="D670" s="23"/>
      <c r="E670" s="22"/>
      <c r="F670" s="22"/>
      <c r="G670" s="253"/>
      <c r="H670" s="252"/>
    </row>
    <row r="671" spans="1:8" s="21" customFormat="1" ht="12.75">
      <c r="A671" s="23"/>
      <c r="B671" s="23"/>
      <c r="C671" s="23"/>
      <c r="D671" s="23"/>
      <c r="E671" s="22"/>
      <c r="F671" s="22"/>
      <c r="G671" s="253"/>
      <c r="H671" s="252"/>
    </row>
    <row r="672" spans="1:8" s="21" customFormat="1" ht="12.75">
      <c r="A672" s="23"/>
      <c r="B672" s="23"/>
      <c r="C672" s="23"/>
      <c r="D672" s="23"/>
      <c r="E672" s="22"/>
      <c r="F672" s="22"/>
      <c r="G672" s="253"/>
      <c r="H672" s="252"/>
    </row>
    <row r="673" spans="1:8" s="21" customFormat="1" ht="12.75">
      <c r="A673" s="23"/>
      <c r="B673" s="23"/>
      <c r="C673" s="23"/>
      <c r="D673" s="23"/>
      <c r="E673" s="22"/>
      <c r="F673" s="22"/>
      <c r="G673" s="253"/>
      <c r="H673" s="252"/>
    </row>
    <row r="674" spans="1:8" s="21" customFormat="1" ht="12.75">
      <c r="A674" s="23"/>
      <c r="B674" s="23"/>
      <c r="C674" s="23"/>
      <c r="D674" s="23"/>
      <c r="E674" s="22"/>
      <c r="F674" s="22"/>
      <c r="G674" s="253"/>
      <c r="H674" s="252"/>
    </row>
    <row r="675" spans="1:8" s="21" customFormat="1" ht="12.75">
      <c r="A675" s="23"/>
      <c r="B675" s="23"/>
      <c r="C675" s="23"/>
      <c r="D675" s="23"/>
      <c r="E675" s="22"/>
      <c r="F675" s="22"/>
      <c r="G675" s="253"/>
      <c r="H675" s="252"/>
    </row>
    <row r="676" spans="1:8" s="21" customFormat="1" ht="12.75">
      <c r="A676" s="23"/>
      <c r="B676" s="23"/>
      <c r="C676" s="23"/>
      <c r="D676" s="23"/>
      <c r="E676" s="22"/>
      <c r="F676" s="22"/>
      <c r="G676" s="253"/>
      <c r="H676" s="252"/>
    </row>
    <row r="677" spans="1:8" s="21" customFormat="1" ht="12.75">
      <c r="A677" s="23"/>
      <c r="B677" s="23"/>
      <c r="C677" s="23"/>
      <c r="D677" s="23"/>
      <c r="E677" s="22"/>
      <c r="F677" s="22"/>
      <c r="G677" s="253"/>
      <c r="H677" s="252"/>
    </row>
    <row r="678" spans="1:8" s="21" customFormat="1" ht="12.75">
      <c r="A678" s="23"/>
      <c r="B678" s="23"/>
      <c r="C678" s="23"/>
      <c r="D678" s="23"/>
      <c r="E678" s="22"/>
      <c r="F678" s="22"/>
      <c r="G678" s="253"/>
      <c r="H678" s="252"/>
    </row>
    <row r="679" spans="1:8" s="21" customFormat="1" ht="12.75">
      <c r="A679" s="23"/>
      <c r="B679" s="23"/>
      <c r="C679" s="23"/>
      <c r="D679" s="23"/>
      <c r="E679" s="22"/>
      <c r="F679" s="22"/>
      <c r="G679" s="253"/>
      <c r="H679" s="252"/>
    </row>
    <row r="680" spans="1:8" s="21" customFormat="1" ht="12.75">
      <c r="A680" s="23"/>
      <c r="B680" s="23"/>
      <c r="C680" s="23"/>
      <c r="D680" s="23"/>
      <c r="E680" s="22"/>
      <c r="F680" s="22"/>
      <c r="G680" s="253"/>
      <c r="H680" s="252"/>
    </row>
    <row r="681" spans="1:8" s="21" customFormat="1" ht="12.75">
      <c r="A681" s="23"/>
      <c r="B681" s="23"/>
      <c r="C681" s="23"/>
      <c r="D681" s="23"/>
      <c r="E681" s="22"/>
      <c r="F681" s="22"/>
      <c r="G681" s="253"/>
      <c r="H681" s="252"/>
    </row>
    <row r="682" spans="1:8" s="21" customFormat="1" ht="12.75">
      <c r="A682" s="23"/>
      <c r="B682" s="23"/>
      <c r="C682" s="23"/>
      <c r="D682" s="23"/>
      <c r="E682" s="22"/>
      <c r="F682" s="22"/>
      <c r="G682" s="253"/>
      <c r="H682" s="252"/>
    </row>
    <row r="683" spans="1:8" s="21" customFormat="1" ht="12.75">
      <c r="A683" s="23"/>
      <c r="B683" s="23"/>
      <c r="C683" s="23"/>
      <c r="D683" s="23"/>
      <c r="E683" s="22"/>
      <c r="F683" s="22"/>
      <c r="G683" s="253"/>
      <c r="H683" s="252"/>
    </row>
    <row r="684" spans="1:8" s="21" customFormat="1" ht="12.75">
      <c r="A684" s="23"/>
      <c r="B684" s="23"/>
      <c r="C684" s="23"/>
      <c r="D684" s="23"/>
      <c r="E684" s="22"/>
      <c r="F684" s="22"/>
      <c r="G684" s="253"/>
      <c r="H684" s="252"/>
    </row>
    <row r="685" spans="1:8" s="21" customFormat="1" ht="12.75">
      <c r="A685" s="23"/>
      <c r="B685" s="23"/>
      <c r="C685" s="23"/>
      <c r="D685" s="23"/>
      <c r="E685" s="22"/>
      <c r="F685" s="22"/>
      <c r="G685" s="253"/>
      <c r="H685" s="252"/>
    </row>
    <row r="686" spans="1:8" s="21" customFormat="1" ht="12.75">
      <c r="A686" s="23"/>
      <c r="B686" s="23"/>
      <c r="C686" s="23"/>
      <c r="D686" s="23"/>
      <c r="E686" s="22"/>
      <c r="F686" s="22"/>
      <c r="G686" s="253"/>
      <c r="H686" s="252"/>
    </row>
    <row r="687" spans="1:8" s="21" customFormat="1" ht="12.75">
      <c r="A687" s="23"/>
      <c r="B687" s="23"/>
      <c r="C687" s="23"/>
      <c r="D687" s="23"/>
      <c r="E687" s="22"/>
      <c r="F687" s="22"/>
      <c r="G687" s="253"/>
      <c r="H687" s="252"/>
    </row>
    <row r="688" spans="1:8" s="21" customFormat="1" ht="12.75">
      <c r="A688" s="23"/>
      <c r="B688" s="23"/>
      <c r="C688" s="23"/>
      <c r="D688" s="23"/>
      <c r="E688" s="22"/>
      <c r="F688" s="22"/>
      <c r="G688" s="253"/>
      <c r="H688" s="252"/>
    </row>
    <row r="689" spans="1:8" s="21" customFormat="1" ht="12.75">
      <c r="A689" s="23"/>
      <c r="B689" s="23"/>
      <c r="C689" s="23"/>
      <c r="D689" s="23"/>
      <c r="E689" s="22"/>
      <c r="F689" s="22"/>
      <c r="G689" s="253"/>
      <c r="H689" s="252"/>
    </row>
    <row r="690" spans="1:8" s="21" customFormat="1" ht="12.75">
      <c r="A690" s="23"/>
      <c r="B690" s="23"/>
      <c r="C690" s="23"/>
      <c r="D690" s="23"/>
      <c r="E690" s="22"/>
      <c r="F690" s="22"/>
      <c r="G690" s="253"/>
      <c r="H690" s="252"/>
    </row>
    <row r="691" spans="1:8" s="21" customFormat="1" ht="12.75">
      <c r="A691" s="23"/>
      <c r="B691" s="23"/>
      <c r="C691" s="23"/>
      <c r="D691" s="23"/>
      <c r="E691" s="22"/>
      <c r="F691" s="22"/>
      <c r="G691" s="253"/>
      <c r="H691" s="252"/>
    </row>
    <row r="692" spans="1:8" s="21" customFormat="1" ht="12.75">
      <c r="A692" s="23"/>
      <c r="B692" s="23"/>
      <c r="C692" s="23"/>
      <c r="D692" s="23"/>
      <c r="E692" s="22"/>
      <c r="F692" s="22"/>
      <c r="G692" s="253"/>
      <c r="H692" s="252"/>
    </row>
    <row r="693" spans="1:8" s="21" customFormat="1" ht="12.75">
      <c r="A693" s="23"/>
      <c r="B693" s="23"/>
      <c r="C693" s="23"/>
      <c r="D693" s="23"/>
      <c r="E693" s="22"/>
      <c r="F693" s="22"/>
      <c r="G693" s="253"/>
      <c r="H693" s="252"/>
    </row>
    <row r="694" spans="1:8" s="21" customFormat="1" ht="12.75">
      <c r="A694" s="23"/>
      <c r="B694" s="23"/>
      <c r="C694" s="23"/>
      <c r="D694" s="23"/>
      <c r="E694" s="22"/>
      <c r="F694" s="22"/>
      <c r="G694" s="253"/>
      <c r="H694" s="252"/>
    </row>
    <row r="695" spans="1:8" s="21" customFormat="1" ht="12.75">
      <c r="A695" s="23"/>
      <c r="B695" s="23"/>
      <c r="C695" s="23"/>
      <c r="D695" s="23"/>
      <c r="E695" s="22"/>
      <c r="F695" s="22"/>
      <c r="G695" s="253"/>
      <c r="H695" s="252"/>
    </row>
    <row r="696" spans="1:8" s="21" customFormat="1" ht="12.75">
      <c r="A696" s="23"/>
      <c r="B696" s="23"/>
      <c r="C696" s="23"/>
      <c r="D696" s="23"/>
      <c r="E696" s="22"/>
      <c r="F696" s="22"/>
      <c r="G696" s="253"/>
      <c r="H696" s="252"/>
    </row>
    <row r="697" spans="1:8" s="21" customFormat="1" ht="12.75">
      <c r="A697" s="23"/>
      <c r="B697" s="23"/>
      <c r="C697" s="23"/>
      <c r="D697" s="23"/>
      <c r="E697" s="22"/>
      <c r="F697" s="22"/>
      <c r="G697" s="253"/>
      <c r="H697" s="252"/>
    </row>
    <row r="698" spans="1:8" s="21" customFormat="1" ht="12.75">
      <c r="A698" s="23"/>
      <c r="B698" s="23"/>
      <c r="C698" s="23"/>
      <c r="D698" s="23"/>
      <c r="E698" s="22"/>
      <c r="F698" s="22"/>
      <c r="G698" s="253"/>
      <c r="H698" s="252"/>
    </row>
    <row r="699" spans="1:8" s="21" customFormat="1" ht="12.75">
      <c r="A699" s="23"/>
      <c r="B699" s="23"/>
      <c r="C699" s="23"/>
      <c r="D699" s="23"/>
      <c r="E699" s="22"/>
      <c r="F699" s="22"/>
      <c r="G699" s="253"/>
      <c r="H699" s="252"/>
    </row>
    <row r="700" spans="1:8" s="21" customFormat="1" ht="12.75">
      <c r="A700" s="23"/>
      <c r="B700" s="23"/>
      <c r="C700" s="23"/>
      <c r="D700" s="23"/>
      <c r="E700" s="22"/>
      <c r="F700" s="22"/>
      <c r="G700" s="253"/>
      <c r="H700" s="252"/>
    </row>
    <row r="701" spans="1:8" s="21" customFormat="1" ht="12.75">
      <c r="A701" s="23"/>
      <c r="B701" s="23"/>
      <c r="C701" s="23"/>
      <c r="D701" s="23"/>
      <c r="E701" s="22"/>
      <c r="F701" s="22"/>
      <c r="G701" s="253"/>
      <c r="H701" s="252"/>
    </row>
    <row r="702" spans="1:8" s="21" customFormat="1" ht="12.75">
      <c r="A702" s="23"/>
      <c r="B702" s="23"/>
      <c r="C702" s="23"/>
      <c r="D702" s="23"/>
      <c r="E702" s="22"/>
      <c r="F702" s="22"/>
      <c r="G702" s="253"/>
      <c r="H702" s="252"/>
    </row>
    <row r="703" spans="1:8" s="21" customFormat="1" ht="12.75">
      <c r="A703" s="23"/>
      <c r="B703" s="23"/>
      <c r="C703" s="23"/>
      <c r="D703" s="23"/>
      <c r="E703" s="22"/>
      <c r="F703" s="22"/>
      <c r="G703" s="253"/>
      <c r="H703" s="252"/>
    </row>
    <row r="704" spans="1:8" s="21" customFormat="1" ht="12.75">
      <c r="A704" s="23"/>
      <c r="B704" s="23"/>
      <c r="C704" s="23"/>
      <c r="D704" s="23"/>
      <c r="E704" s="22"/>
      <c r="F704" s="22"/>
      <c r="G704" s="253"/>
      <c r="H704" s="252"/>
    </row>
    <row r="705" spans="1:8" s="21" customFormat="1" ht="12.75">
      <c r="A705" s="23"/>
      <c r="B705" s="23"/>
      <c r="C705" s="23"/>
      <c r="D705" s="23"/>
      <c r="E705" s="22"/>
      <c r="F705" s="22"/>
      <c r="G705" s="253"/>
      <c r="H705" s="252"/>
    </row>
    <row r="706" spans="1:8" s="21" customFormat="1" ht="12.75">
      <c r="A706" s="23"/>
      <c r="B706" s="23"/>
      <c r="C706" s="23"/>
      <c r="D706" s="23"/>
      <c r="E706" s="22"/>
      <c r="F706" s="22"/>
      <c r="G706" s="253"/>
      <c r="H706" s="252"/>
    </row>
    <row r="707" spans="1:8" s="21" customFormat="1" ht="12.75">
      <c r="A707" s="23"/>
      <c r="B707" s="23"/>
      <c r="C707" s="23"/>
      <c r="D707" s="23"/>
      <c r="E707" s="22"/>
      <c r="F707" s="22"/>
      <c r="G707" s="253"/>
      <c r="H707" s="252"/>
    </row>
    <row r="708" spans="1:8" s="21" customFormat="1" ht="12.75">
      <c r="A708" s="23"/>
      <c r="B708" s="23"/>
      <c r="C708" s="23"/>
      <c r="D708" s="23"/>
      <c r="E708" s="22"/>
      <c r="F708" s="22"/>
      <c r="G708" s="253"/>
      <c r="H708" s="252"/>
    </row>
    <row r="709" spans="1:8" s="21" customFormat="1" ht="12.75">
      <c r="A709" s="23"/>
      <c r="B709" s="23"/>
      <c r="C709" s="23"/>
      <c r="D709" s="23"/>
      <c r="E709" s="22"/>
      <c r="F709" s="22"/>
      <c r="G709" s="253"/>
      <c r="H709" s="252"/>
    </row>
    <row r="710" spans="1:8" s="21" customFormat="1" ht="12.75">
      <c r="A710" s="23"/>
      <c r="B710" s="23"/>
      <c r="C710" s="23"/>
      <c r="D710" s="23"/>
      <c r="E710" s="22"/>
      <c r="F710" s="22"/>
      <c r="G710" s="253"/>
      <c r="H710" s="252"/>
    </row>
    <row r="711" spans="1:8" s="21" customFormat="1" ht="12.75">
      <c r="A711" s="23"/>
      <c r="B711" s="23"/>
      <c r="C711" s="23"/>
      <c r="D711" s="23"/>
      <c r="E711" s="22"/>
      <c r="F711" s="22"/>
      <c r="G711" s="253"/>
      <c r="H711" s="252"/>
    </row>
    <row r="712" spans="1:8" s="21" customFormat="1" ht="12.75">
      <c r="A712" s="23"/>
      <c r="B712" s="23"/>
      <c r="C712" s="23"/>
      <c r="D712" s="23"/>
      <c r="E712" s="22"/>
      <c r="F712" s="22"/>
      <c r="G712" s="253"/>
      <c r="H712" s="252"/>
    </row>
    <row r="713" spans="1:8" s="21" customFormat="1" ht="12.75">
      <c r="A713" s="23"/>
      <c r="B713" s="23"/>
      <c r="C713" s="23"/>
      <c r="D713" s="23"/>
      <c r="E713" s="22"/>
      <c r="F713" s="22"/>
      <c r="G713" s="253"/>
      <c r="H713" s="252"/>
    </row>
    <row r="714" spans="1:8" s="21" customFormat="1" ht="12.75">
      <c r="A714" s="23"/>
      <c r="B714" s="23"/>
      <c r="C714" s="23"/>
      <c r="D714" s="23"/>
      <c r="E714" s="22"/>
      <c r="F714" s="22"/>
      <c r="G714" s="253"/>
      <c r="H714" s="252"/>
    </row>
    <row r="715" spans="1:8" s="21" customFormat="1" ht="12.75">
      <c r="A715" s="23"/>
      <c r="B715" s="23"/>
      <c r="C715" s="23"/>
      <c r="D715" s="23"/>
      <c r="E715" s="22"/>
      <c r="F715" s="22"/>
      <c r="G715" s="253"/>
      <c r="H715" s="252"/>
    </row>
    <row r="716" spans="1:8" s="21" customFormat="1" ht="12.75">
      <c r="A716" s="23"/>
      <c r="B716" s="23"/>
      <c r="C716" s="23"/>
      <c r="D716" s="23"/>
      <c r="E716" s="22"/>
      <c r="F716" s="22"/>
      <c r="G716" s="253"/>
      <c r="H716" s="252"/>
    </row>
    <row r="717" spans="1:8" s="21" customFormat="1" ht="12.75">
      <c r="A717" s="23"/>
      <c r="B717" s="23"/>
      <c r="C717" s="23"/>
      <c r="D717" s="23"/>
      <c r="E717" s="22"/>
      <c r="F717" s="22"/>
      <c r="G717" s="253"/>
      <c r="H717" s="252"/>
    </row>
    <row r="718" spans="1:8" s="21" customFormat="1" ht="12.75">
      <c r="A718" s="23"/>
      <c r="B718" s="23"/>
      <c r="C718" s="23"/>
      <c r="D718" s="23"/>
      <c r="E718" s="22"/>
      <c r="F718" s="22"/>
      <c r="G718" s="253"/>
      <c r="H718" s="252"/>
    </row>
    <row r="719" spans="1:8" s="21" customFormat="1" ht="12.75">
      <c r="A719" s="23"/>
      <c r="B719" s="23"/>
      <c r="C719" s="23"/>
      <c r="D719" s="23"/>
      <c r="E719" s="22"/>
      <c r="F719" s="22"/>
      <c r="G719" s="253"/>
      <c r="H719" s="252"/>
    </row>
    <row r="720" spans="1:8" s="21" customFormat="1" ht="12.75">
      <c r="A720" s="23"/>
      <c r="B720" s="23"/>
      <c r="C720" s="23"/>
      <c r="D720" s="23"/>
      <c r="E720" s="22"/>
      <c r="F720" s="22"/>
      <c r="G720" s="253"/>
      <c r="H720" s="252"/>
    </row>
    <row r="721" spans="1:8" s="21" customFormat="1" ht="12.75">
      <c r="A721" s="23"/>
      <c r="B721" s="23"/>
      <c r="C721" s="23"/>
      <c r="D721" s="23"/>
      <c r="E721" s="22"/>
      <c r="F721" s="22"/>
      <c r="G721" s="253"/>
      <c r="H721" s="252"/>
    </row>
    <row r="722" spans="1:8" s="21" customFormat="1" ht="12.75">
      <c r="A722" s="23"/>
      <c r="B722" s="23"/>
      <c r="C722" s="23"/>
      <c r="D722" s="23"/>
      <c r="E722" s="22"/>
      <c r="F722" s="22"/>
      <c r="G722" s="253"/>
      <c r="H722" s="252"/>
    </row>
    <row r="723" spans="1:8" s="21" customFormat="1" ht="12.75">
      <c r="A723" s="23"/>
      <c r="B723" s="23"/>
      <c r="C723" s="23"/>
      <c r="D723" s="23"/>
      <c r="E723" s="22"/>
      <c r="F723" s="22"/>
      <c r="G723" s="253"/>
      <c r="H723" s="252"/>
    </row>
    <row r="724" spans="1:8" s="21" customFormat="1" ht="12.75">
      <c r="A724" s="23"/>
      <c r="B724" s="23"/>
      <c r="C724" s="23"/>
      <c r="D724" s="23"/>
      <c r="E724" s="22"/>
      <c r="F724" s="22"/>
      <c r="G724" s="253"/>
      <c r="H724" s="252"/>
    </row>
  </sheetData>
  <mergeCells count="7">
    <mergeCell ref="B6:B7"/>
    <mergeCell ref="A6:A7"/>
    <mergeCell ref="G6:H6"/>
    <mergeCell ref="E6:E7"/>
    <mergeCell ref="F6:F7"/>
    <mergeCell ref="D6:D7"/>
    <mergeCell ref="C6:C7"/>
  </mergeCells>
  <printOptions horizontalCentered="1"/>
  <pageMargins left="0.3937007874015748" right="0.3937007874015748" top="0.7874015748031497" bottom="0.7874015748031497" header="0.5118110236220472" footer="0.31496062992125984"/>
  <pageSetup firstPageNumber="1" useFirstPageNumber="1" horizontalDpi="600" verticalDpi="600" orientation="portrait" paperSize="9" r:id="rId1"/>
  <headerFooter alignWithMargins="0">
    <oddFooter>&amp;C&amp;8Wydatki - str.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66"/>
  <sheetViews>
    <sheetView workbookViewId="0" topLeftCell="A58">
      <selection activeCell="G18" sqref="G18"/>
    </sheetView>
  </sheetViews>
  <sheetFormatPr defaultColWidth="9.00390625" defaultRowHeight="12.75"/>
  <cols>
    <col min="1" max="1" width="5.25390625" style="8" customWidth="1"/>
    <col min="2" max="2" width="7.625" style="8" customWidth="1"/>
    <col min="3" max="3" width="5.00390625" style="8" bestFit="1" customWidth="1"/>
    <col min="4" max="4" width="31.125" style="8" customWidth="1"/>
    <col min="5" max="5" width="12.875" style="8" customWidth="1"/>
    <col min="6" max="6" width="13.125" style="8" customWidth="1"/>
    <col min="7" max="7" width="12.75390625" style="8" bestFit="1" customWidth="1"/>
    <col min="8" max="8" width="8.00390625" style="280" customWidth="1"/>
  </cols>
  <sheetData>
    <row r="1" spans="1:8" ht="12.75">
      <c r="A1" s="66"/>
      <c r="B1" s="66"/>
      <c r="C1" s="66"/>
      <c r="D1" s="66"/>
      <c r="E1" s="67"/>
      <c r="F1" s="350"/>
      <c r="G1" s="353" t="s">
        <v>568</v>
      </c>
      <c r="H1" s="350"/>
    </row>
    <row r="2" spans="1:8" ht="12.75">
      <c r="A2" s="66"/>
      <c r="B2" s="66"/>
      <c r="C2" s="66"/>
      <c r="D2" s="66"/>
      <c r="E2" s="67"/>
      <c r="F2" s="350"/>
      <c r="G2" s="353" t="s">
        <v>562</v>
      </c>
      <c r="H2" s="350"/>
    </row>
    <row r="3" spans="1:8" ht="12.75">
      <c r="A3" s="66"/>
      <c r="B3" s="66"/>
      <c r="C3" s="66"/>
      <c r="D3" s="66"/>
      <c r="E3" s="67"/>
      <c r="F3" s="350"/>
      <c r="G3" s="353" t="s">
        <v>515</v>
      </c>
      <c r="H3" s="350"/>
    </row>
    <row r="4" spans="1:8" ht="12.75">
      <c r="A4" s="66"/>
      <c r="B4" s="66"/>
      <c r="C4" s="66"/>
      <c r="D4" s="66"/>
      <c r="E4" s="67"/>
      <c r="F4" s="350"/>
      <c r="G4" s="353" t="s">
        <v>564</v>
      </c>
      <c r="H4" s="350"/>
    </row>
    <row r="5" spans="1:8" ht="22.5" customHeight="1">
      <c r="A5" s="407" t="s">
        <v>540</v>
      </c>
      <c r="B5" s="407"/>
      <c r="C5" s="407"/>
      <c r="D5" s="407"/>
      <c r="E5" s="407"/>
      <c r="F5" s="407"/>
      <c r="G5" s="407"/>
      <c r="H5" s="407"/>
    </row>
    <row r="6" spans="1:8" s="8" customFormat="1" ht="18" customHeight="1">
      <c r="A6" s="408" t="s">
        <v>12</v>
      </c>
      <c r="B6" s="408" t="s">
        <v>13</v>
      </c>
      <c r="C6" s="408" t="s">
        <v>14</v>
      </c>
      <c r="D6" s="408" t="s">
        <v>408</v>
      </c>
      <c r="E6" s="404" t="s">
        <v>170</v>
      </c>
      <c r="F6" s="404" t="s">
        <v>250</v>
      </c>
      <c r="G6" s="405" t="s">
        <v>0</v>
      </c>
      <c r="H6" s="406"/>
    </row>
    <row r="7" spans="1:8" s="8" customFormat="1" ht="18" customHeight="1">
      <c r="A7" s="408"/>
      <c r="B7" s="408"/>
      <c r="C7" s="408"/>
      <c r="D7" s="408"/>
      <c r="E7" s="404"/>
      <c r="F7" s="404"/>
      <c r="G7" s="120" t="s">
        <v>500</v>
      </c>
      <c r="H7" s="18" t="s">
        <v>501</v>
      </c>
    </row>
    <row r="8" spans="1:8" s="8" customFormat="1" ht="19.5" customHeight="1">
      <c r="A8" s="275" t="s">
        <v>16</v>
      </c>
      <c r="B8" s="276"/>
      <c r="C8" s="277"/>
      <c r="D8" s="278" t="s">
        <v>17</v>
      </c>
      <c r="E8" s="279">
        <f aca="true" t="shared" si="0" ref="E8:G9">SUM(E9)</f>
        <v>0</v>
      </c>
      <c r="F8" s="279">
        <f t="shared" si="0"/>
        <v>193526</v>
      </c>
      <c r="G8" s="279">
        <f t="shared" si="0"/>
        <v>193525.17</v>
      </c>
      <c r="H8" s="47">
        <f>G8/F8*100</f>
        <v>99.99957111705922</v>
      </c>
    </row>
    <row r="9" spans="1:8" s="24" customFormat="1" ht="19.5" customHeight="1">
      <c r="A9" s="80"/>
      <c r="B9" s="77" t="s">
        <v>435</v>
      </c>
      <c r="C9" s="207"/>
      <c r="D9" s="42" t="s">
        <v>18</v>
      </c>
      <c r="E9" s="103">
        <f t="shared" si="0"/>
        <v>0</v>
      </c>
      <c r="F9" s="103">
        <f t="shared" si="0"/>
        <v>193526</v>
      </c>
      <c r="G9" s="103">
        <f t="shared" si="0"/>
        <v>193525.17</v>
      </c>
      <c r="H9" s="104">
        <f aca="true" t="shared" si="1" ref="H9:H57">G9/F9*100</f>
        <v>99.99957111705922</v>
      </c>
    </row>
    <row r="10" spans="1:8" s="24" customFormat="1" ht="56.25">
      <c r="A10" s="80"/>
      <c r="B10" s="80"/>
      <c r="C10" s="207">
        <v>2010</v>
      </c>
      <c r="D10" s="42" t="s">
        <v>454</v>
      </c>
      <c r="E10" s="103">
        <v>0</v>
      </c>
      <c r="F10" s="103">
        <v>193526</v>
      </c>
      <c r="G10" s="103">
        <v>193525.17</v>
      </c>
      <c r="H10" s="104">
        <f t="shared" si="1"/>
        <v>99.99957111705922</v>
      </c>
    </row>
    <row r="11" spans="1:8" s="8" customFormat="1" ht="19.5" customHeight="1">
      <c r="A11" s="37" t="s">
        <v>30</v>
      </c>
      <c r="B11" s="29"/>
      <c r="C11" s="65"/>
      <c r="D11" s="40" t="s">
        <v>31</v>
      </c>
      <c r="E11" s="73">
        <f>SUM(E12)</f>
        <v>144800</v>
      </c>
      <c r="F11" s="73">
        <f>SUM(F12)</f>
        <v>152100</v>
      </c>
      <c r="G11" s="73">
        <f>SUM(G12)</f>
        <v>152099.5</v>
      </c>
      <c r="H11" s="47">
        <f t="shared" si="1"/>
        <v>99.99967126890203</v>
      </c>
    </row>
    <row r="12" spans="1:8" s="24" customFormat="1" ht="19.5" customHeight="1">
      <c r="A12" s="77"/>
      <c r="B12" s="77">
        <v>75011</v>
      </c>
      <c r="C12" s="78"/>
      <c r="D12" s="42" t="s">
        <v>32</v>
      </c>
      <c r="E12" s="105">
        <f>E13</f>
        <v>144800</v>
      </c>
      <c r="F12" s="105">
        <f>F13</f>
        <v>152100</v>
      </c>
      <c r="G12" s="105">
        <f>G13</f>
        <v>152099.5</v>
      </c>
      <c r="H12" s="104">
        <f t="shared" si="1"/>
        <v>99.99967126890203</v>
      </c>
    </row>
    <row r="13" spans="1:8" s="24" customFormat="1" ht="56.25">
      <c r="A13" s="77"/>
      <c r="B13" s="98"/>
      <c r="C13" s="79" t="s">
        <v>218</v>
      </c>
      <c r="D13" s="42" t="s">
        <v>454</v>
      </c>
      <c r="E13" s="105">
        <v>144800</v>
      </c>
      <c r="F13" s="105">
        <v>152100</v>
      </c>
      <c r="G13" s="105">
        <v>152099.5</v>
      </c>
      <c r="H13" s="104">
        <f t="shared" si="1"/>
        <v>99.99967126890203</v>
      </c>
    </row>
    <row r="14" spans="1:8" s="8" customFormat="1" ht="36">
      <c r="A14" s="37">
        <v>751</v>
      </c>
      <c r="B14" s="39"/>
      <c r="C14" s="74"/>
      <c r="D14" s="40" t="s">
        <v>35</v>
      </c>
      <c r="E14" s="75">
        <f>SUM(E15,E17)</f>
        <v>3809</v>
      </c>
      <c r="F14" s="75">
        <f>SUM(F15,F17)</f>
        <v>42220</v>
      </c>
      <c r="G14" s="75">
        <f>SUM(G15,G17)</f>
        <v>41944.31</v>
      </c>
      <c r="H14" s="47">
        <f t="shared" si="1"/>
        <v>99.3470156324017</v>
      </c>
    </row>
    <row r="15" spans="1:8" s="24" customFormat="1" ht="24.75" customHeight="1">
      <c r="A15" s="98"/>
      <c r="B15" s="77">
        <v>75101</v>
      </c>
      <c r="C15" s="78"/>
      <c r="D15" s="42" t="s">
        <v>36</v>
      </c>
      <c r="E15" s="106">
        <f>E16</f>
        <v>3809</v>
      </c>
      <c r="F15" s="106">
        <f>F16</f>
        <v>3809</v>
      </c>
      <c r="G15" s="106">
        <f>G16</f>
        <v>3809</v>
      </c>
      <c r="H15" s="104">
        <f t="shared" si="1"/>
        <v>100</v>
      </c>
    </row>
    <row r="16" spans="1:8" s="24" customFormat="1" ht="56.25">
      <c r="A16" s="98"/>
      <c r="B16" s="77"/>
      <c r="C16" s="79" t="s">
        <v>218</v>
      </c>
      <c r="D16" s="42" t="s">
        <v>272</v>
      </c>
      <c r="E16" s="106">
        <v>3809</v>
      </c>
      <c r="F16" s="106">
        <v>3809</v>
      </c>
      <c r="G16" s="106">
        <v>3809</v>
      </c>
      <c r="H16" s="104">
        <f t="shared" si="1"/>
        <v>100</v>
      </c>
    </row>
    <row r="17" spans="1:8" s="24" customFormat="1" ht="19.5" customHeight="1">
      <c r="A17" s="98"/>
      <c r="B17" s="77">
        <v>75108</v>
      </c>
      <c r="C17" s="79"/>
      <c r="D17" s="76" t="s">
        <v>543</v>
      </c>
      <c r="E17" s="106">
        <f>SUM(E18)</f>
        <v>0</v>
      </c>
      <c r="F17" s="106">
        <f>SUM(F18)</f>
        <v>38411</v>
      </c>
      <c r="G17" s="106">
        <f>SUM(G18)</f>
        <v>38135.31</v>
      </c>
      <c r="H17" s="104">
        <f t="shared" si="1"/>
        <v>99.28226289344198</v>
      </c>
    </row>
    <row r="18" spans="1:8" s="24" customFormat="1" ht="56.25">
      <c r="A18" s="98"/>
      <c r="B18" s="77"/>
      <c r="C18" s="79">
        <v>2010</v>
      </c>
      <c r="D18" s="42" t="s">
        <v>272</v>
      </c>
      <c r="E18" s="106">
        <v>0</v>
      </c>
      <c r="F18" s="106">
        <v>38411</v>
      </c>
      <c r="G18" s="106">
        <v>38135.31</v>
      </c>
      <c r="H18" s="104">
        <f t="shared" si="1"/>
        <v>99.28226289344198</v>
      </c>
    </row>
    <row r="19" spans="1:8" s="45" customFormat="1" ht="24.75" customHeight="1">
      <c r="A19" s="39">
        <v>754</v>
      </c>
      <c r="B19" s="37"/>
      <c r="C19" s="112"/>
      <c r="D19" s="117" t="s">
        <v>38</v>
      </c>
      <c r="E19" s="75">
        <f aca="true" t="shared" si="2" ref="E19:G20">SUM(E20)</f>
        <v>0</v>
      </c>
      <c r="F19" s="75">
        <f t="shared" si="2"/>
        <v>1000</v>
      </c>
      <c r="G19" s="75">
        <f t="shared" si="2"/>
        <v>1000</v>
      </c>
      <c r="H19" s="47">
        <f t="shared" si="1"/>
        <v>100</v>
      </c>
    </row>
    <row r="20" spans="1:8" s="24" customFormat="1" ht="19.5" customHeight="1">
      <c r="A20" s="98"/>
      <c r="B20" s="77">
        <v>75412</v>
      </c>
      <c r="C20" s="79"/>
      <c r="D20" s="76" t="s">
        <v>122</v>
      </c>
      <c r="E20" s="106">
        <f t="shared" si="2"/>
        <v>0</v>
      </c>
      <c r="F20" s="106">
        <f t="shared" si="2"/>
        <v>1000</v>
      </c>
      <c r="G20" s="106">
        <f t="shared" si="2"/>
        <v>1000</v>
      </c>
      <c r="H20" s="104">
        <f t="shared" si="1"/>
        <v>100</v>
      </c>
    </row>
    <row r="21" spans="1:8" s="24" customFormat="1" ht="45.75" customHeight="1">
      <c r="A21" s="98"/>
      <c r="B21" s="77"/>
      <c r="C21" s="79">
        <v>2710</v>
      </c>
      <c r="D21" s="76" t="s">
        <v>554</v>
      </c>
      <c r="E21" s="106">
        <v>0</v>
      </c>
      <c r="F21" s="106">
        <v>1000</v>
      </c>
      <c r="G21" s="106">
        <v>1000</v>
      </c>
      <c r="H21" s="104">
        <f t="shared" si="1"/>
        <v>100</v>
      </c>
    </row>
    <row r="22" spans="1:8" s="45" customFormat="1" ht="60" customHeight="1">
      <c r="A22" s="39">
        <v>756</v>
      </c>
      <c r="B22" s="37"/>
      <c r="C22" s="112"/>
      <c r="D22" s="117" t="s">
        <v>187</v>
      </c>
      <c r="E22" s="113">
        <f>SUM(E23)</f>
        <v>228717</v>
      </c>
      <c r="F22" s="113">
        <f>SUM(F23)</f>
        <v>0</v>
      </c>
      <c r="G22" s="113">
        <f>SUM(G23)</f>
        <v>0</v>
      </c>
      <c r="H22" s="47">
        <v>0</v>
      </c>
    </row>
    <row r="23" spans="1:8" s="24" customFormat="1" ht="45.75" customHeight="1">
      <c r="A23" s="98"/>
      <c r="B23" s="77">
        <v>75615</v>
      </c>
      <c r="C23" s="79"/>
      <c r="D23" s="76" t="s">
        <v>188</v>
      </c>
      <c r="E23" s="105">
        <f>SUM(E24:E24)</f>
        <v>228717</v>
      </c>
      <c r="F23" s="105">
        <f>SUM(F24)</f>
        <v>0</v>
      </c>
      <c r="G23" s="105">
        <f>SUM(G24:G24)</f>
        <v>0</v>
      </c>
      <c r="H23" s="104">
        <v>0</v>
      </c>
    </row>
    <row r="24" spans="1:8" s="24" customFormat="1" ht="24.75" customHeight="1">
      <c r="A24" s="98"/>
      <c r="B24" s="77"/>
      <c r="C24" s="79">
        <v>2680</v>
      </c>
      <c r="D24" s="88" t="s">
        <v>517</v>
      </c>
      <c r="E24" s="105">
        <v>228717</v>
      </c>
      <c r="F24" s="105">
        <v>0</v>
      </c>
      <c r="G24" s="105">
        <v>0</v>
      </c>
      <c r="H24" s="104">
        <v>0</v>
      </c>
    </row>
    <row r="25" spans="1:8" s="11" customFormat="1" ht="19.5" customHeight="1">
      <c r="A25" s="152" t="s">
        <v>132</v>
      </c>
      <c r="B25" s="153"/>
      <c r="C25" s="154"/>
      <c r="D25" s="155" t="s">
        <v>133</v>
      </c>
      <c r="E25" s="156">
        <f>SUM(E26,E29)</f>
        <v>2940</v>
      </c>
      <c r="F25" s="156">
        <f>SUM(F26,F29)</f>
        <v>277988</v>
      </c>
      <c r="G25" s="156">
        <f>SUM(G26,G29)</f>
        <v>238709.05000000002</v>
      </c>
      <c r="H25" s="47">
        <f t="shared" si="1"/>
        <v>85.87027137862067</v>
      </c>
    </row>
    <row r="26" spans="1:8" s="24" customFormat="1" ht="19.5" customHeight="1">
      <c r="A26" s="77"/>
      <c r="B26" s="94" t="s">
        <v>134</v>
      </c>
      <c r="C26" s="98"/>
      <c r="D26" s="42" t="s">
        <v>71</v>
      </c>
      <c r="E26" s="105">
        <f>SUM(E27:E28)</f>
        <v>2940</v>
      </c>
      <c r="F26" s="103">
        <f>SUM(F27:F28)</f>
        <v>71138</v>
      </c>
      <c r="G26" s="103">
        <f>SUM(G27:G28)</f>
        <v>31859.35</v>
      </c>
      <c r="H26" s="104">
        <f t="shared" si="1"/>
        <v>44.78527650482162</v>
      </c>
    </row>
    <row r="27" spans="1:8" s="24" customFormat="1" ht="45">
      <c r="A27" s="77"/>
      <c r="B27" s="77"/>
      <c r="C27" s="79">
        <v>2030</v>
      </c>
      <c r="D27" s="88" t="s">
        <v>253</v>
      </c>
      <c r="E27" s="105">
        <v>0</v>
      </c>
      <c r="F27" s="103">
        <v>68198</v>
      </c>
      <c r="G27" s="103">
        <v>29060.69</v>
      </c>
      <c r="H27" s="104">
        <f t="shared" si="1"/>
        <v>42.61223203026481</v>
      </c>
    </row>
    <row r="28" spans="1:8" s="24" customFormat="1" ht="44.25" customHeight="1">
      <c r="A28" s="98"/>
      <c r="B28" s="77"/>
      <c r="C28" s="151">
        <v>2310</v>
      </c>
      <c r="D28" s="42" t="s">
        <v>297</v>
      </c>
      <c r="E28" s="81">
        <v>2940</v>
      </c>
      <c r="F28" s="81">
        <v>2940</v>
      </c>
      <c r="G28" s="81">
        <v>2798.66</v>
      </c>
      <c r="H28" s="104">
        <f t="shared" si="1"/>
        <v>95.19251700680272</v>
      </c>
    </row>
    <row r="29" spans="1:8" s="24" customFormat="1" ht="19.5" customHeight="1">
      <c r="A29" s="98"/>
      <c r="B29" s="77">
        <v>80195</v>
      </c>
      <c r="C29" s="151"/>
      <c r="D29" s="42" t="s">
        <v>18</v>
      </c>
      <c r="E29" s="81">
        <f>SUM(E30)</f>
        <v>0</v>
      </c>
      <c r="F29" s="81">
        <f>SUM(F30)</f>
        <v>206850</v>
      </c>
      <c r="G29" s="81">
        <f>SUM(G30)</f>
        <v>206849.7</v>
      </c>
      <c r="H29" s="104">
        <f t="shared" si="1"/>
        <v>99.99985496736767</v>
      </c>
    </row>
    <row r="30" spans="1:8" s="24" customFormat="1" ht="45" customHeight="1">
      <c r="A30" s="98"/>
      <c r="B30" s="77"/>
      <c r="C30" s="151"/>
      <c r="D30" s="88" t="s">
        <v>253</v>
      </c>
      <c r="E30" s="81">
        <v>0</v>
      </c>
      <c r="F30" s="81">
        <v>206850</v>
      </c>
      <c r="G30" s="81">
        <v>206849.7</v>
      </c>
      <c r="H30" s="104">
        <f t="shared" si="1"/>
        <v>99.99985496736767</v>
      </c>
    </row>
    <row r="31" spans="1:8" s="45" customFormat="1" ht="19.5" customHeight="1">
      <c r="A31" s="37" t="s">
        <v>189</v>
      </c>
      <c r="B31" s="39"/>
      <c r="C31" s="74"/>
      <c r="D31" s="40" t="s">
        <v>230</v>
      </c>
      <c r="E31" s="73">
        <f>SUM(E32,E34,E36,E39,E41,)</f>
        <v>9582400</v>
      </c>
      <c r="F31" s="73">
        <f>SUM(F32,F34,F36,F39,F41,)</f>
        <v>8933513</v>
      </c>
      <c r="G31" s="73">
        <f>SUM(G32,G34,G36,G39,G41,)</f>
        <v>8852209.92</v>
      </c>
      <c r="H31" s="47">
        <f t="shared" si="1"/>
        <v>99.08990919921425</v>
      </c>
    </row>
    <row r="32" spans="1:8" s="24" customFormat="1" ht="45">
      <c r="A32" s="77"/>
      <c r="B32" s="59">
        <v>85212</v>
      </c>
      <c r="C32" s="90"/>
      <c r="D32" s="88" t="s">
        <v>566</v>
      </c>
      <c r="E32" s="103">
        <f>SUM(E33)</f>
        <v>7804800</v>
      </c>
      <c r="F32" s="103">
        <f>SUM(F33)</f>
        <v>6550000</v>
      </c>
      <c r="G32" s="103">
        <f>SUM(G33)</f>
        <v>6549996.35</v>
      </c>
      <c r="H32" s="104">
        <f t="shared" si="1"/>
        <v>99.99994427480915</v>
      </c>
    </row>
    <row r="33" spans="1:8" s="24" customFormat="1" ht="56.25">
      <c r="A33" s="77"/>
      <c r="B33" s="59"/>
      <c r="C33" s="90">
        <v>2010</v>
      </c>
      <c r="D33" s="42" t="s">
        <v>454</v>
      </c>
      <c r="E33" s="103">
        <v>7804800</v>
      </c>
      <c r="F33" s="103">
        <v>6550000</v>
      </c>
      <c r="G33" s="103">
        <v>6549996.35</v>
      </c>
      <c r="H33" s="104">
        <f t="shared" si="1"/>
        <v>99.99994427480915</v>
      </c>
    </row>
    <row r="34" spans="1:8" s="24" customFormat="1" ht="45">
      <c r="A34" s="77"/>
      <c r="B34" s="98">
        <v>85213</v>
      </c>
      <c r="C34" s="78"/>
      <c r="D34" s="42" t="s">
        <v>229</v>
      </c>
      <c r="E34" s="103">
        <f>SUM(E35)</f>
        <v>99900</v>
      </c>
      <c r="F34" s="103">
        <f>SUM(F35)</f>
        <v>78400</v>
      </c>
      <c r="G34" s="103">
        <f>SUM(G35)</f>
        <v>53196.75</v>
      </c>
      <c r="H34" s="104">
        <f t="shared" si="1"/>
        <v>67.8529974489796</v>
      </c>
    </row>
    <row r="35" spans="1:8" s="24" customFormat="1" ht="56.25">
      <c r="A35" s="77"/>
      <c r="B35" s="98"/>
      <c r="C35" s="78">
        <v>2010</v>
      </c>
      <c r="D35" s="42" t="s">
        <v>268</v>
      </c>
      <c r="E35" s="103">
        <v>99900</v>
      </c>
      <c r="F35" s="103">
        <v>78400</v>
      </c>
      <c r="G35" s="103">
        <v>53196.75</v>
      </c>
      <c r="H35" s="104">
        <f t="shared" si="1"/>
        <v>67.8529974489796</v>
      </c>
    </row>
    <row r="36" spans="1:8" s="24" customFormat="1" ht="27" customHeight="1">
      <c r="A36" s="77"/>
      <c r="B36" s="77" t="s">
        <v>190</v>
      </c>
      <c r="C36" s="78"/>
      <c r="D36" s="42" t="s">
        <v>279</v>
      </c>
      <c r="E36" s="105">
        <f>SUM(E37:E38)</f>
        <v>1011100</v>
      </c>
      <c r="F36" s="105">
        <f>SUM(F37:F38)</f>
        <v>1017289</v>
      </c>
      <c r="G36" s="105">
        <f>SUM(G37:G38)</f>
        <v>961192.8200000001</v>
      </c>
      <c r="H36" s="104">
        <f t="shared" si="1"/>
        <v>94.48571841433457</v>
      </c>
    </row>
    <row r="37" spans="1:8" s="24" customFormat="1" ht="56.25">
      <c r="A37" s="77"/>
      <c r="B37" s="77"/>
      <c r="C37" s="79" t="s">
        <v>218</v>
      </c>
      <c r="D37" s="42" t="s">
        <v>273</v>
      </c>
      <c r="E37" s="105">
        <v>439200</v>
      </c>
      <c r="F37" s="105">
        <v>455941</v>
      </c>
      <c r="G37" s="105">
        <v>455941</v>
      </c>
      <c r="H37" s="104">
        <f t="shared" si="1"/>
        <v>100</v>
      </c>
    </row>
    <row r="38" spans="1:8" s="24" customFormat="1" ht="33.75">
      <c r="A38" s="77"/>
      <c r="B38" s="77"/>
      <c r="C38" s="79">
        <v>2030</v>
      </c>
      <c r="D38" s="88" t="s">
        <v>269</v>
      </c>
      <c r="E38" s="105">
        <v>571900</v>
      </c>
      <c r="F38" s="105">
        <v>561348</v>
      </c>
      <c r="G38" s="105">
        <v>505251.82</v>
      </c>
      <c r="H38" s="104">
        <f t="shared" si="1"/>
        <v>90.00687986774693</v>
      </c>
    </row>
    <row r="39" spans="1:8" s="24" customFormat="1" ht="19.5" customHeight="1">
      <c r="A39" s="77"/>
      <c r="B39" s="77" t="s">
        <v>191</v>
      </c>
      <c r="C39" s="78"/>
      <c r="D39" s="42" t="s">
        <v>79</v>
      </c>
      <c r="E39" s="105">
        <f>E40</f>
        <v>338400</v>
      </c>
      <c r="F39" s="105">
        <f>F40</f>
        <v>338400</v>
      </c>
      <c r="G39" s="105">
        <f>G40</f>
        <v>338400</v>
      </c>
      <c r="H39" s="104">
        <f t="shared" si="1"/>
        <v>100</v>
      </c>
    </row>
    <row r="40" spans="1:8" s="24" customFormat="1" ht="45" customHeight="1">
      <c r="A40" s="77"/>
      <c r="B40" s="77"/>
      <c r="C40" s="79">
        <v>2030</v>
      </c>
      <c r="D40" s="88" t="s">
        <v>253</v>
      </c>
      <c r="E40" s="105">
        <v>338400</v>
      </c>
      <c r="F40" s="105">
        <v>338400</v>
      </c>
      <c r="G40" s="105">
        <v>338400</v>
      </c>
      <c r="H40" s="104">
        <f t="shared" si="1"/>
        <v>100</v>
      </c>
    </row>
    <row r="41" spans="1:8" s="24" customFormat="1" ht="19.5" customHeight="1">
      <c r="A41" s="77"/>
      <c r="B41" s="77">
        <v>85295</v>
      </c>
      <c r="C41" s="79"/>
      <c r="D41" s="88" t="s">
        <v>18</v>
      </c>
      <c r="E41" s="105">
        <f>SUM(E42)</f>
        <v>328200</v>
      </c>
      <c r="F41" s="105">
        <f>SUM(F42)</f>
        <v>949424</v>
      </c>
      <c r="G41" s="105">
        <f>SUM(G42)</f>
        <v>949424</v>
      </c>
      <c r="H41" s="104">
        <f t="shared" si="1"/>
        <v>100</v>
      </c>
    </row>
    <row r="42" spans="1:8" s="24" customFormat="1" ht="45">
      <c r="A42" s="77"/>
      <c r="B42" s="77"/>
      <c r="C42" s="79">
        <v>2030</v>
      </c>
      <c r="D42" s="88" t="s">
        <v>253</v>
      </c>
      <c r="E42" s="105">
        <v>328200</v>
      </c>
      <c r="F42" s="105">
        <v>949424</v>
      </c>
      <c r="G42" s="105">
        <v>949424</v>
      </c>
      <c r="H42" s="104">
        <f t="shared" si="1"/>
        <v>100</v>
      </c>
    </row>
    <row r="43" spans="1:8" s="8" customFormat="1" ht="19.5" customHeight="1">
      <c r="A43" s="32">
        <v>854</v>
      </c>
      <c r="B43" s="35"/>
      <c r="C43" s="36"/>
      <c r="D43" s="33" t="s">
        <v>80</v>
      </c>
      <c r="E43" s="204">
        <f aca="true" t="shared" si="3" ref="E43:G44">SUM(E44)</f>
        <v>0</v>
      </c>
      <c r="F43" s="73">
        <f t="shared" si="3"/>
        <v>508638</v>
      </c>
      <c r="G43" s="73">
        <f t="shared" si="3"/>
        <v>505418.73</v>
      </c>
      <c r="H43" s="47">
        <f t="shared" si="1"/>
        <v>99.36708032038503</v>
      </c>
    </row>
    <row r="44" spans="1:8" s="24" customFormat="1" ht="19.5" customHeight="1">
      <c r="A44" s="82"/>
      <c r="B44" s="83">
        <v>85415</v>
      </c>
      <c r="C44" s="84"/>
      <c r="D44" s="88" t="s">
        <v>452</v>
      </c>
      <c r="E44" s="105">
        <f t="shared" si="3"/>
        <v>0</v>
      </c>
      <c r="F44" s="103">
        <f t="shared" si="3"/>
        <v>508638</v>
      </c>
      <c r="G44" s="103">
        <f t="shared" si="3"/>
        <v>505418.73</v>
      </c>
      <c r="H44" s="104">
        <f t="shared" si="1"/>
        <v>99.36708032038503</v>
      </c>
    </row>
    <row r="45" spans="1:8" s="24" customFormat="1" ht="45">
      <c r="A45" s="82"/>
      <c r="B45" s="83"/>
      <c r="C45" s="84">
        <v>2030</v>
      </c>
      <c r="D45" s="88" t="s">
        <v>253</v>
      </c>
      <c r="E45" s="105">
        <v>0</v>
      </c>
      <c r="F45" s="205">
        <v>508638</v>
      </c>
      <c r="G45" s="205">
        <v>505418.73</v>
      </c>
      <c r="H45" s="104">
        <f t="shared" si="1"/>
        <v>99.36708032038503</v>
      </c>
    </row>
    <row r="46" spans="1:8" s="8" customFormat="1" ht="24.75" customHeight="1">
      <c r="A46" s="37" t="s">
        <v>84</v>
      </c>
      <c r="B46" s="29"/>
      <c r="C46" s="65"/>
      <c r="D46" s="40" t="s">
        <v>90</v>
      </c>
      <c r="E46" s="73">
        <f>SUM(E51)</f>
        <v>45900</v>
      </c>
      <c r="F46" s="73">
        <f>SUM(F49,F51,F47)</f>
        <v>54600</v>
      </c>
      <c r="G46" s="73">
        <f>SUM(G49,G51,G47)</f>
        <v>54597.45</v>
      </c>
      <c r="H46" s="47">
        <f t="shared" si="1"/>
        <v>99.99532967032967</v>
      </c>
    </row>
    <row r="47" spans="1:8" s="24" customFormat="1" ht="19.5" customHeight="1">
      <c r="A47" s="77"/>
      <c r="B47" s="98">
        <v>92105</v>
      </c>
      <c r="C47" s="78"/>
      <c r="D47" s="76" t="s">
        <v>465</v>
      </c>
      <c r="E47" s="103">
        <f>SUM(E48)</f>
        <v>0</v>
      </c>
      <c r="F47" s="103">
        <f>SUM(F48)</f>
        <v>8700</v>
      </c>
      <c r="G47" s="103">
        <f>SUM(G48)</f>
        <v>8697.45</v>
      </c>
      <c r="H47" s="104">
        <f t="shared" si="1"/>
        <v>99.97068965517242</v>
      </c>
    </row>
    <row r="48" spans="1:8" s="24" customFormat="1" ht="56.25">
      <c r="A48" s="100"/>
      <c r="B48" s="98"/>
      <c r="C48" s="78">
        <v>2320</v>
      </c>
      <c r="D48" s="88" t="s">
        <v>456</v>
      </c>
      <c r="E48" s="103">
        <v>0</v>
      </c>
      <c r="F48" s="103">
        <v>8700</v>
      </c>
      <c r="G48" s="103">
        <v>8697.45</v>
      </c>
      <c r="H48" s="104">
        <f t="shared" si="1"/>
        <v>99.97068965517242</v>
      </c>
    </row>
    <row r="49" spans="1:8" s="24" customFormat="1" ht="0.75" customHeight="1" hidden="1">
      <c r="A49" s="77"/>
      <c r="B49" s="59">
        <v>92109</v>
      </c>
      <c r="C49" s="91"/>
      <c r="D49" s="88" t="s">
        <v>185</v>
      </c>
      <c r="E49" s="103"/>
      <c r="F49" s="103">
        <f>SUM(F50)</f>
        <v>0</v>
      </c>
      <c r="G49" s="103">
        <f>SUM(G50)</f>
        <v>0</v>
      </c>
      <c r="H49" s="104" t="e">
        <f t="shared" si="1"/>
        <v>#DIV/0!</v>
      </c>
    </row>
    <row r="50" spans="1:8" s="24" customFormat="1" ht="56.25" hidden="1">
      <c r="A50" s="77"/>
      <c r="B50" s="4"/>
      <c r="C50" s="91">
        <v>2320</v>
      </c>
      <c r="D50" s="88" t="s">
        <v>456</v>
      </c>
      <c r="E50" s="103"/>
      <c r="F50" s="103">
        <v>0</v>
      </c>
      <c r="G50" s="103">
        <v>0</v>
      </c>
      <c r="H50" s="104" t="e">
        <f t="shared" si="1"/>
        <v>#DIV/0!</v>
      </c>
    </row>
    <row r="51" spans="1:8" s="24" customFormat="1" ht="19.5" customHeight="1">
      <c r="A51" s="77"/>
      <c r="B51" s="77" t="s">
        <v>85</v>
      </c>
      <c r="C51" s="78"/>
      <c r="D51" s="42" t="s">
        <v>86</v>
      </c>
      <c r="E51" s="105">
        <f>SUM(E52)</f>
        <v>45900</v>
      </c>
      <c r="F51" s="105">
        <f>F52</f>
        <v>45900</v>
      </c>
      <c r="G51" s="105">
        <f>G52</f>
        <v>45900</v>
      </c>
      <c r="H51" s="104">
        <f t="shared" si="1"/>
        <v>100</v>
      </c>
    </row>
    <row r="52" spans="1:8" s="24" customFormat="1" ht="56.25">
      <c r="A52" s="77"/>
      <c r="B52" s="77"/>
      <c r="C52" s="79">
        <v>2320</v>
      </c>
      <c r="D52" s="42" t="s">
        <v>456</v>
      </c>
      <c r="E52" s="105">
        <v>45900</v>
      </c>
      <c r="F52" s="105">
        <v>45900</v>
      </c>
      <c r="G52" s="105">
        <v>45900</v>
      </c>
      <c r="H52" s="104">
        <f t="shared" si="1"/>
        <v>100</v>
      </c>
    </row>
    <row r="53" spans="1:8" s="45" customFormat="1" ht="19.5" customHeight="1">
      <c r="A53" s="35">
        <v>926</v>
      </c>
      <c r="B53" s="35"/>
      <c r="C53" s="35"/>
      <c r="D53" s="33" t="s">
        <v>87</v>
      </c>
      <c r="E53" s="113">
        <f>SUM(E54)</f>
        <v>0</v>
      </c>
      <c r="F53" s="73">
        <f>SUM(F54)</f>
        <v>35000</v>
      </c>
      <c r="G53" s="73">
        <f>SUM(G54)</f>
        <v>29802.37</v>
      </c>
      <c r="H53" s="47">
        <f t="shared" si="1"/>
        <v>85.14962857142856</v>
      </c>
    </row>
    <row r="54" spans="1:8" s="24" customFormat="1" ht="24.75" customHeight="1">
      <c r="A54" s="83"/>
      <c r="B54" s="83">
        <v>92605</v>
      </c>
      <c r="C54" s="83"/>
      <c r="D54" s="88" t="s">
        <v>88</v>
      </c>
      <c r="E54" s="105">
        <f>SUM(E55:E56)</f>
        <v>0</v>
      </c>
      <c r="F54" s="103">
        <f>SUM(F55:F56)</f>
        <v>35000</v>
      </c>
      <c r="G54" s="103">
        <f>SUM(G55:G56)</f>
        <v>29802.37</v>
      </c>
      <c r="H54" s="104">
        <f t="shared" si="1"/>
        <v>85.14962857142856</v>
      </c>
    </row>
    <row r="55" spans="1:8" s="24" customFormat="1" ht="56.25">
      <c r="A55" s="83"/>
      <c r="B55" s="83"/>
      <c r="C55" s="83">
        <v>2320</v>
      </c>
      <c r="D55" s="88" t="s">
        <v>456</v>
      </c>
      <c r="E55" s="105">
        <v>0</v>
      </c>
      <c r="F55" s="105">
        <v>5000</v>
      </c>
      <c r="G55" s="105">
        <v>3500</v>
      </c>
      <c r="H55" s="104">
        <f t="shared" si="1"/>
        <v>70</v>
      </c>
    </row>
    <row r="56" spans="1:8" s="24" customFormat="1" ht="33.75">
      <c r="A56" s="83"/>
      <c r="B56" s="83"/>
      <c r="C56" s="83">
        <v>2440</v>
      </c>
      <c r="D56" s="88" t="s">
        <v>226</v>
      </c>
      <c r="E56" s="105">
        <v>0</v>
      </c>
      <c r="F56" s="105">
        <v>30000</v>
      </c>
      <c r="G56" s="105">
        <v>26302.37</v>
      </c>
      <c r="H56" s="104">
        <f t="shared" si="1"/>
        <v>87.67456666666666</v>
      </c>
    </row>
    <row r="57" spans="1:8" s="24" customFormat="1" ht="30" customHeight="1">
      <c r="A57" s="127"/>
      <c r="B57" s="128"/>
      <c r="C57" s="129"/>
      <c r="D57" s="110" t="s">
        <v>89</v>
      </c>
      <c r="E57" s="113">
        <f>SUM(E46,E31,E22,E14,E11,E25,E53,E8,E19,E43)</f>
        <v>10008566</v>
      </c>
      <c r="F57" s="113">
        <f>SUM(F46,F31,F22,F14,F11,F25,F53,F8,F19,F43)</f>
        <v>10198585</v>
      </c>
      <c r="G57" s="113">
        <f>SUM(G46,G31,G22,G14,G11,G25,G53,G8,G19,G43)</f>
        <v>10069306.5</v>
      </c>
      <c r="H57" s="47">
        <f t="shared" si="1"/>
        <v>98.73238787537683</v>
      </c>
    </row>
    <row r="58" spans="1:3" ht="12.75">
      <c r="A58" s="66"/>
      <c r="B58" s="66"/>
      <c r="C58" s="66"/>
    </row>
    <row r="59" spans="1:3" ht="18" customHeight="1">
      <c r="A59" s="66"/>
      <c r="B59" s="66"/>
      <c r="C59" s="66"/>
    </row>
    <row r="60" spans="5:6" ht="12.75">
      <c r="E60" s="116"/>
      <c r="F60" s="349"/>
    </row>
    <row r="61" spans="6:7" ht="12.75">
      <c r="F61" s="27"/>
      <c r="G61" s="27"/>
    </row>
    <row r="62" spans="5:7" ht="12.75">
      <c r="E62" s="116"/>
      <c r="F62" s="27"/>
      <c r="G62" s="27"/>
    </row>
    <row r="63" spans="6:7" ht="12.75">
      <c r="F63" s="27"/>
      <c r="G63" s="27"/>
    </row>
    <row r="64" spans="6:7" ht="12.75">
      <c r="F64" s="27"/>
      <c r="G64" s="27"/>
    </row>
    <row r="65" spans="6:7" ht="12.75">
      <c r="F65" s="27"/>
      <c r="G65" s="27"/>
    </row>
    <row r="66" spans="6:7" ht="12.75">
      <c r="F66" s="43"/>
      <c r="G66" s="43"/>
    </row>
  </sheetData>
  <mergeCells count="8">
    <mergeCell ref="E6:E7"/>
    <mergeCell ref="F6:F7"/>
    <mergeCell ref="G6:H6"/>
    <mergeCell ref="A5:H5"/>
    <mergeCell ref="A6:A7"/>
    <mergeCell ref="B6:B7"/>
    <mergeCell ref="C6:C7"/>
    <mergeCell ref="D6:D7"/>
  </mergeCells>
  <printOptions horizontalCentered="1"/>
  <pageMargins left="0.3937007874015748" right="0.5118110236220472" top="0.7874015748031497" bottom="0.5905511811023623" header="0.5118110236220472" footer="0.31496062992125984"/>
  <pageSetup firstPageNumber="1" useFirstPageNumber="1" horizontalDpi="600" verticalDpi="600" orientation="portrait" paperSize="9" r:id="rId1"/>
  <headerFooter alignWithMargins="0">
    <oddFooter>&amp;C&amp;8Dotacje - str.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89"/>
  <sheetViews>
    <sheetView workbookViewId="0" topLeftCell="A40">
      <selection activeCell="O67" sqref="O67"/>
    </sheetView>
  </sheetViews>
  <sheetFormatPr defaultColWidth="9.00390625" defaultRowHeight="12.75"/>
  <cols>
    <col min="1" max="1" width="4.875" style="8" customWidth="1"/>
    <col min="2" max="2" width="7.25390625" style="8" bestFit="1" customWidth="1"/>
    <col min="3" max="3" width="7.00390625" style="8" customWidth="1"/>
    <col min="4" max="4" width="40.25390625" style="8" customWidth="1"/>
    <col min="5" max="5" width="33.375" style="8" customWidth="1"/>
    <col min="6" max="6" width="16.00390625" style="8" customWidth="1"/>
    <col min="7" max="7" width="10.125" style="8" hidden="1" customWidth="1"/>
    <col min="8" max="8" width="39.75390625" style="8" hidden="1" customWidth="1"/>
    <col min="9" max="9" width="13.75390625" style="8" hidden="1" customWidth="1"/>
    <col min="10" max="10" width="45.25390625" style="8" hidden="1" customWidth="1"/>
    <col min="11" max="11" width="12.125" style="8" hidden="1" customWidth="1"/>
    <col min="12" max="12" width="18.00390625" style="8" hidden="1" customWidth="1"/>
    <col min="13" max="13" width="15.375" style="8" hidden="1" customWidth="1"/>
    <col min="14" max="14" width="15.625" style="8" customWidth="1"/>
    <col min="15" max="15" width="14.75390625" style="0" customWidth="1"/>
    <col min="16" max="16" width="6.875" style="26" customWidth="1"/>
  </cols>
  <sheetData>
    <row r="1" spans="14:16" ht="12.75" customHeight="1">
      <c r="N1" s="351"/>
      <c r="O1" s="353" t="s">
        <v>569</v>
      </c>
      <c r="P1" s="351"/>
    </row>
    <row r="2" spans="14:16" ht="12.75" customHeight="1">
      <c r="N2" s="351"/>
      <c r="O2" s="353" t="s">
        <v>562</v>
      </c>
      <c r="P2" s="351"/>
    </row>
    <row r="3" spans="5:16" ht="12.75" customHeight="1">
      <c r="E3" s="118"/>
      <c r="F3" s="118"/>
      <c r="G3" s="118"/>
      <c r="H3" s="67" t="s">
        <v>451</v>
      </c>
      <c r="I3" s="118"/>
      <c r="J3" s="67" t="s">
        <v>463</v>
      </c>
      <c r="K3" s="67"/>
      <c r="L3" s="67" t="s">
        <v>493</v>
      </c>
      <c r="M3" s="67"/>
      <c r="N3" s="351"/>
      <c r="O3" s="353" t="s">
        <v>515</v>
      </c>
      <c r="P3" s="351"/>
    </row>
    <row r="4" spans="5:16" ht="12.75" customHeight="1">
      <c r="E4" s="118"/>
      <c r="F4" s="118"/>
      <c r="G4" s="118"/>
      <c r="H4" s="67" t="s">
        <v>441</v>
      </c>
      <c r="I4" s="118"/>
      <c r="J4" s="67" t="s">
        <v>462</v>
      </c>
      <c r="K4" s="67"/>
      <c r="L4" s="67" t="s">
        <v>492</v>
      </c>
      <c r="M4" s="67"/>
      <c r="N4" s="351"/>
      <c r="O4" s="353" t="s">
        <v>564</v>
      </c>
      <c r="P4" s="351"/>
    </row>
    <row r="5" spans="1:13" ht="19.5" customHeight="1">
      <c r="A5" s="179" t="s">
        <v>539</v>
      </c>
      <c r="E5" s="118"/>
      <c r="F5" s="118"/>
      <c r="G5" s="118"/>
      <c r="H5" s="67" t="s">
        <v>423</v>
      </c>
      <c r="I5" s="118"/>
      <c r="J5" s="67" t="s">
        <v>451</v>
      </c>
      <c r="K5" s="67"/>
      <c r="L5" s="67" t="s">
        <v>463</v>
      </c>
      <c r="M5" s="67"/>
    </row>
    <row r="6" spans="5:13" ht="19.5" customHeight="1">
      <c r="E6" s="118"/>
      <c r="F6" s="118"/>
      <c r="G6" s="118"/>
      <c r="H6" s="67" t="s">
        <v>425</v>
      </c>
      <c r="I6" s="118"/>
      <c r="J6" s="67" t="s">
        <v>458</v>
      </c>
      <c r="K6" s="67"/>
      <c r="L6" s="67" t="s">
        <v>464</v>
      </c>
      <c r="M6" s="67"/>
    </row>
    <row r="7" spans="1:16" ht="21.75" customHeight="1">
      <c r="A7" s="369" t="s">
        <v>443</v>
      </c>
      <c r="B7" s="369"/>
      <c r="C7" s="369"/>
      <c r="D7" s="369"/>
      <c r="E7" s="369"/>
      <c r="F7" s="369"/>
      <c r="G7" s="369"/>
      <c r="H7" s="369"/>
      <c r="I7" s="369"/>
      <c r="J7" s="369"/>
      <c r="K7" s="369"/>
      <c r="L7" s="369"/>
      <c r="M7" s="369"/>
      <c r="N7" s="369"/>
      <c r="O7" s="369"/>
      <c r="P7" s="369"/>
    </row>
    <row r="8" spans="1:16" s="304" customFormat="1" ht="21.75" customHeight="1">
      <c r="A8" s="371" t="s">
        <v>363</v>
      </c>
      <c r="B8" s="371"/>
      <c r="C8" s="371"/>
      <c r="D8" s="371"/>
      <c r="E8" s="371"/>
      <c r="F8" s="371"/>
      <c r="G8" s="371"/>
      <c r="H8" s="371"/>
      <c r="I8" s="371"/>
      <c r="J8" s="371"/>
      <c r="K8" s="371"/>
      <c r="L8" s="371"/>
      <c r="M8" s="371"/>
      <c r="N8" s="371"/>
      <c r="O8" s="371"/>
      <c r="P8" s="371"/>
    </row>
    <row r="9" spans="1:16" s="24" customFormat="1" ht="18" customHeight="1">
      <c r="A9" s="410" t="s">
        <v>12</v>
      </c>
      <c r="B9" s="398" t="s">
        <v>13</v>
      </c>
      <c r="C9" s="398" t="s">
        <v>14</v>
      </c>
      <c r="D9" s="398" t="s">
        <v>364</v>
      </c>
      <c r="E9" s="410" t="s">
        <v>365</v>
      </c>
      <c r="F9" s="409" t="s">
        <v>171</v>
      </c>
      <c r="G9" s="306"/>
      <c r="H9" s="306"/>
      <c r="I9" s="306"/>
      <c r="J9" s="306"/>
      <c r="K9" s="306"/>
      <c r="L9" s="306"/>
      <c r="M9" s="306"/>
      <c r="N9" s="409" t="s">
        <v>250</v>
      </c>
      <c r="O9" s="414" t="s">
        <v>0</v>
      </c>
      <c r="P9" s="414"/>
    </row>
    <row r="10" spans="1:16" s="140" customFormat="1" ht="18" customHeight="1">
      <c r="A10" s="410"/>
      <c r="B10" s="398"/>
      <c r="C10" s="398"/>
      <c r="D10" s="398"/>
      <c r="E10" s="410"/>
      <c r="F10" s="409"/>
      <c r="G10" s="167" t="s">
        <v>405</v>
      </c>
      <c r="H10" s="167" t="s">
        <v>406</v>
      </c>
      <c r="I10" s="167" t="s">
        <v>245</v>
      </c>
      <c r="J10" s="167" t="s">
        <v>459</v>
      </c>
      <c r="K10" s="167" t="s">
        <v>405</v>
      </c>
      <c r="L10" s="167" t="s">
        <v>406</v>
      </c>
      <c r="M10" s="167" t="s">
        <v>405</v>
      </c>
      <c r="N10" s="409"/>
      <c r="O10" s="2" t="s">
        <v>1</v>
      </c>
      <c r="P10" s="196" t="s">
        <v>2</v>
      </c>
    </row>
    <row r="11" spans="1:16" s="190" customFormat="1" ht="27" customHeight="1">
      <c r="A11" s="307" t="s">
        <v>521</v>
      </c>
      <c r="B11" s="305"/>
      <c r="C11" s="305"/>
      <c r="D11" s="305"/>
      <c r="E11" s="308"/>
      <c r="F11" s="309">
        <f aca="true" t="shared" si="0" ref="F11:L11">SUM(F12:F13)</f>
        <v>2633797</v>
      </c>
      <c r="G11" s="309">
        <f t="shared" si="0"/>
        <v>0</v>
      </c>
      <c r="H11" s="309">
        <f t="shared" si="0"/>
        <v>2633797</v>
      </c>
      <c r="I11" s="309">
        <f t="shared" si="0"/>
        <v>500</v>
      </c>
      <c r="J11" s="309">
        <f t="shared" si="0"/>
        <v>2634297</v>
      </c>
      <c r="K11" s="309">
        <f t="shared" si="0"/>
        <v>0</v>
      </c>
      <c r="L11" s="309">
        <f t="shared" si="0"/>
        <v>2634297</v>
      </c>
      <c r="M11" s="309">
        <f>SUM(M12:M13)</f>
        <v>86839</v>
      </c>
      <c r="N11" s="309">
        <f>SUM(N12:N13)</f>
        <v>2770121</v>
      </c>
      <c r="O11" s="309">
        <f>SUM(O12:O13)</f>
        <v>2516286</v>
      </c>
      <c r="P11" s="299">
        <f>O11/N11*100</f>
        <v>90.83668186335542</v>
      </c>
    </row>
    <row r="12" spans="1:16" s="190" customFormat="1" ht="21.75" customHeight="1">
      <c r="A12" s="83">
        <v>801</v>
      </c>
      <c r="B12" s="59">
        <v>80104</v>
      </c>
      <c r="C12" s="85">
        <v>2510</v>
      </c>
      <c r="D12" s="14" t="s">
        <v>366</v>
      </c>
      <c r="E12" s="14" t="s">
        <v>367</v>
      </c>
      <c r="F12" s="97">
        <v>2624508</v>
      </c>
      <c r="G12" s="97"/>
      <c r="H12" s="97">
        <v>2624508</v>
      </c>
      <c r="I12" s="97">
        <v>500</v>
      </c>
      <c r="J12" s="97">
        <f>SUM(H12:I12)</f>
        <v>2625008</v>
      </c>
      <c r="K12" s="97">
        <v>0</v>
      </c>
      <c r="L12" s="97">
        <f>SUM(J12:K12)</f>
        <v>2625008</v>
      </c>
      <c r="M12" s="97">
        <v>86839</v>
      </c>
      <c r="N12" s="97">
        <v>2760832</v>
      </c>
      <c r="O12" s="97">
        <v>2507124</v>
      </c>
      <c r="P12" s="124">
        <f aca="true" t="shared" si="1" ref="P12:P67">O12/N12*100</f>
        <v>90.81045134220409</v>
      </c>
    </row>
    <row r="13" spans="1:16" s="190" customFormat="1" ht="27" customHeight="1">
      <c r="A13" s="83">
        <v>801</v>
      </c>
      <c r="B13" s="83">
        <v>80146</v>
      </c>
      <c r="C13" s="59">
        <v>2510</v>
      </c>
      <c r="D13" s="197" t="s">
        <v>366</v>
      </c>
      <c r="E13" s="197" t="s">
        <v>368</v>
      </c>
      <c r="F13" s="184">
        <v>9289</v>
      </c>
      <c r="G13" s="184"/>
      <c r="H13" s="184">
        <v>9289</v>
      </c>
      <c r="I13" s="184"/>
      <c r="J13" s="184">
        <v>9289</v>
      </c>
      <c r="K13" s="184">
        <v>0</v>
      </c>
      <c r="L13" s="184">
        <v>9289</v>
      </c>
      <c r="M13" s="184">
        <v>0</v>
      </c>
      <c r="N13" s="184">
        <v>9289</v>
      </c>
      <c r="O13" s="184">
        <v>9162</v>
      </c>
      <c r="P13" s="124">
        <f t="shared" si="1"/>
        <v>98.6327914737862</v>
      </c>
    </row>
    <row r="14" spans="1:16" s="190" customFormat="1" ht="27" customHeight="1">
      <c r="A14" s="307" t="s">
        <v>522</v>
      </c>
      <c r="B14" s="305"/>
      <c r="C14" s="305"/>
      <c r="D14" s="305"/>
      <c r="E14" s="305"/>
      <c r="F14" s="259">
        <f aca="true" t="shared" si="2" ref="F14:L14">SUM(F15:F16)</f>
        <v>329691</v>
      </c>
      <c r="G14" s="259">
        <f t="shared" si="2"/>
        <v>0</v>
      </c>
      <c r="H14" s="259">
        <f t="shared" si="2"/>
        <v>329691</v>
      </c>
      <c r="I14" s="259">
        <f t="shared" si="2"/>
        <v>0</v>
      </c>
      <c r="J14" s="259">
        <f t="shared" si="2"/>
        <v>329691</v>
      </c>
      <c r="K14" s="259">
        <f t="shared" si="2"/>
        <v>0</v>
      </c>
      <c r="L14" s="259">
        <f t="shared" si="2"/>
        <v>329691</v>
      </c>
      <c r="M14" s="259">
        <f>SUM(M15:M16)</f>
        <v>22222</v>
      </c>
      <c r="N14" s="259">
        <f>SUM(N15:N16)</f>
        <v>351913</v>
      </c>
      <c r="O14" s="259">
        <f>SUM(O15:O16)</f>
        <v>351913</v>
      </c>
      <c r="P14" s="299">
        <f t="shared" si="1"/>
        <v>100</v>
      </c>
    </row>
    <row r="15" spans="1:16" s="190" customFormat="1" ht="21.75" customHeight="1">
      <c r="A15" s="83">
        <v>801</v>
      </c>
      <c r="B15" s="59">
        <v>80101</v>
      </c>
      <c r="C15" s="85">
        <v>2540</v>
      </c>
      <c r="D15" s="14" t="s">
        <v>369</v>
      </c>
      <c r="E15" s="14" t="s">
        <v>370</v>
      </c>
      <c r="F15" s="97">
        <v>262446</v>
      </c>
      <c r="G15" s="97"/>
      <c r="H15" s="97">
        <v>262446</v>
      </c>
      <c r="I15" s="97"/>
      <c r="J15" s="97">
        <v>262446</v>
      </c>
      <c r="K15" s="97">
        <v>0</v>
      </c>
      <c r="L15" s="97">
        <v>262446</v>
      </c>
      <c r="M15" s="97">
        <v>22222</v>
      </c>
      <c r="N15" s="97">
        <v>284668</v>
      </c>
      <c r="O15" s="97">
        <v>284668</v>
      </c>
      <c r="P15" s="124">
        <f t="shared" si="1"/>
        <v>100</v>
      </c>
    </row>
    <row r="16" spans="1:16" s="190" customFormat="1" ht="21.75" customHeight="1">
      <c r="A16" s="83">
        <v>801</v>
      </c>
      <c r="B16" s="82">
        <v>80103</v>
      </c>
      <c r="C16" s="59">
        <v>2540</v>
      </c>
      <c r="D16" s="198" t="s">
        <v>371</v>
      </c>
      <c r="E16" s="14" t="s">
        <v>372</v>
      </c>
      <c r="F16" s="97">
        <v>67245</v>
      </c>
      <c r="G16" s="97"/>
      <c r="H16" s="97">
        <v>67245</v>
      </c>
      <c r="I16" s="97"/>
      <c r="J16" s="97">
        <v>67245</v>
      </c>
      <c r="K16" s="97">
        <v>0</v>
      </c>
      <c r="L16" s="97">
        <v>67245</v>
      </c>
      <c r="M16" s="97">
        <v>0</v>
      </c>
      <c r="N16" s="97">
        <v>67245</v>
      </c>
      <c r="O16" s="97">
        <v>67245</v>
      </c>
      <c r="P16" s="124">
        <f t="shared" si="1"/>
        <v>100</v>
      </c>
    </row>
    <row r="17" spans="1:16" s="190" customFormat="1" ht="27" customHeight="1">
      <c r="A17" s="307" t="s">
        <v>523</v>
      </c>
      <c r="B17" s="305"/>
      <c r="C17" s="305"/>
      <c r="D17" s="305"/>
      <c r="E17" s="305"/>
      <c r="F17" s="259">
        <f aca="true" t="shared" si="3" ref="F17:L17">SUM(F18:F23)</f>
        <v>1819960</v>
      </c>
      <c r="G17" s="259">
        <f t="shared" si="3"/>
        <v>11500</v>
      </c>
      <c r="H17" s="259">
        <f t="shared" si="3"/>
        <v>1831460</v>
      </c>
      <c r="I17" s="259">
        <f t="shared" si="3"/>
        <v>0</v>
      </c>
      <c r="J17" s="259">
        <f t="shared" si="3"/>
        <v>1831460</v>
      </c>
      <c r="K17" s="259">
        <f t="shared" si="3"/>
        <v>0</v>
      </c>
      <c r="L17" s="259">
        <f t="shared" si="3"/>
        <v>1831460</v>
      </c>
      <c r="M17" s="259">
        <f>SUM(M18:M23)</f>
        <v>20000</v>
      </c>
      <c r="N17" s="259">
        <f>SUM(N18:N23)</f>
        <v>1851460</v>
      </c>
      <c r="O17" s="259">
        <f>SUM(O18:O23)</f>
        <v>1849960</v>
      </c>
      <c r="P17" s="299">
        <f t="shared" si="1"/>
        <v>99.9189828567725</v>
      </c>
    </row>
    <row r="18" spans="1:16" s="183" customFormat="1" ht="21.75" customHeight="1">
      <c r="A18" s="83" t="s">
        <v>84</v>
      </c>
      <c r="B18" s="59">
        <v>92109</v>
      </c>
      <c r="C18" s="91">
        <v>2480</v>
      </c>
      <c r="D18" s="14" t="s">
        <v>373</v>
      </c>
      <c r="E18" s="14" t="s">
        <v>374</v>
      </c>
      <c r="F18" s="97">
        <f>450590+76000</f>
        <v>526590</v>
      </c>
      <c r="G18" s="97"/>
      <c r="H18" s="97">
        <f aca="true" t="shared" si="4" ref="H18:H23">SUM(F18:G18)</f>
        <v>526590</v>
      </c>
      <c r="I18" s="97"/>
      <c r="J18" s="97">
        <f aca="true" t="shared" si="5" ref="J18:J23">SUM(H18:I18)</f>
        <v>526590</v>
      </c>
      <c r="K18" s="97">
        <v>0</v>
      </c>
      <c r="L18" s="97">
        <f aca="true" t="shared" si="6" ref="L18:L23">SUM(J18:K18)</f>
        <v>526590</v>
      </c>
      <c r="M18" s="97">
        <v>20000</v>
      </c>
      <c r="N18" s="97">
        <v>546590</v>
      </c>
      <c r="O18" s="97">
        <v>546590</v>
      </c>
      <c r="P18" s="124">
        <f t="shared" si="1"/>
        <v>100</v>
      </c>
    </row>
    <row r="19" spans="1:16" s="183" customFormat="1" ht="21.75" customHeight="1">
      <c r="A19" s="83">
        <v>921</v>
      </c>
      <c r="B19" s="59">
        <v>92109</v>
      </c>
      <c r="C19" s="91">
        <v>2480</v>
      </c>
      <c r="D19" s="14" t="s">
        <v>373</v>
      </c>
      <c r="E19" s="14" t="s">
        <v>376</v>
      </c>
      <c r="F19" s="97">
        <v>0</v>
      </c>
      <c r="G19" s="97">
        <v>9500</v>
      </c>
      <c r="H19" s="97">
        <f t="shared" si="4"/>
        <v>9500</v>
      </c>
      <c r="I19" s="97"/>
      <c r="J19" s="97">
        <f t="shared" si="5"/>
        <v>9500</v>
      </c>
      <c r="K19" s="97">
        <v>0</v>
      </c>
      <c r="L19" s="97">
        <f t="shared" si="6"/>
        <v>9500</v>
      </c>
      <c r="M19" s="97">
        <v>0</v>
      </c>
      <c r="N19" s="97">
        <v>9500</v>
      </c>
      <c r="O19" s="97">
        <v>8000</v>
      </c>
      <c r="P19" s="124">
        <f t="shared" si="1"/>
        <v>84.21052631578947</v>
      </c>
    </row>
    <row r="20" spans="1:16" s="183" customFormat="1" ht="21.75" customHeight="1">
      <c r="A20" s="83">
        <v>921</v>
      </c>
      <c r="B20" s="83" t="s">
        <v>85</v>
      </c>
      <c r="C20" s="91">
        <v>2480</v>
      </c>
      <c r="D20" s="14" t="s">
        <v>375</v>
      </c>
      <c r="E20" s="14" t="s">
        <v>374</v>
      </c>
      <c r="F20" s="97">
        <v>871000</v>
      </c>
      <c r="G20" s="97"/>
      <c r="H20" s="97">
        <f t="shared" si="4"/>
        <v>871000</v>
      </c>
      <c r="I20" s="97"/>
      <c r="J20" s="97">
        <f t="shared" si="5"/>
        <v>871000</v>
      </c>
      <c r="K20" s="97">
        <v>0</v>
      </c>
      <c r="L20" s="97">
        <f t="shared" si="6"/>
        <v>871000</v>
      </c>
      <c r="M20" s="97">
        <v>0</v>
      </c>
      <c r="N20" s="97">
        <v>871000</v>
      </c>
      <c r="O20" s="97">
        <v>871000</v>
      </c>
      <c r="P20" s="124">
        <f t="shared" si="1"/>
        <v>100</v>
      </c>
    </row>
    <row r="21" spans="1:16" s="183" customFormat="1" ht="21.75" customHeight="1">
      <c r="A21" s="83">
        <v>921</v>
      </c>
      <c r="B21" s="83" t="s">
        <v>85</v>
      </c>
      <c r="C21" s="91">
        <v>2480</v>
      </c>
      <c r="D21" s="14" t="s">
        <v>375</v>
      </c>
      <c r="E21" s="14" t="s">
        <v>376</v>
      </c>
      <c r="F21" s="184">
        <f>45000+900</f>
        <v>45900</v>
      </c>
      <c r="G21" s="184"/>
      <c r="H21" s="97">
        <f t="shared" si="4"/>
        <v>45900</v>
      </c>
      <c r="I21" s="184"/>
      <c r="J21" s="97">
        <f t="shared" si="5"/>
        <v>45900</v>
      </c>
      <c r="K21" s="184">
        <v>0</v>
      </c>
      <c r="L21" s="97">
        <f t="shared" si="6"/>
        <v>45900</v>
      </c>
      <c r="M21" s="184">
        <v>0</v>
      </c>
      <c r="N21" s="97">
        <v>45900</v>
      </c>
      <c r="O21" s="184">
        <v>45900</v>
      </c>
      <c r="P21" s="124">
        <f t="shared" si="1"/>
        <v>100</v>
      </c>
    </row>
    <row r="22" spans="1:16" s="183" customFormat="1" ht="21.75" customHeight="1">
      <c r="A22" s="83">
        <v>921</v>
      </c>
      <c r="B22" s="83" t="s">
        <v>167</v>
      </c>
      <c r="C22" s="59">
        <v>2480</v>
      </c>
      <c r="D22" s="88" t="s">
        <v>377</v>
      </c>
      <c r="E22" s="14" t="s">
        <v>374</v>
      </c>
      <c r="F22" s="97">
        <v>376470</v>
      </c>
      <c r="G22" s="97"/>
      <c r="H22" s="97">
        <f t="shared" si="4"/>
        <v>376470</v>
      </c>
      <c r="I22" s="97"/>
      <c r="J22" s="97">
        <f t="shared" si="5"/>
        <v>376470</v>
      </c>
      <c r="K22" s="97">
        <v>0</v>
      </c>
      <c r="L22" s="97">
        <f t="shared" si="6"/>
        <v>376470</v>
      </c>
      <c r="M22" s="97">
        <v>0</v>
      </c>
      <c r="N22" s="97">
        <v>376470</v>
      </c>
      <c r="O22" s="97">
        <v>376470</v>
      </c>
      <c r="P22" s="124">
        <f t="shared" si="1"/>
        <v>100</v>
      </c>
    </row>
    <row r="23" spans="1:16" s="183" customFormat="1" ht="21.75" customHeight="1">
      <c r="A23" s="83">
        <v>921</v>
      </c>
      <c r="B23" s="83">
        <v>92118</v>
      </c>
      <c r="C23" s="59">
        <v>2480</v>
      </c>
      <c r="D23" s="88" t="s">
        <v>377</v>
      </c>
      <c r="E23" s="14" t="s">
        <v>376</v>
      </c>
      <c r="F23" s="97">
        <v>0</v>
      </c>
      <c r="G23" s="97">
        <v>2000</v>
      </c>
      <c r="H23" s="97">
        <f t="shared" si="4"/>
        <v>2000</v>
      </c>
      <c r="I23" s="97"/>
      <c r="J23" s="97">
        <f t="shared" si="5"/>
        <v>2000</v>
      </c>
      <c r="K23" s="97">
        <v>0</v>
      </c>
      <c r="L23" s="97">
        <f t="shared" si="6"/>
        <v>2000</v>
      </c>
      <c r="M23" s="97">
        <v>0</v>
      </c>
      <c r="N23" s="97">
        <v>2000</v>
      </c>
      <c r="O23" s="97">
        <v>2000</v>
      </c>
      <c r="P23" s="124">
        <f t="shared" si="1"/>
        <v>100</v>
      </c>
    </row>
    <row r="24" spans="1:16" s="25" customFormat="1" ht="21.75" customHeight="1">
      <c r="A24" s="415" t="s">
        <v>524</v>
      </c>
      <c r="B24" s="415"/>
      <c r="C24" s="415"/>
      <c r="D24" s="415"/>
      <c r="E24" s="415"/>
      <c r="F24" s="47">
        <f>SUM(F17,F14,F11,)</f>
        <v>4783448</v>
      </c>
      <c r="G24" s="47">
        <f aca="true" t="shared" si="7" ref="G24:O24">SUM(G17,G14,G11,)</f>
        <v>11500</v>
      </c>
      <c r="H24" s="47">
        <f t="shared" si="7"/>
        <v>4794948</v>
      </c>
      <c r="I24" s="47">
        <f t="shared" si="7"/>
        <v>500</v>
      </c>
      <c r="J24" s="47">
        <f t="shared" si="7"/>
        <v>4795448</v>
      </c>
      <c r="K24" s="47">
        <f t="shared" si="7"/>
        <v>0</v>
      </c>
      <c r="L24" s="47">
        <f t="shared" si="7"/>
        <v>4795448</v>
      </c>
      <c r="M24" s="47">
        <f t="shared" si="7"/>
        <v>129061</v>
      </c>
      <c r="N24" s="47">
        <f t="shared" si="7"/>
        <v>4973494</v>
      </c>
      <c r="O24" s="47">
        <f t="shared" si="7"/>
        <v>4718159</v>
      </c>
      <c r="P24" s="34">
        <f t="shared" si="1"/>
        <v>94.86608408495114</v>
      </c>
    </row>
    <row r="25" spans="1:16" s="25" customFormat="1" ht="21.75" customHeight="1">
      <c r="A25" s="135"/>
      <c r="B25" s="135"/>
      <c r="C25" s="135"/>
      <c r="D25" s="135"/>
      <c r="E25" s="135"/>
      <c r="F25" s="260"/>
      <c r="G25" s="260"/>
      <c r="H25" s="303"/>
      <c r="I25" s="260"/>
      <c r="J25" s="303"/>
      <c r="K25" s="260"/>
      <c r="L25" s="303"/>
      <c r="M25" s="260"/>
      <c r="N25" s="303"/>
      <c r="O25" s="260"/>
      <c r="P25" s="302"/>
    </row>
    <row r="26" spans="1:16" s="25" customFormat="1" ht="21.75" customHeight="1">
      <c r="A26" s="135"/>
      <c r="B26" s="135"/>
      <c r="C26" s="135"/>
      <c r="D26" s="135"/>
      <c r="E26" s="135"/>
      <c r="F26" s="260"/>
      <c r="G26" s="260"/>
      <c r="H26" s="303"/>
      <c r="I26" s="260"/>
      <c r="J26" s="303"/>
      <c r="K26" s="260"/>
      <c r="L26" s="303"/>
      <c r="M26" s="260"/>
      <c r="N26" s="303"/>
      <c r="O26" s="260"/>
      <c r="P26" s="302"/>
    </row>
    <row r="27" spans="1:16" s="25" customFormat="1" ht="16.5" customHeight="1">
      <c r="A27" s="135"/>
      <c r="B27" s="135"/>
      <c r="C27" s="135"/>
      <c r="D27" s="135"/>
      <c r="E27" s="135"/>
      <c r="F27" s="260"/>
      <c r="G27" s="260"/>
      <c r="H27" s="303"/>
      <c r="I27" s="260"/>
      <c r="J27" s="303"/>
      <c r="K27" s="260"/>
      <c r="L27" s="303"/>
      <c r="M27" s="260"/>
      <c r="N27" s="303"/>
      <c r="O27" s="260"/>
      <c r="P27" s="302"/>
    </row>
    <row r="28" spans="1:16" s="185" customFormat="1" ht="23.25" customHeight="1">
      <c r="A28" s="392" t="s">
        <v>418</v>
      </c>
      <c r="B28" s="392"/>
      <c r="C28" s="392"/>
      <c r="D28" s="392"/>
      <c r="E28" s="392"/>
      <c r="F28" s="392"/>
      <c r="G28" s="392"/>
      <c r="H28" s="392"/>
      <c r="I28" s="392"/>
      <c r="J28" s="392"/>
      <c r="K28" s="392"/>
      <c r="L28" s="392"/>
      <c r="M28" s="392"/>
      <c r="N28" s="392"/>
      <c r="O28" s="392"/>
      <c r="P28" s="392"/>
    </row>
    <row r="29" spans="1:16" s="190" customFormat="1" ht="18" customHeight="1">
      <c r="A29" s="410" t="s">
        <v>12</v>
      </c>
      <c r="B29" s="410" t="s">
        <v>13</v>
      </c>
      <c r="C29" s="410" t="s">
        <v>14</v>
      </c>
      <c r="D29" s="410" t="s">
        <v>364</v>
      </c>
      <c r="E29" s="385" t="s">
        <v>365</v>
      </c>
      <c r="F29" s="387" t="s">
        <v>170</v>
      </c>
      <c r="G29" s="361"/>
      <c r="H29" s="361"/>
      <c r="I29" s="361"/>
      <c r="J29" s="361"/>
      <c r="K29" s="361"/>
      <c r="L29" s="361"/>
      <c r="M29" s="361"/>
      <c r="N29" s="387" t="s">
        <v>250</v>
      </c>
      <c r="O29" s="416" t="s">
        <v>0</v>
      </c>
      <c r="P29" s="416"/>
    </row>
    <row r="30" spans="1:16" s="209" customFormat="1" ht="18" customHeight="1">
      <c r="A30" s="410"/>
      <c r="B30" s="410"/>
      <c r="C30" s="410"/>
      <c r="D30" s="410"/>
      <c r="E30" s="386"/>
      <c r="F30" s="388"/>
      <c r="G30" s="362" t="s">
        <v>405</v>
      </c>
      <c r="H30" s="362" t="s">
        <v>407</v>
      </c>
      <c r="I30" s="362" t="s">
        <v>245</v>
      </c>
      <c r="J30" s="362" t="s">
        <v>429</v>
      </c>
      <c r="K30" s="362" t="s">
        <v>405</v>
      </c>
      <c r="L30" s="362" t="s">
        <v>407</v>
      </c>
      <c r="M30" s="362" t="s">
        <v>405</v>
      </c>
      <c r="N30" s="388"/>
      <c r="O30" s="178" t="s">
        <v>1</v>
      </c>
      <c r="P30" s="196" t="s">
        <v>2</v>
      </c>
    </row>
    <row r="31" spans="1:16" s="182" customFormat="1" ht="21.75" customHeight="1">
      <c r="A31" s="93">
        <v>851</v>
      </c>
      <c r="B31" s="93">
        <v>85154</v>
      </c>
      <c r="C31" s="93">
        <v>2630</v>
      </c>
      <c r="D31" s="199" t="s">
        <v>378</v>
      </c>
      <c r="E31" s="198" t="s">
        <v>379</v>
      </c>
      <c r="F31" s="97">
        <v>56000</v>
      </c>
      <c r="G31" s="97">
        <f>-31147-7953</f>
        <v>-39100</v>
      </c>
      <c r="H31" s="97">
        <f>SUM(F31:G31)</f>
        <v>16900</v>
      </c>
      <c r="I31" s="97">
        <v>-16900</v>
      </c>
      <c r="J31" s="97">
        <f>SUM(H31:I31)</f>
        <v>0</v>
      </c>
      <c r="K31" s="97">
        <v>0</v>
      </c>
      <c r="L31" s="97">
        <f>SUM(J31:K31)</f>
        <v>0</v>
      </c>
      <c r="M31" s="97">
        <v>0</v>
      </c>
      <c r="N31" s="97">
        <v>0</v>
      </c>
      <c r="O31" s="97">
        <v>0</v>
      </c>
      <c r="P31" s="124">
        <v>0</v>
      </c>
    </row>
    <row r="32" spans="1:16" s="182" customFormat="1" ht="21.75" customHeight="1">
      <c r="A32" s="93">
        <v>851</v>
      </c>
      <c r="B32" s="93">
        <v>85154</v>
      </c>
      <c r="C32" s="93">
        <v>2830</v>
      </c>
      <c r="D32" s="14" t="s">
        <v>381</v>
      </c>
      <c r="E32" s="198" t="s">
        <v>379</v>
      </c>
      <c r="F32" s="97">
        <v>0</v>
      </c>
      <c r="G32" s="97">
        <v>31147</v>
      </c>
      <c r="H32" s="97">
        <f aca="true" t="shared" si="8" ref="H32:H58">SUM(F32:G32)</f>
        <v>31147</v>
      </c>
      <c r="I32" s="97"/>
      <c r="J32" s="97">
        <f aca="true" t="shared" si="9" ref="J32:J58">SUM(H32:I32)</f>
        <v>31147</v>
      </c>
      <c r="K32" s="97">
        <v>0</v>
      </c>
      <c r="L32" s="97">
        <f aca="true" t="shared" si="10" ref="L32:L58">SUM(J32:K32)</f>
        <v>31147</v>
      </c>
      <c r="M32" s="97">
        <v>0</v>
      </c>
      <c r="N32" s="97">
        <v>31147</v>
      </c>
      <c r="O32" s="97">
        <v>31147</v>
      </c>
      <c r="P32" s="124">
        <f t="shared" si="1"/>
        <v>100</v>
      </c>
    </row>
    <row r="33" spans="1:16" s="182" customFormat="1" ht="21.75" customHeight="1">
      <c r="A33" s="93">
        <v>851</v>
      </c>
      <c r="B33" s="93">
        <v>85154</v>
      </c>
      <c r="C33" s="93">
        <v>2820</v>
      </c>
      <c r="D33" s="14" t="s">
        <v>382</v>
      </c>
      <c r="E33" s="198" t="s">
        <v>379</v>
      </c>
      <c r="F33" s="97">
        <v>0</v>
      </c>
      <c r="G33" s="97">
        <v>7953</v>
      </c>
      <c r="H33" s="97">
        <f t="shared" si="8"/>
        <v>7953</v>
      </c>
      <c r="I33" s="97"/>
      <c r="J33" s="97">
        <f t="shared" si="9"/>
        <v>7953</v>
      </c>
      <c r="K33" s="97">
        <v>0</v>
      </c>
      <c r="L33" s="97">
        <f t="shared" si="10"/>
        <v>7953</v>
      </c>
      <c r="M33" s="97">
        <v>0</v>
      </c>
      <c r="N33" s="97">
        <v>7953</v>
      </c>
      <c r="O33" s="97">
        <v>7953</v>
      </c>
      <c r="P33" s="124">
        <f t="shared" si="1"/>
        <v>100</v>
      </c>
    </row>
    <row r="34" spans="1:16" s="182" customFormat="1" ht="27" customHeight="1">
      <c r="A34" s="93">
        <v>851</v>
      </c>
      <c r="B34" s="93">
        <v>85154</v>
      </c>
      <c r="C34" s="93">
        <v>2630</v>
      </c>
      <c r="D34" s="199" t="s">
        <v>378</v>
      </c>
      <c r="E34" s="198" t="s">
        <v>380</v>
      </c>
      <c r="F34" s="97">
        <v>10000</v>
      </c>
      <c r="G34" s="97">
        <v>-8000</v>
      </c>
      <c r="H34" s="97">
        <f t="shared" si="8"/>
        <v>2000</v>
      </c>
      <c r="I34" s="97">
        <v>-2000</v>
      </c>
      <c r="J34" s="97">
        <f t="shared" si="9"/>
        <v>0</v>
      </c>
      <c r="K34" s="97">
        <v>0</v>
      </c>
      <c r="L34" s="97">
        <f t="shared" si="10"/>
        <v>0</v>
      </c>
      <c r="M34" s="97">
        <v>0</v>
      </c>
      <c r="N34" s="97">
        <v>0</v>
      </c>
      <c r="O34" s="97">
        <v>0</v>
      </c>
      <c r="P34" s="124">
        <v>0</v>
      </c>
    </row>
    <row r="35" spans="1:16" s="183" customFormat="1" ht="22.5" hidden="1">
      <c r="A35" s="93">
        <v>851</v>
      </c>
      <c r="B35" s="93">
        <v>85154</v>
      </c>
      <c r="C35" s="93">
        <v>2630</v>
      </c>
      <c r="D35" s="14" t="s">
        <v>381</v>
      </c>
      <c r="E35" s="198" t="s">
        <v>380</v>
      </c>
      <c r="F35" s="186"/>
      <c r="G35" s="186"/>
      <c r="H35" s="97">
        <f t="shared" si="8"/>
        <v>0</v>
      </c>
      <c r="I35" s="186"/>
      <c r="J35" s="97">
        <f t="shared" si="9"/>
        <v>0</v>
      </c>
      <c r="K35" s="186"/>
      <c r="L35" s="97">
        <f t="shared" si="10"/>
        <v>0</v>
      </c>
      <c r="M35" s="186"/>
      <c r="N35" s="97"/>
      <c r="O35" s="186"/>
      <c r="P35" s="124" t="e">
        <f t="shared" si="1"/>
        <v>#DIV/0!</v>
      </c>
    </row>
    <row r="36" spans="1:16" s="183" customFormat="1" ht="22.5" hidden="1">
      <c r="A36" s="93">
        <v>851</v>
      </c>
      <c r="B36" s="93">
        <v>85154</v>
      </c>
      <c r="C36" s="93">
        <v>2630</v>
      </c>
      <c r="D36" s="14" t="s">
        <v>381</v>
      </c>
      <c r="E36" s="198" t="s">
        <v>380</v>
      </c>
      <c r="F36" s="186"/>
      <c r="G36" s="186"/>
      <c r="H36" s="97">
        <f t="shared" si="8"/>
        <v>0</v>
      </c>
      <c r="I36" s="186"/>
      <c r="J36" s="97">
        <f t="shared" si="9"/>
        <v>0</v>
      </c>
      <c r="K36" s="186"/>
      <c r="L36" s="97">
        <f t="shared" si="10"/>
        <v>0</v>
      </c>
      <c r="M36" s="186"/>
      <c r="N36" s="97"/>
      <c r="O36" s="186"/>
      <c r="P36" s="124" t="e">
        <f t="shared" si="1"/>
        <v>#DIV/0!</v>
      </c>
    </row>
    <row r="37" spans="1:16" s="187" customFormat="1" ht="22.5" hidden="1">
      <c r="A37" s="93">
        <v>851</v>
      </c>
      <c r="B37" s="93">
        <v>85154</v>
      </c>
      <c r="C37" s="93">
        <v>2630</v>
      </c>
      <c r="D37" s="14" t="s">
        <v>382</v>
      </c>
      <c r="E37" s="198" t="s">
        <v>380</v>
      </c>
      <c r="F37" s="186"/>
      <c r="G37" s="186"/>
      <c r="H37" s="97">
        <f t="shared" si="8"/>
        <v>0</v>
      </c>
      <c r="I37" s="186"/>
      <c r="J37" s="97">
        <f t="shared" si="9"/>
        <v>0</v>
      </c>
      <c r="K37" s="186"/>
      <c r="L37" s="97">
        <f t="shared" si="10"/>
        <v>0</v>
      </c>
      <c r="M37" s="186"/>
      <c r="N37" s="97"/>
      <c r="O37" s="186"/>
      <c r="P37" s="124" t="e">
        <f t="shared" si="1"/>
        <v>#DIV/0!</v>
      </c>
    </row>
    <row r="38" spans="1:16" s="187" customFormat="1" ht="22.5" hidden="1">
      <c r="A38" s="93">
        <v>851</v>
      </c>
      <c r="B38" s="93">
        <v>85154</v>
      </c>
      <c r="C38" s="93">
        <v>2630</v>
      </c>
      <c r="D38" s="14" t="s">
        <v>383</v>
      </c>
      <c r="E38" s="198" t="s">
        <v>380</v>
      </c>
      <c r="F38" s="186"/>
      <c r="G38" s="186"/>
      <c r="H38" s="97">
        <f t="shared" si="8"/>
        <v>0</v>
      </c>
      <c r="I38" s="186"/>
      <c r="J38" s="97">
        <f t="shared" si="9"/>
        <v>0</v>
      </c>
      <c r="K38" s="186"/>
      <c r="L38" s="97">
        <f t="shared" si="10"/>
        <v>0</v>
      </c>
      <c r="M38" s="186"/>
      <c r="N38" s="97"/>
      <c r="O38" s="186"/>
      <c r="P38" s="124" t="e">
        <f t="shared" si="1"/>
        <v>#DIV/0!</v>
      </c>
    </row>
    <row r="39" spans="1:16" s="187" customFormat="1" ht="22.5" hidden="1">
      <c r="A39" s="93">
        <v>851</v>
      </c>
      <c r="B39" s="93">
        <v>85154</v>
      </c>
      <c r="C39" s="93">
        <v>2630</v>
      </c>
      <c r="D39" s="14" t="s">
        <v>384</v>
      </c>
      <c r="E39" s="198" t="s">
        <v>380</v>
      </c>
      <c r="F39" s="186"/>
      <c r="G39" s="186"/>
      <c r="H39" s="97">
        <f t="shared" si="8"/>
        <v>0</v>
      </c>
      <c r="I39" s="186"/>
      <c r="J39" s="97">
        <f t="shared" si="9"/>
        <v>0</v>
      </c>
      <c r="K39" s="186"/>
      <c r="L39" s="97">
        <f t="shared" si="10"/>
        <v>0</v>
      </c>
      <c r="M39" s="186"/>
      <c r="N39" s="97"/>
      <c r="O39" s="186"/>
      <c r="P39" s="124" t="e">
        <f t="shared" si="1"/>
        <v>#DIV/0!</v>
      </c>
    </row>
    <row r="40" spans="1:16" s="187" customFormat="1" ht="27" customHeight="1">
      <c r="A40" s="93">
        <v>851</v>
      </c>
      <c r="B40" s="93">
        <v>85154</v>
      </c>
      <c r="C40" s="93">
        <v>2830</v>
      </c>
      <c r="D40" s="14" t="s">
        <v>381</v>
      </c>
      <c r="E40" s="198" t="s">
        <v>380</v>
      </c>
      <c r="F40" s="188">
        <v>0</v>
      </c>
      <c r="G40" s="188">
        <v>8000</v>
      </c>
      <c r="H40" s="97">
        <f t="shared" si="8"/>
        <v>8000</v>
      </c>
      <c r="I40" s="188"/>
      <c r="J40" s="97">
        <f t="shared" si="9"/>
        <v>8000</v>
      </c>
      <c r="K40" s="188">
        <v>0</v>
      </c>
      <c r="L40" s="97">
        <f t="shared" si="10"/>
        <v>8000</v>
      </c>
      <c r="M40" s="188">
        <v>0</v>
      </c>
      <c r="N40" s="97">
        <v>8000</v>
      </c>
      <c r="O40" s="188">
        <v>8000</v>
      </c>
      <c r="P40" s="124">
        <f t="shared" si="1"/>
        <v>100</v>
      </c>
    </row>
    <row r="41" spans="1:16" s="187" customFormat="1" ht="21.75" customHeight="1">
      <c r="A41" s="93">
        <v>854</v>
      </c>
      <c r="B41" s="93">
        <v>85412</v>
      </c>
      <c r="C41" s="93">
        <v>2630</v>
      </c>
      <c r="D41" s="199" t="s">
        <v>378</v>
      </c>
      <c r="E41" s="198" t="s">
        <v>385</v>
      </c>
      <c r="F41" s="188">
        <v>36000</v>
      </c>
      <c r="G41" s="188">
        <v>0</v>
      </c>
      <c r="H41" s="97">
        <f t="shared" si="8"/>
        <v>36000</v>
      </c>
      <c r="I41" s="188"/>
      <c r="J41" s="97">
        <f t="shared" si="9"/>
        <v>36000</v>
      </c>
      <c r="K41" s="188">
        <v>0</v>
      </c>
      <c r="L41" s="97">
        <f t="shared" si="10"/>
        <v>36000</v>
      </c>
      <c r="M41" s="188">
        <v>-36000</v>
      </c>
      <c r="N41" s="97">
        <v>25710</v>
      </c>
      <c r="O41" s="188">
        <v>0</v>
      </c>
      <c r="P41" s="124">
        <v>0</v>
      </c>
    </row>
    <row r="42" spans="1:16" s="187" customFormat="1" ht="21.75" customHeight="1">
      <c r="A42" s="93">
        <v>854</v>
      </c>
      <c r="B42" s="93">
        <v>85412</v>
      </c>
      <c r="C42" s="93">
        <v>2820</v>
      </c>
      <c r="D42" s="14" t="s">
        <v>382</v>
      </c>
      <c r="E42" s="198" t="s">
        <v>385</v>
      </c>
      <c r="F42" s="188">
        <v>0</v>
      </c>
      <c r="G42" s="188"/>
      <c r="H42" s="97"/>
      <c r="I42" s="188"/>
      <c r="J42" s="97"/>
      <c r="K42" s="188"/>
      <c r="L42" s="97">
        <v>0</v>
      </c>
      <c r="M42" s="188">
        <v>5680</v>
      </c>
      <c r="N42" s="97">
        <v>5680</v>
      </c>
      <c r="O42" s="188">
        <v>5680</v>
      </c>
      <c r="P42" s="124">
        <f t="shared" si="1"/>
        <v>100</v>
      </c>
    </row>
    <row r="43" spans="1:16" s="187" customFormat="1" ht="21.75" customHeight="1">
      <c r="A43" s="93">
        <v>854</v>
      </c>
      <c r="B43" s="93">
        <v>85412</v>
      </c>
      <c r="C43" s="93">
        <v>2820</v>
      </c>
      <c r="D43" s="169" t="s">
        <v>387</v>
      </c>
      <c r="E43" s="198" t="s">
        <v>385</v>
      </c>
      <c r="F43" s="188">
        <v>0</v>
      </c>
      <c r="G43" s="188"/>
      <c r="H43" s="97"/>
      <c r="I43" s="188"/>
      <c r="J43" s="97"/>
      <c r="K43" s="188"/>
      <c r="L43" s="97">
        <v>0</v>
      </c>
      <c r="M43" s="188">
        <v>3610</v>
      </c>
      <c r="N43" s="97">
        <v>3610</v>
      </c>
      <c r="O43" s="188">
        <v>3610</v>
      </c>
      <c r="P43" s="124">
        <f t="shared" si="1"/>
        <v>100</v>
      </c>
    </row>
    <row r="44" spans="1:16" s="187" customFormat="1" ht="21.75" customHeight="1">
      <c r="A44" s="93">
        <v>854</v>
      </c>
      <c r="B44" s="93">
        <v>85412</v>
      </c>
      <c r="C44" s="93">
        <v>2830</v>
      </c>
      <c r="D44" s="14" t="s">
        <v>381</v>
      </c>
      <c r="E44" s="198" t="s">
        <v>385</v>
      </c>
      <c r="F44" s="188">
        <v>0</v>
      </c>
      <c r="G44" s="188"/>
      <c r="H44" s="97"/>
      <c r="I44" s="188"/>
      <c r="J44" s="97"/>
      <c r="K44" s="188"/>
      <c r="L44" s="97">
        <v>0</v>
      </c>
      <c r="M44" s="188">
        <v>26710</v>
      </c>
      <c r="N44" s="97">
        <v>26710</v>
      </c>
      <c r="O44" s="188">
        <v>26710</v>
      </c>
      <c r="P44" s="124">
        <f t="shared" si="1"/>
        <v>100</v>
      </c>
    </row>
    <row r="45" spans="1:16" s="187" customFormat="1" ht="21.75" customHeight="1">
      <c r="A45" s="93">
        <v>926</v>
      </c>
      <c r="B45" s="93">
        <v>92605</v>
      </c>
      <c r="C45" s="93">
        <v>2630</v>
      </c>
      <c r="D45" s="199" t="s">
        <v>378</v>
      </c>
      <c r="E45" s="198" t="s">
        <v>88</v>
      </c>
      <c r="F45" s="188">
        <v>250000</v>
      </c>
      <c r="G45" s="188">
        <v>-247500</v>
      </c>
      <c r="H45" s="97">
        <f t="shared" si="8"/>
        <v>2500</v>
      </c>
      <c r="I45" s="188"/>
      <c r="J45" s="97">
        <f t="shared" si="9"/>
        <v>2500</v>
      </c>
      <c r="K45" s="188">
        <v>-2000</v>
      </c>
      <c r="L45" s="97">
        <f t="shared" si="10"/>
        <v>500</v>
      </c>
      <c r="M45" s="188">
        <v>70000</v>
      </c>
      <c r="N45" s="97">
        <v>0</v>
      </c>
      <c r="O45" s="188">
        <v>0</v>
      </c>
      <c r="P45" s="124">
        <v>0</v>
      </c>
    </row>
    <row r="46" spans="1:16" s="190" customFormat="1" ht="21.75" customHeight="1">
      <c r="A46" s="93">
        <v>926</v>
      </c>
      <c r="B46" s="93">
        <v>92605</v>
      </c>
      <c r="C46" s="93">
        <v>2820</v>
      </c>
      <c r="D46" s="169" t="s">
        <v>409</v>
      </c>
      <c r="E46" s="198" t="s">
        <v>88</v>
      </c>
      <c r="F46" s="189">
        <v>0</v>
      </c>
      <c r="G46" s="189">
        <v>131400</v>
      </c>
      <c r="H46" s="97">
        <f t="shared" si="8"/>
        <v>131400</v>
      </c>
      <c r="I46" s="189"/>
      <c r="J46" s="97">
        <f t="shared" si="9"/>
        <v>131400</v>
      </c>
      <c r="K46" s="189">
        <v>0</v>
      </c>
      <c r="L46" s="97">
        <f t="shared" si="10"/>
        <v>131400</v>
      </c>
      <c r="M46" s="189">
        <v>0</v>
      </c>
      <c r="N46" s="97">
        <v>156400</v>
      </c>
      <c r="O46" s="189">
        <v>156400</v>
      </c>
      <c r="P46" s="124">
        <f t="shared" si="1"/>
        <v>100</v>
      </c>
    </row>
    <row r="47" spans="1:16" s="190" customFormat="1" ht="21.75" customHeight="1">
      <c r="A47" s="93">
        <v>926</v>
      </c>
      <c r="B47" s="93">
        <v>92605</v>
      </c>
      <c r="C47" s="93">
        <v>2820</v>
      </c>
      <c r="D47" s="169" t="s">
        <v>386</v>
      </c>
      <c r="E47" s="198" t="s">
        <v>88</v>
      </c>
      <c r="F47" s="189">
        <v>0</v>
      </c>
      <c r="G47" s="189">
        <v>62000</v>
      </c>
      <c r="H47" s="97">
        <f t="shared" si="8"/>
        <v>62000</v>
      </c>
      <c r="I47" s="189"/>
      <c r="J47" s="97">
        <f t="shared" si="9"/>
        <v>62000</v>
      </c>
      <c r="K47" s="189">
        <v>0</v>
      </c>
      <c r="L47" s="97">
        <f t="shared" si="10"/>
        <v>62000</v>
      </c>
      <c r="M47" s="189">
        <v>0</v>
      </c>
      <c r="N47" s="97">
        <v>82000</v>
      </c>
      <c r="O47" s="189">
        <v>82000</v>
      </c>
      <c r="P47" s="124">
        <f t="shared" si="1"/>
        <v>100</v>
      </c>
    </row>
    <row r="48" spans="1:16" s="190" customFormat="1" ht="21.75" customHeight="1">
      <c r="A48" s="93">
        <v>926</v>
      </c>
      <c r="B48" s="93">
        <v>92605</v>
      </c>
      <c r="C48" s="93">
        <v>2820</v>
      </c>
      <c r="D48" s="169" t="s">
        <v>410</v>
      </c>
      <c r="E48" s="198" t="s">
        <v>88</v>
      </c>
      <c r="F48" s="189">
        <v>0</v>
      </c>
      <c r="G48" s="189">
        <v>4000</v>
      </c>
      <c r="H48" s="97">
        <f t="shared" si="8"/>
        <v>4000</v>
      </c>
      <c r="I48" s="189"/>
      <c r="J48" s="97">
        <f t="shared" si="9"/>
        <v>4000</v>
      </c>
      <c r="K48" s="189">
        <v>0</v>
      </c>
      <c r="L48" s="97">
        <f t="shared" si="10"/>
        <v>4000</v>
      </c>
      <c r="M48" s="189">
        <v>0</v>
      </c>
      <c r="N48" s="97">
        <v>4000</v>
      </c>
      <c r="O48" s="189">
        <v>4000</v>
      </c>
      <c r="P48" s="124">
        <f t="shared" si="1"/>
        <v>100</v>
      </c>
    </row>
    <row r="49" spans="1:16" s="190" customFormat="1" ht="21.75" customHeight="1">
      <c r="A49" s="93">
        <v>926</v>
      </c>
      <c r="B49" s="93">
        <v>92605</v>
      </c>
      <c r="C49" s="93">
        <v>2820</v>
      </c>
      <c r="D49" s="169" t="s">
        <v>411</v>
      </c>
      <c r="E49" s="198" t="s">
        <v>88</v>
      </c>
      <c r="F49" s="189">
        <v>0</v>
      </c>
      <c r="G49" s="189">
        <v>5000</v>
      </c>
      <c r="H49" s="97">
        <f t="shared" si="8"/>
        <v>5000</v>
      </c>
      <c r="I49" s="189"/>
      <c r="J49" s="97">
        <f t="shared" si="9"/>
        <v>5000</v>
      </c>
      <c r="K49" s="189">
        <v>0</v>
      </c>
      <c r="L49" s="97">
        <f t="shared" si="10"/>
        <v>5000</v>
      </c>
      <c r="M49" s="189">
        <v>0</v>
      </c>
      <c r="N49" s="97">
        <v>8500</v>
      </c>
      <c r="O49" s="189">
        <v>8500</v>
      </c>
      <c r="P49" s="124">
        <f t="shared" si="1"/>
        <v>100</v>
      </c>
    </row>
    <row r="50" spans="1:16" s="190" customFormat="1" ht="21.75" customHeight="1">
      <c r="A50" s="93">
        <v>926</v>
      </c>
      <c r="B50" s="93">
        <v>92605</v>
      </c>
      <c r="C50" s="93">
        <v>2820</v>
      </c>
      <c r="D50" s="169" t="s">
        <v>412</v>
      </c>
      <c r="E50" s="198" t="s">
        <v>88</v>
      </c>
      <c r="F50" s="189">
        <v>0</v>
      </c>
      <c r="G50" s="189">
        <v>3500</v>
      </c>
      <c r="H50" s="97">
        <f t="shared" si="8"/>
        <v>3500</v>
      </c>
      <c r="I50" s="189"/>
      <c r="J50" s="97">
        <f t="shared" si="9"/>
        <v>3500</v>
      </c>
      <c r="K50" s="189">
        <v>0</v>
      </c>
      <c r="L50" s="97">
        <f t="shared" si="10"/>
        <v>3500</v>
      </c>
      <c r="M50" s="189">
        <v>0</v>
      </c>
      <c r="N50" s="97">
        <v>6000</v>
      </c>
      <c r="O50" s="189">
        <v>6000</v>
      </c>
      <c r="P50" s="124">
        <f t="shared" si="1"/>
        <v>100</v>
      </c>
    </row>
    <row r="51" spans="1:16" s="190" customFormat="1" ht="21.75" customHeight="1">
      <c r="A51" s="93">
        <v>926</v>
      </c>
      <c r="B51" s="93">
        <v>92605</v>
      </c>
      <c r="C51" s="93">
        <v>2820</v>
      </c>
      <c r="D51" s="169" t="s">
        <v>555</v>
      </c>
      <c r="E51" s="198" t="s">
        <v>88</v>
      </c>
      <c r="F51" s="189">
        <v>0</v>
      </c>
      <c r="G51" s="189">
        <v>8000</v>
      </c>
      <c r="H51" s="97">
        <f t="shared" si="8"/>
        <v>8000</v>
      </c>
      <c r="I51" s="189"/>
      <c r="J51" s="97">
        <f t="shared" si="9"/>
        <v>8000</v>
      </c>
      <c r="K51" s="189">
        <v>0</v>
      </c>
      <c r="L51" s="97">
        <f t="shared" si="10"/>
        <v>8000</v>
      </c>
      <c r="M51" s="189">
        <v>0</v>
      </c>
      <c r="N51" s="97">
        <v>11500</v>
      </c>
      <c r="O51" s="189">
        <v>11500</v>
      </c>
      <c r="P51" s="124">
        <f t="shared" si="1"/>
        <v>100</v>
      </c>
    </row>
    <row r="52" spans="1:16" s="190" customFormat="1" ht="21.75" customHeight="1">
      <c r="A52" s="93">
        <v>926</v>
      </c>
      <c r="B52" s="93">
        <v>92605</v>
      </c>
      <c r="C52" s="93">
        <v>2820</v>
      </c>
      <c r="D52" s="169" t="s">
        <v>413</v>
      </c>
      <c r="E52" s="198" t="s">
        <v>88</v>
      </c>
      <c r="F52" s="189">
        <v>0</v>
      </c>
      <c r="G52" s="189">
        <v>2500</v>
      </c>
      <c r="H52" s="97">
        <f t="shared" si="8"/>
        <v>2500</v>
      </c>
      <c r="I52" s="189"/>
      <c r="J52" s="97">
        <f t="shared" si="9"/>
        <v>2500</v>
      </c>
      <c r="K52" s="189">
        <v>0</v>
      </c>
      <c r="L52" s="97">
        <f t="shared" si="10"/>
        <v>2500</v>
      </c>
      <c r="M52" s="189">
        <v>0</v>
      </c>
      <c r="N52" s="97">
        <v>5000</v>
      </c>
      <c r="O52" s="189">
        <v>5000</v>
      </c>
      <c r="P52" s="124">
        <f t="shared" si="1"/>
        <v>100</v>
      </c>
    </row>
    <row r="53" spans="1:16" s="190" customFormat="1" ht="21.75" customHeight="1">
      <c r="A53" s="93">
        <v>926</v>
      </c>
      <c r="B53" s="93">
        <v>92605</v>
      </c>
      <c r="C53" s="93">
        <v>2820</v>
      </c>
      <c r="D53" s="169" t="s">
        <v>414</v>
      </c>
      <c r="E53" s="198" t="s">
        <v>88</v>
      </c>
      <c r="F53" s="189">
        <v>0</v>
      </c>
      <c r="G53" s="189">
        <v>7000</v>
      </c>
      <c r="H53" s="97">
        <f t="shared" si="8"/>
        <v>7000</v>
      </c>
      <c r="I53" s="189"/>
      <c r="J53" s="97">
        <f t="shared" si="9"/>
        <v>7000</v>
      </c>
      <c r="K53" s="189">
        <v>0</v>
      </c>
      <c r="L53" s="97">
        <f t="shared" si="10"/>
        <v>7000</v>
      </c>
      <c r="M53" s="189">
        <v>0</v>
      </c>
      <c r="N53" s="97">
        <v>7000</v>
      </c>
      <c r="O53" s="189">
        <v>6999.31</v>
      </c>
      <c r="P53" s="124">
        <f t="shared" si="1"/>
        <v>99.99014285714286</v>
      </c>
    </row>
    <row r="54" spans="1:16" s="190" customFormat="1" ht="21.75" customHeight="1">
      <c r="A54" s="93">
        <v>926</v>
      </c>
      <c r="B54" s="93">
        <v>92605</v>
      </c>
      <c r="C54" s="93">
        <v>2820</v>
      </c>
      <c r="D54" s="169" t="s">
        <v>415</v>
      </c>
      <c r="E54" s="198" t="s">
        <v>88</v>
      </c>
      <c r="F54" s="189">
        <v>0</v>
      </c>
      <c r="G54" s="189">
        <v>14000</v>
      </c>
      <c r="H54" s="97">
        <f t="shared" si="8"/>
        <v>14000</v>
      </c>
      <c r="I54" s="189"/>
      <c r="J54" s="97">
        <f t="shared" si="9"/>
        <v>14000</v>
      </c>
      <c r="K54" s="189">
        <v>0</v>
      </c>
      <c r="L54" s="97">
        <f t="shared" si="10"/>
        <v>14000</v>
      </c>
      <c r="M54" s="189">
        <v>0</v>
      </c>
      <c r="N54" s="97">
        <v>20000</v>
      </c>
      <c r="O54" s="189">
        <v>20000</v>
      </c>
      <c r="P54" s="124">
        <f t="shared" si="1"/>
        <v>100</v>
      </c>
    </row>
    <row r="55" spans="1:16" s="190" customFormat="1" ht="21.75" customHeight="1">
      <c r="A55" s="93">
        <v>926</v>
      </c>
      <c r="B55" s="93">
        <v>92605</v>
      </c>
      <c r="C55" s="93">
        <v>2820</v>
      </c>
      <c r="D55" s="169" t="s">
        <v>416</v>
      </c>
      <c r="E55" s="198" t="s">
        <v>88</v>
      </c>
      <c r="F55" s="189">
        <v>0</v>
      </c>
      <c r="G55" s="189">
        <v>6000</v>
      </c>
      <c r="H55" s="97">
        <f t="shared" si="8"/>
        <v>6000</v>
      </c>
      <c r="I55" s="189"/>
      <c r="J55" s="97">
        <f t="shared" si="9"/>
        <v>6000</v>
      </c>
      <c r="K55" s="189">
        <v>0</v>
      </c>
      <c r="L55" s="97">
        <f t="shared" si="10"/>
        <v>6000</v>
      </c>
      <c r="M55" s="189">
        <v>0</v>
      </c>
      <c r="N55" s="97">
        <v>8500</v>
      </c>
      <c r="O55" s="189">
        <v>8500</v>
      </c>
      <c r="P55" s="124">
        <f t="shared" si="1"/>
        <v>100</v>
      </c>
    </row>
    <row r="56" spans="1:16" s="190" customFormat="1" ht="21.75" customHeight="1">
      <c r="A56" s="93">
        <v>926</v>
      </c>
      <c r="B56" s="93">
        <v>92605</v>
      </c>
      <c r="C56" s="93">
        <v>2820</v>
      </c>
      <c r="D56" s="169" t="s">
        <v>382</v>
      </c>
      <c r="E56" s="198" t="s">
        <v>88</v>
      </c>
      <c r="F56" s="189">
        <v>0</v>
      </c>
      <c r="G56" s="189">
        <v>1500</v>
      </c>
      <c r="H56" s="97">
        <f t="shared" si="8"/>
        <v>1500</v>
      </c>
      <c r="I56" s="189"/>
      <c r="J56" s="97">
        <f t="shared" si="9"/>
        <v>1500</v>
      </c>
      <c r="K56" s="189">
        <v>0</v>
      </c>
      <c r="L56" s="97">
        <f t="shared" si="10"/>
        <v>1500</v>
      </c>
      <c r="M56" s="189">
        <v>0</v>
      </c>
      <c r="N56" s="97">
        <v>1500</v>
      </c>
      <c r="O56" s="189">
        <v>1500</v>
      </c>
      <c r="P56" s="124">
        <f t="shared" si="1"/>
        <v>100</v>
      </c>
    </row>
    <row r="57" spans="1:16" s="190" customFormat="1" ht="21.75" customHeight="1">
      <c r="A57" s="93">
        <v>926</v>
      </c>
      <c r="B57" s="93">
        <v>92605</v>
      </c>
      <c r="C57" s="93">
        <v>2820</v>
      </c>
      <c r="D57" s="169" t="s">
        <v>387</v>
      </c>
      <c r="E57" s="198" t="s">
        <v>88</v>
      </c>
      <c r="F57" s="189">
        <v>0</v>
      </c>
      <c r="G57" s="189">
        <v>2000</v>
      </c>
      <c r="H57" s="97">
        <f t="shared" si="8"/>
        <v>2000</v>
      </c>
      <c r="I57" s="189"/>
      <c r="J57" s="97">
        <f t="shared" si="9"/>
        <v>2000</v>
      </c>
      <c r="K57" s="189">
        <v>0</v>
      </c>
      <c r="L57" s="97">
        <f t="shared" si="10"/>
        <v>2000</v>
      </c>
      <c r="M57" s="189">
        <v>0</v>
      </c>
      <c r="N57" s="97">
        <v>2000</v>
      </c>
      <c r="O57" s="189">
        <v>2000</v>
      </c>
      <c r="P57" s="124">
        <f t="shared" si="1"/>
        <v>100</v>
      </c>
    </row>
    <row r="58" spans="1:16" s="190" customFormat="1" ht="21.75" customHeight="1">
      <c r="A58" s="93">
        <v>926</v>
      </c>
      <c r="B58" s="93">
        <v>92605</v>
      </c>
      <c r="C58" s="93">
        <v>2830</v>
      </c>
      <c r="D58" s="169" t="s">
        <v>417</v>
      </c>
      <c r="E58" s="198" t="s">
        <v>88</v>
      </c>
      <c r="F58" s="189">
        <v>0</v>
      </c>
      <c r="G58" s="189">
        <v>600</v>
      </c>
      <c r="H58" s="97">
        <f t="shared" si="8"/>
        <v>600</v>
      </c>
      <c r="I58" s="189"/>
      <c r="J58" s="97">
        <f t="shared" si="9"/>
        <v>600</v>
      </c>
      <c r="K58" s="189">
        <v>0</v>
      </c>
      <c r="L58" s="97">
        <f t="shared" si="10"/>
        <v>600</v>
      </c>
      <c r="M58" s="189">
        <v>0</v>
      </c>
      <c r="N58" s="97">
        <v>600</v>
      </c>
      <c r="O58" s="189">
        <v>600</v>
      </c>
      <c r="P58" s="124">
        <f t="shared" si="1"/>
        <v>100</v>
      </c>
    </row>
    <row r="59" spans="1:16" s="133" customFormat="1" ht="30" customHeight="1">
      <c r="A59" s="389" t="s">
        <v>89</v>
      </c>
      <c r="B59" s="390"/>
      <c r="C59" s="390"/>
      <c r="D59" s="390"/>
      <c r="E59" s="391"/>
      <c r="F59" s="47">
        <f>SUM(F31:F58)</f>
        <v>352000</v>
      </c>
      <c r="G59" s="47">
        <f aca="true" t="shared" si="11" ref="G59:O59">SUM(G31:G58)</f>
        <v>0</v>
      </c>
      <c r="H59" s="47">
        <f t="shared" si="11"/>
        <v>352000</v>
      </c>
      <c r="I59" s="47">
        <f t="shared" si="11"/>
        <v>-18900</v>
      </c>
      <c r="J59" s="47">
        <f t="shared" si="11"/>
        <v>333100</v>
      </c>
      <c r="K59" s="47">
        <f t="shared" si="11"/>
        <v>-2000</v>
      </c>
      <c r="L59" s="47">
        <f t="shared" si="11"/>
        <v>331100</v>
      </c>
      <c r="M59" s="47">
        <f t="shared" si="11"/>
        <v>70000</v>
      </c>
      <c r="N59" s="47">
        <f t="shared" si="11"/>
        <v>421810</v>
      </c>
      <c r="O59" s="47">
        <f t="shared" si="11"/>
        <v>396099.31</v>
      </c>
      <c r="P59" s="34">
        <f t="shared" si="1"/>
        <v>93.90467509068063</v>
      </c>
    </row>
    <row r="60" spans="1:16" s="25" customFormat="1" ht="30" customHeight="1">
      <c r="A60" s="411" t="s">
        <v>388</v>
      </c>
      <c r="B60" s="412"/>
      <c r="C60" s="412"/>
      <c r="D60" s="412"/>
      <c r="E60" s="412"/>
      <c r="F60" s="412"/>
      <c r="G60" s="412"/>
      <c r="H60" s="412"/>
      <c r="I60" s="412"/>
      <c r="J60" s="412"/>
      <c r="K60" s="412"/>
      <c r="L60" s="412"/>
      <c r="M60" s="412"/>
      <c r="N60" s="412"/>
      <c r="O60" s="412"/>
      <c r="P60" s="413"/>
    </row>
    <row r="61" spans="1:16" s="363" customFormat="1" ht="18" customHeight="1">
      <c r="A61" s="377" t="s">
        <v>12</v>
      </c>
      <c r="B61" s="379" t="s">
        <v>13</v>
      </c>
      <c r="C61" s="379" t="s">
        <v>14</v>
      </c>
      <c r="D61" s="381" t="s">
        <v>364</v>
      </c>
      <c r="E61" s="410" t="s">
        <v>365</v>
      </c>
      <c r="F61" s="409" t="s">
        <v>171</v>
      </c>
      <c r="G61" s="361"/>
      <c r="H61" s="361"/>
      <c r="I61" s="361"/>
      <c r="J61" s="361"/>
      <c r="K61" s="361"/>
      <c r="L61" s="361"/>
      <c r="M61" s="361"/>
      <c r="N61" s="409" t="s">
        <v>250</v>
      </c>
      <c r="O61" s="383" t="s">
        <v>0</v>
      </c>
      <c r="P61" s="384"/>
    </row>
    <row r="62" spans="1:16" s="209" customFormat="1" ht="18" customHeight="1">
      <c r="A62" s="378"/>
      <c r="B62" s="380"/>
      <c r="C62" s="380"/>
      <c r="D62" s="382"/>
      <c r="E62" s="410"/>
      <c r="F62" s="409"/>
      <c r="G62" s="360" t="s">
        <v>405</v>
      </c>
      <c r="H62" s="360" t="s">
        <v>407</v>
      </c>
      <c r="I62" s="360" t="s">
        <v>405</v>
      </c>
      <c r="J62" s="360" t="s">
        <v>459</v>
      </c>
      <c r="K62" s="360" t="s">
        <v>405</v>
      </c>
      <c r="L62" s="360" t="s">
        <v>407</v>
      </c>
      <c r="M62" s="360" t="s">
        <v>405</v>
      </c>
      <c r="N62" s="409"/>
      <c r="O62" s="360" t="s">
        <v>1</v>
      </c>
      <c r="P62" s="289" t="s">
        <v>2</v>
      </c>
    </row>
    <row r="63" spans="1:16" s="183" customFormat="1" ht="27" customHeight="1">
      <c r="A63" s="93">
        <v>854</v>
      </c>
      <c r="B63" s="93">
        <v>85495</v>
      </c>
      <c r="C63" s="93">
        <v>2320</v>
      </c>
      <c r="D63" s="14" t="s">
        <v>389</v>
      </c>
      <c r="E63" s="200" t="s">
        <v>390</v>
      </c>
      <c r="F63" s="188">
        <v>200000</v>
      </c>
      <c r="G63" s="188"/>
      <c r="H63" s="188">
        <v>200000</v>
      </c>
      <c r="I63" s="188"/>
      <c r="J63" s="188">
        <f>SUM(H63:I63)</f>
        <v>200000</v>
      </c>
      <c r="K63" s="188">
        <v>0</v>
      </c>
      <c r="L63" s="188">
        <f>SUM(J63:K63)</f>
        <v>200000</v>
      </c>
      <c r="M63" s="188">
        <v>0</v>
      </c>
      <c r="N63" s="188">
        <v>200000</v>
      </c>
      <c r="O63" s="188">
        <v>200000</v>
      </c>
      <c r="P63" s="124">
        <f t="shared" si="1"/>
        <v>100</v>
      </c>
    </row>
    <row r="64" spans="1:16" s="191" customFormat="1" ht="21.75" customHeight="1">
      <c r="A64" s="93">
        <v>854</v>
      </c>
      <c r="B64" s="93">
        <v>85495</v>
      </c>
      <c r="C64" s="93">
        <v>2320</v>
      </c>
      <c r="D64" s="14" t="s">
        <v>391</v>
      </c>
      <c r="E64" s="14" t="s">
        <v>392</v>
      </c>
      <c r="F64" s="64">
        <v>26650</v>
      </c>
      <c r="G64" s="64"/>
      <c r="H64" s="64">
        <v>26650</v>
      </c>
      <c r="I64" s="64"/>
      <c r="J64" s="188">
        <f>SUM(H64:I64)</f>
        <v>26650</v>
      </c>
      <c r="K64" s="64">
        <v>0</v>
      </c>
      <c r="L64" s="188">
        <f>SUM(J64:K64)</f>
        <v>26650</v>
      </c>
      <c r="M64" s="64">
        <v>0</v>
      </c>
      <c r="N64" s="188">
        <v>26650</v>
      </c>
      <c r="O64" s="64">
        <v>26650</v>
      </c>
      <c r="P64" s="124">
        <f t="shared" si="1"/>
        <v>100</v>
      </c>
    </row>
    <row r="65" spans="1:16" s="191" customFormat="1" ht="33.75">
      <c r="A65" s="93">
        <v>854</v>
      </c>
      <c r="B65" s="93">
        <v>85447</v>
      </c>
      <c r="C65" s="93">
        <v>2320</v>
      </c>
      <c r="D65" s="14" t="s">
        <v>391</v>
      </c>
      <c r="E65" s="198" t="s">
        <v>556</v>
      </c>
      <c r="F65" s="64">
        <v>0</v>
      </c>
      <c r="G65" s="64"/>
      <c r="H65" s="64"/>
      <c r="I65" s="64"/>
      <c r="J65" s="188"/>
      <c r="K65" s="64"/>
      <c r="L65" s="188"/>
      <c r="M65" s="64"/>
      <c r="N65" s="188">
        <v>3000</v>
      </c>
      <c r="O65" s="64">
        <v>3000</v>
      </c>
      <c r="P65" s="124">
        <f t="shared" si="1"/>
        <v>100</v>
      </c>
    </row>
    <row r="66" spans="1:16" s="191" customFormat="1" ht="21.75" customHeight="1">
      <c r="A66" s="93">
        <v>926</v>
      </c>
      <c r="B66" s="93">
        <v>92605</v>
      </c>
      <c r="C66" s="93">
        <v>2320</v>
      </c>
      <c r="D66" s="14" t="s">
        <v>391</v>
      </c>
      <c r="E66" s="198" t="s">
        <v>461</v>
      </c>
      <c r="F66" s="64">
        <v>0</v>
      </c>
      <c r="G66" s="64"/>
      <c r="H66" s="64">
        <v>0</v>
      </c>
      <c r="I66" s="64"/>
      <c r="J66" s="188">
        <f>SUM(H66:I66)</f>
        <v>0</v>
      </c>
      <c r="K66" s="64">
        <v>7000</v>
      </c>
      <c r="L66" s="188">
        <f>SUM(J66:K66)</f>
        <v>7000</v>
      </c>
      <c r="M66" s="64">
        <v>0</v>
      </c>
      <c r="N66" s="188">
        <v>4000</v>
      </c>
      <c r="O66" s="64">
        <v>4000</v>
      </c>
      <c r="P66" s="124">
        <f t="shared" si="1"/>
        <v>100</v>
      </c>
    </row>
    <row r="67" spans="1:16" s="365" customFormat="1" ht="27" customHeight="1">
      <c r="A67" s="389" t="s">
        <v>89</v>
      </c>
      <c r="B67" s="390"/>
      <c r="C67" s="390"/>
      <c r="D67" s="390"/>
      <c r="E67" s="391"/>
      <c r="F67" s="47">
        <f>SUM(F63:F66)</f>
        <v>226650</v>
      </c>
      <c r="G67" s="47">
        <f aca="true" t="shared" si="12" ref="G67:O67">SUM(G63:G66)</f>
        <v>0</v>
      </c>
      <c r="H67" s="47">
        <f t="shared" si="12"/>
        <v>226650</v>
      </c>
      <c r="I67" s="47">
        <f t="shared" si="12"/>
        <v>0</v>
      </c>
      <c r="J67" s="47">
        <f t="shared" si="12"/>
        <v>226650</v>
      </c>
      <c r="K67" s="47">
        <f t="shared" si="12"/>
        <v>7000</v>
      </c>
      <c r="L67" s="47">
        <f t="shared" si="12"/>
        <v>233650</v>
      </c>
      <c r="M67" s="47">
        <f t="shared" si="12"/>
        <v>0</v>
      </c>
      <c r="N67" s="47">
        <f t="shared" si="12"/>
        <v>233650</v>
      </c>
      <c r="O67" s="47">
        <f t="shared" si="12"/>
        <v>233650</v>
      </c>
      <c r="P67" s="34">
        <f t="shared" si="1"/>
        <v>100</v>
      </c>
    </row>
    <row r="68" spans="1:16" s="177" customFormat="1" ht="24" customHeight="1">
      <c r="A68" s="411" t="s">
        <v>428</v>
      </c>
      <c r="B68" s="412"/>
      <c r="C68" s="412"/>
      <c r="D68" s="412"/>
      <c r="E68" s="412"/>
      <c r="F68" s="412"/>
      <c r="G68" s="412"/>
      <c r="H68" s="412"/>
      <c r="I68" s="412"/>
      <c r="J68" s="412"/>
      <c r="K68" s="412"/>
      <c r="L68" s="412"/>
      <c r="M68" s="412"/>
      <c r="N68" s="412"/>
      <c r="O68" s="412"/>
      <c r="P68" s="413"/>
    </row>
    <row r="69" spans="1:16" s="137" customFormat="1" ht="18" customHeight="1">
      <c r="A69" s="410" t="s">
        <v>12</v>
      </c>
      <c r="B69" s="410" t="s">
        <v>13</v>
      </c>
      <c r="C69" s="410" t="s">
        <v>14</v>
      </c>
      <c r="D69" s="410" t="s">
        <v>364</v>
      </c>
      <c r="E69" s="410" t="s">
        <v>365</v>
      </c>
      <c r="F69" s="409" t="s">
        <v>171</v>
      </c>
      <c r="G69" s="361"/>
      <c r="H69" s="361"/>
      <c r="I69" s="361"/>
      <c r="J69" s="361"/>
      <c r="K69" s="361"/>
      <c r="L69" s="361"/>
      <c r="M69" s="361"/>
      <c r="N69" s="409" t="s">
        <v>250</v>
      </c>
      <c r="O69" s="416" t="s">
        <v>0</v>
      </c>
      <c r="P69" s="416"/>
    </row>
    <row r="70" spans="1:16" s="177" customFormat="1" ht="18" customHeight="1">
      <c r="A70" s="410"/>
      <c r="B70" s="410"/>
      <c r="C70" s="410"/>
      <c r="D70" s="410"/>
      <c r="E70" s="410"/>
      <c r="F70" s="409"/>
      <c r="G70" s="167" t="s">
        <v>405</v>
      </c>
      <c r="H70" s="167" t="s">
        <v>407</v>
      </c>
      <c r="I70" s="167" t="s">
        <v>245</v>
      </c>
      <c r="J70" s="167" t="s">
        <v>459</v>
      </c>
      <c r="K70" s="167" t="s">
        <v>405</v>
      </c>
      <c r="L70" s="167" t="s">
        <v>407</v>
      </c>
      <c r="M70" s="167" t="s">
        <v>405</v>
      </c>
      <c r="N70" s="409"/>
      <c r="O70" s="181" t="s">
        <v>1</v>
      </c>
      <c r="P70" s="289" t="s">
        <v>2</v>
      </c>
    </row>
    <row r="71" spans="1:16" s="137" customFormat="1" ht="33.75">
      <c r="A71" s="63">
        <v>851</v>
      </c>
      <c r="B71" s="63">
        <v>85154</v>
      </c>
      <c r="C71" s="63">
        <v>2710</v>
      </c>
      <c r="D71" s="62" t="s">
        <v>431</v>
      </c>
      <c r="E71" s="50" t="s">
        <v>432</v>
      </c>
      <c r="F71" s="290">
        <v>0</v>
      </c>
      <c r="G71" s="290"/>
      <c r="H71" s="290">
        <f>SUM(F71:G71)</f>
        <v>0</v>
      </c>
      <c r="I71" s="290">
        <v>11551</v>
      </c>
      <c r="J71" s="290">
        <f>SUM(H71:I71)</f>
        <v>11551</v>
      </c>
      <c r="K71" s="290">
        <v>0</v>
      </c>
      <c r="L71" s="290">
        <f>SUM(J71:K71)</f>
        <v>11551</v>
      </c>
      <c r="M71" s="290">
        <v>0</v>
      </c>
      <c r="N71" s="290">
        <v>11551</v>
      </c>
      <c r="O71" s="104">
        <v>11551</v>
      </c>
      <c r="P71" s="124">
        <f aca="true" t="shared" si="13" ref="P71:P89">O71/N71*100</f>
        <v>100</v>
      </c>
    </row>
    <row r="72" spans="1:16" s="137" customFormat="1" ht="33.75">
      <c r="A72" s="63">
        <v>853</v>
      </c>
      <c r="B72" s="63">
        <v>85311</v>
      </c>
      <c r="C72" s="63">
        <v>2710</v>
      </c>
      <c r="D72" s="62" t="s">
        <v>469</v>
      </c>
      <c r="E72" s="50" t="s">
        <v>470</v>
      </c>
      <c r="F72" s="290">
        <v>0</v>
      </c>
      <c r="G72" s="290"/>
      <c r="H72" s="290"/>
      <c r="I72" s="290"/>
      <c r="J72" s="290"/>
      <c r="K72" s="290"/>
      <c r="L72" s="290">
        <v>0</v>
      </c>
      <c r="M72" s="290">
        <v>5352</v>
      </c>
      <c r="N72" s="290">
        <v>5352</v>
      </c>
      <c r="O72" s="104">
        <v>5352</v>
      </c>
      <c r="P72" s="124">
        <f t="shared" si="13"/>
        <v>100</v>
      </c>
    </row>
    <row r="73" spans="1:16" s="365" customFormat="1" ht="21.75" customHeight="1">
      <c r="A73" s="389" t="s">
        <v>89</v>
      </c>
      <c r="B73" s="390"/>
      <c r="C73" s="390"/>
      <c r="D73" s="390"/>
      <c r="E73" s="391"/>
      <c r="F73" s="364">
        <f>SUM(F71:F72)</f>
        <v>0</v>
      </c>
      <c r="G73" s="364">
        <f aca="true" t="shared" si="14" ref="G73:O73">SUM(G71:G72)</f>
        <v>0</v>
      </c>
      <c r="H73" s="364">
        <f t="shared" si="14"/>
        <v>0</v>
      </c>
      <c r="I73" s="364">
        <f t="shared" si="14"/>
        <v>11551</v>
      </c>
      <c r="J73" s="364">
        <f t="shared" si="14"/>
        <v>11551</v>
      </c>
      <c r="K73" s="364">
        <f t="shared" si="14"/>
        <v>0</v>
      </c>
      <c r="L73" s="364">
        <f t="shared" si="14"/>
        <v>11551</v>
      </c>
      <c r="M73" s="364">
        <f t="shared" si="14"/>
        <v>5352</v>
      </c>
      <c r="N73" s="364">
        <f t="shared" si="14"/>
        <v>16903</v>
      </c>
      <c r="O73" s="364">
        <f t="shared" si="14"/>
        <v>16903</v>
      </c>
      <c r="P73" s="34">
        <f t="shared" si="13"/>
        <v>100</v>
      </c>
    </row>
    <row r="74" spans="1:16" s="25" customFormat="1" ht="27" customHeight="1">
      <c r="A74" s="392" t="s">
        <v>446</v>
      </c>
      <c r="B74" s="392"/>
      <c r="C74" s="392"/>
      <c r="D74" s="392"/>
      <c r="E74" s="392"/>
      <c r="F74" s="34">
        <f aca="true" t="shared" si="15" ref="F74:O74">SUM(F24,F59,F67,F73)</f>
        <v>5362098</v>
      </c>
      <c r="G74" s="34">
        <f t="shared" si="15"/>
        <v>11500</v>
      </c>
      <c r="H74" s="34">
        <f t="shared" si="15"/>
        <v>5373598</v>
      </c>
      <c r="I74" s="34">
        <f t="shared" si="15"/>
        <v>-6849</v>
      </c>
      <c r="J74" s="34">
        <f t="shared" si="15"/>
        <v>5366749</v>
      </c>
      <c r="K74" s="34">
        <f t="shared" si="15"/>
        <v>5000</v>
      </c>
      <c r="L74" s="34">
        <f t="shared" si="15"/>
        <v>5371749</v>
      </c>
      <c r="M74" s="34">
        <f t="shared" si="15"/>
        <v>204413</v>
      </c>
      <c r="N74" s="34">
        <f t="shared" si="15"/>
        <v>5645857</v>
      </c>
      <c r="O74" s="34">
        <f t="shared" si="15"/>
        <v>5364811.31</v>
      </c>
      <c r="P74" s="34">
        <f t="shared" si="13"/>
        <v>95.02208982622123</v>
      </c>
    </row>
    <row r="75" spans="1:16" s="25" customFormat="1" ht="27" customHeight="1">
      <c r="A75" s="301"/>
      <c r="B75" s="301"/>
      <c r="C75" s="301"/>
      <c r="D75" s="301"/>
      <c r="E75" s="301"/>
      <c r="F75" s="136"/>
      <c r="G75" s="136"/>
      <c r="H75" s="136"/>
      <c r="I75" s="136"/>
      <c r="J75" s="136"/>
      <c r="K75" s="136"/>
      <c r="L75" s="136"/>
      <c r="M75" s="136"/>
      <c r="N75" s="136"/>
      <c r="O75" s="136"/>
      <c r="P75" s="302"/>
    </row>
    <row r="76" spans="1:16" s="25" customFormat="1" ht="27" customHeight="1">
      <c r="A76" s="301"/>
      <c r="B76" s="301"/>
      <c r="C76" s="301"/>
      <c r="D76" s="301"/>
      <c r="E76" s="301"/>
      <c r="F76" s="136"/>
      <c r="G76" s="136"/>
      <c r="H76" s="136"/>
      <c r="I76" s="136"/>
      <c r="J76" s="136"/>
      <c r="K76" s="136"/>
      <c r="L76" s="136"/>
      <c r="M76" s="136"/>
      <c r="N76" s="136"/>
      <c r="O76" s="136"/>
      <c r="P76" s="302"/>
    </row>
    <row r="77" spans="1:16" s="25" customFormat="1" ht="27" customHeight="1">
      <c r="A77" s="301"/>
      <c r="B77" s="301"/>
      <c r="C77" s="301"/>
      <c r="D77" s="301"/>
      <c r="E77" s="301"/>
      <c r="F77" s="136"/>
      <c r="G77" s="136"/>
      <c r="H77" s="136"/>
      <c r="I77" s="136"/>
      <c r="J77" s="136"/>
      <c r="K77" s="136"/>
      <c r="L77" s="136"/>
      <c r="M77" s="136"/>
      <c r="N77" s="136"/>
      <c r="O77" s="136"/>
      <c r="P77" s="302"/>
    </row>
    <row r="78" spans="1:16" s="25" customFormat="1" ht="27" customHeight="1">
      <c r="A78" s="301"/>
      <c r="B78" s="301"/>
      <c r="C78" s="301"/>
      <c r="D78" s="301"/>
      <c r="E78" s="301"/>
      <c r="F78" s="136"/>
      <c r="G78" s="136"/>
      <c r="H78" s="136"/>
      <c r="I78" s="136"/>
      <c r="J78" s="136"/>
      <c r="K78" s="136"/>
      <c r="L78" s="136"/>
      <c r="M78" s="136"/>
      <c r="N78" s="136"/>
      <c r="O78" s="136"/>
      <c r="P78" s="302"/>
    </row>
    <row r="79" spans="1:16" ht="27" customHeight="1">
      <c r="A79" s="370" t="s">
        <v>444</v>
      </c>
      <c r="B79" s="370"/>
      <c r="C79" s="370"/>
      <c r="D79" s="370"/>
      <c r="E79" s="370"/>
      <c r="F79" s="370"/>
      <c r="G79" s="370"/>
      <c r="H79" s="370"/>
      <c r="I79" s="370"/>
      <c r="J79" s="370"/>
      <c r="K79" s="370"/>
      <c r="L79" s="370"/>
      <c r="M79" s="370"/>
      <c r="N79" s="370"/>
      <c r="O79" s="370"/>
      <c r="P79" s="370"/>
    </row>
    <row r="80" spans="1:16" ht="27" customHeight="1">
      <c r="A80" s="392" t="s">
        <v>445</v>
      </c>
      <c r="B80" s="392"/>
      <c r="C80" s="392"/>
      <c r="D80" s="392"/>
      <c r="E80" s="392"/>
      <c r="F80" s="392"/>
      <c r="G80" s="392"/>
      <c r="H80" s="392"/>
      <c r="I80" s="392"/>
      <c r="J80" s="392"/>
      <c r="K80" s="392"/>
      <c r="L80" s="392"/>
      <c r="M80" s="392"/>
      <c r="N80" s="392"/>
      <c r="O80" s="392"/>
      <c r="P80" s="392"/>
    </row>
    <row r="81" spans="1:16" s="24" customFormat="1" ht="18" customHeight="1">
      <c r="A81" s="410" t="s">
        <v>12</v>
      </c>
      <c r="B81" s="410" t="s">
        <v>13</v>
      </c>
      <c r="C81" s="410" t="s">
        <v>14</v>
      </c>
      <c r="D81" s="410" t="s">
        <v>364</v>
      </c>
      <c r="E81" s="410" t="s">
        <v>365</v>
      </c>
      <c r="F81" s="409" t="s">
        <v>171</v>
      </c>
      <c r="G81" s="361"/>
      <c r="H81" s="361"/>
      <c r="I81" s="361"/>
      <c r="J81" s="361"/>
      <c r="K81" s="361"/>
      <c r="L81" s="361"/>
      <c r="M81" s="361"/>
      <c r="N81" s="409" t="s">
        <v>250</v>
      </c>
      <c r="O81" s="416" t="s">
        <v>0</v>
      </c>
      <c r="P81" s="416"/>
    </row>
    <row r="82" spans="1:16" s="24" customFormat="1" ht="18" customHeight="1">
      <c r="A82" s="410"/>
      <c r="B82" s="410"/>
      <c r="C82" s="410"/>
      <c r="D82" s="410"/>
      <c r="E82" s="410"/>
      <c r="F82" s="409"/>
      <c r="G82" s="360" t="s">
        <v>405</v>
      </c>
      <c r="H82" s="360" t="s">
        <v>407</v>
      </c>
      <c r="I82" s="360" t="s">
        <v>245</v>
      </c>
      <c r="J82" s="360" t="s">
        <v>459</v>
      </c>
      <c r="K82" s="360" t="s">
        <v>405</v>
      </c>
      <c r="L82" s="360" t="s">
        <v>407</v>
      </c>
      <c r="M82" s="360" t="s">
        <v>405</v>
      </c>
      <c r="N82" s="409"/>
      <c r="O82" s="360" t="s">
        <v>1</v>
      </c>
      <c r="P82" s="289" t="s">
        <v>2</v>
      </c>
    </row>
    <row r="83" spans="1:16" s="24" customFormat="1" ht="67.5">
      <c r="A83" s="63">
        <v>600</v>
      </c>
      <c r="B83" s="63">
        <v>60013</v>
      </c>
      <c r="C83" s="63">
        <v>6300</v>
      </c>
      <c r="D83" s="62" t="s">
        <v>433</v>
      </c>
      <c r="E83" s="50" t="s">
        <v>434</v>
      </c>
      <c r="F83" s="290">
        <v>0</v>
      </c>
      <c r="G83" s="290"/>
      <c r="H83" s="290">
        <f>SUM(F83:G83)</f>
        <v>0</v>
      </c>
      <c r="I83" s="290">
        <v>30000</v>
      </c>
      <c r="J83" s="290">
        <f>SUM(H83:I83)</f>
        <v>30000</v>
      </c>
      <c r="K83" s="290">
        <v>0</v>
      </c>
      <c r="L83" s="290">
        <f>SUM(J83:K83)</f>
        <v>30000</v>
      </c>
      <c r="M83" s="290">
        <v>0</v>
      </c>
      <c r="N83" s="290">
        <f>SUM(L83:M83)</f>
        <v>30000</v>
      </c>
      <c r="O83" s="104">
        <v>30000</v>
      </c>
      <c r="P83" s="124">
        <f t="shared" si="13"/>
        <v>100</v>
      </c>
    </row>
    <row r="84" spans="1:16" s="8" customFormat="1" ht="27" customHeight="1">
      <c r="A84" s="389" t="s">
        <v>89</v>
      </c>
      <c r="B84" s="390"/>
      <c r="C84" s="390"/>
      <c r="D84" s="390"/>
      <c r="E84" s="391"/>
      <c r="F84" s="364">
        <f>SUM(F83:F83)</f>
        <v>0</v>
      </c>
      <c r="G84" s="364">
        <f>SUM(G83:G83)</f>
        <v>0</v>
      </c>
      <c r="H84" s="364">
        <f>SUM(F84:G84)</f>
        <v>0</v>
      </c>
      <c r="I84" s="364">
        <f>SUM(I83:I83)</f>
        <v>30000</v>
      </c>
      <c r="J84" s="364">
        <f>SUM(H84:I84)</f>
        <v>30000</v>
      </c>
      <c r="K84" s="364">
        <f>SUM(K83:K83)</f>
        <v>0</v>
      </c>
      <c r="L84" s="364">
        <f>SUM(J84:K84)</f>
        <v>30000</v>
      </c>
      <c r="M84" s="364">
        <f>SUM(M83:M83)</f>
        <v>0</v>
      </c>
      <c r="N84" s="364">
        <f>SUM(L84:M84)</f>
        <v>30000</v>
      </c>
      <c r="O84" s="47">
        <f>SUM(O83:O83)</f>
        <v>30000</v>
      </c>
      <c r="P84" s="34">
        <f t="shared" si="13"/>
        <v>100</v>
      </c>
    </row>
    <row r="85" spans="1:16" ht="22.5" customHeight="1">
      <c r="A85" s="411" t="s">
        <v>495</v>
      </c>
      <c r="B85" s="412"/>
      <c r="C85" s="412"/>
      <c r="D85" s="412"/>
      <c r="E85" s="412"/>
      <c r="F85" s="412"/>
      <c r="G85" s="412"/>
      <c r="H85" s="412"/>
      <c r="I85" s="412"/>
      <c r="J85" s="412"/>
      <c r="K85" s="412"/>
      <c r="L85" s="412"/>
      <c r="M85" s="412"/>
      <c r="N85" s="412"/>
      <c r="O85" s="412"/>
      <c r="P85" s="413"/>
    </row>
    <row r="86" spans="1:16" s="298" customFormat="1" ht="33.75">
      <c r="A86" s="293">
        <v>754</v>
      </c>
      <c r="B86" s="293">
        <v>75411</v>
      </c>
      <c r="C86" s="293">
        <v>6620</v>
      </c>
      <c r="D86" s="294" t="s">
        <v>469</v>
      </c>
      <c r="E86" s="295" t="s">
        <v>10</v>
      </c>
      <c r="F86" s="296">
        <v>0</v>
      </c>
      <c r="G86" s="296"/>
      <c r="H86" s="296"/>
      <c r="I86" s="296"/>
      <c r="J86" s="296"/>
      <c r="K86" s="296"/>
      <c r="L86" s="296">
        <v>0</v>
      </c>
      <c r="M86" s="296">
        <v>25000</v>
      </c>
      <c r="N86" s="296">
        <f>SUM(L86:M86)</f>
        <v>25000</v>
      </c>
      <c r="O86" s="297">
        <v>25000</v>
      </c>
      <c r="P86" s="124">
        <f t="shared" si="13"/>
        <v>100</v>
      </c>
    </row>
    <row r="87" spans="1:16" ht="27" customHeight="1">
      <c r="A87" s="389" t="s">
        <v>89</v>
      </c>
      <c r="B87" s="390"/>
      <c r="C87" s="390"/>
      <c r="D87" s="390"/>
      <c r="E87" s="391"/>
      <c r="F87" s="354">
        <f>SUM(F83,F86)</f>
        <v>0</v>
      </c>
      <c r="G87" s="355"/>
      <c r="H87" s="355"/>
      <c r="I87" s="355"/>
      <c r="J87" s="355"/>
      <c r="K87" s="355"/>
      <c r="L87" s="355">
        <f>SUM(L86)</f>
        <v>0</v>
      </c>
      <c r="M87" s="355">
        <f>SUM(M86)</f>
        <v>25000</v>
      </c>
      <c r="N87" s="354">
        <f>SUM(N86)</f>
        <v>25000</v>
      </c>
      <c r="O87" s="354">
        <f>SUM(O86)</f>
        <v>25000</v>
      </c>
      <c r="P87" s="299">
        <f t="shared" si="13"/>
        <v>100</v>
      </c>
    </row>
    <row r="88" spans="1:16" s="261" customFormat="1" ht="27" customHeight="1">
      <c r="A88" s="202" t="s">
        <v>576</v>
      </c>
      <c r="B88" s="202"/>
      <c r="C88" s="202"/>
      <c r="D88" s="202"/>
      <c r="E88" s="202"/>
      <c r="F88" s="34">
        <f>SUM(F84,F87)</f>
        <v>0</v>
      </c>
      <c r="G88" s="356"/>
      <c r="H88" s="34">
        <f>SUM(H84)</f>
        <v>0</v>
      </c>
      <c r="I88" s="34">
        <f>SUM(I84)</f>
        <v>30000</v>
      </c>
      <c r="J88" s="34">
        <f>SUM(J84)</f>
        <v>30000</v>
      </c>
      <c r="K88" s="34">
        <f>SUM(K84)</f>
        <v>0</v>
      </c>
      <c r="L88" s="34">
        <f>SUM(L84,L87)</f>
        <v>30000</v>
      </c>
      <c r="M88" s="34">
        <f>SUM(M84,M87)</f>
        <v>25000</v>
      </c>
      <c r="N88" s="34">
        <f>SUM(N84,N87)</f>
        <v>55000</v>
      </c>
      <c r="O88" s="34">
        <f>SUM(O84,O87)</f>
        <v>55000</v>
      </c>
      <c r="P88" s="34">
        <f t="shared" si="13"/>
        <v>100</v>
      </c>
    </row>
    <row r="89" spans="1:16" s="300" customFormat="1" ht="27" customHeight="1">
      <c r="A89" s="415" t="s">
        <v>577</v>
      </c>
      <c r="B89" s="415"/>
      <c r="C89" s="415"/>
      <c r="D89" s="415"/>
      <c r="E89" s="415"/>
      <c r="F89" s="34">
        <f>SUM(F88,F74,)</f>
        <v>5362098</v>
      </c>
      <c r="G89" s="357"/>
      <c r="H89" s="34">
        <f aca="true" t="shared" si="16" ref="H89:M89">SUM(H88,H74)</f>
        <v>5373598</v>
      </c>
      <c r="I89" s="34">
        <f t="shared" si="16"/>
        <v>23151</v>
      </c>
      <c r="J89" s="34">
        <f t="shared" si="16"/>
        <v>5396749</v>
      </c>
      <c r="K89" s="34">
        <f t="shared" si="16"/>
        <v>5000</v>
      </c>
      <c r="L89" s="34">
        <f t="shared" si="16"/>
        <v>5401749</v>
      </c>
      <c r="M89" s="34">
        <f t="shared" si="16"/>
        <v>229413</v>
      </c>
      <c r="N89" s="34">
        <f>SUM(N88,N74,)</f>
        <v>5700857</v>
      </c>
      <c r="O89" s="34">
        <f>SUM(O88,O74,)</f>
        <v>5419811.31</v>
      </c>
      <c r="P89" s="34">
        <f t="shared" si="13"/>
        <v>95.07011507217248</v>
      </c>
    </row>
  </sheetData>
  <mergeCells count="56">
    <mergeCell ref="A7:P7"/>
    <mergeCell ref="A79:P79"/>
    <mergeCell ref="A8:P8"/>
    <mergeCell ref="A9:A10"/>
    <mergeCell ref="B9:B10"/>
    <mergeCell ref="C9:C10"/>
    <mergeCell ref="D9:D10"/>
    <mergeCell ref="A28:P28"/>
    <mergeCell ref="A74:E74"/>
    <mergeCell ref="N29:N30"/>
    <mergeCell ref="D29:D30"/>
    <mergeCell ref="C29:C30"/>
    <mergeCell ref="E29:E30"/>
    <mergeCell ref="F29:F30"/>
    <mergeCell ref="D61:D62"/>
    <mergeCell ref="N61:N62"/>
    <mergeCell ref="O61:P61"/>
    <mergeCell ref="A67:E67"/>
    <mergeCell ref="F81:F82"/>
    <mergeCell ref="N81:N82"/>
    <mergeCell ref="C81:C82"/>
    <mergeCell ref="D81:D82"/>
    <mergeCell ref="O69:P69"/>
    <mergeCell ref="E69:E70"/>
    <mergeCell ref="D69:D70"/>
    <mergeCell ref="C69:C70"/>
    <mergeCell ref="A29:A30"/>
    <mergeCell ref="A69:A70"/>
    <mergeCell ref="F69:F70"/>
    <mergeCell ref="N69:N70"/>
    <mergeCell ref="A59:E59"/>
    <mergeCell ref="B69:B70"/>
    <mergeCell ref="A68:P68"/>
    <mergeCell ref="A61:A62"/>
    <mergeCell ref="B61:B62"/>
    <mergeCell ref="C61:C62"/>
    <mergeCell ref="A89:E89"/>
    <mergeCell ref="A84:E84"/>
    <mergeCell ref="A73:E73"/>
    <mergeCell ref="A87:E87"/>
    <mergeCell ref="A81:A82"/>
    <mergeCell ref="B81:B82"/>
    <mergeCell ref="A80:P80"/>
    <mergeCell ref="A85:P85"/>
    <mergeCell ref="O81:P81"/>
    <mergeCell ref="E81:E82"/>
    <mergeCell ref="F9:F10"/>
    <mergeCell ref="F61:F62"/>
    <mergeCell ref="E61:E62"/>
    <mergeCell ref="B29:B30"/>
    <mergeCell ref="A60:P60"/>
    <mergeCell ref="N9:N10"/>
    <mergeCell ref="O9:P9"/>
    <mergeCell ref="E9:E10"/>
    <mergeCell ref="A24:E24"/>
    <mergeCell ref="O29:P29"/>
  </mergeCells>
  <printOptions horizontalCentered="1"/>
  <pageMargins left="0.5118110236220472" right="0.5118110236220472" top="0.5905511811023623" bottom="0.5905511811023623" header="0.5118110236220472" footer="0.31496062992125984"/>
  <pageSetup firstPageNumber="1" useFirstPageNumber="1" horizontalDpi="600" verticalDpi="600" orientation="landscape" paperSize="9" scale="95" r:id="rId1"/>
  <headerFooter alignWithMargins="0">
    <oddFooter>&amp;C&amp;8Dotacje przekazywane - str.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W82"/>
  <sheetViews>
    <sheetView workbookViewId="0" topLeftCell="A1">
      <selection activeCell="I15" sqref="I15"/>
    </sheetView>
  </sheetViews>
  <sheetFormatPr defaultColWidth="9.00390625" defaultRowHeight="12.75"/>
  <cols>
    <col min="1" max="1" width="4.875" style="8" customWidth="1"/>
    <col min="2" max="2" width="7.375" style="8" customWidth="1"/>
    <col min="3" max="3" width="5.75390625" style="8" customWidth="1"/>
    <col min="4" max="4" width="29.00390625" style="8" customWidth="1"/>
    <col min="5" max="5" width="12.75390625" style="0" customWidth="1"/>
    <col min="6" max="7" width="13.125" style="0" customWidth="1"/>
    <col min="8" max="8" width="7.375" style="177" customWidth="1"/>
  </cols>
  <sheetData>
    <row r="1" spans="5:8" ht="12.75">
      <c r="E1" s="67"/>
      <c r="F1" s="350"/>
      <c r="G1" s="353" t="s">
        <v>578</v>
      </c>
      <c r="H1" s="350"/>
    </row>
    <row r="2" spans="4:8" ht="12.75">
      <c r="D2" s="8" t="s">
        <v>265</v>
      </c>
      <c r="E2" s="67"/>
      <c r="F2" s="350"/>
      <c r="G2" s="353" t="s">
        <v>562</v>
      </c>
      <c r="H2" s="350"/>
    </row>
    <row r="3" spans="4:8" ht="12.75">
      <c r="D3" s="8" t="s">
        <v>263</v>
      </c>
      <c r="E3" s="67"/>
      <c r="F3" s="350"/>
      <c r="G3" s="353" t="s">
        <v>515</v>
      </c>
      <c r="H3" s="350"/>
    </row>
    <row r="4" spans="5:8" ht="12.75">
      <c r="E4" s="67"/>
      <c r="F4" s="350"/>
      <c r="G4" s="353" t="s">
        <v>564</v>
      </c>
      <c r="H4" s="350"/>
    </row>
    <row r="5" spans="1:7" ht="30.75" customHeight="1">
      <c r="A5" s="407" t="s">
        <v>538</v>
      </c>
      <c r="B5" s="407"/>
      <c r="C5" s="407"/>
      <c r="D5" s="407"/>
      <c r="E5" s="407"/>
      <c r="F5" s="407"/>
      <c r="G5" s="407"/>
    </row>
    <row r="6" spans="1:8" ht="18" customHeight="1">
      <c r="A6" s="374" t="s">
        <v>12</v>
      </c>
      <c r="B6" s="374" t="s">
        <v>13</v>
      </c>
      <c r="C6" s="374" t="s">
        <v>14</v>
      </c>
      <c r="D6" s="374" t="s">
        <v>15</v>
      </c>
      <c r="E6" s="372" t="s">
        <v>170</v>
      </c>
      <c r="F6" s="372" t="s">
        <v>250</v>
      </c>
      <c r="G6" s="373" t="s">
        <v>0</v>
      </c>
      <c r="H6" s="373"/>
    </row>
    <row r="7" spans="1:8" s="8" customFormat="1" ht="18" customHeight="1">
      <c r="A7" s="374"/>
      <c r="B7" s="374"/>
      <c r="C7" s="374"/>
      <c r="D7" s="374"/>
      <c r="E7" s="372"/>
      <c r="F7" s="372"/>
      <c r="G7" s="119" t="s">
        <v>1</v>
      </c>
      <c r="H7" s="2" t="s">
        <v>2</v>
      </c>
    </row>
    <row r="8" spans="1:8" s="8" customFormat="1" ht="19.5" customHeight="1">
      <c r="A8" s="37" t="s">
        <v>16</v>
      </c>
      <c r="B8" s="70"/>
      <c r="C8" s="108"/>
      <c r="D8" s="40" t="s">
        <v>17</v>
      </c>
      <c r="E8" s="148">
        <f>SUM(E9)</f>
        <v>0</v>
      </c>
      <c r="F8" s="148">
        <f>SUM(F9)</f>
        <v>193526</v>
      </c>
      <c r="G8" s="148">
        <f>SUM(G9)</f>
        <v>193525.17</v>
      </c>
      <c r="H8" s="34">
        <f>G8/F8*100</f>
        <v>99.99957111705922</v>
      </c>
    </row>
    <row r="9" spans="1:8" s="8" customFormat="1" ht="19.5" customHeight="1">
      <c r="A9" s="80"/>
      <c r="B9" s="77" t="s">
        <v>435</v>
      </c>
      <c r="C9" s="207"/>
      <c r="D9" s="42" t="s">
        <v>18</v>
      </c>
      <c r="E9" s="194">
        <f>SUM(E10:E14)</f>
        <v>0</v>
      </c>
      <c r="F9" s="194">
        <f>SUM(F10:F14)</f>
        <v>193526</v>
      </c>
      <c r="G9" s="194">
        <f>SUM(G10:G14)</f>
        <v>193525.17</v>
      </c>
      <c r="H9" s="124">
        <f aca="true" t="shared" si="0" ref="H9:H64">G9/F9*100</f>
        <v>99.99957111705922</v>
      </c>
    </row>
    <row r="10" spans="1:8" s="8" customFormat="1" ht="19.5" customHeight="1">
      <c r="A10" s="80"/>
      <c r="B10" s="77"/>
      <c r="C10" s="207">
        <v>4210</v>
      </c>
      <c r="D10" s="88" t="s">
        <v>113</v>
      </c>
      <c r="E10" s="194">
        <v>0</v>
      </c>
      <c r="F10" s="254">
        <v>300</v>
      </c>
      <c r="G10" s="194">
        <v>300</v>
      </c>
      <c r="H10" s="124">
        <f t="shared" si="0"/>
        <v>100</v>
      </c>
    </row>
    <row r="11" spans="1:8" s="24" customFormat="1" ht="19.5" customHeight="1">
      <c r="A11" s="80"/>
      <c r="B11" s="77"/>
      <c r="C11" s="207">
        <v>4300</v>
      </c>
      <c r="D11" s="14" t="s">
        <v>100</v>
      </c>
      <c r="E11" s="194">
        <v>0</v>
      </c>
      <c r="F11" s="254">
        <v>2718</v>
      </c>
      <c r="G11" s="194">
        <v>2717.89</v>
      </c>
      <c r="H11" s="124">
        <f t="shared" si="0"/>
        <v>99.99595290654892</v>
      </c>
    </row>
    <row r="12" spans="1:8" s="24" customFormat="1" ht="19.5" customHeight="1">
      <c r="A12" s="93"/>
      <c r="B12" s="93"/>
      <c r="C12" s="85">
        <v>4430</v>
      </c>
      <c r="D12" s="42" t="s">
        <v>115</v>
      </c>
      <c r="E12" s="194">
        <v>0</v>
      </c>
      <c r="F12" s="254">
        <v>189731</v>
      </c>
      <c r="G12" s="194">
        <v>189730.56</v>
      </c>
      <c r="H12" s="124">
        <f t="shared" si="0"/>
        <v>99.99976809272074</v>
      </c>
    </row>
    <row r="13" spans="1:8" s="24" customFormat="1" ht="33.75">
      <c r="A13" s="93"/>
      <c r="B13" s="93"/>
      <c r="C13" s="59">
        <v>4740</v>
      </c>
      <c r="D13" s="14" t="s">
        <v>289</v>
      </c>
      <c r="E13" s="194">
        <v>0</v>
      </c>
      <c r="F13" s="254">
        <v>527</v>
      </c>
      <c r="G13" s="194">
        <v>526.72</v>
      </c>
      <c r="H13" s="124">
        <f t="shared" si="0"/>
        <v>99.94686907020873</v>
      </c>
    </row>
    <row r="14" spans="1:8" s="24" customFormat="1" ht="24.75" customHeight="1">
      <c r="A14" s="93"/>
      <c r="B14" s="93"/>
      <c r="C14" s="91">
        <v>4750</v>
      </c>
      <c r="D14" s="14" t="s">
        <v>502</v>
      </c>
      <c r="E14" s="194">
        <v>0</v>
      </c>
      <c r="F14" s="254">
        <v>250</v>
      </c>
      <c r="G14" s="194">
        <v>250</v>
      </c>
      <c r="H14" s="124">
        <f t="shared" si="0"/>
        <v>100</v>
      </c>
    </row>
    <row r="15" spans="1:8" s="24" customFormat="1" ht="19.5" customHeight="1">
      <c r="A15" s="35" t="s">
        <v>30</v>
      </c>
      <c r="B15" s="5"/>
      <c r="C15" s="20"/>
      <c r="D15" s="33" t="s">
        <v>31</v>
      </c>
      <c r="E15" s="47">
        <f>SUM(E16)</f>
        <v>144800</v>
      </c>
      <c r="F15" s="47">
        <f>SUM(F16)</f>
        <v>152100</v>
      </c>
      <c r="G15" s="47">
        <f>SUM(G16)</f>
        <v>152099.5</v>
      </c>
      <c r="H15" s="34">
        <f t="shared" si="0"/>
        <v>99.99967126890203</v>
      </c>
    </row>
    <row r="16" spans="1:8" s="24" customFormat="1" ht="19.5" customHeight="1">
      <c r="A16" s="83"/>
      <c r="B16" s="83">
        <v>75011</v>
      </c>
      <c r="C16" s="91"/>
      <c r="D16" s="88" t="s">
        <v>32</v>
      </c>
      <c r="E16" s="104">
        <f>SUM(E17:E21)</f>
        <v>144800</v>
      </c>
      <c r="F16" s="104">
        <f>SUM(F17:F21)</f>
        <v>152100</v>
      </c>
      <c r="G16" s="104">
        <f>SUM(G17:G21)</f>
        <v>152099.5</v>
      </c>
      <c r="H16" s="124">
        <f t="shared" si="0"/>
        <v>99.99967126890203</v>
      </c>
    </row>
    <row r="17" spans="1:8" s="24" customFormat="1" ht="24.75" customHeight="1">
      <c r="A17" s="83"/>
      <c r="B17" s="59"/>
      <c r="C17" s="84">
        <v>4010</v>
      </c>
      <c r="D17" s="88" t="s">
        <v>105</v>
      </c>
      <c r="E17" s="104">
        <v>98200</v>
      </c>
      <c r="F17" s="255">
        <v>104775</v>
      </c>
      <c r="G17" s="104">
        <v>104775</v>
      </c>
      <c r="H17" s="124">
        <f t="shared" si="0"/>
        <v>100</v>
      </c>
    </row>
    <row r="18" spans="1:8" s="24" customFormat="1" ht="19.5" customHeight="1">
      <c r="A18" s="83"/>
      <c r="B18" s="59"/>
      <c r="C18" s="84">
        <v>4040</v>
      </c>
      <c r="D18" s="88" t="s">
        <v>106</v>
      </c>
      <c r="E18" s="104">
        <v>16500</v>
      </c>
      <c r="F18" s="255">
        <v>15861</v>
      </c>
      <c r="G18" s="104">
        <v>15860.93</v>
      </c>
      <c r="H18" s="124">
        <f t="shared" si="0"/>
        <v>99.99955866591009</v>
      </c>
    </row>
    <row r="19" spans="1:8" s="24" customFormat="1" ht="19.5" customHeight="1">
      <c r="A19" s="83"/>
      <c r="B19" s="59"/>
      <c r="C19" s="84">
        <v>4110</v>
      </c>
      <c r="D19" s="88" t="s">
        <v>107</v>
      </c>
      <c r="E19" s="104">
        <v>19950</v>
      </c>
      <c r="F19" s="255">
        <v>21004</v>
      </c>
      <c r="G19" s="104">
        <v>21004</v>
      </c>
      <c r="H19" s="124">
        <f t="shared" si="0"/>
        <v>100</v>
      </c>
    </row>
    <row r="20" spans="1:8" s="24" customFormat="1" ht="19.5" customHeight="1">
      <c r="A20" s="83"/>
      <c r="B20" s="59"/>
      <c r="C20" s="84">
        <v>4120</v>
      </c>
      <c r="D20" s="88" t="s">
        <v>108</v>
      </c>
      <c r="E20" s="104">
        <v>2800</v>
      </c>
      <c r="F20" s="255">
        <v>2950</v>
      </c>
      <c r="G20" s="104">
        <v>2950</v>
      </c>
      <c r="H20" s="124">
        <f t="shared" si="0"/>
        <v>100</v>
      </c>
    </row>
    <row r="21" spans="1:8" s="24" customFormat="1" ht="24.75" customHeight="1">
      <c r="A21" s="83"/>
      <c r="B21" s="59"/>
      <c r="C21" s="85">
        <v>4440</v>
      </c>
      <c r="D21" s="88" t="s">
        <v>109</v>
      </c>
      <c r="E21" s="104">
        <v>7350</v>
      </c>
      <c r="F21" s="255">
        <v>7510</v>
      </c>
      <c r="G21" s="104">
        <v>7509.57</v>
      </c>
      <c r="H21" s="124">
        <f t="shared" si="0"/>
        <v>99.99427430093209</v>
      </c>
    </row>
    <row r="22" spans="1:8" s="24" customFormat="1" ht="52.5" customHeight="1">
      <c r="A22" s="35">
        <v>751</v>
      </c>
      <c r="B22" s="5"/>
      <c r="C22" s="20"/>
      <c r="D22" s="33" t="s">
        <v>35</v>
      </c>
      <c r="E22" s="47">
        <f>E23+E27</f>
        <v>3809</v>
      </c>
      <c r="F22" s="47">
        <f>F23+F27</f>
        <v>42220</v>
      </c>
      <c r="G22" s="47">
        <f>G23+G27</f>
        <v>41944.30999999999</v>
      </c>
      <c r="H22" s="34">
        <f t="shared" si="0"/>
        <v>99.34701563240168</v>
      </c>
    </row>
    <row r="23" spans="1:8" s="24" customFormat="1" ht="24.75" customHeight="1">
      <c r="A23" s="59"/>
      <c r="B23" s="83">
        <v>75101</v>
      </c>
      <c r="C23" s="91"/>
      <c r="D23" s="88" t="s">
        <v>36</v>
      </c>
      <c r="E23" s="104">
        <f>SUM(E24:E26)</f>
        <v>3809</v>
      </c>
      <c r="F23" s="104">
        <f>SUM(F24:F26)</f>
        <v>3809</v>
      </c>
      <c r="G23" s="104">
        <f>SUM(G24:G26)</f>
        <v>3809</v>
      </c>
      <c r="H23" s="124">
        <f t="shared" si="0"/>
        <v>100</v>
      </c>
    </row>
    <row r="24" spans="1:8" s="24" customFormat="1" ht="19.5" customHeight="1">
      <c r="A24" s="59"/>
      <c r="B24" s="83"/>
      <c r="C24" s="84">
        <v>4210</v>
      </c>
      <c r="D24" s="88" t="s">
        <v>113</v>
      </c>
      <c r="E24" s="104">
        <v>1009</v>
      </c>
      <c r="F24" s="255">
        <v>2221</v>
      </c>
      <c r="G24" s="104">
        <v>2221</v>
      </c>
      <c r="H24" s="124">
        <f t="shared" si="0"/>
        <v>100</v>
      </c>
    </row>
    <row r="25" spans="1:8" s="24" customFormat="1" ht="24.75" customHeight="1">
      <c r="A25" s="59"/>
      <c r="B25" s="83"/>
      <c r="C25" s="84">
        <v>4700</v>
      </c>
      <c r="D25" s="42" t="s">
        <v>290</v>
      </c>
      <c r="E25" s="104">
        <v>1600</v>
      </c>
      <c r="F25" s="255">
        <v>388</v>
      </c>
      <c r="G25" s="104">
        <v>388</v>
      </c>
      <c r="H25" s="124">
        <f t="shared" si="0"/>
        <v>100</v>
      </c>
    </row>
    <row r="26" spans="1:8" s="24" customFormat="1" ht="33.75">
      <c r="A26" s="59"/>
      <c r="B26" s="83"/>
      <c r="C26" s="84">
        <v>4740</v>
      </c>
      <c r="D26" s="42" t="s">
        <v>289</v>
      </c>
      <c r="E26" s="104">
        <v>1200</v>
      </c>
      <c r="F26" s="255">
        <v>1200</v>
      </c>
      <c r="G26" s="104">
        <v>1200</v>
      </c>
      <c r="H26" s="124">
        <f t="shared" si="0"/>
        <v>100</v>
      </c>
    </row>
    <row r="27" spans="1:8" s="24" customFormat="1" ht="19.5" customHeight="1">
      <c r="A27" s="59"/>
      <c r="B27" s="94">
        <v>75108</v>
      </c>
      <c r="C27" s="77"/>
      <c r="D27" s="42" t="s">
        <v>543</v>
      </c>
      <c r="E27" s="104">
        <f>SUM(E28:E36)</f>
        <v>0</v>
      </c>
      <c r="F27" s="104">
        <f>SUM(F28:F36)</f>
        <v>38411</v>
      </c>
      <c r="G27" s="104">
        <f>SUM(G28:G36)</f>
        <v>38135.30999999999</v>
      </c>
      <c r="H27" s="124">
        <f t="shared" si="0"/>
        <v>99.28226289344195</v>
      </c>
    </row>
    <row r="28" spans="1:8" s="24" customFormat="1" ht="22.5">
      <c r="A28" s="59"/>
      <c r="B28" s="94"/>
      <c r="C28" s="77">
        <v>3030</v>
      </c>
      <c r="D28" s="42" t="s">
        <v>110</v>
      </c>
      <c r="E28" s="104">
        <v>0</v>
      </c>
      <c r="F28" s="104">
        <v>19125</v>
      </c>
      <c r="G28" s="104">
        <v>18855</v>
      </c>
      <c r="H28" s="124">
        <f t="shared" si="0"/>
        <v>98.58823529411764</v>
      </c>
    </row>
    <row r="29" spans="1:8" s="24" customFormat="1" ht="19.5" customHeight="1">
      <c r="A29" s="59"/>
      <c r="B29" s="94"/>
      <c r="C29" s="77">
        <v>4110</v>
      </c>
      <c r="D29" s="42" t="s">
        <v>107</v>
      </c>
      <c r="E29" s="104">
        <v>0</v>
      </c>
      <c r="F29" s="104">
        <v>814</v>
      </c>
      <c r="G29" s="104">
        <v>812.15</v>
      </c>
      <c r="H29" s="124">
        <f t="shared" si="0"/>
        <v>99.77272727272727</v>
      </c>
    </row>
    <row r="30" spans="1:8" s="24" customFormat="1" ht="19.5" customHeight="1">
      <c r="A30" s="59"/>
      <c r="B30" s="94"/>
      <c r="C30" s="77">
        <v>4120</v>
      </c>
      <c r="D30" s="42" t="s">
        <v>108</v>
      </c>
      <c r="E30" s="104">
        <v>0</v>
      </c>
      <c r="F30" s="104">
        <v>117</v>
      </c>
      <c r="G30" s="104">
        <v>115.19</v>
      </c>
      <c r="H30" s="124">
        <f t="shared" si="0"/>
        <v>98.45299145299145</v>
      </c>
    </row>
    <row r="31" spans="1:8" s="24" customFormat="1" ht="19.5" customHeight="1">
      <c r="A31" s="59"/>
      <c r="B31" s="94"/>
      <c r="C31" s="77">
        <v>4170</v>
      </c>
      <c r="D31" s="42" t="s">
        <v>238</v>
      </c>
      <c r="E31" s="104">
        <v>0</v>
      </c>
      <c r="F31" s="104">
        <v>7300</v>
      </c>
      <c r="G31" s="104">
        <v>7300</v>
      </c>
      <c r="H31" s="124">
        <f t="shared" si="0"/>
        <v>100</v>
      </c>
    </row>
    <row r="32" spans="1:8" s="24" customFormat="1" ht="19.5" customHeight="1">
      <c r="A32" s="59"/>
      <c r="B32" s="94"/>
      <c r="C32" s="77">
        <v>4210</v>
      </c>
      <c r="D32" s="42" t="s">
        <v>113</v>
      </c>
      <c r="E32" s="104">
        <v>0</v>
      </c>
      <c r="F32" s="104">
        <v>6756</v>
      </c>
      <c r="G32" s="104">
        <v>6756</v>
      </c>
      <c r="H32" s="124">
        <f t="shared" si="0"/>
        <v>100</v>
      </c>
    </row>
    <row r="33" spans="1:8" s="24" customFormat="1" ht="19.5" customHeight="1">
      <c r="A33" s="59"/>
      <c r="B33" s="94"/>
      <c r="C33" s="77">
        <v>4300</v>
      </c>
      <c r="D33" s="42" t="s">
        <v>100</v>
      </c>
      <c r="E33" s="104">
        <v>0</v>
      </c>
      <c r="F33" s="104">
        <v>1114</v>
      </c>
      <c r="G33" s="104">
        <v>1113.52</v>
      </c>
      <c r="H33" s="124">
        <f t="shared" si="0"/>
        <v>99.95691202872531</v>
      </c>
    </row>
    <row r="34" spans="1:8" s="24" customFormat="1" ht="19.5" customHeight="1">
      <c r="A34" s="59"/>
      <c r="B34" s="94"/>
      <c r="C34" s="77">
        <v>4410</v>
      </c>
      <c r="D34" s="42" t="s">
        <v>111</v>
      </c>
      <c r="E34" s="104">
        <v>0</v>
      </c>
      <c r="F34" s="104">
        <v>1256</v>
      </c>
      <c r="G34" s="104">
        <v>1255.31</v>
      </c>
      <c r="H34" s="124">
        <f t="shared" si="0"/>
        <v>99.94506369426752</v>
      </c>
    </row>
    <row r="35" spans="1:8" s="24" customFormat="1" ht="33.75">
      <c r="A35" s="59"/>
      <c r="B35" s="94"/>
      <c r="C35" s="77">
        <v>4740</v>
      </c>
      <c r="D35" s="42" t="s">
        <v>289</v>
      </c>
      <c r="E35" s="104">
        <v>0</v>
      </c>
      <c r="F35" s="104">
        <v>907</v>
      </c>
      <c r="G35" s="104">
        <v>906.78</v>
      </c>
      <c r="H35" s="124">
        <f t="shared" si="0"/>
        <v>99.97574421168687</v>
      </c>
    </row>
    <row r="36" spans="1:8" s="24" customFormat="1" ht="24.75" customHeight="1">
      <c r="A36" s="59"/>
      <c r="B36" s="94"/>
      <c r="C36" s="77">
        <v>4750</v>
      </c>
      <c r="D36" s="42" t="s">
        <v>502</v>
      </c>
      <c r="E36" s="104">
        <v>0</v>
      </c>
      <c r="F36" s="104">
        <v>1022</v>
      </c>
      <c r="G36" s="104">
        <v>1021.36</v>
      </c>
      <c r="H36" s="124">
        <f t="shared" si="0"/>
        <v>99.93737769080235</v>
      </c>
    </row>
    <row r="37" spans="1:205" s="24" customFormat="1" ht="19.5" customHeight="1">
      <c r="A37" s="35">
        <v>852</v>
      </c>
      <c r="B37" s="5"/>
      <c r="C37" s="20"/>
      <c r="D37" s="33" t="s">
        <v>230</v>
      </c>
      <c r="E37" s="47">
        <f>SUM(E38,E59,E61,)</f>
        <v>8343900</v>
      </c>
      <c r="F37" s="47">
        <f>SUM(F38,F59,F61,)</f>
        <v>7084341</v>
      </c>
      <c r="G37" s="47">
        <f>SUM(G38,G59,G61,)</f>
        <v>7059134.100000001</v>
      </c>
      <c r="H37" s="34">
        <f t="shared" si="0"/>
        <v>99.64418849967839</v>
      </c>
      <c r="I37" s="130"/>
      <c r="J37" s="130"/>
      <c r="K37" s="130"/>
      <c r="L37" s="130"/>
      <c r="M37" s="130"/>
      <c r="N37" s="130"/>
      <c r="O37" s="130"/>
      <c r="P37" s="130"/>
      <c r="Q37" s="130"/>
      <c r="R37" s="130"/>
      <c r="S37" s="130"/>
      <c r="T37" s="130"/>
      <c r="U37" s="130"/>
      <c r="V37" s="130"/>
      <c r="W37" s="130"/>
      <c r="X37" s="130"/>
      <c r="Y37" s="130"/>
      <c r="Z37" s="130"/>
      <c r="AA37" s="130"/>
      <c r="AB37" s="130"/>
      <c r="AC37" s="130"/>
      <c r="AD37" s="130"/>
      <c r="AE37" s="130"/>
      <c r="AF37" s="130"/>
      <c r="AG37" s="130"/>
      <c r="AH37" s="130"/>
      <c r="AI37" s="130"/>
      <c r="AJ37" s="130"/>
      <c r="AK37" s="130"/>
      <c r="AL37" s="130"/>
      <c r="AM37" s="130"/>
      <c r="AN37" s="130"/>
      <c r="AO37" s="130"/>
      <c r="AP37" s="130"/>
      <c r="AQ37" s="130"/>
      <c r="AR37" s="130"/>
      <c r="AS37" s="130"/>
      <c r="AT37" s="130"/>
      <c r="AU37" s="130"/>
      <c r="AV37" s="130"/>
      <c r="AW37" s="130"/>
      <c r="AX37" s="130"/>
      <c r="AY37" s="130"/>
      <c r="AZ37" s="130"/>
      <c r="BA37" s="130"/>
      <c r="BB37" s="130"/>
      <c r="BC37" s="130"/>
      <c r="BD37" s="130"/>
      <c r="BE37" s="130"/>
      <c r="BF37" s="130"/>
      <c r="BG37" s="130"/>
      <c r="BH37" s="130"/>
      <c r="BI37" s="130"/>
      <c r="BJ37" s="130"/>
      <c r="BK37" s="130"/>
      <c r="BL37" s="130"/>
      <c r="BM37" s="130"/>
      <c r="BN37" s="130"/>
      <c r="BO37" s="130"/>
      <c r="BP37" s="130"/>
      <c r="BQ37" s="130"/>
      <c r="BR37" s="130"/>
      <c r="BS37" s="130"/>
      <c r="BT37" s="130"/>
      <c r="BU37" s="130"/>
      <c r="BV37" s="130"/>
      <c r="BW37" s="130"/>
      <c r="BX37" s="130"/>
      <c r="BY37" s="130"/>
      <c r="BZ37" s="130"/>
      <c r="CA37" s="130"/>
      <c r="CB37" s="130"/>
      <c r="CC37" s="130"/>
      <c r="CD37" s="130"/>
      <c r="CE37" s="130"/>
      <c r="CF37" s="130"/>
      <c r="CG37" s="130"/>
      <c r="CH37" s="130"/>
      <c r="CI37" s="130"/>
      <c r="CJ37" s="130"/>
      <c r="CK37" s="130"/>
      <c r="CL37" s="130"/>
      <c r="CM37" s="130"/>
      <c r="CN37" s="130"/>
      <c r="CO37" s="130"/>
      <c r="CP37" s="130"/>
      <c r="CQ37" s="130"/>
      <c r="CR37" s="130"/>
      <c r="CS37" s="130"/>
      <c r="CT37" s="130"/>
      <c r="CU37" s="130"/>
      <c r="CV37" s="130"/>
      <c r="CW37" s="130"/>
      <c r="CX37" s="130"/>
      <c r="CY37" s="130"/>
      <c r="CZ37" s="130"/>
      <c r="DA37" s="130"/>
      <c r="DB37" s="130"/>
      <c r="DC37" s="130"/>
      <c r="DD37" s="130"/>
      <c r="DE37" s="130"/>
      <c r="DF37" s="130"/>
      <c r="DG37" s="130"/>
      <c r="DH37" s="130"/>
      <c r="DI37" s="130"/>
      <c r="DJ37" s="130"/>
      <c r="DK37" s="130"/>
      <c r="DL37" s="130"/>
      <c r="DM37" s="130"/>
      <c r="DN37" s="130"/>
      <c r="DO37" s="130"/>
      <c r="DP37" s="130"/>
      <c r="DQ37" s="130"/>
      <c r="DR37" s="130"/>
      <c r="DS37" s="130"/>
      <c r="DT37" s="130"/>
      <c r="DU37" s="130"/>
      <c r="DV37" s="130"/>
      <c r="DW37" s="130"/>
      <c r="DX37" s="130"/>
      <c r="DY37" s="130"/>
      <c r="DZ37" s="130"/>
      <c r="EA37" s="130"/>
      <c r="EB37" s="130"/>
      <c r="EC37" s="130"/>
      <c r="ED37" s="130"/>
      <c r="EE37" s="130"/>
      <c r="EF37" s="130"/>
      <c r="EG37" s="130"/>
      <c r="EH37" s="130"/>
      <c r="EI37" s="130"/>
      <c r="EJ37" s="130"/>
      <c r="EK37" s="130"/>
      <c r="EL37" s="130"/>
      <c r="EM37" s="130"/>
      <c r="EN37" s="130"/>
      <c r="EO37" s="130"/>
      <c r="EP37" s="130"/>
      <c r="EQ37" s="130"/>
      <c r="ER37" s="130"/>
      <c r="ES37" s="130"/>
      <c r="ET37" s="130"/>
      <c r="EU37" s="130"/>
      <c r="EV37" s="130"/>
      <c r="EW37" s="130"/>
      <c r="EX37" s="130"/>
      <c r="EY37" s="130"/>
      <c r="EZ37" s="130"/>
      <c r="FA37" s="130"/>
      <c r="FB37" s="130"/>
      <c r="FC37" s="130"/>
      <c r="FD37" s="130"/>
      <c r="FE37" s="130"/>
      <c r="FF37" s="130"/>
      <c r="FG37" s="130"/>
      <c r="FH37" s="130"/>
      <c r="FI37" s="130"/>
      <c r="FJ37" s="130"/>
      <c r="FK37" s="130"/>
      <c r="FL37" s="130"/>
      <c r="FM37" s="130"/>
      <c r="FN37" s="130"/>
      <c r="FO37" s="130"/>
      <c r="FP37" s="130"/>
      <c r="FQ37" s="130"/>
      <c r="FR37" s="130"/>
      <c r="FS37" s="130"/>
      <c r="FT37" s="130"/>
      <c r="FU37" s="130"/>
      <c r="FV37" s="130"/>
      <c r="FW37" s="130"/>
      <c r="FX37" s="130"/>
      <c r="FY37" s="130"/>
      <c r="FZ37" s="130"/>
      <c r="GA37" s="130"/>
      <c r="GB37" s="130"/>
      <c r="GC37" s="130"/>
      <c r="GD37" s="130"/>
      <c r="GE37" s="130"/>
      <c r="GF37" s="130"/>
      <c r="GG37" s="130"/>
      <c r="GH37" s="130"/>
      <c r="GI37" s="130"/>
      <c r="GJ37" s="130"/>
      <c r="GK37" s="130"/>
      <c r="GL37" s="130"/>
      <c r="GM37" s="130"/>
      <c r="GN37" s="130"/>
      <c r="GO37" s="130"/>
      <c r="GP37" s="130"/>
      <c r="GQ37" s="130"/>
      <c r="GR37" s="130"/>
      <c r="GS37" s="130"/>
      <c r="GT37" s="130"/>
      <c r="GU37" s="130"/>
      <c r="GV37" s="130"/>
      <c r="GW37" s="130"/>
    </row>
    <row r="38" spans="1:205" s="24" customFormat="1" ht="45">
      <c r="A38" s="109"/>
      <c r="B38" s="59">
        <v>85212</v>
      </c>
      <c r="C38" s="90"/>
      <c r="D38" s="88" t="s">
        <v>280</v>
      </c>
      <c r="E38" s="104">
        <f>SUM(E39:E58)</f>
        <v>7804800</v>
      </c>
      <c r="F38" s="104">
        <f>SUM(F39:F58)</f>
        <v>6550000</v>
      </c>
      <c r="G38" s="104">
        <f>SUM(G39:G58)</f>
        <v>6549996.350000001</v>
      </c>
      <c r="H38" s="124">
        <f t="shared" si="0"/>
        <v>99.99994427480917</v>
      </c>
      <c r="I38" s="130"/>
      <c r="J38" s="130"/>
      <c r="K38" s="130"/>
      <c r="L38" s="130"/>
      <c r="M38" s="130"/>
      <c r="N38" s="130"/>
      <c r="O38" s="130"/>
      <c r="P38" s="130"/>
      <c r="Q38" s="130"/>
      <c r="R38" s="130"/>
      <c r="S38" s="130"/>
      <c r="T38" s="130"/>
      <c r="U38" s="130"/>
      <c r="V38" s="130"/>
      <c r="W38" s="130"/>
      <c r="X38" s="130"/>
      <c r="Y38" s="130"/>
      <c r="Z38" s="130"/>
      <c r="AA38" s="130"/>
      <c r="AB38" s="130"/>
      <c r="AC38" s="130"/>
      <c r="AD38" s="130"/>
      <c r="AE38" s="130"/>
      <c r="AF38" s="130"/>
      <c r="AG38" s="130"/>
      <c r="AH38" s="130"/>
      <c r="AI38" s="130"/>
      <c r="AJ38" s="130"/>
      <c r="AK38" s="130"/>
      <c r="AL38" s="130"/>
      <c r="AM38" s="130"/>
      <c r="AN38" s="130"/>
      <c r="AO38" s="130"/>
      <c r="AP38" s="130"/>
      <c r="AQ38" s="130"/>
      <c r="AR38" s="130"/>
      <c r="AS38" s="130"/>
      <c r="AT38" s="130"/>
      <c r="AU38" s="130"/>
      <c r="AV38" s="130"/>
      <c r="AW38" s="130"/>
      <c r="AX38" s="130"/>
      <c r="AY38" s="130"/>
      <c r="AZ38" s="130"/>
      <c r="BA38" s="130"/>
      <c r="BB38" s="130"/>
      <c r="BC38" s="130"/>
      <c r="BD38" s="130"/>
      <c r="BE38" s="130"/>
      <c r="BF38" s="130"/>
      <c r="BG38" s="130"/>
      <c r="BH38" s="130"/>
      <c r="BI38" s="130"/>
      <c r="BJ38" s="130"/>
      <c r="BK38" s="130"/>
      <c r="BL38" s="130"/>
      <c r="BM38" s="130"/>
      <c r="BN38" s="130"/>
      <c r="BO38" s="130"/>
      <c r="BP38" s="130"/>
      <c r="BQ38" s="130"/>
      <c r="BR38" s="130"/>
      <c r="BS38" s="130"/>
      <c r="BT38" s="130"/>
      <c r="BU38" s="130"/>
      <c r="BV38" s="130"/>
      <c r="BW38" s="130"/>
      <c r="BX38" s="130"/>
      <c r="BY38" s="130"/>
      <c r="BZ38" s="130"/>
      <c r="CA38" s="130"/>
      <c r="CB38" s="130"/>
      <c r="CC38" s="130"/>
      <c r="CD38" s="130"/>
      <c r="CE38" s="130"/>
      <c r="CF38" s="130"/>
      <c r="CG38" s="130"/>
      <c r="CH38" s="130"/>
      <c r="CI38" s="130"/>
      <c r="CJ38" s="130"/>
      <c r="CK38" s="130"/>
      <c r="CL38" s="130"/>
      <c r="CM38" s="130"/>
      <c r="CN38" s="130"/>
      <c r="CO38" s="130"/>
      <c r="CP38" s="130"/>
      <c r="CQ38" s="130"/>
      <c r="CR38" s="130"/>
      <c r="CS38" s="130"/>
      <c r="CT38" s="130"/>
      <c r="CU38" s="130"/>
      <c r="CV38" s="130"/>
      <c r="CW38" s="130"/>
      <c r="CX38" s="130"/>
      <c r="CY38" s="130"/>
      <c r="CZ38" s="130"/>
      <c r="DA38" s="130"/>
      <c r="DB38" s="130"/>
      <c r="DC38" s="130"/>
      <c r="DD38" s="130"/>
      <c r="DE38" s="130"/>
      <c r="DF38" s="130"/>
      <c r="DG38" s="130"/>
      <c r="DH38" s="130"/>
      <c r="DI38" s="130"/>
      <c r="DJ38" s="130"/>
      <c r="DK38" s="130"/>
      <c r="DL38" s="130"/>
      <c r="DM38" s="130"/>
      <c r="DN38" s="130"/>
      <c r="DO38" s="130"/>
      <c r="DP38" s="130"/>
      <c r="DQ38" s="130"/>
      <c r="DR38" s="130"/>
      <c r="DS38" s="130"/>
      <c r="DT38" s="130"/>
      <c r="DU38" s="130"/>
      <c r="DV38" s="130"/>
      <c r="DW38" s="130"/>
      <c r="DX38" s="130"/>
      <c r="DY38" s="130"/>
      <c r="DZ38" s="130"/>
      <c r="EA38" s="130"/>
      <c r="EB38" s="130"/>
      <c r="EC38" s="130"/>
      <c r="ED38" s="130"/>
      <c r="EE38" s="130"/>
      <c r="EF38" s="130"/>
      <c r="EG38" s="130"/>
      <c r="EH38" s="130"/>
      <c r="EI38" s="130"/>
      <c r="EJ38" s="130"/>
      <c r="EK38" s="130"/>
      <c r="EL38" s="130"/>
      <c r="EM38" s="130"/>
      <c r="EN38" s="130"/>
      <c r="EO38" s="130"/>
      <c r="EP38" s="130"/>
      <c r="EQ38" s="130"/>
      <c r="ER38" s="130"/>
      <c r="ES38" s="130"/>
      <c r="ET38" s="130"/>
      <c r="EU38" s="130"/>
      <c r="EV38" s="130"/>
      <c r="EW38" s="130"/>
      <c r="EX38" s="130"/>
      <c r="EY38" s="130"/>
      <c r="EZ38" s="130"/>
      <c r="FA38" s="130"/>
      <c r="FB38" s="130"/>
      <c r="FC38" s="130"/>
      <c r="FD38" s="130"/>
      <c r="FE38" s="130"/>
      <c r="FF38" s="130"/>
      <c r="FG38" s="130"/>
      <c r="FH38" s="130"/>
      <c r="FI38" s="130"/>
      <c r="FJ38" s="130"/>
      <c r="FK38" s="130"/>
      <c r="FL38" s="130"/>
      <c r="FM38" s="130"/>
      <c r="FN38" s="130"/>
      <c r="FO38" s="130"/>
      <c r="FP38" s="130"/>
      <c r="FQ38" s="130"/>
      <c r="FR38" s="130"/>
      <c r="FS38" s="130"/>
      <c r="FT38" s="130"/>
      <c r="FU38" s="130"/>
      <c r="FV38" s="130"/>
      <c r="FW38" s="130"/>
      <c r="FX38" s="130"/>
      <c r="FY38" s="130"/>
      <c r="FZ38" s="130"/>
      <c r="GA38" s="130"/>
      <c r="GB38" s="130"/>
      <c r="GC38" s="130"/>
      <c r="GD38" s="130"/>
      <c r="GE38" s="130"/>
      <c r="GF38" s="130"/>
      <c r="GG38" s="130"/>
      <c r="GH38" s="130"/>
      <c r="GI38" s="130"/>
      <c r="GJ38" s="130"/>
      <c r="GK38" s="130"/>
      <c r="GL38" s="130"/>
      <c r="GM38" s="130"/>
      <c r="GN38" s="130"/>
      <c r="GO38" s="130"/>
      <c r="GP38" s="130"/>
      <c r="GQ38" s="130"/>
      <c r="GR38" s="130"/>
      <c r="GS38" s="130"/>
      <c r="GT38" s="130"/>
      <c r="GU38" s="130"/>
      <c r="GV38" s="130"/>
      <c r="GW38" s="130"/>
    </row>
    <row r="39" spans="1:205" s="24" customFormat="1" ht="24.75" customHeight="1">
      <c r="A39" s="109"/>
      <c r="B39" s="59"/>
      <c r="C39" s="90">
        <v>3020</v>
      </c>
      <c r="D39" s="42" t="s">
        <v>234</v>
      </c>
      <c r="E39" s="81">
        <v>1000</v>
      </c>
      <c r="F39" s="257">
        <v>245</v>
      </c>
      <c r="G39" s="81">
        <v>245</v>
      </c>
      <c r="H39" s="124">
        <f t="shared" si="0"/>
        <v>100</v>
      </c>
      <c r="I39" s="130"/>
      <c r="J39" s="130"/>
      <c r="K39" s="130"/>
      <c r="L39" s="130"/>
      <c r="M39" s="130"/>
      <c r="N39" s="130"/>
      <c r="O39" s="130"/>
      <c r="P39" s="130"/>
      <c r="Q39" s="130"/>
      <c r="R39" s="130"/>
      <c r="S39" s="130"/>
      <c r="T39" s="130"/>
      <c r="U39" s="130"/>
      <c r="V39" s="130"/>
      <c r="W39" s="130"/>
      <c r="X39" s="130"/>
      <c r="Y39" s="130"/>
      <c r="Z39" s="130"/>
      <c r="AA39" s="130"/>
      <c r="AB39" s="130"/>
      <c r="AC39" s="130"/>
      <c r="AD39" s="130"/>
      <c r="AE39" s="130"/>
      <c r="AF39" s="130"/>
      <c r="AG39" s="130"/>
      <c r="AH39" s="130"/>
      <c r="AI39" s="130"/>
      <c r="AJ39" s="130"/>
      <c r="AK39" s="130"/>
      <c r="AL39" s="130"/>
      <c r="AM39" s="130"/>
      <c r="AN39" s="130"/>
      <c r="AO39" s="130"/>
      <c r="AP39" s="130"/>
      <c r="AQ39" s="130"/>
      <c r="AR39" s="130"/>
      <c r="AS39" s="130"/>
      <c r="AT39" s="130"/>
      <c r="AU39" s="130"/>
      <c r="AV39" s="130"/>
      <c r="AW39" s="130"/>
      <c r="AX39" s="130"/>
      <c r="AY39" s="130"/>
      <c r="AZ39" s="130"/>
      <c r="BA39" s="130"/>
      <c r="BB39" s="130"/>
      <c r="BC39" s="130"/>
      <c r="BD39" s="130"/>
      <c r="BE39" s="130"/>
      <c r="BF39" s="130"/>
      <c r="BG39" s="130"/>
      <c r="BH39" s="130"/>
      <c r="BI39" s="130"/>
      <c r="BJ39" s="130"/>
      <c r="BK39" s="130"/>
      <c r="BL39" s="130"/>
      <c r="BM39" s="130"/>
      <c r="BN39" s="130"/>
      <c r="BO39" s="130"/>
      <c r="BP39" s="130"/>
      <c r="BQ39" s="130"/>
      <c r="BR39" s="130"/>
      <c r="BS39" s="130"/>
      <c r="BT39" s="130"/>
      <c r="BU39" s="130"/>
      <c r="BV39" s="130"/>
      <c r="BW39" s="130"/>
      <c r="BX39" s="130"/>
      <c r="BY39" s="130"/>
      <c r="BZ39" s="130"/>
      <c r="CA39" s="130"/>
      <c r="CB39" s="130"/>
      <c r="CC39" s="130"/>
      <c r="CD39" s="130"/>
      <c r="CE39" s="130"/>
      <c r="CF39" s="130"/>
      <c r="CG39" s="130"/>
      <c r="CH39" s="130"/>
      <c r="CI39" s="130"/>
      <c r="CJ39" s="130"/>
      <c r="CK39" s="130"/>
      <c r="CL39" s="130"/>
      <c r="CM39" s="130"/>
      <c r="CN39" s="130"/>
      <c r="CO39" s="130"/>
      <c r="CP39" s="130"/>
      <c r="CQ39" s="130"/>
      <c r="CR39" s="130"/>
      <c r="CS39" s="130"/>
      <c r="CT39" s="130"/>
      <c r="CU39" s="130"/>
      <c r="CV39" s="130"/>
      <c r="CW39" s="130"/>
      <c r="CX39" s="130"/>
      <c r="CY39" s="130"/>
      <c r="CZ39" s="130"/>
      <c r="DA39" s="130"/>
      <c r="DB39" s="130"/>
      <c r="DC39" s="130"/>
      <c r="DD39" s="130"/>
      <c r="DE39" s="130"/>
      <c r="DF39" s="130"/>
      <c r="DG39" s="130"/>
      <c r="DH39" s="130"/>
      <c r="DI39" s="130"/>
      <c r="DJ39" s="130"/>
      <c r="DK39" s="130"/>
      <c r="DL39" s="130"/>
      <c r="DM39" s="130"/>
      <c r="DN39" s="130"/>
      <c r="DO39" s="130"/>
      <c r="DP39" s="130"/>
      <c r="DQ39" s="130"/>
      <c r="DR39" s="130"/>
      <c r="DS39" s="130"/>
      <c r="DT39" s="130"/>
      <c r="DU39" s="130"/>
      <c r="DV39" s="130"/>
      <c r="DW39" s="130"/>
      <c r="DX39" s="130"/>
      <c r="DY39" s="130"/>
      <c r="DZ39" s="130"/>
      <c r="EA39" s="130"/>
      <c r="EB39" s="130"/>
      <c r="EC39" s="130"/>
      <c r="ED39" s="130"/>
      <c r="EE39" s="130"/>
      <c r="EF39" s="130"/>
      <c r="EG39" s="130"/>
      <c r="EH39" s="130"/>
      <c r="EI39" s="130"/>
      <c r="EJ39" s="130"/>
      <c r="EK39" s="130"/>
      <c r="EL39" s="130"/>
      <c r="EM39" s="130"/>
      <c r="EN39" s="130"/>
      <c r="EO39" s="130"/>
      <c r="EP39" s="130"/>
      <c r="EQ39" s="130"/>
      <c r="ER39" s="130"/>
      <c r="ES39" s="130"/>
      <c r="ET39" s="130"/>
      <c r="EU39" s="130"/>
      <c r="EV39" s="130"/>
      <c r="EW39" s="130"/>
      <c r="EX39" s="130"/>
      <c r="EY39" s="130"/>
      <c r="EZ39" s="130"/>
      <c r="FA39" s="130"/>
      <c r="FB39" s="130"/>
      <c r="FC39" s="130"/>
      <c r="FD39" s="130"/>
      <c r="FE39" s="130"/>
      <c r="FF39" s="130"/>
      <c r="FG39" s="130"/>
      <c r="FH39" s="130"/>
      <c r="FI39" s="130"/>
      <c r="FJ39" s="130"/>
      <c r="FK39" s="130"/>
      <c r="FL39" s="130"/>
      <c r="FM39" s="130"/>
      <c r="FN39" s="130"/>
      <c r="FO39" s="130"/>
      <c r="FP39" s="130"/>
      <c r="FQ39" s="130"/>
      <c r="FR39" s="130"/>
      <c r="FS39" s="130"/>
      <c r="FT39" s="130"/>
      <c r="FU39" s="130"/>
      <c r="FV39" s="130"/>
      <c r="FW39" s="130"/>
      <c r="FX39" s="130"/>
      <c r="FY39" s="130"/>
      <c r="FZ39" s="130"/>
      <c r="GA39" s="130"/>
      <c r="GB39" s="130"/>
      <c r="GC39" s="130"/>
      <c r="GD39" s="130"/>
      <c r="GE39" s="130"/>
      <c r="GF39" s="130"/>
      <c r="GG39" s="130"/>
      <c r="GH39" s="130"/>
      <c r="GI39" s="130"/>
      <c r="GJ39" s="130"/>
      <c r="GK39" s="130"/>
      <c r="GL39" s="130"/>
      <c r="GM39" s="130"/>
      <c r="GN39" s="130"/>
      <c r="GO39" s="130"/>
      <c r="GP39" s="130"/>
      <c r="GQ39" s="130"/>
      <c r="GR39" s="130"/>
      <c r="GS39" s="130"/>
      <c r="GT39" s="130"/>
      <c r="GU39" s="130"/>
      <c r="GV39" s="130"/>
      <c r="GW39" s="130"/>
    </row>
    <row r="40" spans="1:205" s="24" customFormat="1" ht="19.5" customHeight="1">
      <c r="A40" s="109"/>
      <c r="B40" s="59"/>
      <c r="C40" s="90">
        <v>3110</v>
      </c>
      <c r="D40" s="88" t="s">
        <v>135</v>
      </c>
      <c r="E40" s="81">
        <v>7510656</v>
      </c>
      <c r="F40" s="257">
        <v>6324156</v>
      </c>
      <c r="G40" s="81">
        <v>6324155.67</v>
      </c>
      <c r="H40" s="124">
        <f t="shared" si="0"/>
        <v>99.9999947819124</v>
      </c>
      <c r="I40" s="130"/>
      <c r="J40" s="130"/>
      <c r="K40" s="130"/>
      <c r="L40" s="130"/>
      <c r="M40" s="130"/>
      <c r="N40" s="130"/>
      <c r="O40" s="130"/>
      <c r="P40" s="130"/>
      <c r="Q40" s="130"/>
      <c r="R40" s="130"/>
      <c r="S40" s="130"/>
      <c r="T40" s="130"/>
      <c r="U40" s="130"/>
      <c r="V40" s="130"/>
      <c r="W40" s="130"/>
      <c r="X40" s="130"/>
      <c r="Y40" s="130"/>
      <c r="Z40" s="130"/>
      <c r="AA40" s="130"/>
      <c r="AB40" s="130"/>
      <c r="AC40" s="130"/>
      <c r="AD40" s="130"/>
      <c r="AE40" s="130"/>
      <c r="AF40" s="130"/>
      <c r="AG40" s="130"/>
      <c r="AH40" s="130"/>
      <c r="AI40" s="130"/>
      <c r="AJ40" s="130"/>
      <c r="AK40" s="130"/>
      <c r="AL40" s="130"/>
      <c r="AM40" s="130"/>
      <c r="AN40" s="130"/>
      <c r="AO40" s="130"/>
      <c r="AP40" s="130"/>
      <c r="AQ40" s="130"/>
      <c r="AR40" s="130"/>
      <c r="AS40" s="130"/>
      <c r="AT40" s="130"/>
      <c r="AU40" s="130"/>
      <c r="AV40" s="130"/>
      <c r="AW40" s="130"/>
      <c r="AX40" s="130"/>
      <c r="AY40" s="130"/>
      <c r="AZ40" s="130"/>
      <c r="BA40" s="130"/>
      <c r="BB40" s="130"/>
      <c r="BC40" s="130"/>
      <c r="BD40" s="130"/>
      <c r="BE40" s="130"/>
      <c r="BF40" s="130"/>
      <c r="BG40" s="130"/>
      <c r="BH40" s="130"/>
      <c r="BI40" s="130"/>
      <c r="BJ40" s="130"/>
      <c r="BK40" s="130"/>
      <c r="BL40" s="130"/>
      <c r="BM40" s="130"/>
      <c r="BN40" s="130"/>
      <c r="BO40" s="130"/>
      <c r="BP40" s="130"/>
      <c r="BQ40" s="130"/>
      <c r="BR40" s="130"/>
      <c r="BS40" s="130"/>
      <c r="BT40" s="130"/>
      <c r="BU40" s="130"/>
      <c r="BV40" s="130"/>
      <c r="BW40" s="130"/>
      <c r="BX40" s="130"/>
      <c r="BY40" s="130"/>
      <c r="BZ40" s="130"/>
      <c r="CA40" s="130"/>
      <c r="CB40" s="130"/>
      <c r="CC40" s="130"/>
      <c r="CD40" s="130"/>
      <c r="CE40" s="130"/>
      <c r="CF40" s="130"/>
      <c r="CG40" s="130"/>
      <c r="CH40" s="130"/>
      <c r="CI40" s="130"/>
      <c r="CJ40" s="130"/>
      <c r="CK40" s="130"/>
      <c r="CL40" s="130"/>
      <c r="CM40" s="130"/>
      <c r="CN40" s="130"/>
      <c r="CO40" s="130"/>
      <c r="CP40" s="130"/>
      <c r="CQ40" s="130"/>
      <c r="CR40" s="130"/>
      <c r="CS40" s="130"/>
      <c r="CT40" s="130"/>
      <c r="CU40" s="130"/>
      <c r="CV40" s="130"/>
      <c r="CW40" s="130"/>
      <c r="CX40" s="130"/>
      <c r="CY40" s="130"/>
      <c r="CZ40" s="130"/>
      <c r="DA40" s="130"/>
      <c r="DB40" s="130"/>
      <c r="DC40" s="130"/>
      <c r="DD40" s="130"/>
      <c r="DE40" s="130"/>
      <c r="DF40" s="130"/>
      <c r="DG40" s="130"/>
      <c r="DH40" s="130"/>
      <c r="DI40" s="130"/>
      <c r="DJ40" s="130"/>
      <c r="DK40" s="130"/>
      <c r="DL40" s="130"/>
      <c r="DM40" s="130"/>
      <c r="DN40" s="130"/>
      <c r="DO40" s="130"/>
      <c r="DP40" s="130"/>
      <c r="DQ40" s="130"/>
      <c r="DR40" s="130"/>
      <c r="DS40" s="130"/>
      <c r="DT40" s="130"/>
      <c r="DU40" s="130"/>
      <c r="DV40" s="130"/>
      <c r="DW40" s="130"/>
      <c r="DX40" s="130"/>
      <c r="DY40" s="130"/>
      <c r="DZ40" s="130"/>
      <c r="EA40" s="130"/>
      <c r="EB40" s="130"/>
      <c r="EC40" s="130"/>
      <c r="ED40" s="130"/>
      <c r="EE40" s="130"/>
      <c r="EF40" s="130"/>
      <c r="EG40" s="130"/>
      <c r="EH40" s="130"/>
      <c r="EI40" s="130"/>
      <c r="EJ40" s="130"/>
      <c r="EK40" s="130"/>
      <c r="EL40" s="130"/>
      <c r="EM40" s="130"/>
      <c r="EN40" s="130"/>
      <c r="EO40" s="130"/>
      <c r="EP40" s="130"/>
      <c r="EQ40" s="130"/>
      <c r="ER40" s="130"/>
      <c r="ES40" s="130"/>
      <c r="ET40" s="130"/>
      <c r="EU40" s="130"/>
      <c r="EV40" s="130"/>
      <c r="EW40" s="130"/>
      <c r="EX40" s="130"/>
      <c r="EY40" s="130"/>
      <c r="EZ40" s="130"/>
      <c r="FA40" s="130"/>
      <c r="FB40" s="130"/>
      <c r="FC40" s="130"/>
      <c r="FD40" s="130"/>
      <c r="FE40" s="130"/>
      <c r="FF40" s="130"/>
      <c r="FG40" s="130"/>
      <c r="FH40" s="130"/>
      <c r="FI40" s="130"/>
      <c r="FJ40" s="130"/>
      <c r="FK40" s="130"/>
      <c r="FL40" s="130"/>
      <c r="FM40" s="130"/>
      <c r="FN40" s="130"/>
      <c r="FO40" s="130"/>
      <c r="FP40" s="130"/>
      <c r="FQ40" s="130"/>
      <c r="FR40" s="130"/>
      <c r="FS40" s="130"/>
      <c r="FT40" s="130"/>
      <c r="FU40" s="130"/>
      <c r="FV40" s="130"/>
      <c r="FW40" s="130"/>
      <c r="FX40" s="130"/>
      <c r="FY40" s="130"/>
      <c r="FZ40" s="130"/>
      <c r="GA40" s="130"/>
      <c r="GB40" s="130"/>
      <c r="GC40" s="130"/>
      <c r="GD40" s="130"/>
      <c r="GE40" s="130"/>
      <c r="GF40" s="130"/>
      <c r="GG40" s="130"/>
      <c r="GH40" s="130"/>
      <c r="GI40" s="130"/>
      <c r="GJ40" s="130"/>
      <c r="GK40" s="130"/>
      <c r="GL40" s="130"/>
      <c r="GM40" s="130"/>
      <c r="GN40" s="130"/>
      <c r="GO40" s="130"/>
      <c r="GP40" s="130"/>
      <c r="GQ40" s="130"/>
      <c r="GR40" s="130"/>
      <c r="GS40" s="130"/>
      <c r="GT40" s="130"/>
      <c r="GU40" s="130"/>
      <c r="GV40" s="130"/>
      <c r="GW40" s="130"/>
    </row>
    <row r="41" spans="1:205" s="24" customFormat="1" ht="24.75" customHeight="1">
      <c r="A41" s="109"/>
      <c r="B41" s="59"/>
      <c r="C41" s="59">
        <v>4010</v>
      </c>
      <c r="D41" s="14" t="s">
        <v>105</v>
      </c>
      <c r="E41" s="81">
        <v>123700</v>
      </c>
      <c r="F41" s="257">
        <v>106156</v>
      </c>
      <c r="G41" s="81">
        <v>106156</v>
      </c>
      <c r="H41" s="124">
        <f t="shared" si="0"/>
        <v>100</v>
      </c>
      <c r="I41" s="130"/>
      <c r="J41" s="130"/>
      <c r="K41" s="130"/>
      <c r="L41" s="130"/>
      <c r="M41" s="130"/>
      <c r="N41" s="130"/>
      <c r="O41" s="130"/>
      <c r="P41" s="130"/>
      <c r="Q41" s="130"/>
      <c r="R41" s="130"/>
      <c r="S41" s="130"/>
      <c r="T41" s="130"/>
      <c r="U41" s="130"/>
      <c r="V41" s="130"/>
      <c r="W41" s="130"/>
      <c r="X41" s="130"/>
      <c r="Y41" s="130"/>
      <c r="Z41" s="130"/>
      <c r="AA41" s="130"/>
      <c r="AB41" s="130"/>
      <c r="AC41" s="130"/>
      <c r="AD41" s="130"/>
      <c r="AE41" s="130"/>
      <c r="AF41" s="130"/>
      <c r="AG41" s="130"/>
      <c r="AH41" s="130"/>
      <c r="AI41" s="130"/>
      <c r="AJ41" s="130"/>
      <c r="AK41" s="130"/>
      <c r="AL41" s="130"/>
      <c r="AM41" s="130"/>
      <c r="AN41" s="130"/>
      <c r="AO41" s="130"/>
      <c r="AP41" s="130"/>
      <c r="AQ41" s="130"/>
      <c r="AR41" s="130"/>
      <c r="AS41" s="130"/>
      <c r="AT41" s="130"/>
      <c r="AU41" s="130"/>
      <c r="AV41" s="130"/>
      <c r="AW41" s="130"/>
      <c r="AX41" s="130"/>
      <c r="AY41" s="130"/>
      <c r="AZ41" s="130"/>
      <c r="BA41" s="130"/>
      <c r="BB41" s="130"/>
      <c r="BC41" s="130"/>
      <c r="BD41" s="130"/>
      <c r="BE41" s="130"/>
      <c r="BF41" s="130"/>
      <c r="BG41" s="130"/>
      <c r="BH41" s="130"/>
      <c r="BI41" s="130"/>
      <c r="BJ41" s="130"/>
      <c r="BK41" s="130"/>
      <c r="BL41" s="130"/>
      <c r="BM41" s="130"/>
      <c r="BN41" s="130"/>
      <c r="BO41" s="130"/>
      <c r="BP41" s="130"/>
      <c r="BQ41" s="130"/>
      <c r="BR41" s="130"/>
      <c r="BS41" s="130"/>
      <c r="BT41" s="130"/>
      <c r="BU41" s="130"/>
      <c r="BV41" s="130"/>
      <c r="BW41" s="130"/>
      <c r="BX41" s="130"/>
      <c r="BY41" s="130"/>
      <c r="BZ41" s="130"/>
      <c r="CA41" s="130"/>
      <c r="CB41" s="130"/>
      <c r="CC41" s="130"/>
      <c r="CD41" s="130"/>
      <c r="CE41" s="130"/>
      <c r="CF41" s="130"/>
      <c r="CG41" s="130"/>
      <c r="CH41" s="130"/>
      <c r="CI41" s="130"/>
      <c r="CJ41" s="130"/>
      <c r="CK41" s="130"/>
      <c r="CL41" s="130"/>
      <c r="CM41" s="130"/>
      <c r="CN41" s="130"/>
      <c r="CO41" s="130"/>
      <c r="CP41" s="130"/>
      <c r="CQ41" s="130"/>
      <c r="CR41" s="130"/>
      <c r="CS41" s="130"/>
      <c r="CT41" s="130"/>
      <c r="CU41" s="130"/>
      <c r="CV41" s="130"/>
      <c r="CW41" s="130"/>
      <c r="CX41" s="130"/>
      <c r="CY41" s="130"/>
      <c r="CZ41" s="130"/>
      <c r="DA41" s="130"/>
      <c r="DB41" s="130"/>
      <c r="DC41" s="130"/>
      <c r="DD41" s="130"/>
      <c r="DE41" s="130"/>
      <c r="DF41" s="130"/>
      <c r="DG41" s="130"/>
      <c r="DH41" s="130"/>
      <c r="DI41" s="130"/>
      <c r="DJ41" s="130"/>
      <c r="DK41" s="130"/>
      <c r="DL41" s="130"/>
      <c r="DM41" s="130"/>
      <c r="DN41" s="130"/>
      <c r="DO41" s="130"/>
      <c r="DP41" s="130"/>
      <c r="DQ41" s="130"/>
      <c r="DR41" s="130"/>
      <c r="DS41" s="130"/>
      <c r="DT41" s="130"/>
      <c r="DU41" s="130"/>
      <c r="DV41" s="130"/>
      <c r="DW41" s="130"/>
      <c r="DX41" s="130"/>
      <c r="DY41" s="130"/>
      <c r="DZ41" s="130"/>
      <c r="EA41" s="130"/>
      <c r="EB41" s="130"/>
      <c r="EC41" s="130"/>
      <c r="ED41" s="130"/>
      <c r="EE41" s="130"/>
      <c r="EF41" s="130"/>
      <c r="EG41" s="130"/>
      <c r="EH41" s="130"/>
      <c r="EI41" s="130"/>
      <c r="EJ41" s="130"/>
      <c r="EK41" s="130"/>
      <c r="EL41" s="130"/>
      <c r="EM41" s="130"/>
      <c r="EN41" s="130"/>
      <c r="EO41" s="130"/>
      <c r="EP41" s="130"/>
      <c r="EQ41" s="130"/>
      <c r="ER41" s="130"/>
      <c r="ES41" s="130"/>
      <c r="ET41" s="130"/>
      <c r="EU41" s="130"/>
      <c r="EV41" s="130"/>
      <c r="EW41" s="130"/>
      <c r="EX41" s="130"/>
      <c r="EY41" s="130"/>
      <c r="EZ41" s="130"/>
      <c r="FA41" s="130"/>
      <c r="FB41" s="130"/>
      <c r="FC41" s="130"/>
      <c r="FD41" s="130"/>
      <c r="FE41" s="130"/>
      <c r="FF41" s="130"/>
      <c r="FG41" s="130"/>
      <c r="FH41" s="130"/>
      <c r="FI41" s="130"/>
      <c r="FJ41" s="130"/>
      <c r="FK41" s="130"/>
      <c r="FL41" s="130"/>
      <c r="FM41" s="130"/>
      <c r="FN41" s="130"/>
      <c r="FO41" s="130"/>
      <c r="FP41" s="130"/>
      <c r="FQ41" s="130"/>
      <c r="FR41" s="130"/>
      <c r="FS41" s="130"/>
      <c r="FT41" s="130"/>
      <c r="FU41" s="130"/>
      <c r="FV41" s="130"/>
      <c r="FW41" s="130"/>
      <c r="FX41" s="130"/>
      <c r="FY41" s="130"/>
      <c r="FZ41" s="130"/>
      <c r="GA41" s="130"/>
      <c r="GB41" s="130"/>
      <c r="GC41" s="130"/>
      <c r="GD41" s="130"/>
      <c r="GE41" s="130"/>
      <c r="GF41" s="130"/>
      <c r="GG41" s="130"/>
      <c r="GH41" s="130"/>
      <c r="GI41" s="130"/>
      <c r="GJ41" s="130"/>
      <c r="GK41" s="130"/>
      <c r="GL41" s="130"/>
      <c r="GM41" s="130"/>
      <c r="GN41" s="130"/>
      <c r="GO41" s="130"/>
      <c r="GP41" s="130"/>
      <c r="GQ41" s="130"/>
      <c r="GR41" s="130"/>
      <c r="GS41" s="130"/>
      <c r="GT41" s="130"/>
      <c r="GU41" s="130"/>
      <c r="GV41" s="130"/>
      <c r="GW41" s="130"/>
    </row>
    <row r="42" spans="1:205" s="24" customFormat="1" ht="19.5" customHeight="1">
      <c r="A42" s="109"/>
      <c r="B42" s="59"/>
      <c r="C42" s="59">
        <v>4040</v>
      </c>
      <c r="D42" s="14" t="s">
        <v>106</v>
      </c>
      <c r="E42" s="81">
        <v>11000</v>
      </c>
      <c r="F42" s="257">
        <v>10127</v>
      </c>
      <c r="G42" s="81">
        <v>10126.47</v>
      </c>
      <c r="H42" s="124">
        <f t="shared" si="0"/>
        <v>99.99476646588327</v>
      </c>
      <c r="I42" s="130"/>
      <c r="J42" s="130"/>
      <c r="K42" s="130"/>
      <c r="L42" s="130"/>
      <c r="M42" s="130"/>
      <c r="N42" s="130"/>
      <c r="O42" s="130"/>
      <c r="P42" s="130"/>
      <c r="Q42" s="130"/>
      <c r="R42" s="130"/>
      <c r="S42" s="130"/>
      <c r="T42" s="130"/>
      <c r="U42" s="130"/>
      <c r="V42" s="130"/>
      <c r="W42" s="130"/>
      <c r="X42" s="130"/>
      <c r="Y42" s="130"/>
      <c r="Z42" s="130"/>
      <c r="AA42" s="130"/>
      <c r="AB42" s="130"/>
      <c r="AC42" s="130"/>
      <c r="AD42" s="130"/>
      <c r="AE42" s="130"/>
      <c r="AF42" s="130"/>
      <c r="AG42" s="130"/>
      <c r="AH42" s="130"/>
      <c r="AI42" s="130"/>
      <c r="AJ42" s="130"/>
      <c r="AK42" s="130"/>
      <c r="AL42" s="130"/>
      <c r="AM42" s="130"/>
      <c r="AN42" s="130"/>
      <c r="AO42" s="130"/>
      <c r="AP42" s="130"/>
      <c r="AQ42" s="130"/>
      <c r="AR42" s="130"/>
      <c r="AS42" s="130"/>
      <c r="AT42" s="130"/>
      <c r="AU42" s="130"/>
      <c r="AV42" s="130"/>
      <c r="AW42" s="130"/>
      <c r="AX42" s="130"/>
      <c r="AY42" s="130"/>
      <c r="AZ42" s="130"/>
      <c r="BA42" s="130"/>
      <c r="BB42" s="130"/>
      <c r="BC42" s="130"/>
      <c r="BD42" s="130"/>
      <c r="BE42" s="130"/>
      <c r="BF42" s="130"/>
      <c r="BG42" s="130"/>
      <c r="BH42" s="130"/>
      <c r="BI42" s="130"/>
      <c r="BJ42" s="130"/>
      <c r="BK42" s="130"/>
      <c r="BL42" s="130"/>
      <c r="BM42" s="130"/>
      <c r="BN42" s="130"/>
      <c r="BO42" s="130"/>
      <c r="BP42" s="130"/>
      <c r="BQ42" s="130"/>
      <c r="BR42" s="130"/>
      <c r="BS42" s="130"/>
      <c r="BT42" s="130"/>
      <c r="BU42" s="130"/>
      <c r="BV42" s="130"/>
      <c r="BW42" s="130"/>
      <c r="BX42" s="130"/>
      <c r="BY42" s="130"/>
      <c r="BZ42" s="130"/>
      <c r="CA42" s="130"/>
      <c r="CB42" s="130"/>
      <c r="CC42" s="130"/>
      <c r="CD42" s="130"/>
      <c r="CE42" s="130"/>
      <c r="CF42" s="130"/>
      <c r="CG42" s="130"/>
      <c r="CH42" s="130"/>
      <c r="CI42" s="130"/>
      <c r="CJ42" s="130"/>
      <c r="CK42" s="130"/>
      <c r="CL42" s="130"/>
      <c r="CM42" s="130"/>
      <c r="CN42" s="130"/>
      <c r="CO42" s="130"/>
      <c r="CP42" s="130"/>
      <c r="CQ42" s="130"/>
      <c r="CR42" s="130"/>
      <c r="CS42" s="130"/>
      <c r="CT42" s="130"/>
      <c r="CU42" s="130"/>
      <c r="CV42" s="130"/>
      <c r="CW42" s="130"/>
      <c r="CX42" s="130"/>
      <c r="CY42" s="130"/>
      <c r="CZ42" s="130"/>
      <c r="DA42" s="130"/>
      <c r="DB42" s="130"/>
      <c r="DC42" s="130"/>
      <c r="DD42" s="130"/>
      <c r="DE42" s="130"/>
      <c r="DF42" s="130"/>
      <c r="DG42" s="130"/>
      <c r="DH42" s="130"/>
      <c r="DI42" s="130"/>
      <c r="DJ42" s="130"/>
      <c r="DK42" s="130"/>
      <c r="DL42" s="130"/>
      <c r="DM42" s="130"/>
      <c r="DN42" s="130"/>
      <c r="DO42" s="130"/>
      <c r="DP42" s="130"/>
      <c r="DQ42" s="130"/>
      <c r="DR42" s="130"/>
      <c r="DS42" s="130"/>
      <c r="DT42" s="130"/>
      <c r="DU42" s="130"/>
      <c r="DV42" s="130"/>
      <c r="DW42" s="130"/>
      <c r="DX42" s="130"/>
      <c r="DY42" s="130"/>
      <c r="DZ42" s="130"/>
      <c r="EA42" s="130"/>
      <c r="EB42" s="130"/>
      <c r="EC42" s="130"/>
      <c r="ED42" s="130"/>
      <c r="EE42" s="130"/>
      <c r="EF42" s="130"/>
      <c r="EG42" s="130"/>
      <c r="EH42" s="130"/>
      <c r="EI42" s="130"/>
      <c r="EJ42" s="130"/>
      <c r="EK42" s="130"/>
      <c r="EL42" s="130"/>
      <c r="EM42" s="130"/>
      <c r="EN42" s="130"/>
      <c r="EO42" s="130"/>
      <c r="EP42" s="130"/>
      <c r="EQ42" s="130"/>
      <c r="ER42" s="130"/>
      <c r="ES42" s="130"/>
      <c r="ET42" s="130"/>
      <c r="EU42" s="130"/>
      <c r="EV42" s="130"/>
      <c r="EW42" s="130"/>
      <c r="EX42" s="130"/>
      <c r="EY42" s="130"/>
      <c r="EZ42" s="130"/>
      <c r="FA42" s="130"/>
      <c r="FB42" s="130"/>
      <c r="FC42" s="130"/>
      <c r="FD42" s="130"/>
      <c r="FE42" s="130"/>
      <c r="FF42" s="130"/>
      <c r="FG42" s="130"/>
      <c r="FH42" s="130"/>
      <c r="FI42" s="130"/>
      <c r="FJ42" s="130"/>
      <c r="FK42" s="130"/>
      <c r="FL42" s="130"/>
      <c r="FM42" s="130"/>
      <c r="FN42" s="130"/>
      <c r="FO42" s="130"/>
      <c r="FP42" s="130"/>
      <c r="FQ42" s="130"/>
      <c r="FR42" s="130"/>
      <c r="FS42" s="130"/>
      <c r="FT42" s="130"/>
      <c r="FU42" s="130"/>
      <c r="FV42" s="130"/>
      <c r="FW42" s="130"/>
      <c r="FX42" s="130"/>
      <c r="FY42" s="130"/>
      <c r="FZ42" s="130"/>
      <c r="GA42" s="130"/>
      <c r="GB42" s="130"/>
      <c r="GC42" s="130"/>
      <c r="GD42" s="130"/>
      <c r="GE42" s="130"/>
      <c r="GF42" s="130"/>
      <c r="GG42" s="130"/>
      <c r="GH42" s="130"/>
      <c r="GI42" s="130"/>
      <c r="GJ42" s="130"/>
      <c r="GK42" s="130"/>
      <c r="GL42" s="130"/>
      <c r="GM42" s="130"/>
      <c r="GN42" s="130"/>
      <c r="GO42" s="130"/>
      <c r="GP42" s="130"/>
      <c r="GQ42" s="130"/>
      <c r="GR42" s="130"/>
      <c r="GS42" s="130"/>
      <c r="GT42" s="130"/>
      <c r="GU42" s="130"/>
      <c r="GV42" s="130"/>
      <c r="GW42" s="130"/>
    </row>
    <row r="43" spans="1:205" s="24" customFormat="1" ht="19.5" customHeight="1">
      <c r="A43" s="109"/>
      <c r="B43" s="59"/>
      <c r="C43" s="59">
        <v>4110</v>
      </c>
      <c r="D43" s="14" t="s">
        <v>107</v>
      </c>
      <c r="E43" s="81">
        <f>23500+60000</f>
        <v>83500</v>
      </c>
      <c r="F43" s="257">
        <v>82461</v>
      </c>
      <c r="G43" s="81">
        <v>82460.19</v>
      </c>
      <c r="H43" s="124">
        <f t="shared" si="0"/>
        <v>99.99901771746644</v>
      </c>
      <c r="I43" s="130"/>
      <c r="J43" s="130"/>
      <c r="K43" s="130"/>
      <c r="L43" s="130"/>
      <c r="M43" s="130"/>
      <c r="N43" s="130"/>
      <c r="O43" s="130"/>
      <c r="P43" s="130"/>
      <c r="Q43" s="130"/>
      <c r="R43" s="130"/>
      <c r="S43" s="130"/>
      <c r="T43" s="130"/>
      <c r="U43" s="130"/>
      <c r="V43" s="130"/>
      <c r="W43" s="130"/>
      <c r="X43" s="130"/>
      <c r="Y43" s="130"/>
      <c r="Z43" s="130"/>
      <c r="AA43" s="130"/>
      <c r="AB43" s="130"/>
      <c r="AC43" s="130"/>
      <c r="AD43" s="130"/>
      <c r="AE43" s="130"/>
      <c r="AF43" s="130"/>
      <c r="AG43" s="130"/>
      <c r="AH43" s="130"/>
      <c r="AI43" s="130"/>
      <c r="AJ43" s="130"/>
      <c r="AK43" s="130"/>
      <c r="AL43" s="130"/>
      <c r="AM43" s="130"/>
      <c r="AN43" s="130"/>
      <c r="AO43" s="130"/>
      <c r="AP43" s="130"/>
      <c r="AQ43" s="130"/>
      <c r="AR43" s="130"/>
      <c r="AS43" s="130"/>
      <c r="AT43" s="130"/>
      <c r="AU43" s="130"/>
      <c r="AV43" s="130"/>
      <c r="AW43" s="130"/>
      <c r="AX43" s="130"/>
      <c r="AY43" s="130"/>
      <c r="AZ43" s="130"/>
      <c r="BA43" s="130"/>
      <c r="BB43" s="130"/>
      <c r="BC43" s="130"/>
      <c r="BD43" s="130"/>
      <c r="BE43" s="130"/>
      <c r="BF43" s="130"/>
      <c r="BG43" s="130"/>
      <c r="BH43" s="130"/>
      <c r="BI43" s="130"/>
      <c r="BJ43" s="130"/>
      <c r="BK43" s="130"/>
      <c r="BL43" s="130"/>
      <c r="BM43" s="130"/>
      <c r="BN43" s="130"/>
      <c r="BO43" s="130"/>
      <c r="BP43" s="130"/>
      <c r="BQ43" s="130"/>
      <c r="BR43" s="130"/>
      <c r="BS43" s="130"/>
      <c r="BT43" s="130"/>
      <c r="BU43" s="130"/>
      <c r="BV43" s="130"/>
      <c r="BW43" s="130"/>
      <c r="BX43" s="130"/>
      <c r="BY43" s="130"/>
      <c r="BZ43" s="130"/>
      <c r="CA43" s="130"/>
      <c r="CB43" s="130"/>
      <c r="CC43" s="130"/>
      <c r="CD43" s="130"/>
      <c r="CE43" s="130"/>
      <c r="CF43" s="130"/>
      <c r="CG43" s="130"/>
      <c r="CH43" s="130"/>
      <c r="CI43" s="130"/>
      <c r="CJ43" s="130"/>
      <c r="CK43" s="130"/>
      <c r="CL43" s="130"/>
      <c r="CM43" s="130"/>
      <c r="CN43" s="130"/>
      <c r="CO43" s="130"/>
      <c r="CP43" s="130"/>
      <c r="CQ43" s="130"/>
      <c r="CR43" s="130"/>
      <c r="CS43" s="130"/>
      <c r="CT43" s="130"/>
      <c r="CU43" s="130"/>
      <c r="CV43" s="130"/>
      <c r="CW43" s="130"/>
      <c r="CX43" s="130"/>
      <c r="CY43" s="130"/>
      <c r="CZ43" s="130"/>
      <c r="DA43" s="130"/>
      <c r="DB43" s="130"/>
      <c r="DC43" s="130"/>
      <c r="DD43" s="130"/>
      <c r="DE43" s="130"/>
      <c r="DF43" s="130"/>
      <c r="DG43" s="130"/>
      <c r="DH43" s="130"/>
      <c r="DI43" s="130"/>
      <c r="DJ43" s="130"/>
      <c r="DK43" s="130"/>
      <c r="DL43" s="130"/>
      <c r="DM43" s="130"/>
      <c r="DN43" s="130"/>
      <c r="DO43" s="130"/>
      <c r="DP43" s="130"/>
      <c r="DQ43" s="130"/>
      <c r="DR43" s="130"/>
      <c r="DS43" s="130"/>
      <c r="DT43" s="130"/>
      <c r="DU43" s="130"/>
      <c r="DV43" s="130"/>
      <c r="DW43" s="130"/>
      <c r="DX43" s="130"/>
      <c r="DY43" s="130"/>
      <c r="DZ43" s="130"/>
      <c r="EA43" s="130"/>
      <c r="EB43" s="130"/>
      <c r="EC43" s="130"/>
      <c r="ED43" s="130"/>
      <c r="EE43" s="130"/>
      <c r="EF43" s="130"/>
      <c r="EG43" s="130"/>
      <c r="EH43" s="130"/>
      <c r="EI43" s="130"/>
      <c r="EJ43" s="130"/>
      <c r="EK43" s="130"/>
      <c r="EL43" s="130"/>
      <c r="EM43" s="130"/>
      <c r="EN43" s="130"/>
      <c r="EO43" s="130"/>
      <c r="EP43" s="130"/>
      <c r="EQ43" s="130"/>
      <c r="ER43" s="130"/>
      <c r="ES43" s="130"/>
      <c r="ET43" s="130"/>
      <c r="EU43" s="130"/>
      <c r="EV43" s="130"/>
      <c r="EW43" s="130"/>
      <c r="EX43" s="130"/>
      <c r="EY43" s="130"/>
      <c r="EZ43" s="130"/>
      <c r="FA43" s="130"/>
      <c r="FB43" s="130"/>
      <c r="FC43" s="130"/>
      <c r="FD43" s="130"/>
      <c r="FE43" s="130"/>
      <c r="FF43" s="130"/>
      <c r="FG43" s="130"/>
      <c r="FH43" s="130"/>
      <c r="FI43" s="130"/>
      <c r="FJ43" s="130"/>
      <c r="FK43" s="130"/>
      <c r="FL43" s="130"/>
      <c r="FM43" s="130"/>
      <c r="FN43" s="130"/>
      <c r="FO43" s="130"/>
      <c r="FP43" s="130"/>
      <c r="FQ43" s="130"/>
      <c r="FR43" s="130"/>
      <c r="FS43" s="130"/>
      <c r="FT43" s="130"/>
      <c r="FU43" s="130"/>
      <c r="FV43" s="130"/>
      <c r="FW43" s="130"/>
      <c r="FX43" s="130"/>
      <c r="FY43" s="130"/>
      <c r="FZ43" s="130"/>
      <c r="GA43" s="130"/>
      <c r="GB43" s="130"/>
      <c r="GC43" s="130"/>
      <c r="GD43" s="130"/>
      <c r="GE43" s="130"/>
      <c r="GF43" s="130"/>
      <c r="GG43" s="130"/>
      <c r="GH43" s="130"/>
      <c r="GI43" s="130"/>
      <c r="GJ43" s="130"/>
      <c r="GK43" s="130"/>
      <c r="GL43" s="130"/>
      <c r="GM43" s="130"/>
      <c r="GN43" s="130"/>
      <c r="GO43" s="130"/>
      <c r="GP43" s="130"/>
      <c r="GQ43" s="130"/>
      <c r="GR43" s="130"/>
      <c r="GS43" s="130"/>
      <c r="GT43" s="130"/>
      <c r="GU43" s="130"/>
      <c r="GV43" s="130"/>
      <c r="GW43" s="130"/>
    </row>
    <row r="44" spans="1:205" s="24" customFormat="1" ht="19.5" customHeight="1">
      <c r="A44" s="109"/>
      <c r="B44" s="59"/>
      <c r="C44" s="59">
        <v>4120</v>
      </c>
      <c r="D44" s="14" t="s">
        <v>108</v>
      </c>
      <c r="E44" s="81">
        <v>3400</v>
      </c>
      <c r="F44" s="257">
        <v>3478</v>
      </c>
      <c r="G44" s="81">
        <v>3477.56</v>
      </c>
      <c r="H44" s="124">
        <f t="shared" si="0"/>
        <v>99.98734905117884</v>
      </c>
      <c r="I44" s="130"/>
      <c r="J44" s="130"/>
      <c r="K44" s="130"/>
      <c r="L44" s="130"/>
      <c r="M44" s="130"/>
      <c r="N44" s="130"/>
      <c r="O44" s="130"/>
      <c r="P44" s="130"/>
      <c r="Q44" s="130"/>
      <c r="R44" s="130"/>
      <c r="S44" s="130"/>
      <c r="T44" s="130"/>
      <c r="U44" s="130"/>
      <c r="V44" s="130"/>
      <c r="W44" s="130"/>
      <c r="X44" s="130"/>
      <c r="Y44" s="130"/>
      <c r="Z44" s="130"/>
      <c r="AA44" s="130"/>
      <c r="AB44" s="130"/>
      <c r="AC44" s="130"/>
      <c r="AD44" s="130"/>
      <c r="AE44" s="130"/>
      <c r="AF44" s="130"/>
      <c r="AG44" s="130"/>
      <c r="AH44" s="130"/>
      <c r="AI44" s="130"/>
      <c r="AJ44" s="130"/>
      <c r="AK44" s="130"/>
      <c r="AL44" s="130"/>
      <c r="AM44" s="130"/>
      <c r="AN44" s="130"/>
      <c r="AO44" s="130"/>
      <c r="AP44" s="130"/>
      <c r="AQ44" s="130"/>
      <c r="AR44" s="130"/>
      <c r="AS44" s="130"/>
      <c r="AT44" s="130"/>
      <c r="AU44" s="130"/>
      <c r="AV44" s="130"/>
      <c r="AW44" s="130"/>
      <c r="AX44" s="130"/>
      <c r="AY44" s="130"/>
      <c r="AZ44" s="130"/>
      <c r="BA44" s="130"/>
      <c r="BB44" s="130"/>
      <c r="BC44" s="130"/>
      <c r="BD44" s="130"/>
      <c r="BE44" s="130"/>
      <c r="BF44" s="130"/>
      <c r="BG44" s="130"/>
      <c r="BH44" s="130"/>
      <c r="BI44" s="130"/>
      <c r="BJ44" s="130"/>
      <c r="BK44" s="130"/>
      <c r="BL44" s="130"/>
      <c r="BM44" s="130"/>
      <c r="BN44" s="130"/>
      <c r="BO44" s="130"/>
      <c r="BP44" s="130"/>
      <c r="BQ44" s="130"/>
      <c r="BR44" s="130"/>
      <c r="BS44" s="130"/>
      <c r="BT44" s="130"/>
      <c r="BU44" s="130"/>
      <c r="BV44" s="130"/>
      <c r="BW44" s="130"/>
      <c r="BX44" s="130"/>
      <c r="BY44" s="130"/>
      <c r="BZ44" s="130"/>
      <c r="CA44" s="130"/>
      <c r="CB44" s="130"/>
      <c r="CC44" s="130"/>
      <c r="CD44" s="130"/>
      <c r="CE44" s="130"/>
      <c r="CF44" s="130"/>
      <c r="CG44" s="130"/>
      <c r="CH44" s="130"/>
      <c r="CI44" s="130"/>
      <c r="CJ44" s="130"/>
      <c r="CK44" s="130"/>
      <c r="CL44" s="130"/>
      <c r="CM44" s="130"/>
      <c r="CN44" s="130"/>
      <c r="CO44" s="130"/>
      <c r="CP44" s="130"/>
      <c r="CQ44" s="130"/>
      <c r="CR44" s="130"/>
      <c r="CS44" s="130"/>
      <c r="CT44" s="130"/>
      <c r="CU44" s="130"/>
      <c r="CV44" s="130"/>
      <c r="CW44" s="130"/>
      <c r="CX44" s="130"/>
      <c r="CY44" s="130"/>
      <c r="CZ44" s="130"/>
      <c r="DA44" s="130"/>
      <c r="DB44" s="130"/>
      <c r="DC44" s="130"/>
      <c r="DD44" s="130"/>
      <c r="DE44" s="130"/>
      <c r="DF44" s="130"/>
      <c r="DG44" s="130"/>
      <c r="DH44" s="130"/>
      <c r="DI44" s="130"/>
      <c r="DJ44" s="130"/>
      <c r="DK44" s="130"/>
      <c r="DL44" s="130"/>
      <c r="DM44" s="130"/>
      <c r="DN44" s="130"/>
      <c r="DO44" s="130"/>
      <c r="DP44" s="130"/>
      <c r="DQ44" s="130"/>
      <c r="DR44" s="130"/>
      <c r="DS44" s="130"/>
      <c r="DT44" s="130"/>
      <c r="DU44" s="130"/>
      <c r="DV44" s="130"/>
      <c r="DW44" s="130"/>
      <c r="DX44" s="130"/>
      <c r="DY44" s="130"/>
      <c r="DZ44" s="130"/>
      <c r="EA44" s="130"/>
      <c r="EB44" s="130"/>
      <c r="EC44" s="130"/>
      <c r="ED44" s="130"/>
      <c r="EE44" s="130"/>
      <c r="EF44" s="130"/>
      <c r="EG44" s="130"/>
      <c r="EH44" s="130"/>
      <c r="EI44" s="130"/>
      <c r="EJ44" s="130"/>
      <c r="EK44" s="130"/>
      <c r="EL44" s="130"/>
      <c r="EM44" s="130"/>
      <c r="EN44" s="130"/>
      <c r="EO44" s="130"/>
      <c r="EP44" s="130"/>
      <c r="EQ44" s="130"/>
      <c r="ER44" s="130"/>
      <c r="ES44" s="130"/>
      <c r="ET44" s="130"/>
      <c r="EU44" s="130"/>
      <c r="EV44" s="130"/>
      <c r="EW44" s="130"/>
      <c r="EX44" s="130"/>
      <c r="EY44" s="130"/>
      <c r="EZ44" s="130"/>
      <c r="FA44" s="130"/>
      <c r="FB44" s="130"/>
      <c r="FC44" s="130"/>
      <c r="FD44" s="130"/>
      <c r="FE44" s="130"/>
      <c r="FF44" s="130"/>
      <c r="FG44" s="130"/>
      <c r="FH44" s="130"/>
      <c r="FI44" s="130"/>
      <c r="FJ44" s="130"/>
      <c r="FK44" s="130"/>
      <c r="FL44" s="130"/>
      <c r="FM44" s="130"/>
      <c r="FN44" s="130"/>
      <c r="FO44" s="130"/>
      <c r="FP44" s="130"/>
      <c r="FQ44" s="130"/>
      <c r="FR44" s="130"/>
      <c r="FS44" s="130"/>
      <c r="FT44" s="130"/>
      <c r="FU44" s="130"/>
      <c r="FV44" s="130"/>
      <c r="FW44" s="130"/>
      <c r="FX44" s="130"/>
      <c r="FY44" s="130"/>
      <c r="FZ44" s="130"/>
      <c r="GA44" s="130"/>
      <c r="GB44" s="130"/>
      <c r="GC44" s="130"/>
      <c r="GD44" s="130"/>
      <c r="GE44" s="130"/>
      <c r="GF44" s="130"/>
      <c r="GG44" s="130"/>
      <c r="GH44" s="130"/>
      <c r="GI44" s="130"/>
      <c r="GJ44" s="130"/>
      <c r="GK44" s="130"/>
      <c r="GL44" s="130"/>
      <c r="GM44" s="130"/>
      <c r="GN44" s="130"/>
      <c r="GO44" s="130"/>
      <c r="GP44" s="130"/>
      <c r="GQ44" s="130"/>
      <c r="GR44" s="130"/>
      <c r="GS44" s="130"/>
      <c r="GT44" s="130"/>
      <c r="GU44" s="130"/>
      <c r="GV44" s="130"/>
      <c r="GW44" s="130"/>
    </row>
    <row r="45" spans="1:205" s="24" customFormat="1" ht="19.5" customHeight="1">
      <c r="A45" s="109"/>
      <c r="B45" s="59"/>
      <c r="C45" s="59">
        <v>4170</v>
      </c>
      <c r="D45" s="42" t="s">
        <v>238</v>
      </c>
      <c r="E45" s="81">
        <v>4000</v>
      </c>
      <c r="F45" s="257">
        <v>80</v>
      </c>
      <c r="G45" s="81">
        <v>80</v>
      </c>
      <c r="H45" s="124">
        <f t="shared" si="0"/>
        <v>100</v>
      </c>
      <c r="I45" s="130"/>
      <c r="J45" s="130"/>
      <c r="K45" s="130"/>
      <c r="L45" s="130"/>
      <c r="M45" s="130"/>
      <c r="N45" s="130"/>
      <c r="O45" s="130"/>
      <c r="P45" s="130"/>
      <c r="Q45" s="130"/>
      <c r="R45" s="130"/>
      <c r="S45" s="130"/>
      <c r="T45" s="130"/>
      <c r="U45" s="130"/>
      <c r="V45" s="130"/>
      <c r="W45" s="130"/>
      <c r="X45" s="130"/>
      <c r="Y45" s="130"/>
      <c r="Z45" s="130"/>
      <c r="AA45" s="130"/>
      <c r="AB45" s="130"/>
      <c r="AC45" s="130"/>
      <c r="AD45" s="130"/>
      <c r="AE45" s="130"/>
      <c r="AF45" s="130"/>
      <c r="AG45" s="130"/>
      <c r="AH45" s="130"/>
      <c r="AI45" s="130"/>
      <c r="AJ45" s="130"/>
      <c r="AK45" s="130"/>
      <c r="AL45" s="130"/>
      <c r="AM45" s="130"/>
      <c r="AN45" s="130"/>
      <c r="AO45" s="130"/>
      <c r="AP45" s="130"/>
      <c r="AQ45" s="130"/>
      <c r="AR45" s="130"/>
      <c r="AS45" s="130"/>
      <c r="AT45" s="130"/>
      <c r="AU45" s="130"/>
      <c r="AV45" s="130"/>
      <c r="AW45" s="130"/>
      <c r="AX45" s="130"/>
      <c r="AY45" s="130"/>
      <c r="AZ45" s="130"/>
      <c r="BA45" s="130"/>
      <c r="BB45" s="130"/>
      <c r="BC45" s="130"/>
      <c r="BD45" s="130"/>
      <c r="BE45" s="130"/>
      <c r="BF45" s="130"/>
      <c r="BG45" s="130"/>
      <c r="BH45" s="130"/>
      <c r="BI45" s="130"/>
      <c r="BJ45" s="130"/>
      <c r="BK45" s="130"/>
      <c r="BL45" s="130"/>
      <c r="BM45" s="130"/>
      <c r="BN45" s="130"/>
      <c r="BO45" s="130"/>
      <c r="BP45" s="130"/>
      <c r="BQ45" s="130"/>
      <c r="BR45" s="130"/>
      <c r="BS45" s="130"/>
      <c r="BT45" s="130"/>
      <c r="BU45" s="130"/>
      <c r="BV45" s="130"/>
      <c r="BW45" s="130"/>
      <c r="BX45" s="130"/>
      <c r="BY45" s="130"/>
      <c r="BZ45" s="130"/>
      <c r="CA45" s="130"/>
      <c r="CB45" s="130"/>
      <c r="CC45" s="130"/>
      <c r="CD45" s="130"/>
      <c r="CE45" s="130"/>
      <c r="CF45" s="130"/>
      <c r="CG45" s="130"/>
      <c r="CH45" s="130"/>
      <c r="CI45" s="130"/>
      <c r="CJ45" s="130"/>
      <c r="CK45" s="130"/>
      <c r="CL45" s="130"/>
      <c r="CM45" s="130"/>
      <c r="CN45" s="130"/>
      <c r="CO45" s="130"/>
      <c r="CP45" s="130"/>
      <c r="CQ45" s="130"/>
      <c r="CR45" s="130"/>
      <c r="CS45" s="130"/>
      <c r="CT45" s="130"/>
      <c r="CU45" s="130"/>
      <c r="CV45" s="130"/>
      <c r="CW45" s="130"/>
      <c r="CX45" s="130"/>
      <c r="CY45" s="130"/>
      <c r="CZ45" s="130"/>
      <c r="DA45" s="130"/>
      <c r="DB45" s="130"/>
      <c r="DC45" s="130"/>
      <c r="DD45" s="130"/>
      <c r="DE45" s="130"/>
      <c r="DF45" s="130"/>
      <c r="DG45" s="130"/>
      <c r="DH45" s="130"/>
      <c r="DI45" s="130"/>
      <c r="DJ45" s="130"/>
      <c r="DK45" s="130"/>
      <c r="DL45" s="130"/>
      <c r="DM45" s="130"/>
      <c r="DN45" s="130"/>
      <c r="DO45" s="130"/>
      <c r="DP45" s="130"/>
      <c r="DQ45" s="130"/>
      <c r="DR45" s="130"/>
      <c r="DS45" s="130"/>
      <c r="DT45" s="130"/>
      <c r="DU45" s="130"/>
      <c r="DV45" s="130"/>
      <c r="DW45" s="130"/>
      <c r="DX45" s="130"/>
      <c r="DY45" s="130"/>
      <c r="DZ45" s="130"/>
      <c r="EA45" s="130"/>
      <c r="EB45" s="130"/>
      <c r="EC45" s="130"/>
      <c r="ED45" s="130"/>
      <c r="EE45" s="130"/>
      <c r="EF45" s="130"/>
      <c r="EG45" s="130"/>
      <c r="EH45" s="130"/>
      <c r="EI45" s="130"/>
      <c r="EJ45" s="130"/>
      <c r="EK45" s="130"/>
      <c r="EL45" s="130"/>
      <c r="EM45" s="130"/>
      <c r="EN45" s="130"/>
      <c r="EO45" s="130"/>
      <c r="EP45" s="130"/>
      <c r="EQ45" s="130"/>
      <c r="ER45" s="130"/>
      <c r="ES45" s="130"/>
      <c r="ET45" s="130"/>
      <c r="EU45" s="130"/>
      <c r="EV45" s="130"/>
      <c r="EW45" s="130"/>
      <c r="EX45" s="130"/>
      <c r="EY45" s="130"/>
      <c r="EZ45" s="130"/>
      <c r="FA45" s="130"/>
      <c r="FB45" s="130"/>
      <c r="FC45" s="130"/>
      <c r="FD45" s="130"/>
      <c r="FE45" s="130"/>
      <c r="FF45" s="130"/>
      <c r="FG45" s="130"/>
      <c r="FH45" s="130"/>
      <c r="FI45" s="130"/>
      <c r="FJ45" s="130"/>
      <c r="FK45" s="130"/>
      <c r="FL45" s="130"/>
      <c r="FM45" s="130"/>
      <c r="FN45" s="130"/>
      <c r="FO45" s="130"/>
      <c r="FP45" s="130"/>
      <c r="FQ45" s="130"/>
      <c r="FR45" s="130"/>
      <c r="FS45" s="130"/>
      <c r="FT45" s="130"/>
      <c r="FU45" s="130"/>
      <c r="FV45" s="130"/>
      <c r="FW45" s="130"/>
      <c r="FX45" s="130"/>
      <c r="FY45" s="130"/>
      <c r="FZ45" s="130"/>
      <c r="GA45" s="130"/>
      <c r="GB45" s="130"/>
      <c r="GC45" s="130"/>
      <c r="GD45" s="130"/>
      <c r="GE45" s="130"/>
      <c r="GF45" s="130"/>
      <c r="GG45" s="130"/>
      <c r="GH45" s="130"/>
      <c r="GI45" s="130"/>
      <c r="GJ45" s="130"/>
      <c r="GK45" s="130"/>
      <c r="GL45" s="130"/>
      <c r="GM45" s="130"/>
      <c r="GN45" s="130"/>
      <c r="GO45" s="130"/>
      <c r="GP45" s="130"/>
      <c r="GQ45" s="130"/>
      <c r="GR45" s="130"/>
      <c r="GS45" s="130"/>
      <c r="GT45" s="130"/>
      <c r="GU45" s="130"/>
      <c r="GV45" s="130"/>
      <c r="GW45" s="130"/>
    </row>
    <row r="46" spans="1:205" s="24" customFormat="1" ht="19.5" customHeight="1">
      <c r="A46" s="109"/>
      <c r="B46" s="59"/>
      <c r="C46" s="59">
        <v>4210</v>
      </c>
      <c r="D46" s="14" t="s">
        <v>113</v>
      </c>
      <c r="E46" s="81">
        <f>8000+3410</f>
        <v>11410</v>
      </c>
      <c r="F46" s="257">
        <v>947</v>
      </c>
      <c r="G46" s="81">
        <v>947</v>
      </c>
      <c r="H46" s="124">
        <f t="shared" si="0"/>
        <v>100</v>
      </c>
      <c r="I46" s="130"/>
      <c r="J46" s="130"/>
      <c r="K46" s="130"/>
      <c r="L46" s="130"/>
      <c r="M46" s="130"/>
      <c r="N46" s="130"/>
      <c r="O46" s="130"/>
      <c r="P46" s="130"/>
      <c r="Q46" s="130"/>
      <c r="R46" s="130"/>
      <c r="S46" s="130"/>
      <c r="T46" s="130"/>
      <c r="U46" s="130"/>
      <c r="V46" s="130"/>
      <c r="W46" s="130"/>
      <c r="X46" s="130"/>
      <c r="Y46" s="130"/>
      <c r="Z46" s="130"/>
      <c r="AA46" s="130"/>
      <c r="AB46" s="130"/>
      <c r="AC46" s="130"/>
      <c r="AD46" s="130"/>
      <c r="AE46" s="130"/>
      <c r="AF46" s="130"/>
      <c r="AG46" s="130"/>
      <c r="AH46" s="130"/>
      <c r="AI46" s="130"/>
      <c r="AJ46" s="130"/>
      <c r="AK46" s="130"/>
      <c r="AL46" s="130"/>
      <c r="AM46" s="130"/>
      <c r="AN46" s="130"/>
      <c r="AO46" s="130"/>
      <c r="AP46" s="130"/>
      <c r="AQ46" s="130"/>
      <c r="AR46" s="130"/>
      <c r="AS46" s="130"/>
      <c r="AT46" s="130"/>
      <c r="AU46" s="130"/>
      <c r="AV46" s="130"/>
      <c r="AW46" s="130"/>
      <c r="AX46" s="130"/>
      <c r="AY46" s="130"/>
      <c r="AZ46" s="130"/>
      <c r="BA46" s="130"/>
      <c r="BB46" s="130"/>
      <c r="BC46" s="130"/>
      <c r="BD46" s="130"/>
      <c r="BE46" s="130"/>
      <c r="BF46" s="130"/>
      <c r="BG46" s="130"/>
      <c r="BH46" s="130"/>
      <c r="BI46" s="130"/>
      <c r="BJ46" s="130"/>
      <c r="BK46" s="130"/>
      <c r="BL46" s="130"/>
      <c r="BM46" s="130"/>
      <c r="BN46" s="130"/>
      <c r="BO46" s="130"/>
      <c r="BP46" s="130"/>
      <c r="BQ46" s="130"/>
      <c r="BR46" s="130"/>
      <c r="BS46" s="130"/>
      <c r="BT46" s="130"/>
      <c r="BU46" s="130"/>
      <c r="BV46" s="130"/>
      <c r="BW46" s="130"/>
      <c r="BX46" s="130"/>
      <c r="BY46" s="130"/>
      <c r="BZ46" s="130"/>
      <c r="CA46" s="130"/>
      <c r="CB46" s="130"/>
      <c r="CC46" s="130"/>
      <c r="CD46" s="130"/>
      <c r="CE46" s="130"/>
      <c r="CF46" s="130"/>
      <c r="CG46" s="130"/>
      <c r="CH46" s="130"/>
      <c r="CI46" s="130"/>
      <c r="CJ46" s="130"/>
      <c r="CK46" s="130"/>
      <c r="CL46" s="130"/>
      <c r="CM46" s="130"/>
      <c r="CN46" s="130"/>
      <c r="CO46" s="130"/>
      <c r="CP46" s="130"/>
      <c r="CQ46" s="130"/>
      <c r="CR46" s="130"/>
      <c r="CS46" s="130"/>
      <c r="CT46" s="130"/>
      <c r="CU46" s="130"/>
      <c r="CV46" s="130"/>
      <c r="CW46" s="130"/>
      <c r="CX46" s="130"/>
      <c r="CY46" s="130"/>
      <c r="CZ46" s="130"/>
      <c r="DA46" s="130"/>
      <c r="DB46" s="130"/>
      <c r="DC46" s="130"/>
      <c r="DD46" s="130"/>
      <c r="DE46" s="130"/>
      <c r="DF46" s="130"/>
      <c r="DG46" s="130"/>
      <c r="DH46" s="130"/>
      <c r="DI46" s="130"/>
      <c r="DJ46" s="130"/>
      <c r="DK46" s="130"/>
      <c r="DL46" s="130"/>
      <c r="DM46" s="130"/>
      <c r="DN46" s="130"/>
      <c r="DO46" s="130"/>
      <c r="DP46" s="130"/>
      <c r="DQ46" s="130"/>
      <c r="DR46" s="130"/>
      <c r="DS46" s="130"/>
      <c r="DT46" s="130"/>
      <c r="DU46" s="130"/>
      <c r="DV46" s="130"/>
      <c r="DW46" s="130"/>
      <c r="DX46" s="130"/>
      <c r="DY46" s="130"/>
      <c r="DZ46" s="130"/>
      <c r="EA46" s="130"/>
      <c r="EB46" s="130"/>
      <c r="EC46" s="130"/>
      <c r="ED46" s="130"/>
      <c r="EE46" s="130"/>
      <c r="EF46" s="130"/>
      <c r="EG46" s="130"/>
      <c r="EH46" s="130"/>
      <c r="EI46" s="130"/>
      <c r="EJ46" s="130"/>
      <c r="EK46" s="130"/>
      <c r="EL46" s="130"/>
      <c r="EM46" s="130"/>
      <c r="EN46" s="130"/>
      <c r="EO46" s="130"/>
      <c r="EP46" s="130"/>
      <c r="EQ46" s="130"/>
      <c r="ER46" s="130"/>
      <c r="ES46" s="130"/>
      <c r="ET46" s="130"/>
      <c r="EU46" s="130"/>
      <c r="EV46" s="130"/>
      <c r="EW46" s="130"/>
      <c r="EX46" s="130"/>
      <c r="EY46" s="130"/>
      <c r="EZ46" s="130"/>
      <c r="FA46" s="130"/>
      <c r="FB46" s="130"/>
      <c r="FC46" s="130"/>
      <c r="FD46" s="130"/>
      <c r="FE46" s="130"/>
      <c r="FF46" s="130"/>
      <c r="FG46" s="130"/>
      <c r="FH46" s="130"/>
      <c r="FI46" s="130"/>
      <c r="FJ46" s="130"/>
      <c r="FK46" s="130"/>
      <c r="FL46" s="130"/>
      <c r="FM46" s="130"/>
      <c r="FN46" s="130"/>
      <c r="FO46" s="130"/>
      <c r="FP46" s="130"/>
      <c r="FQ46" s="130"/>
      <c r="FR46" s="130"/>
      <c r="FS46" s="130"/>
      <c r="FT46" s="130"/>
      <c r="FU46" s="130"/>
      <c r="FV46" s="130"/>
      <c r="FW46" s="130"/>
      <c r="FX46" s="130"/>
      <c r="FY46" s="130"/>
      <c r="FZ46" s="130"/>
      <c r="GA46" s="130"/>
      <c r="GB46" s="130"/>
      <c r="GC46" s="130"/>
      <c r="GD46" s="130"/>
      <c r="GE46" s="130"/>
      <c r="GF46" s="130"/>
      <c r="GG46" s="130"/>
      <c r="GH46" s="130"/>
      <c r="GI46" s="130"/>
      <c r="GJ46" s="130"/>
      <c r="GK46" s="130"/>
      <c r="GL46" s="130"/>
      <c r="GM46" s="130"/>
      <c r="GN46" s="130"/>
      <c r="GO46" s="130"/>
      <c r="GP46" s="130"/>
      <c r="GQ46" s="130"/>
      <c r="GR46" s="130"/>
      <c r="GS46" s="130"/>
      <c r="GT46" s="130"/>
      <c r="GU46" s="130"/>
      <c r="GV46" s="130"/>
      <c r="GW46" s="130"/>
    </row>
    <row r="47" spans="1:205" s="24" customFormat="1" ht="19.5" customHeight="1">
      <c r="A47" s="109"/>
      <c r="B47" s="59"/>
      <c r="C47" s="59">
        <v>4270</v>
      </c>
      <c r="D47" s="14" t="s">
        <v>99</v>
      </c>
      <c r="E47" s="81">
        <v>1000</v>
      </c>
      <c r="F47" s="257">
        <v>275</v>
      </c>
      <c r="G47" s="81">
        <v>274.5</v>
      </c>
      <c r="H47" s="124">
        <f t="shared" si="0"/>
        <v>99.81818181818181</v>
      </c>
      <c r="I47" s="130"/>
      <c r="J47" s="130"/>
      <c r="K47" s="130"/>
      <c r="L47" s="130"/>
      <c r="M47" s="130"/>
      <c r="N47" s="130"/>
      <c r="O47" s="130"/>
      <c r="P47" s="130"/>
      <c r="Q47" s="130"/>
      <c r="R47" s="130"/>
      <c r="S47" s="130"/>
      <c r="T47" s="130"/>
      <c r="U47" s="130"/>
      <c r="V47" s="130"/>
      <c r="W47" s="130"/>
      <c r="X47" s="130"/>
      <c r="Y47" s="130"/>
      <c r="Z47" s="130"/>
      <c r="AA47" s="130"/>
      <c r="AB47" s="130"/>
      <c r="AC47" s="130"/>
      <c r="AD47" s="130"/>
      <c r="AE47" s="130"/>
      <c r="AF47" s="130"/>
      <c r="AG47" s="130"/>
      <c r="AH47" s="130"/>
      <c r="AI47" s="130"/>
      <c r="AJ47" s="130"/>
      <c r="AK47" s="130"/>
      <c r="AL47" s="130"/>
      <c r="AM47" s="130"/>
      <c r="AN47" s="130"/>
      <c r="AO47" s="130"/>
      <c r="AP47" s="130"/>
      <c r="AQ47" s="130"/>
      <c r="AR47" s="130"/>
      <c r="AS47" s="130"/>
      <c r="AT47" s="130"/>
      <c r="AU47" s="130"/>
      <c r="AV47" s="130"/>
      <c r="AW47" s="130"/>
      <c r="AX47" s="130"/>
      <c r="AY47" s="130"/>
      <c r="AZ47" s="130"/>
      <c r="BA47" s="130"/>
      <c r="BB47" s="130"/>
      <c r="BC47" s="130"/>
      <c r="BD47" s="130"/>
      <c r="BE47" s="130"/>
      <c r="BF47" s="130"/>
      <c r="BG47" s="130"/>
      <c r="BH47" s="130"/>
      <c r="BI47" s="130"/>
      <c r="BJ47" s="130"/>
      <c r="BK47" s="130"/>
      <c r="BL47" s="130"/>
      <c r="BM47" s="130"/>
      <c r="BN47" s="130"/>
      <c r="BO47" s="130"/>
      <c r="BP47" s="130"/>
      <c r="BQ47" s="130"/>
      <c r="BR47" s="130"/>
      <c r="BS47" s="130"/>
      <c r="BT47" s="130"/>
      <c r="BU47" s="130"/>
      <c r="BV47" s="130"/>
      <c r="BW47" s="130"/>
      <c r="BX47" s="130"/>
      <c r="BY47" s="130"/>
      <c r="BZ47" s="130"/>
      <c r="CA47" s="130"/>
      <c r="CB47" s="130"/>
      <c r="CC47" s="130"/>
      <c r="CD47" s="130"/>
      <c r="CE47" s="130"/>
      <c r="CF47" s="130"/>
      <c r="CG47" s="130"/>
      <c r="CH47" s="130"/>
      <c r="CI47" s="130"/>
      <c r="CJ47" s="130"/>
      <c r="CK47" s="130"/>
      <c r="CL47" s="130"/>
      <c r="CM47" s="130"/>
      <c r="CN47" s="130"/>
      <c r="CO47" s="130"/>
      <c r="CP47" s="130"/>
      <c r="CQ47" s="130"/>
      <c r="CR47" s="130"/>
      <c r="CS47" s="130"/>
      <c r="CT47" s="130"/>
      <c r="CU47" s="130"/>
      <c r="CV47" s="130"/>
      <c r="CW47" s="130"/>
      <c r="CX47" s="130"/>
      <c r="CY47" s="130"/>
      <c r="CZ47" s="130"/>
      <c r="DA47" s="130"/>
      <c r="DB47" s="130"/>
      <c r="DC47" s="130"/>
      <c r="DD47" s="130"/>
      <c r="DE47" s="130"/>
      <c r="DF47" s="130"/>
      <c r="DG47" s="130"/>
      <c r="DH47" s="130"/>
      <c r="DI47" s="130"/>
      <c r="DJ47" s="130"/>
      <c r="DK47" s="130"/>
      <c r="DL47" s="130"/>
      <c r="DM47" s="130"/>
      <c r="DN47" s="130"/>
      <c r="DO47" s="130"/>
      <c r="DP47" s="130"/>
      <c r="DQ47" s="130"/>
      <c r="DR47" s="130"/>
      <c r="DS47" s="130"/>
      <c r="DT47" s="130"/>
      <c r="DU47" s="130"/>
      <c r="DV47" s="130"/>
      <c r="DW47" s="130"/>
      <c r="DX47" s="130"/>
      <c r="DY47" s="130"/>
      <c r="DZ47" s="130"/>
      <c r="EA47" s="130"/>
      <c r="EB47" s="130"/>
      <c r="EC47" s="130"/>
      <c r="ED47" s="130"/>
      <c r="EE47" s="130"/>
      <c r="EF47" s="130"/>
      <c r="EG47" s="130"/>
      <c r="EH47" s="130"/>
      <c r="EI47" s="130"/>
      <c r="EJ47" s="130"/>
      <c r="EK47" s="130"/>
      <c r="EL47" s="130"/>
      <c r="EM47" s="130"/>
      <c r="EN47" s="130"/>
      <c r="EO47" s="130"/>
      <c r="EP47" s="130"/>
      <c r="EQ47" s="130"/>
      <c r="ER47" s="130"/>
      <c r="ES47" s="130"/>
      <c r="ET47" s="130"/>
      <c r="EU47" s="130"/>
      <c r="EV47" s="130"/>
      <c r="EW47" s="130"/>
      <c r="EX47" s="130"/>
      <c r="EY47" s="130"/>
      <c r="EZ47" s="130"/>
      <c r="FA47" s="130"/>
      <c r="FB47" s="130"/>
      <c r="FC47" s="130"/>
      <c r="FD47" s="130"/>
      <c r="FE47" s="130"/>
      <c r="FF47" s="130"/>
      <c r="FG47" s="130"/>
      <c r="FH47" s="130"/>
      <c r="FI47" s="130"/>
      <c r="FJ47" s="130"/>
      <c r="FK47" s="130"/>
      <c r="FL47" s="130"/>
      <c r="FM47" s="130"/>
      <c r="FN47" s="130"/>
      <c r="FO47" s="130"/>
      <c r="FP47" s="130"/>
      <c r="FQ47" s="130"/>
      <c r="FR47" s="130"/>
      <c r="FS47" s="130"/>
      <c r="FT47" s="130"/>
      <c r="FU47" s="130"/>
      <c r="FV47" s="130"/>
      <c r="FW47" s="130"/>
      <c r="FX47" s="130"/>
      <c r="FY47" s="130"/>
      <c r="FZ47" s="130"/>
      <c r="GA47" s="130"/>
      <c r="GB47" s="130"/>
      <c r="GC47" s="130"/>
      <c r="GD47" s="130"/>
      <c r="GE47" s="130"/>
      <c r="GF47" s="130"/>
      <c r="GG47" s="130"/>
      <c r="GH47" s="130"/>
      <c r="GI47" s="130"/>
      <c r="GJ47" s="130"/>
      <c r="GK47" s="130"/>
      <c r="GL47" s="130"/>
      <c r="GM47" s="130"/>
      <c r="GN47" s="130"/>
      <c r="GO47" s="130"/>
      <c r="GP47" s="130"/>
      <c r="GQ47" s="130"/>
      <c r="GR47" s="130"/>
      <c r="GS47" s="130"/>
      <c r="GT47" s="130"/>
      <c r="GU47" s="130"/>
      <c r="GV47" s="130"/>
      <c r="GW47" s="130"/>
    </row>
    <row r="48" spans="1:205" s="24" customFormat="1" ht="19.5" customHeight="1">
      <c r="A48" s="109"/>
      <c r="B48" s="59"/>
      <c r="C48" s="59">
        <v>4280</v>
      </c>
      <c r="D48" s="14" t="s">
        <v>274</v>
      </c>
      <c r="E48" s="81">
        <v>500</v>
      </c>
      <c r="F48" s="257">
        <v>196</v>
      </c>
      <c r="G48" s="81">
        <v>196</v>
      </c>
      <c r="H48" s="124">
        <f t="shared" si="0"/>
        <v>100</v>
      </c>
      <c r="I48" s="130"/>
      <c r="J48" s="130"/>
      <c r="K48" s="130"/>
      <c r="L48" s="130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0"/>
      <c r="AA48" s="130"/>
      <c r="AB48" s="130"/>
      <c r="AC48" s="130"/>
      <c r="AD48" s="130"/>
      <c r="AE48" s="130"/>
      <c r="AF48" s="130"/>
      <c r="AG48" s="130"/>
      <c r="AH48" s="130"/>
      <c r="AI48" s="130"/>
      <c r="AJ48" s="130"/>
      <c r="AK48" s="130"/>
      <c r="AL48" s="130"/>
      <c r="AM48" s="130"/>
      <c r="AN48" s="130"/>
      <c r="AO48" s="130"/>
      <c r="AP48" s="130"/>
      <c r="AQ48" s="130"/>
      <c r="AR48" s="130"/>
      <c r="AS48" s="130"/>
      <c r="AT48" s="130"/>
      <c r="AU48" s="130"/>
      <c r="AV48" s="130"/>
      <c r="AW48" s="130"/>
      <c r="AX48" s="130"/>
      <c r="AY48" s="130"/>
      <c r="AZ48" s="130"/>
      <c r="BA48" s="130"/>
      <c r="BB48" s="130"/>
      <c r="BC48" s="130"/>
      <c r="BD48" s="130"/>
      <c r="BE48" s="130"/>
      <c r="BF48" s="130"/>
      <c r="BG48" s="130"/>
      <c r="BH48" s="130"/>
      <c r="BI48" s="130"/>
      <c r="BJ48" s="130"/>
      <c r="BK48" s="130"/>
      <c r="BL48" s="130"/>
      <c r="BM48" s="130"/>
      <c r="BN48" s="130"/>
      <c r="BO48" s="130"/>
      <c r="BP48" s="130"/>
      <c r="BQ48" s="130"/>
      <c r="BR48" s="130"/>
      <c r="BS48" s="130"/>
      <c r="BT48" s="130"/>
      <c r="BU48" s="130"/>
      <c r="BV48" s="130"/>
      <c r="BW48" s="130"/>
      <c r="BX48" s="130"/>
      <c r="BY48" s="130"/>
      <c r="BZ48" s="130"/>
      <c r="CA48" s="130"/>
      <c r="CB48" s="130"/>
      <c r="CC48" s="130"/>
      <c r="CD48" s="130"/>
      <c r="CE48" s="130"/>
      <c r="CF48" s="130"/>
      <c r="CG48" s="130"/>
      <c r="CH48" s="130"/>
      <c r="CI48" s="130"/>
      <c r="CJ48" s="130"/>
      <c r="CK48" s="130"/>
      <c r="CL48" s="130"/>
      <c r="CM48" s="130"/>
      <c r="CN48" s="130"/>
      <c r="CO48" s="130"/>
      <c r="CP48" s="130"/>
      <c r="CQ48" s="130"/>
      <c r="CR48" s="130"/>
      <c r="CS48" s="130"/>
      <c r="CT48" s="130"/>
      <c r="CU48" s="130"/>
      <c r="CV48" s="130"/>
      <c r="CW48" s="130"/>
      <c r="CX48" s="130"/>
      <c r="CY48" s="130"/>
      <c r="CZ48" s="130"/>
      <c r="DA48" s="130"/>
      <c r="DB48" s="130"/>
      <c r="DC48" s="130"/>
      <c r="DD48" s="130"/>
      <c r="DE48" s="130"/>
      <c r="DF48" s="130"/>
      <c r="DG48" s="130"/>
      <c r="DH48" s="130"/>
      <c r="DI48" s="130"/>
      <c r="DJ48" s="130"/>
      <c r="DK48" s="130"/>
      <c r="DL48" s="130"/>
      <c r="DM48" s="130"/>
      <c r="DN48" s="130"/>
      <c r="DO48" s="130"/>
      <c r="DP48" s="130"/>
      <c r="DQ48" s="130"/>
      <c r="DR48" s="130"/>
      <c r="DS48" s="130"/>
      <c r="DT48" s="130"/>
      <c r="DU48" s="130"/>
      <c r="DV48" s="130"/>
      <c r="DW48" s="130"/>
      <c r="DX48" s="130"/>
      <c r="DY48" s="130"/>
      <c r="DZ48" s="130"/>
      <c r="EA48" s="130"/>
      <c r="EB48" s="130"/>
      <c r="EC48" s="130"/>
      <c r="ED48" s="130"/>
      <c r="EE48" s="130"/>
      <c r="EF48" s="130"/>
      <c r="EG48" s="130"/>
      <c r="EH48" s="130"/>
      <c r="EI48" s="130"/>
      <c r="EJ48" s="130"/>
      <c r="EK48" s="130"/>
      <c r="EL48" s="130"/>
      <c r="EM48" s="130"/>
      <c r="EN48" s="130"/>
      <c r="EO48" s="130"/>
      <c r="EP48" s="130"/>
      <c r="EQ48" s="130"/>
      <c r="ER48" s="130"/>
      <c r="ES48" s="130"/>
      <c r="ET48" s="130"/>
      <c r="EU48" s="130"/>
      <c r="EV48" s="130"/>
      <c r="EW48" s="130"/>
      <c r="EX48" s="130"/>
      <c r="EY48" s="130"/>
      <c r="EZ48" s="130"/>
      <c r="FA48" s="130"/>
      <c r="FB48" s="130"/>
      <c r="FC48" s="130"/>
      <c r="FD48" s="130"/>
      <c r="FE48" s="130"/>
      <c r="FF48" s="130"/>
      <c r="FG48" s="130"/>
      <c r="FH48" s="130"/>
      <c r="FI48" s="130"/>
      <c r="FJ48" s="130"/>
      <c r="FK48" s="130"/>
      <c r="FL48" s="130"/>
      <c r="FM48" s="130"/>
      <c r="FN48" s="130"/>
      <c r="FO48" s="130"/>
      <c r="FP48" s="130"/>
      <c r="FQ48" s="130"/>
      <c r="FR48" s="130"/>
      <c r="FS48" s="130"/>
      <c r="FT48" s="130"/>
      <c r="FU48" s="130"/>
      <c r="FV48" s="130"/>
      <c r="FW48" s="130"/>
      <c r="FX48" s="130"/>
      <c r="FY48" s="130"/>
      <c r="FZ48" s="130"/>
      <c r="GA48" s="130"/>
      <c r="GB48" s="130"/>
      <c r="GC48" s="130"/>
      <c r="GD48" s="130"/>
      <c r="GE48" s="130"/>
      <c r="GF48" s="130"/>
      <c r="GG48" s="130"/>
      <c r="GH48" s="130"/>
      <c r="GI48" s="130"/>
      <c r="GJ48" s="130"/>
      <c r="GK48" s="130"/>
      <c r="GL48" s="130"/>
      <c r="GM48" s="130"/>
      <c r="GN48" s="130"/>
      <c r="GO48" s="130"/>
      <c r="GP48" s="130"/>
      <c r="GQ48" s="130"/>
      <c r="GR48" s="130"/>
      <c r="GS48" s="130"/>
      <c r="GT48" s="130"/>
      <c r="GU48" s="130"/>
      <c r="GV48" s="130"/>
      <c r="GW48" s="130"/>
    </row>
    <row r="49" spans="1:205" s="24" customFormat="1" ht="19.5" customHeight="1">
      <c r="A49" s="109"/>
      <c r="B49" s="59"/>
      <c r="C49" s="59">
        <v>4300</v>
      </c>
      <c r="D49" s="14" t="s">
        <v>100</v>
      </c>
      <c r="E49" s="81">
        <f>24150+3410</f>
        <v>27560</v>
      </c>
      <c r="F49" s="257">
        <v>6595</v>
      </c>
      <c r="G49" s="81">
        <v>6595</v>
      </c>
      <c r="H49" s="124">
        <f t="shared" si="0"/>
        <v>100</v>
      </c>
      <c r="I49" s="130"/>
      <c r="J49" s="130"/>
      <c r="K49" s="130"/>
      <c r="L49" s="130"/>
      <c r="M49" s="130"/>
      <c r="N49" s="130"/>
      <c r="O49" s="130"/>
      <c r="P49" s="130"/>
      <c r="Q49" s="130"/>
      <c r="R49" s="130"/>
      <c r="S49" s="130"/>
      <c r="T49" s="130"/>
      <c r="U49" s="130"/>
      <c r="V49" s="130"/>
      <c r="W49" s="130"/>
      <c r="X49" s="130"/>
      <c r="Y49" s="130"/>
      <c r="Z49" s="130"/>
      <c r="AA49" s="130"/>
      <c r="AB49" s="130"/>
      <c r="AC49" s="130"/>
      <c r="AD49" s="130"/>
      <c r="AE49" s="130"/>
      <c r="AF49" s="130"/>
      <c r="AG49" s="130"/>
      <c r="AH49" s="130"/>
      <c r="AI49" s="130"/>
      <c r="AJ49" s="130"/>
      <c r="AK49" s="130"/>
      <c r="AL49" s="130"/>
      <c r="AM49" s="130"/>
      <c r="AN49" s="130"/>
      <c r="AO49" s="130"/>
      <c r="AP49" s="130"/>
      <c r="AQ49" s="130"/>
      <c r="AR49" s="130"/>
      <c r="AS49" s="130"/>
      <c r="AT49" s="130"/>
      <c r="AU49" s="130"/>
      <c r="AV49" s="130"/>
      <c r="AW49" s="130"/>
      <c r="AX49" s="130"/>
      <c r="AY49" s="130"/>
      <c r="AZ49" s="130"/>
      <c r="BA49" s="130"/>
      <c r="BB49" s="130"/>
      <c r="BC49" s="130"/>
      <c r="BD49" s="130"/>
      <c r="BE49" s="130"/>
      <c r="BF49" s="130"/>
      <c r="BG49" s="130"/>
      <c r="BH49" s="130"/>
      <c r="BI49" s="130"/>
      <c r="BJ49" s="130"/>
      <c r="BK49" s="130"/>
      <c r="BL49" s="130"/>
      <c r="BM49" s="130"/>
      <c r="BN49" s="130"/>
      <c r="BO49" s="130"/>
      <c r="BP49" s="130"/>
      <c r="BQ49" s="130"/>
      <c r="BR49" s="130"/>
      <c r="BS49" s="130"/>
      <c r="BT49" s="130"/>
      <c r="BU49" s="130"/>
      <c r="BV49" s="130"/>
      <c r="BW49" s="130"/>
      <c r="BX49" s="130"/>
      <c r="BY49" s="130"/>
      <c r="BZ49" s="130"/>
      <c r="CA49" s="130"/>
      <c r="CB49" s="130"/>
      <c r="CC49" s="130"/>
      <c r="CD49" s="130"/>
      <c r="CE49" s="130"/>
      <c r="CF49" s="130"/>
      <c r="CG49" s="130"/>
      <c r="CH49" s="130"/>
      <c r="CI49" s="130"/>
      <c r="CJ49" s="130"/>
      <c r="CK49" s="130"/>
      <c r="CL49" s="130"/>
      <c r="CM49" s="130"/>
      <c r="CN49" s="130"/>
      <c r="CO49" s="130"/>
      <c r="CP49" s="130"/>
      <c r="CQ49" s="130"/>
      <c r="CR49" s="130"/>
      <c r="CS49" s="130"/>
      <c r="CT49" s="130"/>
      <c r="CU49" s="130"/>
      <c r="CV49" s="130"/>
      <c r="CW49" s="130"/>
      <c r="CX49" s="130"/>
      <c r="CY49" s="130"/>
      <c r="CZ49" s="130"/>
      <c r="DA49" s="130"/>
      <c r="DB49" s="130"/>
      <c r="DC49" s="130"/>
      <c r="DD49" s="130"/>
      <c r="DE49" s="130"/>
      <c r="DF49" s="130"/>
      <c r="DG49" s="130"/>
      <c r="DH49" s="130"/>
      <c r="DI49" s="130"/>
      <c r="DJ49" s="130"/>
      <c r="DK49" s="130"/>
      <c r="DL49" s="130"/>
      <c r="DM49" s="130"/>
      <c r="DN49" s="130"/>
      <c r="DO49" s="130"/>
      <c r="DP49" s="130"/>
      <c r="DQ49" s="130"/>
      <c r="DR49" s="130"/>
      <c r="DS49" s="130"/>
      <c r="DT49" s="130"/>
      <c r="DU49" s="130"/>
      <c r="DV49" s="130"/>
      <c r="DW49" s="130"/>
      <c r="DX49" s="130"/>
      <c r="DY49" s="130"/>
      <c r="DZ49" s="130"/>
      <c r="EA49" s="130"/>
      <c r="EB49" s="130"/>
      <c r="EC49" s="130"/>
      <c r="ED49" s="130"/>
      <c r="EE49" s="130"/>
      <c r="EF49" s="130"/>
      <c r="EG49" s="130"/>
      <c r="EH49" s="130"/>
      <c r="EI49" s="130"/>
      <c r="EJ49" s="130"/>
      <c r="EK49" s="130"/>
      <c r="EL49" s="130"/>
      <c r="EM49" s="130"/>
      <c r="EN49" s="130"/>
      <c r="EO49" s="130"/>
      <c r="EP49" s="130"/>
      <c r="EQ49" s="130"/>
      <c r="ER49" s="130"/>
      <c r="ES49" s="130"/>
      <c r="ET49" s="130"/>
      <c r="EU49" s="130"/>
      <c r="EV49" s="130"/>
      <c r="EW49" s="130"/>
      <c r="EX49" s="130"/>
      <c r="EY49" s="130"/>
      <c r="EZ49" s="130"/>
      <c r="FA49" s="130"/>
      <c r="FB49" s="130"/>
      <c r="FC49" s="130"/>
      <c r="FD49" s="130"/>
      <c r="FE49" s="130"/>
      <c r="FF49" s="130"/>
      <c r="FG49" s="130"/>
      <c r="FH49" s="130"/>
      <c r="FI49" s="130"/>
      <c r="FJ49" s="130"/>
      <c r="FK49" s="130"/>
      <c r="FL49" s="130"/>
      <c r="FM49" s="130"/>
      <c r="FN49" s="130"/>
      <c r="FO49" s="130"/>
      <c r="FP49" s="130"/>
      <c r="FQ49" s="130"/>
      <c r="FR49" s="130"/>
      <c r="FS49" s="130"/>
      <c r="FT49" s="130"/>
      <c r="FU49" s="130"/>
      <c r="FV49" s="130"/>
      <c r="FW49" s="130"/>
      <c r="FX49" s="130"/>
      <c r="FY49" s="130"/>
      <c r="FZ49" s="130"/>
      <c r="GA49" s="130"/>
      <c r="GB49" s="130"/>
      <c r="GC49" s="130"/>
      <c r="GD49" s="130"/>
      <c r="GE49" s="130"/>
      <c r="GF49" s="130"/>
      <c r="GG49" s="130"/>
      <c r="GH49" s="130"/>
      <c r="GI49" s="130"/>
      <c r="GJ49" s="130"/>
      <c r="GK49" s="130"/>
      <c r="GL49" s="130"/>
      <c r="GM49" s="130"/>
      <c r="GN49" s="130"/>
      <c r="GO49" s="130"/>
      <c r="GP49" s="130"/>
      <c r="GQ49" s="130"/>
      <c r="GR49" s="130"/>
      <c r="GS49" s="130"/>
      <c r="GT49" s="130"/>
      <c r="GU49" s="130"/>
      <c r="GV49" s="130"/>
      <c r="GW49" s="130"/>
    </row>
    <row r="50" spans="1:205" s="24" customFormat="1" ht="19.5" customHeight="1">
      <c r="A50" s="109"/>
      <c r="B50" s="59"/>
      <c r="C50" s="59">
        <v>4350</v>
      </c>
      <c r="D50" s="14" t="s">
        <v>276</v>
      </c>
      <c r="E50" s="81">
        <v>3500</v>
      </c>
      <c r="F50" s="257">
        <v>2539</v>
      </c>
      <c r="G50" s="81">
        <v>2539</v>
      </c>
      <c r="H50" s="124">
        <f t="shared" si="0"/>
        <v>100</v>
      </c>
      <c r="I50" s="130"/>
      <c r="J50" s="130"/>
      <c r="K50" s="130"/>
      <c r="L50" s="130"/>
      <c r="M50" s="130"/>
      <c r="N50" s="130"/>
      <c r="O50" s="130"/>
      <c r="P50" s="130"/>
      <c r="Q50" s="130"/>
      <c r="R50" s="130"/>
      <c r="S50" s="130"/>
      <c r="T50" s="130"/>
      <c r="U50" s="130"/>
      <c r="V50" s="130"/>
      <c r="W50" s="130"/>
      <c r="X50" s="130"/>
      <c r="Y50" s="130"/>
      <c r="Z50" s="130"/>
      <c r="AA50" s="130"/>
      <c r="AB50" s="130"/>
      <c r="AC50" s="130"/>
      <c r="AD50" s="130"/>
      <c r="AE50" s="130"/>
      <c r="AF50" s="130"/>
      <c r="AG50" s="130"/>
      <c r="AH50" s="130"/>
      <c r="AI50" s="130"/>
      <c r="AJ50" s="130"/>
      <c r="AK50" s="130"/>
      <c r="AL50" s="130"/>
      <c r="AM50" s="130"/>
      <c r="AN50" s="130"/>
      <c r="AO50" s="130"/>
      <c r="AP50" s="130"/>
      <c r="AQ50" s="130"/>
      <c r="AR50" s="130"/>
      <c r="AS50" s="130"/>
      <c r="AT50" s="130"/>
      <c r="AU50" s="130"/>
      <c r="AV50" s="130"/>
      <c r="AW50" s="130"/>
      <c r="AX50" s="130"/>
      <c r="AY50" s="130"/>
      <c r="AZ50" s="130"/>
      <c r="BA50" s="130"/>
      <c r="BB50" s="130"/>
      <c r="BC50" s="130"/>
      <c r="BD50" s="130"/>
      <c r="BE50" s="130"/>
      <c r="BF50" s="130"/>
      <c r="BG50" s="130"/>
      <c r="BH50" s="130"/>
      <c r="BI50" s="130"/>
      <c r="BJ50" s="130"/>
      <c r="BK50" s="130"/>
      <c r="BL50" s="130"/>
      <c r="BM50" s="130"/>
      <c r="BN50" s="130"/>
      <c r="BO50" s="130"/>
      <c r="BP50" s="130"/>
      <c r="BQ50" s="130"/>
      <c r="BR50" s="130"/>
      <c r="BS50" s="130"/>
      <c r="BT50" s="130"/>
      <c r="BU50" s="130"/>
      <c r="BV50" s="130"/>
      <c r="BW50" s="130"/>
      <c r="BX50" s="130"/>
      <c r="BY50" s="130"/>
      <c r="BZ50" s="130"/>
      <c r="CA50" s="130"/>
      <c r="CB50" s="130"/>
      <c r="CC50" s="130"/>
      <c r="CD50" s="130"/>
      <c r="CE50" s="130"/>
      <c r="CF50" s="130"/>
      <c r="CG50" s="130"/>
      <c r="CH50" s="130"/>
      <c r="CI50" s="130"/>
      <c r="CJ50" s="130"/>
      <c r="CK50" s="130"/>
      <c r="CL50" s="130"/>
      <c r="CM50" s="130"/>
      <c r="CN50" s="130"/>
      <c r="CO50" s="130"/>
      <c r="CP50" s="130"/>
      <c r="CQ50" s="130"/>
      <c r="CR50" s="130"/>
      <c r="CS50" s="130"/>
      <c r="CT50" s="130"/>
      <c r="CU50" s="130"/>
      <c r="CV50" s="130"/>
      <c r="CW50" s="130"/>
      <c r="CX50" s="130"/>
      <c r="CY50" s="130"/>
      <c r="CZ50" s="130"/>
      <c r="DA50" s="130"/>
      <c r="DB50" s="130"/>
      <c r="DC50" s="130"/>
      <c r="DD50" s="130"/>
      <c r="DE50" s="130"/>
      <c r="DF50" s="130"/>
      <c r="DG50" s="130"/>
      <c r="DH50" s="130"/>
      <c r="DI50" s="130"/>
      <c r="DJ50" s="130"/>
      <c r="DK50" s="130"/>
      <c r="DL50" s="130"/>
      <c r="DM50" s="130"/>
      <c r="DN50" s="130"/>
      <c r="DO50" s="130"/>
      <c r="DP50" s="130"/>
      <c r="DQ50" s="130"/>
      <c r="DR50" s="130"/>
      <c r="DS50" s="130"/>
      <c r="DT50" s="130"/>
      <c r="DU50" s="130"/>
      <c r="DV50" s="130"/>
      <c r="DW50" s="130"/>
      <c r="DX50" s="130"/>
      <c r="DY50" s="130"/>
      <c r="DZ50" s="130"/>
      <c r="EA50" s="130"/>
      <c r="EB50" s="130"/>
      <c r="EC50" s="130"/>
      <c r="ED50" s="130"/>
      <c r="EE50" s="130"/>
      <c r="EF50" s="130"/>
      <c r="EG50" s="130"/>
      <c r="EH50" s="130"/>
      <c r="EI50" s="130"/>
      <c r="EJ50" s="130"/>
      <c r="EK50" s="130"/>
      <c r="EL50" s="130"/>
      <c r="EM50" s="130"/>
      <c r="EN50" s="130"/>
      <c r="EO50" s="130"/>
      <c r="EP50" s="130"/>
      <c r="EQ50" s="130"/>
      <c r="ER50" s="130"/>
      <c r="ES50" s="130"/>
      <c r="ET50" s="130"/>
      <c r="EU50" s="130"/>
      <c r="EV50" s="130"/>
      <c r="EW50" s="130"/>
      <c r="EX50" s="130"/>
      <c r="EY50" s="130"/>
      <c r="EZ50" s="130"/>
      <c r="FA50" s="130"/>
      <c r="FB50" s="130"/>
      <c r="FC50" s="130"/>
      <c r="FD50" s="130"/>
      <c r="FE50" s="130"/>
      <c r="FF50" s="130"/>
      <c r="FG50" s="130"/>
      <c r="FH50" s="130"/>
      <c r="FI50" s="130"/>
      <c r="FJ50" s="130"/>
      <c r="FK50" s="130"/>
      <c r="FL50" s="130"/>
      <c r="FM50" s="130"/>
      <c r="FN50" s="130"/>
      <c r="FO50" s="130"/>
      <c r="FP50" s="130"/>
      <c r="FQ50" s="130"/>
      <c r="FR50" s="130"/>
      <c r="FS50" s="130"/>
      <c r="FT50" s="130"/>
      <c r="FU50" s="130"/>
      <c r="FV50" s="130"/>
      <c r="FW50" s="130"/>
      <c r="FX50" s="130"/>
      <c r="FY50" s="130"/>
      <c r="FZ50" s="130"/>
      <c r="GA50" s="130"/>
      <c r="GB50" s="130"/>
      <c r="GC50" s="130"/>
      <c r="GD50" s="130"/>
      <c r="GE50" s="130"/>
      <c r="GF50" s="130"/>
      <c r="GG50" s="130"/>
      <c r="GH50" s="130"/>
      <c r="GI50" s="130"/>
      <c r="GJ50" s="130"/>
      <c r="GK50" s="130"/>
      <c r="GL50" s="130"/>
      <c r="GM50" s="130"/>
      <c r="GN50" s="130"/>
      <c r="GO50" s="130"/>
      <c r="GP50" s="130"/>
      <c r="GQ50" s="130"/>
      <c r="GR50" s="130"/>
      <c r="GS50" s="130"/>
      <c r="GT50" s="130"/>
      <c r="GU50" s="130"/>
      <c r="GV50" s="130"/>
      <c r="GW50" s="130"/>
    </row>
    <row r="51" spans="1:205" s="24" customFormat="1" ht="33.75">
      <c r="A51" s="109"/>
      <c r="B51" s="59"/>
      <c r="C51" s="59">
        <v>4360</v>
      </c>
      <c r="D51" s="14" t="s">
        <v>291</v>
      </c>
      <c r="E51" s="81">
        <v>1000</v>
      </c>
      <c r="F51" s="257">
        <v>332</v>
      </c>
      <c r="G51" s="81">
        <v>332</v>
      </c>
      <c r="H51" s="124">
        <f t="shared" si="0"/>
        <v>100</v>
      </c>
      <c r="I51" s="130"/>
      <c r="J51" s="130"/>
      <c r="K51" s="130"/>
      <c r="L51" s="130"/>
      <c r="M51" s="130"/>
      <c r="N51" s="130"/>
      <c r="O51" s="130"/>
      <c r="P51" s="130"/>
      <c r="Q51" s="130"/>
      <c r="R51" s="130"/>
      <c r="S51" s="130"/>
      <c r="T51" s="130"/>
      <c r="U51" s="130"/>
      <c r="V51" s="130"/>
      <c r="W51" s="130"/>
      <c r="X51" s="130"/>
      <c r="Y51" s="130"/>
      <c r="Z51" s="130"/>
      <c r="AA51" s="130"/>
      <c r="AB51" s="130"/>
      <c r="AC51" s="130"/>
      <c r="AD51" s="130"/>
      <c r="AE51" s="130"/>
      <c r="AF51" s="130"/>
      <c r="AG51" s="130"/>
      <c r="AH51" s="130"/>
      <c r="AI51" s="130"/>
      <c r="AJ51" s="130"/>
      <c r="AK51" s="130"/>
      <c r="AL51" s="130"/>
      <c r="AM51" s="130"/>
      <c r="AN51" s="130"/>
      <c r="AO51" s="130"/>
      <c r="AP51" s="130"/>
      <c r="AQ51" s="130"/>
      <c r="AR51" s="130"/>
      <c r="AS51" s="130"/>
      <c r="AT51" s="130"/>
      <c r="AU51" s="130"/>
      <c r="AV51" s="130"/>
      <c r="AW51" s="130"/>
      <c r="AX51" s="130"/>
      <c r="AY51" s="130"/>
      <c r="AZ51" s="130"/>
      <c r="BA51" s="130"/>
      <c r="BB51" s="130"/>
      <c r="BC51" s="130"/>
      <c r="BD51" s="130"/>
      <c r="BE51" s="130"/>
      <c r="BF51" s="130"/>
      <c r="BG51" s="130"/>
      <c r="BH51" s="130"/>
      <c r="BI51" s="130"/>
      <c r="BJ51" s="130"/>
      <c r="BK51" s="130"/>
      <c r="BL51" s="130"/>
      <c r="BM51" s="130"/>
      <c r="BN51" s="130"/>
      <c r="BO51" s="130"/>
      <c r="BP51" s="130"/>
      <c r="BQ51" s="130"/>
      <c r="BR51" s="130"/>
      <c r="BS51" s="130"/>
      <c r="BT51" s="130"/>
      <c r="BU51" s="130"/>
      <c r="BV51" s="130"/>
      <c r="BW51" s="130"/>
      <c r="BX51" s="130"/>
      <c r="BY51" s="130"/>
      <c r="BZ51" s="130"/>
      <c r="CA51" s="130"/>
      <c r="CB51" s="130"/>
      <c r="CC51" s="130"/>
      <c r="CD51" s="130"/>
      <c r="CE51" s="130"/>
      <c r="CF51" s="130"/>
      <c r="CG51" s="130"/>
      <c r="CH51" s="130"/>
      <c r="CI51" s="130"/>
      <c r="CJ51" s="130"/>
      <c r="CK51" s="130"/>
      <c r="CL51" s="130"/>
      <c r="CM51" s="130"/>
      <c r="CN51" s="130"/>
      <c r="CO51" s="130"/>
      <c r="CP51" s="130"/>
      <c r="CQ51" s="130"/>
      <c r="CR51" s="130"/>
      <c r="CS51" s="130"/>
      <c r="CT51" s="130"/>
      <c r="CU51" s="130"/>
      <c r="CV51" s="130"/>
      <c r="CW51" s="130"/>
      <c r="CX51" s="130"/>
      <c r="CY51" s="130"/>
      <c r="CZ51" s="130"/>
      <c r="DA51" s="130"/>
      <c r="DB51" s="130"/>
      <c r="DC51" s="130"/>
      <c r="DD51" s="130"/>
      <c r="DE51" s="130"/>
      <c r="DF51" s="130"/>
      <c r="DG51" s="130"/>
      <c r="DH51" s="130"/>
      <c r="DI51" s="130"/>
      <c r="DJ51" s="130"/>
      <c r="DK51" s="130"/>
      <c r="DL51" s="130"/>
      <c r="DM51" s="130"/>
      <c r="DN51" s="130"/>
      <c r="DO51" s="130"/>
      <c r="DP51" s="130"/>
      <c r="DQ51" s="130"/>
      <c r="DR51" s="130"/>
      <c r="DS51" s="130"/>
      <c r="DT51" s="130"/>
      <c r="DU51" s="130"/>
      <c r="DV51" s="130"/>
      <c r="DW51" s="130"/>
      <c r="DX51" s="130"/>
      <c r="DY51" s="130"/>
      <c r="DZ51" s="130"/>
      <c r="EA51" s="130"/>
      <c r="EB51" s="130"/>
      <c r="EC51" s="130"/>
      <c r="ED51" s="130"/>
      <c r="EE51" s="130"/>
      <c r="EF51" s="130"/>
      <c r="EG51" s="130"/>
      <c r="EH51" s="130"/>
      <c r="EI51" s="130"/>
      <c r="EJ51" s="130"/>
      <c r="EK51" s="130"/>
      <c r="EL51" s="130"/>
      <c r="EM51" s="130"/>
      <c r="EN51" s="130"/>
      <c r="EO51" s="130"/>
      <c r="EP51" s="130"/>
      <c r="EQ51" s="130"/>
      <c r="ER51" s="130"/>
      <c r="ES51" s="130"/>
      <c r="ET51" s="130"/>
      <c r="EU51" s="130"/>
      <c r="EV51" s="130"/>
      <c r="EW51" s="130"/>
      <c r="EX51" s="130"/>
      <c r="EY51" s="130"/>
      <c r="EZ51" s="130"/>
      <c r="FA51" s="130"/>
      <c r="FB51" s="130"/>
      <c r="FC51" s="130"/>
      <c r="FD51" s="130"/>
      <c r="FE51" s="130"/>
      <c r="FF51" s="130"/>
      <c r="FG51" s="130"/>
      <c r="FH51" s="130"/>
      <c r="FI51" s="130"/>
      <c r="FJ51" s="130"/>
      <c r="FK51" s="130"/>
      <c r="FL51" s="130"/>
      <c r="FM51" s="130"/>
      <c r="FN51" s="130"/>
      <c r="FO51" s="130"/>
      <c r="FP51" s="130"/>
      <c r="FQ51" s="130"/>
      <c r="FR51" s="130"/>
      <c r="FS51" s="130"/>
      <c r="FT51" s="130"/>
      <c r="FU51" s="130"/>
      <c r="FV51" s="130"/>
      <c r="FW51" s="130"/>
      <c r="FX51" s="130"/>
      <c r="FY51" s="130"/>
      <c r="FZ51" s="130"/>
      <c r="GA51" s="130"/>
      <c r="GB51" s="130"/>
      <c r="GC51" s="130"/>
      <c r="GD51" s="130"/>
      <c r="GE51" s="130"/>
      <c r="GF51" s="130"/>
      <c r="GG51" s="130"/>
      <c r="GH51" s="130"/>
      <c r="GI51" s="130"/>
      <c r="GJ51" s="130"/>
      <c r="GK51" s="130"/>
      <c r="GL51" s="130"/>
      <c r="GM51" s="130"/>
      <c r="GN51" s="130"/>
      <c r="GO51" s="130"/>
      <c r="GP51" s="130"/>
      <c r="GQ51" s="130"/>
      <c r="GR51" s="130"/>
      <c r="GS51" s="130"/>
      <c r="GT51" s="130"/>
      <c r="GU51" s="130"/>
      <c r="GV51" s="130"/>
      <c r="GW51" s="130"/>
    </row>
    <row r="52" spans="1:205" s="24" customFormat="1" ht="33.75">
      <c r="A52" s="109"/>
      <c r="B52" s="59"/>
      <c r="C52" s="59">
        <v>4370</v>
      </c>
      <c r="D52" s="14" t="s">
        <v>287</v>
      </c>
      <c r="E52" s="81">
        <v>4000</v>
      </c>
      <c r="F52" s="257">
        <v>1271</v>
      </c>
      <c r="G52" s="81">
        <v>1271</v>
      </c>
      <c r="H52" s="124">
        <f t="shared" si="0"/>
        <v>100</v>
      </c>
      <c r="I52" s="130"/>
      <c r="J52" s="130"/>
      <c r="K52" s="130"/>
      <c r="L52" s="130"/>
      <c r="M52" s="130"/>
      <c r="N52" s="130"/>
      <c r="O52" s="130"/>
      <c r="P52" s="130"/>
      <c r="Q52" s="130"/>
      <c r="R52" s="130"/>
      <c r="S52" s="130"/>
      <c r="T52" s="130"/>
      <c r="U52" s="130"/>
      <c r="V52" s="130"/>
      <c r="W52" s="130"/>
      <c r="X52" s="130"/>
      <c r="Y52" s="130"/>
      <c r="Z52" s="130"/>
      <c r="AA52" s="130"/>
      <c r="AB52" s="130"/>
      <c r="AC52" s="130"/>
      <c r="AD52" s="130"/>
      <c r="AE52" s="130"/>
      <c r="AF52" s="130"/>
      <c r="AG52" s="130"/>
      <c r="AH52" s="130"/>
      <c r="AI52" s="130"/>
      <c r="AJ52" s="130"/>
      <c r="AK52" s="130"/>
      <c r="AL52" s="130"/>
      <c r="AM52" s="130"/>
      <c r="AN52" s="130"/>
      <c r="AO52" s="130"/>
      <c r="AP52" s="130"/>
      <c r="AQ52" s="130"/>
      <c r="AR52" s="130"/>
      <c r="AS52" s="130"/>
      <c r="AT52" s="130"/>
      <c r="AU52" s="130"/>
      <c r="AV52" s="130"/>
      <c r="AW52" s="130"/>
      <c r="AX52" s="130"/>
      <c r="AY52" s="130"/>
      <c r="AZ52" s="130"/>
      <c r="BA52" s="130"/>
      <c r="BB52" s="130"/>
      <c r="BC52" s="130"/>
      <c r="BD52" s="130"/>
      <c r="BE52" s="130"/>
      <c r="BF52" s="130"/>
      <c r="BG52" s="130"/>
      <c r="BH52" s="130"/>
      <c r="BI52" s="130"/>
      <c r="BJ52" s="130"/>
      <c r="BK52" s="130"/>
      <c r="BL52" s="130"/>
      <c r="BM52" s="130"/>
      <c r="BN52" s="130"/>
      <c r="BO52" s="130"/>
      <c r="BP52" s="130"/>
      <c r="BQ52" s="130"/>
      <c r="BR52" s="130"/>
      <c r="BS52" s="130"/>
      <c r="BT52" s="130"/>
      <c r="BU52" s="130"/>
      <c r="BV52" s="130"/>
      <c r="BW52" s="130"/>
      <c r="BX52" s="130"/>
      <c r="BY52" s="130"/>
      <c r="BZ52" s="130"/>
      <c r="CA52" s="130"/>
      <c r="CB52" s="130"/>
      <c r="CC52" s="130"/>
      <c r="CD52" s="130"/>
      <c r="CE52" s="130"/>
      <c r="CF52" s="130"/>
      <c r="CG52" s="130"/>
      <c r="CH52" s="130"/>
      <c r="CI52" s="130"/>
      <c r="CJ52" s="130"/>
      <c r="CK52" s="130"/>
      <c r="CL52" s="130"/>
      <c r="CM52" s="130"/>
      <c r="CN52" s="130"/>
      <c r="CO52" s="130"/>
      <c r="CP52" s="130"/>
      <c r="CQ52" s="130"/>
      <c r="CR52" s="130"/>
      <c r="CS52" s="130"/>
      <c r="CT52" s="130"/>
      <c r="CU52" s="130"/>
      <c r="CV52" s="130"/>
      <c r="CW52" s="130"/>
      <c r="CX52" s="130"/>
      <c r="CY52" s="130"/>
      <c r="CZ52" s="130"/>
      <c r="DA52" s="130"/>
      <c r="DB52" s="130"/>
      <c r="DC52" s="130"/>
      <c r="DD52" s="130"/>
      <c r="DE52" s="130"/>
      <c r="DF52" s="130"/>
      <c r="DG52" s="130"/>
      <c r="DH52" s="130"/>
      <c r="DI52" s="130"/>
      <c r="DJ52" s="130"/>
      <c r="DK52" s="130"/>
      <c r="DL52" s="130"/>
      <c r="DM52" s="130"/>
      <c r="DN52" s="130"/>
      <c r="DO52" s="130"/>
      <c r="DP52" s="130"/>
      <c r="DQ52" s="130"/>
      <c r="DR52" s="130"/>
      <c r="DS52" s="130"/>
      <c r="DT52" s="130"/>
      <c r="DU52" s="130"/>
      <c r="DV52" s="130"/>
      <c r="DW52" s="130"/>
      <c r="DX52" s="130"/>
      <c r="DY52" s="130"/>
      <c r="DZ52" s="130"/>
      <c r="EA52" s="130"/>
      <c r="EB52" s="130"/>
      <c r="EC52" s="130"/>
      <c r="ED52" s="130"/>
      <c r="EE52" s="130"/>
      <c r="EF52" s="130"/>
      <c r="EG52" s="130"/>
      <c r="EH52" s="130"/>
      <c r="EI52" s="130"/>
      <c r="EJ52" s="130"/>
      <c r="EK52" s="130"/>
      <c r="EL52" s="130"/>
      <c r="EM52" s="130"/>
      <c r="EN52" s="130"/>
      <c r="EO52" s="130"/>
      <c r="EP52" s="130"/>
      <c r="EQ52" s="130"/>
      <c r="ER52" s="130"/>
      <c r="ES52" s="130"/>
      <c r="ET52" s="130"/>
      <c r="EU52" s="130"/>
      <c r="EV52" s="130"/>
      <c r="EW52" s="130"/>
      <c r="EX52" s="130"/>
      <c r="EY52" s="130"/>
      <c r="EZ52" s="130"/>
      <c r="FA52" s="130"/>
      <c r="FB52" s="130"/>
      <c r="FC52" s="130"/>
      <c r="FD52" s="130"/>
      <c r="FE52" s="130"/>
      <c r="FF52" s="130"/>
      <c r="FG52" s="130"/>
      <c r="FH52" s="130"/>
      <c r="FI52" s="130"/>
      <c r="FJ52" s="130"/>
      <c r="FK52" s="130"/>
      <c r="FL52" s="130"/>
      <c r="FM52" s="130"/>
      <c r="FN52" s="130"/>
      <c r="FO52" s="130"/>
      <c r="FP52" s="130"/>
      <c r="FQ52" s="130"/>
      <c r="FR52" s="130"/>
      <c r="FS52" s="130"/>
      <c r="FT52" s="130"/>
      <c r="FU52" s="130"/>
      <c r="FV52" s="130"/>
      <c r="FW52" s="130"/>
      <c r="FX52" s="130"/>
      <c r="FY52" s="130"/>
      <c r="FZ52" s="130"/>
      <c r="GA52" s="130"/>
      <c r="GB52" s="130"/>
      <c r="GC52" s="130"/>
      <c r="GD52" s="130"/>
      <c r="GE52" s="130"/>
      <c r="GF52" s="130"/>
      <c r="GG52" s="130"/>
      <c r="GH52" s="130"/>
      <c r="GI52" s="130"/>
      <c r="GJ52" s="130"/>
      <c r="GK52" s="130"/>
      <c r="GL52" s="130"/>
      <c r="GM52" s="130"/>
      <c r="GN52" s="130"/>
      <c r="GO52" s="130"/>
      <c r="GP52" s="130"/>
      <c r="GQ52" s="130"/>
      <c r="GR52" s="130"/>
      <c r="GS52" s="130"/>
      <c r="GT52" s="130"/>
      <c r="GU52" s="130"/>
      <c r="GV52" s="130"/>
      <c r="GW52" s="130"/>
    </row>
    <row r="53" spans="1:205" s="24" customFormat="1" ht="19.5" customHeight="1">
      <c r="A53" s="109"/>
      <c r="B53" s="59"/>
      <c r="C53" s="59">
        <v>4410</v>
      </c>
      <c r="D53" s="14" t="s">
        <v>111</v>
      </c>
      <c r="E53" s="81">
        <v>2500</v>
      </c>
      <c r="F53" s="257">
        <v>750</v>
      </c>
      <c r="G53" s="81">
        <v>750</v>
      </c>
      <c r="H53" s="124">
        <f t="shared" si="0"/>
        <v>100</v>
      </c>
      <c r="I53" s="130"/>
      <c r="J53" s="130"/>
      <c r="K53" s="130"/>
      <c r="L53" s="130"/>
      <c r="M53" s="130"/>
      <c r="N53" s="130"/>
      <c r="O53" s="130"/>
      <c r="P53" s="130"/>
      <c r="Q53" s="130"/>
      <c r="R53" s="130"/>
      <c r="S53" s="130"/>
      <c r="T53" s="130"/>
      <c r="U53" s="130"/>
      <c r="V53" s="130"/>
      <c r="W53" s="130"/>
      <c r="X53" s="130"/>
      <c r="Y53" s="130"/>
      <c r="Z53" s="130"/>
      <c r="AA53" s="130"/>
      <c r="AB53" s="130"/>
      <c r="AC53" s="130"/>
      <c r="AD53" s="130"/>
      <c r="AE53" s="130"/>
      <c r="AF53" s="130"/>
      <c r="AG53" s="130"/>
      <c r="AH53" s="130"/>
      <c r="AI53" s="130"/>
      <c r="AJ53" s="130"/>
      <c r="AK53" s="130"/>
      <c r="AL53" s="130"/>
      <c r="AM53" s="130"/>
      <c r="AN53" s="130"/>
      <c r="AO53" s="130"/>
      <c r="AP53" s="130"/>
      <c r="AQ53" s="130"/>
      <c r="AR53" s="130"/>
      <c r="AS53" s="130"/>
      <c r="AT53" s="130"/>
      <c r="AU53" s="130"/>
      <c r="AV53" s="130"/>
      <c r="AW53" s="130"/>
      <c r="AX53" s="130"/>
      <c r="AY53" s="130"/>
      <c r="AZ53" s="130"/>
      <c r="BA53" s="130"/>
      <c r="BB53" s="130"/>
      <c r="BC53" s="130"/>
      <c r="BD53" s="130"/>
      <c r="BE53" s="130"/>
      <c r="BF53" s="130"/>
      <c r="BG53" s="130"/>
      <c r="BH53" s="130"/>
      <c r="BI53" s="130"/>
      <c r="BJ53" s="130"/>
      <c r="BK53" s="130"/>
      <c r="BL53" s="130"/>
      <c r="BM53" s="130"/>
      <c r="BN53" s="130"/>
      <c r="BO53" s="130"/>
      <c r="BP53" s="130"/>
      <c r="BQ53" s="130"/>
      <c r="BR53" s="130"/>
      <c r="BS53" s="130"/>
      <c r="BT53" s="130"/>
      <c r="BU53" s="130"/>
      <c r="BV53" s="130"/>
      <c r="BW53" s="130"/>
      <c r="BX53" s="130"/>
      <c r="BY53" s="130"/>
      <c r="BZ53" s="130"/>
      <c r="CA53" s="130"/>
      <c r="CB53" s="130"/>
      <c r="CC53" s="130"/>
      <c r="CD53" s="130"/>
      <c r="CE53" s="130"/>
      <c r="CF53" s="130"/>
      <c r="CG53" s="130"/>
      <c r="CH53" s="130"/>
      <c r="CI53" s="130"/>
      <c r="CJ53" s="130"/>
      <c r="CK53" s="130"/>
      <c r="CL53" s="130"/>
      <c r="CM53" s="130"/>
      <c r="CN53" s="130"/>
      <c r="CO53" s="130"/>
      <c r="CP53" s="130"/>
      <c r="CQ53" s="130"/>
      <c r="CR53" s="130"/>
      <c r="CS53" s="130"/>
      <c r="CT53" s="130"/>
      <c r="CU53" s="130"/>
      <c r="CV53" s="130"/>
      <c r="CW53" s="130"/>
      <c r="CX53" s="130"/>
      <c r="CY53" s="130"/>
      <c r="CZ53" s="130"/>
      <c r="DA53" s="130"/>
      <c r="DB53" s="130"/>
      <c r="DC53" s="130"/>
      <c r="DD53" s="130"/>
      <c r="DE53" s="130"/>
      <c r="DF53" s="130"/>
      <c r="DG53" s="130"/>
      <c r="DH53" s="130"/>
      <c r="DI53" s="130"/>
      <c r="DJ53" s="130"/>
      <c r="DK53" s="130"/>
      <c r="DL53" s="130"/>
      <c r="DM53" s="130"/>
      <c r="DN53" s="130"/>
      <c r="DO53" s="130"/>
      <c r="DP53" s="130"/>
      <c r="DQ53" s="130"/>
      <c r="DR53" s="130"/>
      <c r="DS53" s="130"/>
      <c r="DT53" s="130"/>
      <c r="DU53" s="130"/>
      <c r="DV53" s="130"/>
      <c r="DW53" s="130"/>
      <c r="DX53" s="130"/>
      <c r="DY53" s="130"/>
      <c r="DZ53" s="130"/>
      <c r="EA53" s="130"/>
      <c r="EB53" s="130"/>
      <c r="EC53" s="130"/>
      <c r="ED53" s="130"/>
      <c r="EE53" s="130"/>
      <c r="EF53" s="130"/>
      <c r="EG53" s="130"/>
      <c r="EH53" s="130"/>
      <c r="EI53" s="130"/>
      <c r="EJ53" s="130"/>
      <c r="EK53" s="130"/>
      <c r="EL53" s="130"/>
      <c r="EM53" s="130"/>
      <c r="EN53" s="130"/>
      <c r="EO53" s="130"/>
      <c r="EP53" s="130"/>
      <c r="EQ53" s="130"/>
      <c r="ER53" s="130"/>
      <c r="ES53" s="130"/>
      <c r="ET53" s="130"/>
      <c r="EU53" s="130"/>
      <c r="EV53" s="130"/>
      <c r="EW53" s="130"/>
      <c r="EX53" s="130"/>
      <c r="EY53" s="130"/>
      <c r="EZ53" s="130"/>
      <c r="FA53" s="130"/>
      <c r="FB53" s="130"/>
      <c r="FC53" s="130"/>
      <c r="FD53" s="130"/>
      <c r="FE53" s="130"/>
      <c r="FF53" s="130"/>
      <c r="FG53" s="130"/>
      <c r="FH53" s="130"/>
      <c r="FI53" s="130"/>
      <c r="FJ53" s="130"/>
      <c r="FK53" s="130"/>
      <c r="FL53" s="130"/>
      <c r="FM53" s="130"/>
      <c r="FN53" s="130"/>
      <c r="FO53" s="130"/>
      <c r="FP53" s="130"/>
      <c r="FQ53" s="130"/>
      <c r="FR53" s="130"/>
      <c r="FS53" s="130"/>
      <c r="FT53" s="130"/>
      <c r="FU53" s="130"/>
      <c r="FV53" s="130"/>
      <c r="FW53" s="130"/>
      <c r="FX53" s="130"/>
      <c r="FY53" s="130"/>
      <c r="FZ53" s="130"/>
      <c r="GA53" s="130"/>
      <c r="GB53" s="130"/>
      <c r="GC53" s="130"/>
      <c r="GD53" s="130"/>
      <c r="GE53" s="130"/>
      <c r="GF53" s="130"/>
      <c r="GG53" s="130"/>
      <c r="GH53" s="130"/>
      <c r="GI53" s="130"/>
      <c r="GJ53" s="130"/>
      <c r="GK53" s="130"/>
      <c r="GL53" s="130"/>
      <c r="GM53" s="130"/>
      <c r="GN53" s="130"/>
      <c r="GO53" s="130"/>
      <c r="GP53" s="130"/>
      <c r="GQ53" s="130"/>
      <c r="GR53" s="130"/>
      <c r="GS53" s="130"/>
      <c r="GT53" s="130"/>
      <c r="GU53" s="130"/>
      <c r="GV53" s="130"/>
      <c r="GW53" s="130"/>
    </row>
    <row r="54" spans="1:205" s="24" customFormat="1" ht="19.5" customHeight="1">
      <c r="A54" s="109"/>
      <c r="B54" s="59"/>
      <c r="C54" s="59">
        <v>4430</v>
      </c>
      <c r="D54" s="42" t="s">
        <v>115</v>
      </c>
      <c r="E54" s="81">
        <v>2000</v>
      </c>
      <c r="F54" s="257">
        <v>2916</v>
      </c>
      <c r="G54" s="81">
        <v>2915.63</v>
      </c>
      <c r="H54" s="124">
        <f t="shared" si="0"/>
        <v>99.98731138545953</v>
      </c>
      <c r="I54" s="130"/>
      <c r="J54" s="130"/>
      <c r="K54" s="130"/>
      <c r="L54" s="130"/>
      <c r="M54" s="130"/>
      <c r="N54" s="130"/>
      <c r="O54" s="130"/>
      <c r="P54" s="130"/>
      <c r="Q54" s="130"/>
      <c r="R54" s="130"/>
      <c r="S54" s="130"/>
      <c r="T54" s="130"/>
      <c r="U54" s="130"/>
      <c r="V54" s="130"/>
      <c r="W54" s="130"/>
      <c r="X54" s="130"/>
      <c r="Y54" s="130"/>
      <c r="Z54" s="130"/>
      <c r="AA54" s="130"/>
      <c r="AB54" s="130"/>
      <c r="AC54" s="130"/>
      <c r="AD54" s="130"/>
      <c r="AE54" s="130"/>
      <c r="AF54" s="130"/>
      <c r="AG54" s="130"/>
      <c r="AH54" s="130"/>
      <c r="AI54" s="130"/>
      <c r="AJ54" s="130"/>
      <c r="AK54" s="130"/>
      <c r="AL54" s="130"/>
      <c r="AM54" s="130"/>
      <c r="AN54" s="130"/>
      <c r="AO54" s="130"/>
      <c r="AP54" s="130"/>
      <c r="AQ54" s="130"/>
      <c r="AR54" s="130"/>
      <c r="AS54" s="130"/>
      <c r="AT54" s="130"/>
      <c r="AU54" s="130"/>
      <c r="AV54" s="130"/>
      <c r="AW54" s="130"/>
      <c r="AX54" s="130"/>
      <c r="AY54" s="130"/>
      <c r="AZ54" s="130"/>
      <c r="BA54" s="130"/>
      <c r="BB54" s="130"/>
      <c r="BC54" s="130"/>
      <c r="BD54" s="130"/>
      <c r="BE54" s="130"/>
      <c r="BF54" s="130"/>
      <c r="BG54" s="130"/>
      <c r="BH54" s="130"/>
      <c r="BI54" s="130"/>
      <c r="BJ54" s="130"/>
      <c r="BK54" s="130"/>
      <c r="BL54" s="130"/>
      <c r="BM54" s="130"/>
      <c r="BN54" s="130"/>
      <c r="BO54" s="130"/>
      <c r="BP54" s="130"/>
      <c r="BQ54" s="130"/>
      <c r="BR54" s="130"/>
      <c r="BS54" s="130"/>
      <c r="BT54" s="130"/>
      <c r="BU54" s="130"/>
      <c r="BV54" s="130"/>
      <c r="BW54" s="130"/>
      <c r="BX54" s="130"/>
      <c r="BY54" s="130"/>
      <c r="BZ54" s="130"/>
      <c r="CA54" s="130"/>
      <c r="CB54" s="130"/>
      <c r="CC54" s="130"/>
      <c r="CD54" s="130"/>
      <c r="CE54" s="130"/>
      <c r="CF54" s="130"/>
      <c r="CG54" s="130"/>
      <c r="CH54" s="130"/>
      <c r="CI54" s="130"/>
      <c r="CJ54" s="130"/>
      <c r="CK54" s="130"/>
      <c r="CL54" s="130"/>
      <c r="CM54" s="130"/>
      <c r="CN54" s="130"/>
      <c r="CO54" s="130"/>
      <c r="CP54" s="130"/>
      <c r="CQ54" s="130"/>
      <c r="CR54" s="130"/>
      <c r="CS54" s="130"/>
      <c r="CT54" s="130"/>
      <c r="CU54" s="130"/>
      <c r="CV54" s="130"/>
      <c r="CW54" s="130"/>
      <c r="CX54" s="130"/>
      <c r="CY54" s="130"/>
      <c r="CZ54" s="130"/>
      <c r="DA54" s="130"/>
      <c r="DB54" s="130"/>
      <c r="DC54" s="130"/>
      <c r="DD54" s="130"/>
      <c r="DE54" s="130"/>
      <c r="DF54" s="130"/>
      <c r="DG54" s="130"/>
      <c r="DH54" s="130"/>
      <c r="DI54" s="130"/>
      <c r="DJ54" s="130"/>
      <c r="DK54" s="130"/>
      <c r="DL54" s="130"/>
      <c r="DM54" s="130"/>
      <c r="DN54" s="130"/>
      <c r="DO54" s="130"/>
      <c r="DP54" s="130"/>
      <c r="DQ54" s="130"/>
      <c r="DR54" s="130"/>
      <c r="DS54" s="130"/>
      <c r="DT54" s="130"/>
      <c r="DU54" s="130"/>
      <c r="DV54" s="130"/>
      <c r="DW54" s="130"/>
      <c r="DX54" s="130"/>
      <c r="DY54" s="130"/>
      <c r="DZ54" s="130"/>
      <c r="EA54" s="130"/>
      <c r="EB54" s="130"/>
      <c r="EC54" s="130"/>
      <c r="ED54" s="130"/>
      <c r="EE54" s="130"/>
      <c r="EF54" s="130"/>
      <c r="EG54" s="130"/>
      <c r="EH54" s="130"/>
      <c r="EI54" s="130"/>
      <c r="EJ54" s="130"/>
      <c r="EK54" s="130"/>
      <c r="EL54" s="130"/>
      <c r="EM54" s="130"/>
      <c r="EN54" s="130"/>
      <c r="EO54" s="130"/>
      <c r="EP54" s="130"/>
      <c r="EQ54" s="130"/>
      <c r="ER54" s="130"/>
      <c r="ES54" s="130"/>
      <c r="ET54" s="130"/>
      <c r="EU54" s="130"/>
      <c r="EV54" s="130"/>
      <c r="EW54" s="130"/>
      <c r="EX54" s="130"/>
      <c r="EY54" s="130"/>
      <c r="EZ54" s="130"/>
      <c r="FA54" s="130"/>
      <c r="FB54" s="130"/>
      <c r="FC54" s="130"/>
      <c r="FD54" s="130"/>
      <c r="FE54" s="130"/>
      <c r="FF54" s="130"/>
      <c r="FG54" s="130"/>
      <c r="FH54" s="130"/>
      <c r="FI54" s="130"/>
      <c r="FJ54" s="130"/>
      <c r="FK54" s="130"/>
      <c r="FL54" s="130"/>
      <c r="FM54" s="130"/>
      <c r="FN54" s="130"/>
      <c r="FO54" s="130"/>
      <c r="FP54" s="130"/>
      <c r="FQ54" s="130"/>
      <c r="FR54" s="130"/>
      <c r="FS54" s="130"/>
      <c r="FT54" s="130"/>
      <c r="FU54" s="130"/>
      <c r="FV54" s="130"/>
      <c r="FW54" s="130"/>
      <c r="FX54" s="130"/>
      <c r="FY54" s="130"/>
      <c r="FZ54" s="130"/>
      <c r="GA54" s="130"/>
      <c r="GB54" s="130"/>
      <c r="GC54" s="130"/>
      <c r="GD54" s="130"/>
      <c r="GE54" s="130"/>
      <c r="GF54" s="130"/>
      <c r="GG54" s="130"/>
      <c r="GH54" s="130"/>
      <c r="GI54" s="130"/>
      <c r="GJ54" s="130"/>
      <c r="GK54" s="130"/>
      <c r="GL54" s="130"/>
      <c r="GM54" s="130"/>
      <c r="GN54" s="130"/>
      <c r="GO54" s="130"/>
      <c r="GP54" s="130"/>
      <c r="GQ54" s="130"/>
      <c r="GR54" s="130"/>
      <c r="GS54" s="130"/>
      <c r="GT54" s="130"/>
      <c r="GU54" s="130"/>
      <c r="GV54" s="130"/>
      <c r="GW54" s="130"/>
    </row>
    <row r="55" spans="1:205" s="24" customFormat="1" ht="24.75" customHeight="1">
      <c r="A55" s="109"/>
      <c r="B55" s="59"/>
      <c r="C55" s="59">
        <v>4440</v>
      </c>
      <c r="D55" s="14" t="s">
        <v>109</v>
      </c>
      <c r="E55" s="81">
        <v>4000</v>
      </c>
      <c r="F55" s="257">
        <v>4023</v>
      </c>
      <c r="G55" s="81">
        <v>4022.98</v>
      </c>
      <c r="H55" s="124">
        <f t="shared" si="0"/>
        <v>99.99950285856326</v>
      </c>
      <c r="I55" s="130"/>
      <c r="J55" s="130"/>
      <c r="K55" s="130"/>
      <c r="L55" s="130"/>
      <c r="M55" s="130"/>
      <c r="N55" s="130"/>
      <c r="O55" s="130"/>
      <c r="P55" s="130"/>
      <c r="Q55" s="130"/>
      <c r="R55" s="130"/>
      <c r="S55" s="130"/>
      <c r="T55" s="130"/>
      <c r="U55" s="130"/>
      <c r="V55" s="130"/>
      <c r="W55" s="130"/>
      <c r="X55" s="130"/>
      <c r="Y55" s="130"/>
      <c r="Z55" s="130"/>
      <c r="AA55" s="130"/>
      <c r="AB55" s="130"/>
      <c r="AC55" s="130"/>
      <c r="AD55" s="130"/>
      <c r="AE55" s="130"/>
      <c r="AF55" s="130"/>
      <c r="AG55" s="130"/>
      <c r="AH55" s="130"/>
      <c r="AI55" s="130"/>
      <c r="AJ55" s="130"/>
      <c r="AK55" s="130"/>
      <c r="AL55" s="130"/>
      <c r="AM55" s="130"/>
      <c r="AN55" s="130"/>
      <c r="AO55" s="130"/>
      <c r="AP55" s="130"/>
      <c r="AQ55" s="130"/>
      <c r="AR55" s="130"/>
      <c r="AS55" s="130"/>
      <c r="AT55" s="130"/>
      <c r="AU55" s="130"/>
      <c r="AV55" s="130"/>
      <c r="AW55" s="130"/>
      <c r="AX55" s="130"/>
      <c r="AY55" s="130"/>
      <c r="AZ55" s="130"/>
      <c r="BA55" s="130"/>
      <c r="BB55" s="130"/>
      <c r="BC55" s="130"/>
      <c r="BD55" s="130"/>
      <c r="BE55" s="130"/>
      <c r="BF55" s="130"/>
      <c r="BG55" s="130"/>
      <c r="BH55" s="130"/>
      <c r="BI55" s="130"/>
      <c r="BJ55" s="130"/>
      <c r="BK55" s="130"/>
      <c r="BL55" s="130"/>
      <c r="BM55" s="130"/>
      <c r="BN55" s="130"/>
      <c r="BO55" s="130"/>
      <c r="BP55" s="130"/>
      <c r="BQ55" s="130"/>
      <c r="BR55" s="130"/>
      <c r="BS55" s="130"/>
      <c r="BT55" s="130"/>
      <c r="BU55" s="130"/>
      <c r="BV55" s="130"/>
      <c r="BW55" s="130"/>
      <c r="BX55" s="130"/>
      <c r="BY55" s="130"/>
      <c r="BZ55" s="130"/>
      <c r="CA55" s="130"/>
      <c r="CB55" s="130"/>
      <c r="CC55" s="130"/>
      <c r="CD55" s="130"/>
      <c r="CE55" s="130"/>
      <c r="CF55" s="130"/>
      <c r="CG55" s="130"/>
      <c r="CH55" s="130"/>
      <c r="CI55" s="130"/>
      <c r="CJ55" s="130"/>
      <c r="CK55" s="130"/>
      <c r="CL55" s="130"/>
      <c r="CM55" s="130"/>
      <c r="CN55" s="130"/>
      <c r="CO55" s="130"/>
      <c r="CP55" s="130"/>
      <c r="CQ55" s="130"/>
      <c r="CR55" s="130"/>
      <c r="CS55" s="130"/>
      <c r="CT55" s="130"/>
      <c r="CU55" s="130"/>
      <c r="CV55" s="130"/>
      <c r="CW55" s="130"/>
      <c r="CX55" s="130"/>
      <c r="CY55" s="130"/>
      <c r="CZ55" s="130"/>
      <c r="DA55" s="130"/>
      <c r="DB55" s="130"/>
      <c r="DC55" s="130"/>
      <c r="DD55" s="130"/>
      <c r="DE55" s="130"/>
      <c r="DF55" s="130"/>
      <c r="DG55" s="130"/>
      <c r="DH55" s="130"/>
      <c r="DI55" s="130"/>
      <c r="DJ55" s="130"/>
      <c r="DK55" s="130"/>
      <c r="DL55" s="130"/>
      <c r="DM55" s="130"/>
      <c r="DN55" s="130"/>
      <c r="DO55" s="130"/>
      <c r="DP55" s="130"/>
      <c r="DQ55" s="130"/>
      <c r="DR55" s="130"/>
      <c r="DS55" s="130"/>
      <c r="DT55" s="130"/>
      <c r="DU55" s="130"/>
      <c r="DV55" s="130"/>
      <c r="DW55" s="130"/>
      <c r="DX55" s="130"/>
      <c r="DY55" s="130"/>
      <c r="DZ55" s="130"/>
      <c r="EA55" s="130"/>
      <c r="EB55" s="130"/>
      <c r="EC55" s="130"/>
      <c r="ED55" s="130"/>
      <c r="EE55" s="130"/>
      <c r="EF55" s="130"/>
      <c r="EG55" s="130"/>
      <c r="EH55" s="130"/>
      <c r="EI55" s="130"/>
      <c r="EJ55" s="130"/>
      <c r="EK55" s="130"/>
      <c r="EL55" s="130"/>
      <c r="EM55" s="130"/>
      <c r="EN55" s="130"/>
      <c r="EO55" s="130"/>
      <c r="EP55" s="130"/>
      <c r="EQ55" s="130"/>
      <c r="ER55" s="130"/>
      <c r="ES55" s="130"/>
      <c r="ET55" s="130"/>
      <c r="EU55" s="130"/>
      <c r="EV55" s="130"/>
      <c r="EW55" s="130"/>
      <c r="EX55" s="130"/>
      <c r="EY55" s="130"/>
      <c r="EZ55" s="130"/>
      <c r="FA55" s="130"/>
      <c r="FB55" s="130"/>
      <c r="FC55" s="130"/>
      <c r="FD55" s="130"/>
      <c r="FE55" s="130"/>
      <c r="FF55" s="130"/>
      <c r="FG55" s="130"/>
      <c r="FH55" s="130"/>
      <c r="FI55" s="130"/>
      <c r="FJ55" s="130"/>
      <c r="FK55" s="130"/>
      <c r="FL55" s="130"/>
      <c r="FM55" s="130"/>
      <c r="FN55" s="130"/>
      <c r="FO55" s="130"/>
      <c r="FP55" s="130"/>
      <c r="FQ55" s="130"/>
      <c r="FR55" s="130"/>
      <c r="FS55" s="130"/>
      <c r="FT55" s="130"/>
      <c r="FU55" s="130"/>
      <c r="FV55" s="130"/>
      <c r="FW55" s="130"/>
      <c r="FX55" s="130"/>
      <c r="FY55" s="130"/>
      <c r="FZ55" s="130"/>
      <c r="GA55" s="130"/>
      <c r="GB55" s="130"/>
      <c r="GC55" s="130"/>
      <c r="GD55" s="130"/>
      <c r="GE55" s="130"/>
      <c r="GF55" s="130"/>
      <c r="GG55" s="130"/>
      <c r="GH55" s="130"/>
      <c r="GI55" s="130"/>
      <c r="GJ55" s="130"/>
      <c r="GK55" s="130"/>
      <c r="GL55" s="130"/>
      <c r="GM55" s="130"/>
      <c r="GN55" s="130"/>
      <c r="GO55" s="130"/>
      <c r="GP55" s="130"/>
      <c r="GQ55" s="130"/>
      <c r="GR55" s="130"/>
      <c r="GS55" s="130"/>
      <c r="GT55" s="130"/>
      <c r="GU55" s="130"/>
      <c r="GV55" s="130"/>
      <c r="GW55" s="130"/>
    </row>
    <row r="56" spans="1:205" s="24" customFormat="1" ht="24.75" customHeight="1">
      <c r="A56" s="109"/>
      <c r="B56" s="59"/>
      <c r="C56" s="59">
        <v>4700</v>
      </c>
      <c r="D56" s="14" t="s">
        <v>290</v>
      </c>
      <c r="E56" s="81">
        <v>3000</v>
      </c>
      <c r="F56" s="257">
        <v>1460</v>
      </c>
      <c r="G56" s="81">
        <v>1460</v>
      </c>
      <c r="H56" s="124">
        <f t="shared" si="0"/>
        <v>100</v>
      </c>
      <c r="I56" s="130"/>
      <c r="J56" s="130"/>
      <c r="K56" s="130"/>
      <c r="L56" s="130"/>
      <c r="M56" s="130"/>
      <c r="N56" s="130"/>
      <c r="O56" s="130"/>
      <c r="P56" s="130"/>
      <c r="Q56" s="130"/>
      <c r="R56" s="130"/>
      <c r="S56" s="130"/>
      <c r="T56" s="130"/>
      <c r="U56" s="130"/>
      <c r="V56" s="130"/>
      <c r="W56" s="130"/>
      <c r="X56" s="130"/>
      <c r="Y56" s="130"/>
      <c r="Z56" s="130"/>
      <c r="AA56" s="130"/>
      <c r="AB56" s="130"/>
      <c r="AC56" s="130"/>
      <c r="AD56" s="130"/>
      <c r="AE56" s="130"/>
      <c r="AF56" s="130"/>
      <c r="AG56" s="130"/>
      <c r="AH56" s="130"/>
      <c r="AI56" s="130"/>
      <c r="AJ56" s="130"/>
      <c r="AK56" s="130"/>
      <c r="AL56" s="130"/>
      <c r="AM56" s="130"/>
      <c r="AN56" s="130"/>
      <c r="AO56" s="130"/>
      <c r="AP56" s="130"/>
      <c r="AQ56" s="130"/>
      <c r="AR56" s="130"/>
      <c r="AS56" s="130"/>
      <c r="AT56" s="130"/>
      <c r="AU56" s="130"/>
      <c r="AV56" s="130"/>
      <c r="AW56" s="130"/>
      <c r="AX56" s="130"/>
      <c r="AY56" s="130"/>
      <c r="AZ56" s="130"/>
      <c r="BA56" s="130"/>
      <c r="BB56" s="130"/>
      <c r="BC56" s="130"/>
      <c r="BD56" s="130"/>
      <c r="BE56" s="130"/>
      <c r="BF56" s="130"/>
      <c r="BG56" s="130"/>
      <c r="BH56" s="130"/>
      <c r="BI56" s="130"/>
      <c r="BJ56" s="130"/>
      <c r="BK56" s="130"/>
      <c r="BL56" s="130"/>
      <c r="BM56" s="130"/>
      <c r="BN56" s="130"/>
      <c r="BO56" s="130"/>
      <c r="BP56" s="130"/>
      <c r="BQ56" s="130"/>
      <c r="BR56" s="130"/>
      <c r="BS56" s="130"/>
      <c r="BT56" s="130"/>
      <c r="BU56" s="130"/>
      <c r="BV56" s="130"/>
      <c r="BW56" s="130"/>
      <c r="BX56" s="130"/>
      <c r="BY56" s="130"/>
      <c r="BZ56" s="130"/>
      <c r="CA56" s="130"/>
      <c r="CB56" s="130"/>
      <c r="CC56" s="130"/>
      <c r="CD56" s="130"/>
      <c r="CE56" s="130"/>
      <c r="CF56" s="130"/>
      <c r="CG56" s="130"/>
      <c r="CH56" s="130"/>
      <c r="CI56" s="130"/>
      <c r="CJ56" s="130"/>
      <c r="CK56" s="130"/>
      <c r="CL56" s="130"/>
      <c r="CM56" s="130"/>
      <c r="CN56" s="130"/>
      <c r="CO56" s="130"/>
      <c r="CP56" s="130"/>
      <c r="CQ56" s="130"/>
      <c r="CR56" s="130"/>
      <c r="CS56" s="130"/>
      <c r="CT56" s="130"/>
      <c r="CU56" s="130"/>
      <c r="CV56" s="130"/>
      <c r="CW56" s="130"/>
      <c r="CX56" s="130"/>
      <c r="CY56" s="130"/>
      <c r="CZ56" s="130"/>
      <c r="DA56" s="130"/>
      <c r="DB56" s="130"/>
      <c r="DC56" s="130"/>
      <c r="DD56" s="130"/>
      <c r="DE56" s="130"/>
      <c r="DF56" s="130"/>
      <c r="DG56" s="130"/>
      <c r="DH56" s="130"/>
      <c r="DI56" s="130"/>
      <c r="DJ56" s="130"/>
      <c r="DK56" s="130"/>
      <c r="DL56" s="130"/>
      <c r="DM56" s="130"/>
      <c r="DN56" s="130"/>
      <c r="DO56" s="130"/>
      <c r="DP56" s="130"/>
      <c r="DQ56" s="130"/>
      <c r="DR56" s="130"/>
      <c r="DS56" s="130"/>
      <c r="DT56" s="130"/>
      <c r="DU56" s="130"/>
      <c r="DV56" s="130"/>
      <c r="DW56" s="130"/>
      <c r="DX56" s="130"/>
      <c r="DY56" s="130"/>
      <c r="DZ56" s="130"/>
      <c r="EA56" s="130"/>
      <c r="EB56" s="130"/>
      <c r="EC56" s="130"/>
      <c r="ED56" s="130"/>
      <c r="EE56" s="130"/>
      <c r="EF56" s="130"/>
      <c r="EG56" s="130"/>
      <c r="EH56" s="130"/>
      <c r="EI56" s="130"/>
      <c r="EJ56" s="130"/>
      <c r="EK56" s="130"/>
      <c r="EL56" s="130"/>
      <c r="EM56" s="130"/>
      <c r="EN56" s="130"/>
      <c r="EO56" s="130"/>
      <c r="EP56" s="130"/>
      <c r="EQ56" s="130"/>
      <c r="ER56" s="130"/>
      <c r="ES56" s="130"/>
      <c r="ET56" s="130"/>
      <c r="EU56" s="130"/>
      <c r="EV56" s="130"/>
      <c r="EW56" s="130"/>
      <c r="EX56" s="130"/>
      <c r="EY56" s="130"/>
      <c r="EZ56" s="130"/>
      <c r="FA56" s="130"/>
      <c r="FB56" s="130"/>
      <c r="FC56" s="130"/>
      <c r="FD56" s="130"/>
      <c r="FE56" s="130"/>
      <c r="FF56" s="130"/>
      <c r="FG56" s="130"/>
      <c r="FH56" s="130"/>
      <c r="FI56" s="130"/>
      <c r="FJ56" s="130"/>
      <c r="FK56" s="130"/>
      <c r="FL56" s="130"/>
      <c r="FM56" s="130"/>
      <c r="FN56" s="130"/>
      <c r="FO56" s="130"/>
      <c r="FP56" s="130"/>
      <c r="FQ56" s="130"/>
      <c r="FR56" s="130"/>
      <c r="FS56" s="130"/>
      <c r="FT56" s="130"/>
      <c r="FU56" s="130"/>
      <c r="FV56" s="130"/>
      <c r="FW56" s="130"/>
      <c r="FX56" s="130"/>
      <c r="FY56" s="130"/>
      <c r="FZ56" s="130"/>
      <c r="GA56" s="130"/>
      <c r="GB56" s="130"/>
      <c r="GC56" s="130"/>
      <c r="GD56" s="130"/>
      <c r="GE56" s="130"/>
      <c r="GF56" s="130"/>
      <c r="GG56" s="130"/>
      <c r="GH56" s="130"/>
      <c r="GI56" s="130"/>
      <c r="GJ56" s="130"/>
      <c r="GK56" s="130"/>
      <c r="GL56" s="130"/>
      <c r="GM56" s="130"/>
      <c r="GN56" s="130"/>
      <c r="GO56" s="130"/>
      <c r="GP56" s="130"/>
      <c r="GQ56" s="130"/>
      <c r="GR56" s="130"/>
      <c r="GS56" s="130"/>
      <c r="GT56" s="130"/>
      <c r="GU56" s="130"/>
      <c r="GV56" s="130"/>
      <c r="GW56" s="130"/>
    </row>
    <row r="57" spans="1:205" s="24" customFormat="1" ht="33.75">
      <c r="A57" s="109"/>
      <c r="B57" s="59"/>
      <c r="C57" s="59">
        <v>4740</v>
      </c>
      <c r="D57" s="14" t="s">
        <v>289</v>
      </c>
      <c r="E57" s="81">
        <v>4000</v>
      </c>
      <c r="F57" s="257">
        <v>326</v>
      </c>
      <c r="G57" s="81">
        <v>325.37</v>
      </c>
      <c r="H57" s="124">
        <f t="shared" si="0"/>
        <v>99.80674846625767</v>
      </c>
      <c r="I57" s="130"/>
      <c r="J57" s="130"/>
      <c r="K57" s="130"/>
      <c r="L57" s="130"/>
      <c r="M57" s="130"/>
      <c r="N57" s="130"/>
      <c r="O57" s="130"/>
      <c r="P57" s="130"/>
      <c r="Q57" s="130"/>
      <c r="R57" s="130"/>
      <c r="S57" s="130"/>
      <c r="T57" s="130"/>
      <c r="U57" s="130"/>
      <c r="V57" s="130"/>
      <c r="W57" s="130"/>
      <c r="X57" s="130"/>
      <c r="Y57" s="130"/>
      <c r="Z57" s="130"/>
      <c r="AA57" s="130"/>
      <c r="AB57" s="130"/>
      <c r="AC57" s="130"/>
      <c r="AD57" s="130"/>
      <c r="AE57" s="130"/>
      <c r="AF57" s="130"/>
      <c r="AG57" s="130"/>
      <c r="AH57" s="130"/>
      <c r="AI57" s="130"/>
      <c r="AJ57" s="130"/>
      <c r="AK57" s="130"/>
      <c r="AL57" s="130"/>
      <c r="AM57" s="130"/>
      <c r="AN57" s="130"/>
      <c r="AO57" s="130"/>
      <c r="AP57" s="130"/>
      <c r="AQ57" s="130"/>
      <c r="AR57" s="130"/>
      <c r="AS57" s="130"/>
      <c r="AT57" s="130"/>
      <c r="AU57" s="130"/>
      <c r="AV57" s="130"/>
      <c r="AW57" s="130"/>
      <c r="AX57" s="130"/>
      <c r="AY57" s="130"/>
      <c r="AZ57" s="130"/>
      <c r="BA57" s="130"/>
      <c r="BB57" s="130"/>
      <c r="BC57" s="130"/>
      <c r="BD57" s="130"/>
      <c r="BE57" s="130"/>
      <c r="BF57" s="130"/>
      <c r="BG57" s="130"/>
      <c r="BH57" s="130"/>
      <c r="BI57" s="130"/>
      <c r="BJ57" s="130"/>
      <c r="BK57" s="130"/>
      <c r="BL57" s="130"/>
      <c r="BM57" s="130"/>
      <c r="BN57" s="130"/>
      <c r="BO57" s="130"/>
      <c r="BP57" s="130"/>
      <c r="BQ57" s="130"/>
      <c r="BR57" s="130"/>
      <c r="BS57" s="130"/>
      <c r="BT57" s="130"/>
      <c r="BU57" s="130"/>
      <c r="BV57" s="130"/>
      <c r="BW57" s="130"/>
      <c r="BX57" s="130"/>
      <c r="BY57" s="130"/>
      <c r="BZ57" s="130"/>
      <c r="CA57" s="130"/>
      <c r="CB57" s="130"/>
      <c r="CC57" s="130"/>
      <c r="CD57" s="130"/>
      <c r="CE57" s="130"/>
      <c r="CF57" s="130"/>
      <c r="CG57" s="130"/>
      <c r="CH57" s="130"/>
      <c r="CI57" s="130"/>
      <c r="CJ57" s="130"/>
      <c r="CK57" s="130"/>
      <c r="CL57" s="130"/>
      <c r="CM57" s="130"/>
      <c r="CN57" s="130"/>
      <c r="CO57" s="130"/>
      <c r="CP57" s="130"/>
      <c r="CQ57" s="130"/>
      <c r="CR57" s="130"/>
      <c r="CS57" s="130"/>
      <c r="CT57" s="130"/>
      <c r="CU57" s="130"/>
      <c r="CV57" s="130"/>
      <c r="CW57" s="130"/>
      <c r="CX57" s="130"/>
      <c r="CY57" s="130"/>
      <c r="CZ57" s="130"/>
      <c r="DA57" s="130"/>
      <c r="DB57" s="130"/>
      <c r="DC57" s="130"/>
      <c r="DD57" s="130"/>
      <c r="DE57" s="130"/>
      <c r="DF57" s="130"/>
      <c r="DG57" s="130"/>
      <c r="DH57" s="130"/>
      <c r="DI57" s="130"/>
      <c r="DJ57" s="130"/>
      <c r="DK57" s="130"/>
      <c r="DL57" s="130"/>
      <c r="DM57" s="130"/>
      <c r="DN57" s="130"/>
      <c r="DO57" s="130"/>
      <c r="DP57" s="130"/>
      <c r="DQ57" s="130"/>
      <c r="DR57" s="130"/>
      <c r="DS57" s="130"/>
      <c r="DT57" s="130"/>
      <c r="DU57" s="130"/>
      <c r="DV57" s="130"/>
      <c r="DW57" s="130"/>
      <c r="DX57" s="130"/>
      <c r="DY57" s="130"/>
      <c r="DZ57" s="130"/>
      <c r="EA57" s="130"/>
      <c r="EB57" s="130"/>
      <c r="EC57" s="130"/>
      <c r="ED57" s="130"/>
      <c r="EE57" s="130"/>
      <c r="EF57" s="130"/>
      <c r="EG57" s="130"/>
      <c r="EH57" s="130"/>
      <c r="EI57" s="130"/>
      <c r="EJ57" s="130"/>
      <c r="EK57" s="130"/>
      <c r="EL57" s="130"/>
      <c r="EM57" s="130"/>
      <c r="EN57" s="130"/>
      <c r="EO57" s="130"/>
      <c r="EP57" s="130"/>
      <c r="EQ57" s="130"/>
      <c r="ER57" s="130"/>
      <c r="ES57" s="130"/>
      <c r="ET57" s="130"/>
      <c r="EU57" s="130"/>
      <c r="EV57" s="130"/>
      <c r="EW57" s="130"/>
      <c r="EX57" s="130"/>
      <c r="EY57" s="130"/>
      <c r="EZ57" s="130"/>
      <c r="FA57" s="130"/>
      <c r="FB57" s="130"/>
      <c r="FC57" s="130"/>
      <c r="FD57" s="130"/>
      <c r="FE57" s="130"/>
      <c r="FF57" s="130"/>
      <c r="FG57" s="130"/>
      <c r="FH57" s="130"/>
      <c r="FI57" s="130"/>
      <c r="FJ57" s="130"/>
      <c r="FK57" s="130"/>
      <c r="FL57" s="130"/>
      <c r="FM57" s="130"/>
      <c r="FN57" s="130"/>
      <c r="FO57" s="130"/>
      <c r="FP57" s="130"/>
      <c r="FQ57" s="130"/>
      <c r="FR57" s="130"/>
      <c r="FS57" s="130"/>
      <c r="FT57" s="130"/>
      <c r="FU57" s="130"/>
      <c r="FV57" s="130"/>
      <c r="FW57" s="130"/>
      <c r="FX57" s="130"/>
      <c r="FY57" s="130"/>
      <c r="FZ57" s="130"/>
      <c r="GA57" s="130"/>
      <c r="GB57" s="130"/>
      <c r="GC57" s="130"/>
      <c r="GD57" s="130"/>
      <c r="GE57" s="130"/>
      <c r="GF57" s="130"/>
      <c r="GG57" s="130"/>
      <c r="GH57" s="130"/>
      <c r="GI57" s="130"/>
      <c r="GJ57" s="130"/>
      <c r="GK57" s="130"/>
      <c r="GL57" s="130"/>
      <c r="GM57" s="130"/>
      <c r="GN57" s="130"/>
      <c r="GO57" s="130"/>
      <c r="GP57" s="130"/>
      <c r="GQ57" s="130"/>
      <c r="GR57" s="130"/>
      <c r="GS57" s="130"/>
      <c r="GT57" s="130"/>
      <c r="GU57" s="130"/>
      <c r="GV57" s="130"/>
      <c r="GW57" s="130"/>
    </row>
    <row r="58" spans="1:205" s="24" customFormat="1" ht="24.75" customHeight="1">
      <c r="A58" s="109"/>
      <c r="B58" s="59"/>
      <c r="C58" s="59">
        <v>4750</v>
      </c>
      <c r="D58" s="14" t="s">
        <v>502</v>
      </c>
      <c r="E58" s="81">
        <v>3074</v>
      </c>
      <c r="F58" s="257">
        <v>1667</v>
      </c>
      <c r="G58" s="81">
        <v>1666.98</v>
      </c>
      <c r="H58" s="124">
        <f t="shared" si="0"/>
        <v>99.99880023995202</v>
      </c>
      <c r="I58" s="130"/>
      <c r="J58" s="130"/>
      <c r="K58" s="130"/>
      <c r="L58" s="130"/>
      <c r="M58" s="130"/>
      <c r="N58" s="130"/>
      <c r="O58" s="130"/>
      <c r="P58" s="130"/>
      <c r="Q58" s="130"/>
      <c r="R58" s="130"/>
      <c r="S58" s="130"/>
      <c r="T58" s="130"/>
      <c r="U58" s="130"/>
      <c r="V58" s="130"/>
      <c r="W58" s="130"/>
      <c r="X58" s="130"/>
      <c r="Y58" s="130"/>
      <c r="Z58" s="130"/>
      <c r="AA58" s="130"/>
      <c r="AB58" s="130"/>
      <c r="AC58" s="130"/>
      <c r="AD58" s="130"/>
      <c r="AE58" s="130"/>
      <c r="AF58" s="130"/>
      <c r="AG58" s="130"/>
      <c r="AH58" s="130"/>
      <c r="AI58" s="130"/>
      <c r="AJ58" s="130"/>
      <c r="AK58" s="130"/>
      <c r="AL58" s="130"/>
      <c r="AM58" s="130"/>
      <c r="AN58" s="130"/>
      <c r="AO58" s="130"/>
      <c r="AP58" s="130"/>
      <c r="AQ58" s="130"/>
      <c r="AR58" s="130"/>
      <c r="AS58" s="130"/>
      <c r="AT58" s="130"/>
      <c r="AU58" s="130"/>
      <c r="AV58" s="130"/>
      <c r="AW58" s="130"/>
      <c r="AX58" s="130"/>
      <c r="AY58" s="130"/>
      <c r="AZ58" s="130"/>
      <c r="BA58" s="130"/>
      <c r="BB58" s="130"/>
      <c r="BC58" s="130"/>
      <c r="BD58" s="130"/>
      <c r="BE58" s="130"/>
      <c r="BF58" s="130"/>
      <c r="BG58" s="130"/>
      <c r="BH58" s="130"/>
      <c r="BI58" s="130"/>
      <c r="BJ58" s="130"/>
      <c r="BK58" s="130"/>
      <c r="BL58" s="130"/>
      <c r="BM58" s="130"/>
      <c r="BN58" s="130"/>
      <c r="BO58" s="130"/>
      <c r="BP58" s="130"/>
      <c r="BQ58" s="130"/>
      <c r="BR58" s="130"/>
      <c r="BS58" s="130"/>
      <c r="BT58" s="130"/>
      <c r="BU58" s="130"/>
      <c r="BV58" s="130"/>
      <c r="BW58" s="130"/>
      <c r="BX58" s="130"/>
      <c r="BY58" s="130"/>
      <c r="BZ58" s="130"/>
      <c r="CA58" s="130"/>
      <c r="CB58" s="130"/>
      <c r="CC58" s="130"/>
      <c r="CD58" s="130"/>
      <c r="CE58" s="130"/>
      <c r="CF58" s="130"/>
      <c r="CG58" s="130"/>
      <c r="CH58" s="130"/>
      <c r="CI58" s="130"/>
      <c r="CJ58" s="130"/>
      <c r="CK58" s="130"/>
      <c r="CL58" s="130"/>
      <c r="CM58" s="130"/>
      <c r="CN58" s="130"/>
      <c r="CO58" s="130"/>
      <c r="CP58" s="130"/>
      <c r="CQ58" s="130"/>
      <c r="CR58" s="130"/>
      <c r="CS58" s="130"/>
      <c r="CT58" s="130"/>
      <c r="CU58" s="130"/>
      <c r="CV58" s="130"/>
      <c r="CW58" s="130"/>
      <c r="CX58" s="130"/>
      <c r="CY58" s="130"/>
      <c r="CZ58" s="130"/>
      <c r="DA58" s="130"/>
      <c r="DB58" s="130"/>
      <c r="DC58" s="130"/>
      <c r="DD58" s="130"/>
      <c r="DE58" s="130"/>
      <c r="DF58" s="130"/>
      <c r="DG58" s="130"/>
      <c r="DH58" s="130"/>
      <c r="DI58" s="130"/>
      <c r="DJ58" s="130"/>
      <c r="DK58" s="130"/>
      <c r="DL58" s="130"/>
      <c r="DM58" s="130"/>
      <c r="DN58" s="130"/>
      <c r="DO58" s="130"/>
      <c r="DP58" s="130"/>
      <c r="DQ58" s="130"/>
      <c r="DR58" s="130"/>
      <c r="DS58" s="130"/>
      <c r="DT58" s="130"/>
      <c r="DU58" s="130"/>
      <c r="DV58" s="130"/>
      <c r="DW58" s="130"/>
      <c r="DX58" s="130"/>
      <c r="DY58" s="130"/>
      <c r="DZ58" s="130"/>
      <c r="EA58" s="130"/>
      <c r="EB58" s="130"/>
      <c r="EC58" s="130"/>
      <c r="ED58" s="130"/>
      <c r="EE58" s="130"/>
      <c r="EF58" s="130"/>
      <c r="EG58" s="130"/>
      <c r="EH58" s="130"/>
      <c r="EI58" s="130"/>
      <c r="EJ58" s="130"/>
      <c r="EK58" s="130"/>
      <c r="EL58" s="130"/>
      <c r="EM58" s="130"/>
      <c r="EN58" s="130"/>
      <c r="EO58" s="130"/>
      <c r="EP58" s="130"/>
      <c r="EQ58" s="130"/>
      <c r="ER58" s="130"/>
      <c r="ES58" s="130"/>
      <c r="ET58" s="130"/>
      <c r="EU58" s="130"/>
      <c r="EV58" s="130"/>
      <c r="EW58" s="130"/>
      <c r="EX58" s="130"/>
      <c r="EY58" s="130"/>
      <c r="EZ58" s="130"/>
      <c r="FA58" s="130"/>
      <c r="FB58" s="130"/>
      <c r="FC58" s="130"/>
      <c r="FD58" s="130"/>
      <c r="FE58" s="130"/>
      <c r="FF58" s="130"/>
      <c r="FG58" s="130"/>
      <c r="FH58" s="130"/>
      <c r="FI58" s="130"/>
      <c r="FJ58" s="130"/>
      <c r="FK58" s="130"/>
      <c r="FL58" s="130"/>
      <c r="FM58" s="130"/>
      <c r="FN58" s="130"/>
      <c r="FO58" s="130"/>
      <c r="FP58" s="130"/>
      <c r="FQ58" s="130"/>
      <c r="FR58" s="130"/>
      <c r="FS58" s="130"/>
      <c r="FT58" s="130"/>
      <c r="FU58" s="130"/>
      <c r="FV58" s="130"/>
      <c r="FW58" s="130"/>
      <c r="FX58" s="130"/>
      <c r="FY58" s="130"/>
      <c r="FZ58" s="130"/>
      <c r="GA58" s="130"/>
      <c r="GB58" s="130"/>
      <c r="GC58" s="130"/>
      <c r="GD58" s="130"/>
      <c r="GE58" s="130"/>
      <c r="GF58" s="130"/>
      <c r="GG58" s="130"/>
      <c r="GH58" s="130"/>
      <c r="GI58" s="130"/>
      <c r="GJ58" s="130"/>
      <c r="GK58" s="130"/>
      <c r="GL58" s="130"/>
      <c r="GM58" s="130"/>
      <c r="GN58" s="130"/>
      <c r="GO58" s="130"/>
      <c r="GP58" s="130"/>
      <c r="GQ58" s="130"/>
      <c r="GR58" s="130"/>
      <c r="GS58" s="130"/>
      <c r="GT58" s="130"/>
      <c r="GU58" s="130"/>
      <c r="GV58" s="130"/>
      <c r="GW58" s="130"/>
    </row>
    <row r="59" spans="1:205" s="24" customFormat="1" ht="56.25">
      <c r="A59" s="83"/>
      <c r="B59" s="59">
        <v>85213</v>
      </c>
      <c r="C59" s="91"/>
      <c r="D59" s="88" t="s">
        <v>229</v>
      </c>
      <c r="E59" s="104">
        <f>SUM(E60)</f>
        <v>99900</v>
      </c>
      <c r="F59" s="104">
        <f>SUM(F60)</f>
        <v>78400</v>
      </c>
      <c r="G59" s="104">
        <f>SUM(G60)</f>
        <v>53196.75</v>
      </c>
      <c r="H59" s="124">
        <f t="shared" si="0"/>
        <v>67.8529974489796</v>
      </c>
      <c r="I59" s="130"/>
      <c r="J59" s="130"/>
      <c r="K59" s="130"/>
      <c r="L59" s="130"/>
      <c r="M59" s="130"/>
      <c r="N59" s="130"/>
      <c r="O59" s="130"/>
      <c r="P59" s="130"/>
      <c r="Q59" s="130"/>
      <c r="R59" s="130"/>
      <c r="S59" s="130"/>
      <c r="T59" s="130"/>
      <c r="U59" s="130"/>
      <c r="V59" s="130"/>
      <c r="W59" s="130"/>
      <c r="X59" s="130"/>
      <c r="Y59" s="130"/>
      <c r="Z59" s="130"/>
      <c r="AA59" s="130"/>
      <c r="AB59" s="130"/>
      <c r="AC59" s="130"/>
      <c r="AD59" s="130"/>
      <c r="AE59" s="130"/>
      <c r="AF59" s="130"/>
      <c r="AG59" s="130"/>
      <c r="AH59" s="130"/>
      <c r="AI59" s="130"/>
      <c r="AJ59" s="130"/>
      <c r="AK59" s="130"/>
      <c r="AL59" s="130"/>
      <c r="AM59" s="130"/>
      <c r="AN59" s="130"/>
      <c r="AO59" s="130"/>
      <c r="AP59" s="130"/>
      <c r="AQ59" s="130"/>
      <c r="AR59" s="130"/>
      <c r="AS59" s="130"/>
      <c r="AT59" s="130"/>
      <c r="AU59" s="130"/>
      <c r="AV59" s="130"/>
      <c r="AW59" s="130"/>
      <c r="AX59" s="130"/>
      <c r="AY59" s="130"/>
      <c r="AZ59" s="130"/>
      <c r="BA59" s="130"/>
      <c r="BB59" s="130"/>
      <c r="BC59" s="130"/>
      <c r="BD59" s="130"/>
      <c r="BE59" s="130"/>
      <c r="BF59" s="130"/>
      <c r="BG59" s="130"/>
      <c r="BH59" s="130"/>
      <c r="BI59" s="130"/>
      <c r="BJ59" s="130"/>
      <c r="BK59" s="130"/>
      <c r="BL59" s="130"/>
      <c r="BM59" s="130"/>
      <c r="BN59" s="130"/>
      <c r="BO59" s="130"/>
      <c r="BP59" s="130"/>
      <c r="BQ59" s="130"/>
      <c r="BR59" s="130"/>
      <c r="BS59" s="130"/>
      <c r="BT59" s="130"/>
      <c r="BU59" s="130"/>
      <c r="BV59" s="130"/>
      <c r="BW59" s="130"/>
      <c r="BX59" s="130"/>
      <c r="BY59" s="130"/>
      <c r="BZ59" s="130"/>
      <c r="CA59" s="130"/>
      <c r="CB59" s="130"/>
      <c r="CC59" s="130"/>
      <c r="CD59" s="130"/>
      <c r="CE59" s="130"/>
      <c r="CF59" s="130"/>
      <c r="CG59" s="130"/>
      <c r="CH59" s="130"/>
      <c r="CI59" s="130"/>
      <c r="CJ59" s="130"/>
      <c r="CK59" s="130"/>
      <c r="CL59" s="130"/>
      <c r="CM59" s="130"/>
      <c r="CN59" s="130"/>
      <c r="CO59" s="130"/>
      <c r="CP59" s="130"/>
      <c r="CQ59" s="130"/>
      <c r="CR59" s="130"/>
      <c r="CS59" s="130"/>
      <c r="CT59" s="130"/>
      <c r="CU59" s="130"/>
      <c r="CV59" s="130"/>
      <c r="CW59" s="130"/>
      <c r="CX59" s="130"/>
      <c r="CY59" s="130"/>
      <c r="CZ59" s="130"/>
      <c r="DA59" s="130"/>
      <c r="DB59" s="130"/>
      <c r="DC59" s="130"/>
      <c r="DD59" s="130"/>
      <c r="DE59" s="130"/>
      <c r="DF59" s="130"/>
      <c r="DG59" s="130"/>
      <c r="DH59" s="130"/>
      <c r="DI59" s="130"/>
      <c r="DJ59" s="130"/>
      <c r="DK59" s="130"/>
      <c r="DL59" s="130"/>
      <c r="DM59" s="130"/>
      <c r="DN59" s="130"/>
      <c r="DO59" s="130"/>
      <c r="DP59" s="130"/>
      <c r="DQ59" s="130"/>
      <c r="DR59" s="130"/>
      <c r="DS59" s="130"/>
      <c r="DT59" s="130"/>
      <c r="DU59" s="130"/>
      <c r="DV59" s="130"/>
      <c r="DW59" s="130"/>
      <c r="DX59" s="130"/>
      <c r="DY59" s="130"/>
      <c r="DZ59" s="130"/>
      <c r="EA59" s="130"/>
      <c r="EB59" s="130"/>
      <c r="EC59" s="130"/>
      <c r="ED59" s="130"/>
      <c r="EE59" s="130"/>
      <c r="EF59" s="130"/>
      <c r="EG59" s="130"/>
      <c r="EH59" s="130"/>
      <c r="EI59" s="130"/>
      <c r="EJ59" s="130"/>
      <c r="EK59" s="130"/>
      <c r="EL59" s="130"/>
      <c r="EM59" s="130"/>
      <c r="EN59" s="130"/>
      <c r="EO59" s="130"/>
      <c r="EP59" s="130"/>
      <c r="EQ59" s="130"/>
      <c r="ER59" s="130"/>
      <c r="ES59" s="130"/>
      <c r="ET59" s="130"/>
      <c r="EU59" s="130"/>
      <c r="EV59" s="130"/>
      <c r="EW59" s="130"/>
      <c r="EX59" s="130"/>
      <c r="EY59" s="130"/>
      <c r="EZ59" s="130"/>
      <c r="FA59" s="130"/>
      <c r="FB59" s="130"/>
      <c r="FC59" s="130"/>
      <c r="FD59" s="130"/>
      <c r="FE59" s="130"/>
      <c r="FF59" s="130"/>
      <c r="FG59" s="130"/>
      <c r="FH59" s="130"/>
      <c r="FI59" s="130"/>
      <c r="FJ59" s="130"/>
      <c r="FK59" s="130"/>
      <c r="FL59" s="130"/>
      <c r="FM59" s="130"/>
      <c r="FN59" s="130"/>
      <c r="FO59" s="130"/>
      <c r="FP59" s="130"/>
      <c r="FQ59" s="130"/>
      <c r="FR59" s="130"/>
      <c r="FS59" s="130"/>
      <c r="FT59" s="130"/>
      <c r="FU59" s="130"/>
      <c r="FV59" s="130"/>
      <c r="FW59" s="130"/>
      <c r="FX59" s="130"/>
      <c r="FY59" s="130"/>
      <c r="FZ59" s="130"/>
      <c r="GA59" s="130"/>
      <c r="GB59" s="130"/>
      <c r="GC59" s="130"/>
      <c r="GD59" s="130"/>
      <c r="GE59" s="130"/>
      <c r="GF59" s="130"/>
      <c r="GG59" s="130"/>
      <c r="GH59" s="130"/>
      <c r="GI59" s="130"/>
      <c r="GJ59" s="130"/>
      <c r="GK59" s="130"/>
      <c r="GL59" s="130"/>
      <c r="GM59" s="130"/>
      <c r="GN59" s="130"/>
      <c r="GO59" s="130"/>
      <c r="GP59" s="130"/>
      <c r="GQ59" s="130"/>
      <c r="GR59" s="130"/>
      <c r="GS59" s="130"/>
      <c r="GT59" s="130"/>
      <c r="GU59" s="130"/>
      <c r="GV59" s="130"/>
      <c r="GW59" s="130"/>
    </row>
    <row r="60" spans="1:205" s="24" customFormat="1" ht="19.5" customHeight="1">
      <c r="A60" s="83"/>
      <c r="B60" s="59"/>
      <c r="C60" s="91">
        <v>4130</v>
      </c>
      <c r="D60" s="88" t="s">
        <v>143</v>
      </c>
      <c r="E60" s="104">
        <v>99900</v>
      </c>
      <c r="F60" s="255">
        <v>78400</v>
      </c>
      <c r="G60" s="104">
        <v>53196.75</v>
      </c>
      <c r="H60" s="124">
        <f t="shared" si="0"/>
        <v>67.8529974489796</v>
      </c>
      <c r="I60" s="130"/>
      <c r="J60" s="130"/>
      <c r="K60" s="130"/>
      <c r="L60" s="130"/>
      <c r="M60" s="130"/>
      <c r="N60" s="130"/>
      <c r="O60" s="130"/>
      <c r="P60" s="130"/>
      <c r="Q60" s="130"/>
      <c r="R60" s="130"/>
      <c r="S60" s="130"/>
      <c r="T60" s="130"/>
      <c r="U60" s="130"/>
      <c r="V60" s="130"/>
      <c r="W60" s="130"/>
      <c r="X60" s="130"/>
      <c r="Y60" s="130"/>
      <c r="Z60" s="130"/>
      <c r="AA60" s="130"/>
      <c r="AB60" s="130"/>
      <c r="AC60" s="130"/>
      <c r="AD60" s="130"/>
      <c r="AE60" s="130"/>
      <c r="AF60" s="130"/>
      <c r="AG60" s="130"/>
      <c r="AH60" s="130"/>
      <c r="AI60" s="130"/>
      <c r="AJ60" s="130"/>
      <c r="AK60" s="130"/>
      <c r="AL60" s="130"/>
      <c r="AM60" s="130"/>
      <c r="AN60" s="130"/>
      <c r="AO60" s="130"/>
      <c r="AP60" s="130"/>
      <c r="AQ60" s="130"/>
      <c r="AR60" s="130"/>
      <c r="AS60" s="130"/>
      <c r="AT60" s="130"/>
      <c r="AU60" s="130"/>
      <c r="AV60" s="130"/>
      <c r="AW60" s="130"/>
      <c r="AX60" s="130"/>
      <c r="AY60" s="130"/>
      <c r="AZ60" s="130"/>
      <c r="BA60" s="130"/>
      <c r="BB60" s="130"/>
      <c r="BC60" s="130"/>
      <c r="BD60" s="130"/>
      <c r="BE60" s="130"/>
      <c r="BF60" s="130"/>
      <c r="BG60" s="130"/>
      <c r="BH60" s="130"/>
      <c r="BI60" s="130"/>
      <c r="BJ60" s="130"/>
      <c r="BK60" s="130"/>
      <c r="BL60" s="130"/>
      <c r="BM60" s="130"/>
      <c r="BN60" s="130"/>
      <c r="BO60" s="130"/>
      <c r="BP60" s="130"/>
      <c r="BQ60" s="130"/>
      <c r="BR60" s="130"/>
      <c r="BS60" s="130"/>
      <c r="BT60" s="130"/>
      <c r="BU60" s="130"/>
      <c r="BV60" s="130"/>
      <c r="BW60" s="130"/>
      <c r="BX60" s="130"/>
      <c r="BY60" s="130"/>
      <c r="BZ60" s="130"/>
      <c r="CA60" s="130"/>
      <c r="CB60" s="130"/>
      <c r="CC60" s="130"/>
      <c r="CD60" s="130"/>
      <c r="CE60" s="130"/>
      <c r="CF60" s="130"/>
      <c r="CG60" s="130"/>
      <c r="CH60" s="130"/>
      <c r="CI60" s="130"/>
      <c r="CJ60" s="130"/>
      <c r="CK60" s="130"/>
      <c r="CL60" s="130"/>
      <c r="CM60" s="130"/>
      <c r="CN60" s="130"/>
      <c r="CO60" s="130"/>
      <c r="CP60" s="130"/>
      <c r="CQ60" s="130"/>
      <c r="CR60" s="130"/>
      <c r="CS60" s="130"/>
      <c r="CT60" s="130"/>
      <c r="CU60" s="130"/>
      <c r="CV60" s="130"/>
      <c r="CW60" s="130"/>
      <c r="CX60" s="130"/>
      <c r="CY60" s="130"/>
      <c r="CZ60" s="130"/>
      <c r="DA60" s="130"/>
      <c r="DB60" s="130"/>
      <c r="DC60" s="130"/>
      <c r="DD60" s="130"/>
      <c r="DE60" s="130"/>
      <c r="DF60" s="130"/>
      <c r="DG60" s="130"/>
      <c r="DH60" s="130"/>
      <c r="DI60" s="130"/>
      <c r="DJ60" s="130"/>
      <c r="DK60" s="130"/>
      <c r="DL60" s="130"/>
      <c r="DM60" s="130"/>
      <c r="DN60" s="130"/>
      <c r="DO60" s="130"/>
      <c r="DP60" s="130"/>
      <c r="DQ60" s="130"/>
      <c r="DR60" s="130"/>
      <c r="DS60" s="130"/>
      <c r="DT60" s="130"/>
      <c r="DU60" s="130"/>
      <c r="DV60" s="130"/>
      <c r="DW60" s="130"/>
      <c r="DX60" s="130"/>
      <c r="DY60" s="130"/>
      <c r="DZ60" s="130"/>
      <c r="EA60" s="130"/>
      <c r="EB60" s="130"/>
      <c r="EC60" s="130"/>
      <c r="ED60" s="130"/>
      <c r="EE60" s="130"/>
      <c r="EF60" s="130"/>
      <c r="EG60" s="130"/>
      <c r="EH60" s="130"/>
      <c r="EI60" s="130"/>
      <c r="EJ60" s="130"/>
      <c r="EK60" s="130"/>
      <c r="EL60" s="130"/>
      <c r="EM60" s="130"/>
      <c r="EN60" s="130"/>
      <c r="EO60" s="130"/>
      <c r="EP60" s="130"/>
      <c r="EQ60" s="130"/>
      <c r="ER60" s="130"/>
      <c r="ES60" s="130"/>
      <c r="ET60" s="130"/>
      <c r="EU60" s="130"/>
      <c r="EV60" s="130"/>
      <c r="EW60" s="130"/>
      <c r="EX60" s="130"/>
      <c r="EY60" s="130"/>
      <c r="EZ60" s="130"/>
      <c r="FA60" s="130"/>
      <c r="FB60" s="130"/>
      <c r="FC60" s="130"/>
      <c r="FD60" s="130"/>
      <c r="FE60" s="130"/>
      <c r="FF60" s="130"/>
      <c r="FG60" s="130"/>
      <c r="FH60" s="130"/>
      <c r="FI60" s="130"/>
      <c r="FJ60" s="130"/>
      <c r="FK60" s="130"/>
      <c r="FL60" s="130"/>
      <c r="FM60" s="130"/>
      <c r="FN60" s="130"/>
      <c r="FO60" s="130"/>
      <c r="FP60" s="130"/>
      <c r="FQ60" s="130"/>
      <c r="FR60" s="130"/>
      <c r="FS60" s="130"/>
      <c r="FT60" s="130"/>
      <c r="FU60" s="130"/>
      <c r="FV60" s="130"/>
      <c r="FW60" s="130"/>
      <c r="FX60" s="130"/>
      <c r="FY60" s="130"/>
      <c r="FZ60" s="130"/>
      <c r="GA60" s="130"/>
      <c r="GB60" s="130"/>
      <c r="GC60" s="130"/>
      <c r="GD60" s="130"/>
      <c r="GE60" s="130"/>
      <c r="GF60" s="130"/>
      <c r="GG60" s="130"/>
      <c r="GH60" s="130"/>
      <c r="GI60" s="130"/>
      <c r="GJ60" s="130"/>
      <c r="GK60" s="130"/>
      <c r="GL60" s="130"/>
      <c r="GM60" s="130"/>
      <c r="GN60" s="130"/>
      <c r="GO60" s="130"/>
      <c r="GP60" s="130"/>
      <c r="GQ60" s="130"/>
      <c r="GR60" s="130"/>
      <c r="GS60" s="130"/>
      <c r="GT60" s="130"/>
      <c r="GU60" s="130"/>
      <c r="GV60" s="130"/>
      <c r="GW60" s="130"/>
    </row>
    <row r="61" spans="1:205" s="72" customFormat="1" ht="33.75">
      <c r="A61" s="77"/>
      <c r="B61" s="77">
        <v>85214</v>
      </c>
      <c r="C61" s="78"/>
      <c r="D61" s="76" t="s">
        <v>257</v>
      </c>
      <c r="E61" s="106">
        <f>SUM(E62:E63)</f>
        <v>439200</v>
      </c>
      <c r="F61" s="106">
        <f>SUM(F62:F63)</f>
        <v>455941</v>
      </c>
      <c r="G61" s="106">
        <f>SUM(G62:G63)</f>
        <v>455941</v>
      </c>
      <c r="H61" s="124">
        <f t="shared" si="0"/>
        <v>100</v>
      </c>
      <c r="I61" s="130"/>
      <c r="J61" s="130"/>
      <c r="K61" s="130"/>
      <c r="L61" s="130"/>
      <c r="M61" s="130"/>
      <c r="N61" s="130"/>
      <c r="O61" s="130"/>
      <c r="P61" s="130"/>
      <c r="Q61" s="130"/>
      <c r="R61" s="130"/>
      <c r="S61" s="130"/>
      <c r="T61" s="130"/>
      <c r="U61" s="130"/>
      <c r="V61" s="130"/>
      <c r="W61" s="130"/>
      <c r="X61" s="130"/>
      <c r="Y61" s="130"/>
      <c r="Z61" s="130"/>
      <c r="AA61" s="130"/>
      <c r="AB61" s="130"/>
      <c r="AC61" s="130"/>
      <c r="AD61" s="130"/>
      <c r="AE61" s="130"/>
      <c r="AF61" s="130"/>
      <c r="AG61" s="130"/>
      <c r="AH61" s="130"/>
      <c r="AI61" s="130"/>
      <c r="AJ61" s="130"/>
      <c r="AK61" s="130"/>
      <c r="AL61" s="130"/>
      <c r="AM61" s="130"/>
      <c r="AN61" s="130"/>
      <c r="AO61" s="130"/>
      <c r="AP61" s="130"/>
      <c r="AQ61" s="130"/>
      <c r="AR61" s="130"/>
      <c r="AS61" s="130"/>
      <c r="AT61" s="130"/>
      <c r="AU61" s="130"/>
      <c r="AV61" s="130"/>
      <c r="AW61" s="130"/>
      <c r="AX61" s="130"/>
      <c r="AY61" s="130"/>
      <c r="AZ61" s="130"/>
      <c r="BA61" s="130"/>
      <c r="BB61" s="130"/>
      <c r="BC61" s="130"/>
      <c r="BD61" s="130"/>
      <c r="BE61" s="130"/>
      <c r="BF61" s="130"/>
      <c r="BG61" s="130"/>
      <c r="BH61" s="130"/>
      <c r="BI61" s="130"/>
      <c r="BJ61" s="130"/>
      <c r="BK61" s="130"/>
      <c r="BL61" s="130"/>
      <c r="BM61" s="130"/>
      <c r="BN61" s="130"/>
      <c r="BO61" s="130"/>
      <c r="BP61" s="130"/>
      <c r="BQ61" s="130"/>
      <c r="BR61" s="130"/>
      <c r="BS61" s="130"/>
      <c r="BT61" s="130"/>
      <c r="BU61" s="130"/>
      <c r="BV61" s="130"/>
      <c r="BW61" s="130"/>
      <c r="BX61" s="130"/>
      <c r="BY61" s="130"/>
      <c r="BZ61" s="130"/>
      <c r="CA61" s="130"/>
      <c r="CB61" s="130"/>
      <c r="CC61" s="130"/>
      <c r="CD61" s="130"/>
      <c r="CE61" s="130"/>
      <c r="CF61" s="130"/>
      <c r="CG61" s="130"/>
      <c r="CH61" s="130"/>
      <c r="CI61" s="130"/>
      <c r="CJ61" s="130"/>
      <c r="CK61" s="130"/>
      <c r="CL61" s="130"/>
      <c r="CM61" s="130"/>
      <c r="CN61" s="130"/>
      <c r="CO61" s="130"/>
      <c r="CP61" s="130"/>
      <c r="CQ61" s="130"/>
      <c r="CR61" s="130"/>
      <c r="CS61" s="130"/>
      <c r="CT61" s="130"/>
      <c r="CU61" s="130"/>
      <c r="CV61" s="130"/>
      <c r="CW61" s="130"/>
      <c r="CX61" s="130"/>
      <c r="CY61" s="130"/>
      <c r="CZ61" s="130"/>
      <c r="DA61" s="130"/>
      <c r="DB61" s="130"/>
      <c r="DC61" s="130"/>
      <c r="DD61" s="130"/>
      <c r="DE61" s="130"/>
      <c r="DF61" s="130"/>
      <c r="DG61" s="130"/>
      <c r="DH61" s="130"/>
      <c r="DI61" s="130"/>
      <c r="DJ61" s="130"/>
      <c r="DK61" s="130"/>
      <c r="DL61" s="130"/>
      <c r="DM61" s="130"/>
      <c r="DN61" s="130"/>
      <c r="DO61" s="130"/>
      <c r="DP61" s="130"/>
      <c r="DQ61" s="130"/>
      <c r="DR61" s="130"/>
      <c r="DS61" s="130"/>
      <c r="DT61" s="130"/>
      <c r="DU61" s="130"/>
      <c r="DV61" s="130"/>
      <c r="DW61" s="130"/>
      <c r="DX61" s="130"/>
      <c r="DY61" s="130"/>
      <c r="DZ61" s="130"/>
      <c r="EA61" s="130"/>
      <c r="EB61" s="130"/>
      <c r="EC61" s="130"/>
      <c r="ED61" s="130"/>
      <c r="EE61" s="130"/>
      <c r="EF61" s="130"/>
      <c r="EG61" s="130"/>
      <c r="EH61" s="130"/>
      <c r="EI61" s="130"/>
      <c r="EJ61" s="130"/>
      <c r="EK61" s="130"/>
      <c r="EL61" s="130"/>
      <c r="EM61" s="130"/>
      <c r="EN61" s="130"/>
      <c r="EO61" s="130"/>
      <c r="EP61" s="130"/>
      <c r="EQ61" s="130"/>
      <c r="ER61" s="130"/>
      <c r="ES61" s="130"/>
      <c r="ET61" s="130"/>
      <c r="EU61" s="130"/>
      <c r="EV61" s="130"/>
      <c r="EW61" s="130"/>
      <c r="EX61" s="130"/>
      <c r="EY61" s="130"/>
      <c r="EZ61" s="130"/>
      <c r="FA61" s="130"/>
      <c r="FB61" s="130"/>
      <c r="FC61" s="130"/>
      <c r="FD61" s="130"/>
      <c r="FE61" s="130"/>
      <c r="FF61" s="130"/>
      <c r="FG61" s="130"/>
      <c r="FH61" s="130"/>
      <c r="FI61" s="130"/>
      <c r="FJ61" s="130"/>
      <c r="FK61" s="130"/>
      <c r="FL61" s="130"/>
      <c r="FM61" s="130"/>
      <c r="FN61" s="130"/>
      <c r="FO61" s="130"/>
      <c r="FP61" s="130"/>
      <c r="FQ61" s="130"/>
      <c r="FR61" s="130"/>
      <c r="FS61" s="130"/>
      <c r="FT61" s="130"/>
      <c r="FU61" s="130"/>
      <c r="FV61" s="130"/>
      <c r="FW61" s="130"/>
      <c r="FX61" s="130"/>
      <c r="FY61" s="130"/>
      <c r="FZ61" s="130"/>
      <c r="GA61" s="130"/>
      <c r="GB61" s="130"/>
      <c r="GC61" s="130"/>
      <c r="GD61" s="130"/>
      <c r="GE61" s="130"/>
      <c r="GF61" s="130"/>
      <c r="GG61" s="130"/>
      <c r="GH61" s="130"/>
      <c r="GI61" s="130"/>
      <c r="GJ61" s="130"/>
      <c r="GK61" s="130"/>
      <c r="GL61" s="130"/>
      <c r="GM61" s="130"/>
      <c r="GN61" s="130"/>
      <c r="GO61" s="130"/>
      <c r="GP61" s="130"/>
      <c r="GQ61" s="130"/>
      <c r="GR61" s="130"/>
      <c r="GS61" s="130"/>
      <c r="GT61" s="130"/>
      <c r="GU61" s="130"/>
      <c r="GV61" s="130"/>
      <c r="GW61" s="130"/>
    </row>
    <row r="62" spans="1:205" s="72" customFormat="1" ht="19.5" customHeight="1">
      <c r="A62" s="77"/>
      <c r="B62" s="98"/>
      <c r="C62" s="78">
        <v>3110</v>
      </c>
      <c r="D62" s="76" t="s">
        <v>135</v>
      </c>
      <c r="E62" s="106">
        <f>439200-3000</f>
        <v>436200</v>
      </c>
      <c r="F62" s="258">
        <v>453556</v>
      </c>
      <c r="G62" s="106">
        <v>453556.06</v>
      </c>
      <c r="H62" s="124">
        <f t="shared" si="0"/>
        <v>100.00001322879643</v>
      </c>
      <c r="I62" s="130"/>
      <c r="J62" s="130"/>
      <c r="K62" s="130"/>
      <c r="L62" s="130"/>
      <c r="M62" s="130"/>
      <c r="N62" s="130"/>
      <c r="O62" s="130"/>
      <c r="P62" s="130"/>
      <c r="Q62" s="130"/>
      <c r="R62" s="130"/>
      <c r="S62" s="130"/>
      <c r="T62" s="130"/>
      <c r="U62" s="130"/>
      <c r="V62" s="130"/>
      <c r="W62" s="130"/>
      <c r="X62" s="130"/>
      <c r="Y62" s="130"/>
      <c r="Z62" s="130"/>
      <c r="AA62" s="130"/>
      <c r="AB62" s="130"/>
      <c r="AC62" s="130"/>
      <c r="AD62" s="130"/>
      <c r="AE62" s="130"/>
      <c r="AF62" s="130"/>
      <c r="AG62" s="130"/>
      <c r="AH62" s="130"/>
      <c r="AI62" s="130"/>
      <c r="AJ62" s="130"/>
      <c r="AK62" s="130"/>
      <c r="AL62" s="130"/>
      <c r="AM62" s="130"/>
      <c r="AN62" s="130"/>
      <c r="AO62" s="130"/>
      <c r="AP62" s="130"/>
      <c r="AQ62" s="130"/>
      <c r="AR62" s="130"/>
      <c r="AS62" s="130"/>
      <c r="AT62" s="130"/>
      <c r="AU62" s="130"/>
      <c r="AV62" s="130"/>
      <c r="AW62" s="130"/>
      <c r="AX62" s="130"/>
      <c r="AY62" s="130"/>
      <c r="AZ62" s="130"/>
      <c r="BA62" s="130"/>
      <c r="BB62" s="130"/>
      <c r="BC62" s="130"/>
      <c r="BD62" s="130"/>
      <c r="BE62" s="130"/>
      <c r="BF62" s="130"/>
      <c r="BG62" s="130"/>
      <c r="BH62" s="130"/>
      <c r="BI62" s="130"/>
      <c r="BJ62" s="130"/>
      <c r="BK62" s="130"/>
      <c r="BL62" s="130"/>
      <c r="BM62" s="130"/>
      <c r="BN62" s="130"/>
      <c r="BO62" s="130"/>
      <c r="BP62" s="130"/>
      <c r="BQ62" s="130"/>
      <c r="BR62" s="130"/>
      <c r="BS62" s="130"/>
      <c r="BT62" s="130"/>
      <c r="BU62" s="130"/>
      <c r="BV62" s="130"/>
      <c r="BW62" s="130"/>
      <c r="BX62" s="130"/>
      <c r="BY62" s="130"/>
      <c r="BZ62" s="130"/>
      <c r="CA62" s="130"/>
      <c r="CB62" s="130"/>
      <c r="CC62" s="130"/>
      <c r="CD62" s="130"/>
      <c r="CE62" s="130"/>
      <c r="CF62" s="130"/>
      <c r="CG62" s="130"/>
      <c r="CH62" s="130"/>
      <c r="CI62" s="130"/>
      <c r="CJ62" s="130"/>
      <c r="CK62" s="130"/>
      <c r="CL62" s="130"/>
      <c r="CM62" s="130"/>
      <c r="CN62" s="130"/>
      <c r="CO62" s="130"/>
      <c r="CP62" s="130"/>
      <c r="CQ62" s="130"/>
      <c r="CR62" s="130"/>
      <c r="CS62" s="130"/>
      <c r="CT62" s="130"/>
      <c r="CU62" s="130"/>
      <c r="CV62" s="130"/>
      <c r="CW62" s="130"/>
      <c r="CX62" s="130"/>
      <c r="CY62" s="130"/>
      <c r="CZ62" s="130"/>
      <c r="DA62" s="130"/>
      <c r="DB62" s="130"/>
      <c r="DC62" s="130"/>
      <c r="DD62" s="130"/>
      <c r="DE62" s="130"/>
      <c r="DF62" s="130"/>
      <c r="DG62" s="130"/>
      <c r="DH62" s="130"/>
      <c r="DI62" s="130"/>
      <c r="DJ62" s="130"/>
      <c r="DK62" s="130"/>
      <c r="DL62" s="130"/>
      <c r="DM62" s="130"/>
      <c r="DN62" s="130"/>
      <c r="DO62" s="130"/>
      <c r="DP62" s="130"/>
      <c r="DQ62" s="130"/>
      <c r="DR62" s="130"/>
      <c r="DS62" s="130"/>
      <c r="DT62" s="130"/>
      <c r="DU62" s="130"/>
      <c r="DV62" s="130"/>
      <c r="DW62" s="130"/>
      <c r="DX62" s="130"/>
      <c r="DY62" s="130"/>
      <c r="DZ62" s="130"/>
      <c r="EA62" s="130"/>
      <c r="EB62" s="130"/>
      <c r="EC62" s="130"/>
      <c r="ED62" s="130"/>
      <c r="EE62" s="130"/>
      <c r="EF62" s="130"/>
      <c r="EG62" s="130"/>
      <c r="EH62" s="130"/>
      <c r="EI62" s="130"/>
      <c r="EJ62" s="130"/>
      <c r="EK62" s="130"/>
      <c r="EL62" s="130"/>
      <c r="EM62" s="130"/>
      <c r="EN62" s="130"/>
      <c r="EO62" s="130"/>
      <c r="EP62" s="130"/>
      <c r="EQ62" s="130"/>
      <c r="ER62" s="130"/>
      <c r="ES62" s="130"/>
      <c r="ET62" s="130"/>
      <c r="EU62" s="130"/>
      <c r="EV62" s="130"/>
      <c r="EW62" s="130"/>
      <c r="EX62" s="130"/>
      <c r="EY62" s="130"/>
      <c r="EZ62" s="130"/>
      <c r="FA62" s="130"/>
      <c r="FB62" s="130"/>
      <c r="FC62" s="130"/>
      <c r="FD62" s="130"/>
      <c r="FE62" s="130"/>
      <c r="FF62" s="130"/>
      <c r="FG62" s="130"/>
      <c r="FH62" s="130"/>
      <c r="FI62" s="130"/>
      <c r="FJ62" s="130"/>
      <c r="FK62" s="130"/>
      <c r="FL62" s="130"/>
      <c r="FM62" s="130"/>
      <c r="FN62" s="130"/>
      <c r="FO62" s="130"/>
      <c r="FP62" s="130"/>
      <c r="FQ62" s="130"/>
      <c r="FR62" s="130"/>
      <c r="FS62" s="130"/>
      <c r="FT62" s="130"/>
      <c r="FU62" s="130"/>
      <c r="FV62" s="130"/>
      <c r="FW62" s="130"/>
      <c r="FX62" s="130"/>
      <c r="FY62" s="130"/>
      <c r="FZ62" s="130"/>
      <c r="GA62" s="130"/>
      <c r="GB62" s="130"/>
      <c r="GC62" s="130"/>
      <c r="GD62" s="130"/>
      <c r="GE62" s="130"/>
      <c r="GF62" s="130"/>
      <c r="GG62" s="130"/>
      <c r="GH62" s="130"/>
      <c r="GI62" s="130"/>
      <c r="GJ62" s="130"/>
      <c r="GK62" s="130"/>
      <c r="GL62" s="130"/>
      <c r="GM62" s="130"/>
      <c r="GN62" s="130"/>
      <c r="GO62" s="130"/>
      <c r="GP62" s="130"/>
      <c r="GQ62" s="130"/>
      <c r="GR62" s="130"/>
      <c r="GS62" s="130"/>
      <c r="GT62" s="130"/>
      <c r="GU62" s="130"/>
      <c r="GV62" s="130"/>
      <c r="GW62" s="130"/>
    </row>
    <row r="63" spans="1:205" s="72" customFormat="1" ht="19.5" customHeight="1">
      <c r="A63" s="77"/>
      <c r="B63" s="98"/>
      <c r="C63" s="98">
        <v>4110</v>
      </c>
      <c r="D63" s="14" t="s">
        <v>107</v>
      </c>
      <c r="E63" s="106">
        <v>3000</v>
      </c>
      <c r="F63" s="258">
        <v>2385</v>
      </c>
      <c r="G63" s="106">
        <v>2384.94</v>
      </c>
      <c r="H63" s="124">
        <f t="shared" si="0"/>
        <v>99.99748427672957</v>
      </c>
      <c r="I63" s="130"/>
      <c r="J63" s="130"/>
      <c r="K63" s="130"/>
      <c r="L63" s="130"/>
      <c r="M63" s="130"/>
      <c r="N63" s="130"/>
      <c r="O63" s="130"/>
      <c r="P63" s="130"/>
      <c r="Q63" s="130"/>
      <c r="R63" s="130"/>
      <c r="S63" s="130"/>
      <c r="T63" s="130"/>
      <c r="U63" s="130"/>
      <c r="V63" s="130"/>
      <c r="W63" s="130"/>
      <c r="X63" s="130"/>
      <c r="Y63" s="130"/>
      <c r="Z63" s="130"/>
      <c r="AA63" s="130"/>
      <c r="AB63" s="130"/>
      <c r="AC63" s="130"/>
      <c r="AD63" s="130"/>
      <c r="AE63" s="130"/>
      <c r="AF63" s="130"/>
      <c r="AG63" s="130"/>
      <c r="AH63" s="130"/>
      <c r="AI63" s="130"/>
      <c r="AJ63" s="130"/>
      <c r="AK63" s="130"/>
      <c r="AL63" s="130"/>
      <c r="AM63" s="130"/>
      <c r="AN63" s="130"/>
      <c r="AO63" s="130"/>
      <c r="AP63" s="130"/>
      <c r="AQ63" s="130"/>
      <c r="AR63" s="130"/>
      <c r="AS63" s="130"/>
      <c r="AT63" s="130"/>
      <c r="AU63" s="130"/>
      <c r="AV63" s="130"/>
      <c r="AW63" s="130"/>
      <c r="AX63" s="130"/>
      <c r="AY63" s="130"/>
      <c r="AZ63" s="130"/>
      <c r="BA63" s="130"/>
      <c r="BB63" s="130"/>
      <c r="BC63" s="130"/>
      <c r="BD63" s="130"/>
      <c r="BE63" s="130"/>
      <c r="BF63" s="130"/>
      <c r="BG63" s="130"/>
      <c r="BH63" s="130"/>
      <c r="BI63" s="130"/>
      <c r="BJ63" s="130"/>
      <c r="BK63" s="130"/>
      <c r="BL63" s="130"/>
      <c r="BM63" s="130"/>
      <c r="BN63" s="130"/>
      <c r="BO63" s="130"/>
      <c r="BP63" s="130"/>
      <c r="BQ63" s="130"/>
      <c r="BR63" s="130"/>
      <c r="BS63" s="130"/>
      <c r="BT63" s="130"/>
      <c r="BU63" s="130"/>
      <c r="BV63" s="130"/>
      <c r="BW63" s="130"/>
      <c r="BX63" s="130"/>
      <c r="BY63" s="130"/>
      <c r="BZ63" s="130"/>
      <c r="CA63" s="130"/>
      <c r="CB63" s="130"/>
      <c r="CC63" s="130"/>
      <c r="CD63" s="130"/>
      <c r="CE63" s="130"/>
      <c r="CF63" s="130"/>
      <c r="CG63" s="130"/>
      <c r="CH63" s="130"/>
      <c r="CI63" s="130"/>
      <c r="CJ63" s="130"/>
      <c r="CK63" s="130"/>
      <c r="CL63" s="130"/>
      <c r="CM63" s="130"/>
      <c r="CN63" s="130"/>
      <c r="CO63" s="130"/>
      <c r="CP63" s="130"/>
      <c r="CQ63" s="130"/>
      <c r="CR63" s="130"/>
      <c r="CS63" s="130"/>
      <c r="CT63" s="130"/>
      <c r="CU63" s="130"/>
      <c r="CV63" s="130"/>
      <c r="CW63" s="130"/>
      <c r="CX63" s="130"/>
      <c r="CY63" s="130"/>
      <c r="CZ63" s="130"/>
      <c r="DA63" s="130"/>
      <c r="DB63" s="130"/>
      <c r="DC63" s="130"/>
      <c r="DD63" s="130"/>
      <c r="DE63" s="130"/>
      <c r="DF63" s="130"/>
      <c r="DG63" s="130"/>
      <c r="DH63" s="130"/>
      <c r="DI63" s="130"/>
      <c r="DJ63" s="130"/>
      <c r="DK63" s="130"/>
      <c r="DL63" s="130"/>
      <c r="DM63" s="130"/>
      <c r="DN63" s="130"/>
      <c r="DO63" s="130"/>
      <c r="DP63" s="130"/>
      <c r="DQ63" s="130"/>
      <c r="DR63" s="130"/>
      <c r="DS63" s="130"/>
      <c r="DT63" s="130"/>
      <c r="DU63" s="130"/>
      <c r="DV63" s="130"/>
      <c r="DW63" s="130"/>
      <c r="DX63" s="130"/>
      <c r="DY63" s="130"/>
      <c r="DZ63" s="130"/>
      <c r="EA63" s="130"/>
      <c r="EB63" s="130"/>
      <c r="EC63" s="130"/>
      <c r="ED63" s="130"/>
      <c r="EE63" s="130"/>
      <c r="EF63" s="130"/>
      <c r="EG63" s="130"/>
      <c r="EH63" s="130"/>
      <c r="EI63" s="130"/>
      <c r="EJ63" s="130"/>
      <c r="EK63" s="130"/>
      <c r="EL63" s="130"/>
      <c r="EM63" s="130"/>
      <c r="EN63" s="130"/>
      <c r="EO63" s="130"/>
      <c r="EP63" s="130"/>
      <c r="EQ63" s="130"/>
      <c r="ER63" s="130"/>
      <c r="ES63" s="130"/>
      <c r="ET63" s="130"/>
      <c r="EU63" s="130"/>
      <c r="EV63" s="130"/>
      <c r="EW63" s="130"/>
      <c r="EX63" s="130"/>
      <c r="EY63" s="130"/>
      <c r="EZ63" s="130"/>
      <c r="FA63" s="130"/>
      <c r="FB63" s="130"/>
      <c r="FC63" s="130"/>
      <c r="FD63" s="130"/>
      <c r="FE63" s="130"/>
      <c r="FF63" s="130"/>
      <c r="FG63" s="130"/>
      <c r="FH63" s="130"/>
      <c r="FI63" s="130"/>
      <c r="FJ63" s="130"/>
      <c r="FK63" s="130"/>
      <c r="FL63" s="130"/>
      <c r="FM63" s="130"/>
      <c r="FN63" s="130"/>
      <c r="FO63" s="130"/>
      <c r="FP63" s="130"/>
      <c r="FQ63" s="130"/>
      <c r="FR63" s="130"/>
      <c r="FS63" s="130"/>
      <c r="FT63" s="130"/>
      <c r="FU63" s="130"/>
      <c r="FV63" s="130"/>
      <c r="FW63" s="130"/>
      <c r="FX63" s="130"/>
      <c r="FY63" s="130"/>
      <c r="FZ63" s="130"/>
      <c r="GA63" s="130"/>
      <c r="GB63" s="130"/>
      <c r="GC63" s="130"/>
      <c r="GD63" s="130"/>
      <c r="GE63" s="130"/>
      <c r="GF63" s="130"/>
      <c r="GG63" s="130"/>
      <c r="GH63" s="130"/>
      <c r="GI63" s="130"/>
      <c r="GJ63" s="130"/>
      <c r="GK63" s="130"/>
      <c r="GL63" s="130"/>
      <c r="GM63" s="130"/>
      <c r="GN63" s="130"/>
      <c r="GO63" s="130"/>
      <c r="GP63" s="130"/>
      <c r="GQ63" s="130"/>
      <c r="GR63" s="130"/>
      <c r="GS63" s="130"/>
      <c r="GT63" s="130"/>
      <c r="GU63" s="130"/>
      <c r="GV63" s="130"/>
      <c r="GW63" s="130"/>
    </row>
    <row r="64" spans="1:205" ht="23.25" customHeight="1">
      <c r="A64" s="10"/>
      <c r="B64" s="10"/>
      <c r="C64" s="10"/>
      <c r="D64" s="15" t="s">
        <v>89</v>
      </c>
      <c r="E64" s="47">
        <f>SUM(E37,E22,E15,E8)</f>
        <v>8492509</v>
      </c>
      <c r="F64" s="47">
        <f>SUM(F37,F22,F15,F8)</f>
        <v>7472187</v>
      </c>
      <c r="G64" s="47">
        <f>SUM(G37,G22,G15,G8)</f>
        <v>7446703.08</v>
      </c>
      <c r="H64" s="34">
        <f t="shared" si="0"/>
        <v>99.65894964887791</v>
      </c>
      <c r="I64" s="126"/>
      <c r="J64" s="126"/>
      <c r="K64" s="126"/>
      <c r="L64" s="126"/>
      <c r="M64" s="126"/>
      <c r="N64" s="126"/>
      <c r="O64" s="126"/>
      <c r="P64" s="126"/>
      <c r="Q64" s="126"/>
      <c r="R64" s="126"/>
      <c r="S64" s="126"/>
      <c r="T64" s="126"/>
      <c r="U64" s="126"/>
      <c r="V64" s="126"/>
      <c r="W64" s="126"/>
      <c r="X64" s="126"/>
      <c r="Y64" s="126"/>
      <c r="Z64" s="126"/>
      <c r="AA64" s="126"/>
      <c r="AB64" s="126"/>
      <c r="AC64" s="126"/>
      <c r="AD64" s="126"/>
      <c r="AE64" s="126"/>
      <c r="AF64" s="126"/>
      <c r="AG64" s="126"/>
      <c r="AH64" s="126"/>
      <c r="AI64" s="126"/>
      <c r="AJ64" s="126"/>
      <c r="AK64" s="126"/>
      <c r="AL64" s="126"/>
      <c r="AM64" s="126"/>
      <c r="AN64" s="126"/>
      <c r="AO64" s="126"/>
      <c r="AP64" s="126"/>
      <c r="AQ64" s="126"/>
      <c r="AR64" s="126"/>
      <c r="AS64" s="126"/>
      <c r="AT64" s="126"/>
      <c r="AU64" s="126"/>
      <c r="AV64" s="126"/>
      <c r="AW64" s="126"/>
      <c r="AX64" s="126"/>
      <c r="AY64" s="126"/>
      <c r="AZ64" s="126"/>
      <c r="BA64" s="126"/>
      <c r="BB64" s="126"/>
      <c r="BC64" s="126"/>
      <c r="BD64" s="126"/>
      <c r="BE64" s="126"/>
      <c r="BF64" s="126"/>
      <c r="BG64" s="126"/>
      <c r="BH64" s="126"/>
      <c r="BI64" s="126"/>
      <c r="BJ64" s="126"/>
      <c r="BK64" s="126"/>
      <c r="BL64" s="126"/>
      <c r="BM64" s="126"/>
      <c r="BN64" s="126"/>
      <c r="BO64" s="126"/>
      <c r="BP64" s="126"/>
      <c r="BQ64" s="126"/>
      <c r="BR64" s="126"/>
      <c r="BS64" s="126"/>
      <c r="BT64" s="126"/>
      <c r="BU64" s="126"/>
      <c r="BV64" s="126"/>
      <c r="BW64" s="126"/>
      <c r="BX64" s="126"/>
      <c r="BY64" s="126"/>
      <c r="BZ64" s="126"/>
      <c r="CA64" s="126"/>
      <c r="CB64" s="126"/>
      <c r="CC64" s="126"/>
      <c r="CD64" s="126"/>
      <c r="CE64" s="126"/>
      <c r="CF64" s="126"/>
      <c r="CG64" s="126"/>
      <c r="CH64" s="126"/>
      <c r="CI64" s="126"/>
      <c r="CJ64" s="126"/>
      <c r="CK64" s="126"/>
      <c r="CL64" s="126"/>
      <c r="CM64" s="126"/>
      <c r="CN64" s="126"/>
      <c r="CO64" s="126"/>
      <c r="CP64" s="126"/>
      <c r="CQ64" s="126"/>
      <c r="CR64" s="126"/>
      <c r="CS64" s="126"/>
      <c r="CT64" s="126"/>
      <c r="CU64" s="126"/>
      <c r="CV64" s="126"/>
      <c r="CW64" s="126"/>
      <c r="CX64" s="126"/>
      <c r="CY64" s="126"/>
      <c r="CZ64" s="126"/>
      <c r="DA64" s="126"/>
      <c r="DB64" s="126"/>
      <c r="DC64" s="126"/>
      <c r="DD64" s="126"/>
      <c r="DE64" s="126"/>
      <c r="DF64" s="126"/>
      <c r="DG64" s="126"/>
      <c r="DH64" s="126"/>
      <c r="DI64" s="126"/>
      <c r="DJ64" s="126"/>
      <c r="DK64" s="126"/>
      <c r="DL64" s="126"/>
      <c r="DM64" s="126"/>
      <c r="DN64" s="126"/>
      <c r="DO64" s="126"/>
      <c r="DP64" s="126"/>
      <c r="DQ64" s="126"/>
      <c r="DR64" s="126"/>
      <c r="DS64" s="126"/>
      <c r="DT64" s="126"/>
      <c r="DU64" s="126"/>
      <c r="DV64" s="126"/>
      <c r="DW64" s="126"/>
      <c r="DX64" s="126"/>
      <c r="DY64" s="126"/>
      <c r="DZ64" s="126"/>
      <c r="EA64" s="126"/>
      <c r="EB64" s="126"/>
      <c r="EC64" s="126"/>
      <c r="ED64" s="126"/>
      <c r="EE64" s="126"/>
      <c r="EF64" s="126"/>
      <c r="EG64" s="126"/>
      <c r="EH64" s="126"/>
      <c r="EI64" s="126"/>
      <c r="EJ64" s="126"/>
      <c r="EK64" s="126"/>
      <c r="EL64" s="126"/>
      <c r="EM64" s="126"/>
      <c r="EN64" s="126"/>
      <c r="EO64" s="126"/>
      <c r="EP64" s="126"/>
      <c r="EQ64" s="126"/>
      <c r="ER64" s="126"/>
      <c r="ES64" s="126"/>
      <c r="ET64" s="126"/>
      <c r="EU64" s="126"/>
      <c r="EV64" s="126"/>
      <c r="EW64" s="126"/>
      <c r="EX64" s="126"/>
      <c r="EY64" s="126"/>
      <c r="EZ64" s="126"/>
      <c r="FA64" s="126"/>
      <c r="FB64" s="126"/>
      <c r="FC64" s="126"/>
      <c r="FD64" s="126"/>
      <c r="FE64" s="126"/>
      <c r="FF64" s="126"/>
      <c r="FG64" s="126"/>
      <c r="FH64" s="126"/>
      <c r="FI64" s="126"/>
      <c r="FJ64" s="126"/>
      <c r="FK64" s="126"/>
      <c r="FL64" s="126"/>
      <c r="FM64" s="126"/>
      <c r="FN64" s="126"/>
      <c r="FO64" s="126"/>
      <c r="FP64" s="126"/>
      <c r="FQ64" s="126"/>
      <c r="FR64" s="126"/>
      <c r="FS64" s="126"/>
      <c r="FT64" s="126"/>
      <c r="FU64" s="126"/>
      <c r="FV64" s="126"/>
      <c r="FW64" s="126"/>
      <c r="FX64" s="126"/>
      <c r="FY64" s="126"/>
      <c r="FZ64" s="126"/>
      <c r="GA64" s="126"/>
      <c r="GB64" s="126"/>
      <c r="GC64" s="126"/>
      <c r="GD64" s="126"/>
      <c r="GE64" s="126"/>
      <c r="GF64" s="126"/>
      <c r="GG64" s="126"/>
      <c r="GH64" s="126"/>
      <c r="GI64" s="126"/>
      <c r="GJ64" s="126"/>
      <c r="GK64" s="126"/>
      <c r="GL64" s="126"/>
      <c r="GM64" s="126"/>
      <c r="GN64" s="126"/>
      <c r="GO64" s="126"/>
      <c r="GP64" s="126"/>
      <c r="GQ64" s="126"/>
      <c r="GR64" s="126"/>
      <c r="GS64" s="126"/>
      <c r="GT64" s="126"/>
      <c r="GU64" s="126"/>
      <c r="GV64" s="126"/>
      <c r="GW64" s="126"/>
    </row>
    <row r="66" spans="5:7" ht="12.75">
      <c r="E66" s="24"/>
      <c r="F66" s="24"/>
      <c r="G66" s="24"/>
    </row>
    <row r="67" spans="5:7" ht="12.75">
      <c r="E67" s="142"/>
      <c r="F67" s="142"/>
      <c r="G67" s="142"/>
    </row>
    <row r="68" spans="5:7" ht="12.75">
      <c r="E68" s="24"/>
      <c r="F68" s="24"/>
      <c r="G68" s="24"/>
    </row>
    <row r="69" spans="5:7" ht="12.75">
      <c r="E69" s="142"/>
      <c r="F69" s="142"/>
      <c r="G69" s="142"/>
    </row>
    <row r="70" spans="5:7" ht="12.75">
      <c r="E70" s="24"/>
      <c r="F70" s="24"/>
      <c r="G70" s="24"/>
    </row>
    <row r="71" spans="5:7" ht="12.75">
      <c r="E71" s="142"/>
      <c r="F71" s="142"/>
      <c r="G71" s="142"/>
    </row>
    <row r="72" spans="5:7" ht="12.75">
      <c r="E72" s="24"/>
      <c r="F72" s="24"/>
      <c r="G72" s="24"/>
    </row>
    <row r="73" spans="5:7" ht="12.75">
      <c r="E73" s="142"/>
      <c r="F73" s="142"/>
      <c r="G73" s="142"/>
    </row>
    <row r="74" spans="5:7" ht="12.75">
      <c r="E74" s="142"/>
      <c r="F74" s="142"/>
      <c r="G74" s="142"/>
    </row>
    <row r="75" spans="5:7" ht="12.75">
      <c r="E75" s="24"/>
      <c r="F75" s="24"/>
      <c r="G75" s="24"/>
    </row>
    <row r="76" spans="5:7" ht="12.75">
      <c r="E76" s="24"/>
      <c r="F76" s="24"/>
      <c r="G76" s="24"/>
    </row>
    <row r="77" spans="5:7" ht="12.75">
      <c r="E77" s="142"/>
      <c r="F77" s="142"/>
      <c r="G77" s="142"/>
    </row>
    <row r="78" spans="5:7" ht="12.75">
      <c r="E78" s="24"/>
      <c r="F78" s="24"/>
      <c r="G78" s="24"/>
    </row>
    <row r="79" spans="5:7" ht="12.75">
      <c r="E79" s="24"/>
      <c r="F79" s="24"/>
      <c r="G79" s="24"/>
    </row>
    <row r="80" spans="5:7" ht="12.75">
      <c r="E80" s="24"/>
      <c r="F80" s="24"/>
      <c r="G80" s="24"/>
    </row>
    <row r="81" spans="5:7" ht="12.75">
      <c r="E81" s="24"/>
      <c r="F81" s="24"/>
      <c r="G81" s="24"/>
    </row>
    <row r="82" spans="5:7" ht="12.75">
      <c r="E82" s="24"/>
      <c r="F82" s="24"/>
      <c r="G82" s="24"/>
    </row>
  </sheetData>
  <mergeCells count="8">
    <mergeCell ref="A5:G5"/>
    <mergeCell ref="F6:F7"/>
    <mergeCell ref="G6:H6"/>
    <mergeCell ref="A6:A7"/>
    <mergeCell ref="B6:B7"/>
    <mergeCell ref="C6:C7"/>
    <mergeCell ref="D6:D7"/>
    <mergeCell ref="E6:E7"/>
  </mergeCells>
  <printOptions horizontalCentered="1"/>
  <pageMargins left="0.5511811023622047" right="0.5118110236220472" top="0.7874015748031497" bottom="0.7874015748031497" header="0.5118110236220472" footer="0.31496062992125984"/>
  <pageSetup horizontalDpi="600" verticalDpi="600" orientation="portrait" paperSize="9" r:id="rId1"/>
  <headerFooter alignWithMargins="0">
    <oddFooter>&amp;C&amp;8Administracja rządowa - str.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145"/>
  <sheetViews>
    <sheetView workbookViewId="0" topLeftCell="A1">
      <selection activeCell="G140" sqref="G140"/>
    </sheetView>
  </sheetViews>
  <sheetFormatPr defaultColWidth="9.00390625" defaultRowHeight="12.75"/>
  <cols>
    <col min="1" max="1" width="5.25390625" style="8" customWidth="1"/>
    <col min="2" max="2" width="7.625" style="8" customWidth="1"/>
    <col min="3" max="3" width="5.00390625" style="8" customWidth="1"/>
    <col min="4" max="4" width="33.125" style="8" customWidth="1"/>
    <col min="5" max="5" width="13.00390625" style="0" customWidth="1"/>
    <col min="6" max="6" width="11.75390625" style="0" customWidth="1"/>
    <col min="7" max="7" width="12.25390625" style="0" customWidth="1"/>
    <col min="8" max="8" width="6.375" style="280" customWidth="1"/>
  </cols>
  <sheetData>
    <row r="1" spans="5:8" ht="12.75">
      <c r="E1" s="67"/>
      <c r="F1" s="353" t="s">
        <v>570</v>
      </c>
      <c r="G1" s="353"/>
      <c r="H1" s="350"/>
    </row>
    <row r="2" spans="5:8" ht="12.75">
      <c r="E2" s="67"/>
      <c r="F2" s="353" t="s">
        <v>562</v>
      </c>
      <c r="G2" s="353"/>
      <c r="H2" s="350"/>
    </row>
    <row r="3" spans="5:8" ht="12.75">
      <c r="E3" s="67"/>
      <c r="F3" s="353" t="s">
        <v>515</v>
      </c>
      <c r="G3" s="353"/>
      <c r="H3" s="350"/>
    </row>
    <row r="4" spans="5:8" ht="12.75">
      <c r="E4" s="67"/>
      <c r="F4" s="353" t="s">
        <v>564</v>
      </c>
      <c r="G4" s="353"/>
      <c r="H4" s="350"/>
    </row>
    <row r="5" spans="1:7" ht="15">
      <c r="A5" s="179" t="s">
        <v>537</v>
      </c>
      <c r="E5" s="67"/>
      <c r="F5" s="118"/>
      <c r="G5" s="118"/>
    </row>
    <row r="6" spans="1:8" ht="18" customHeight="1">
      <c r="A6" s="418" t="s">
        <v>12</v>
      </c>
      <c r="B6" s="418" t="s">
        <v>13</v>
      </c>
      <c r="C6" s="418" t="s">
        <v>14</v>
      </c>
      <c r="D6" s="418" t="s">
        <v>15</v>
      </c>
      <c r="E6" s="420" t="s">
        <v>170</v>
      </c>
      <c r="F6" s="372" t="s">
        <v>511</v>
      </c>
      <c r="G6" s="375" t="s">
        <v>0</v>
      </c>
      <c r="H6" s="417"/>
    </row>
    <row r="7" spans="1:8" ht="18" customHeight="1">
      <c r="A7" s="419"/>
      <c r="B7" s="419"/>
      <c r="C7" s="419"/>
      <c r="D7" s="419"/>
      <c r="E7" s="421"/>
      <c r="F7" s="372"/>
      <c r="G7" s="291" t="s">
        <v>500</v>
      </c>
      <c r="H7" s="292" t="s">
        <v>503</v>
      </c>
    </row>
    <row r="8" spans="1:8" s="8" customFormat="1" ht="19.5" customHeight="1">
      <c r="A8" s="32" t="s">
        <v>95</v>
      </c>
      <c r="B8" s="5"/>
      <c r="C8" s="20"/>
      <c r="D8" s="19" t="s">
        <v>96</v>
      </c>
      <c r="E8" s="44">
        <f>SUM(E9,E12,)</f>
        <v>1107280</v>
      </c>
      <c r="F8" s="44">
        <f>SUM(F9,F12,)</f>
        <v>2819127</v>
      </c>
      <c r="G8" s="44">
        <f>SUM(G9,G12,)</f>
        <v>2320718.8499999996</v>
      </c>
      <c r="H8" s="47">
        <f>G8/F8*100</f>
        <v>82.32047899934979</v>
      </c>
    </row>
    <row r="9" spans="1:8" s="7" customFormat="1" ht="19.5" customHeight="1">
      <c r="A9" s="82"/>
      <c r="B9" s="59">
        <v>60013</v>
      </c>
      <c r="C9" s="91"/>
      <c r="D9" s="14" t="s">
        <v>426</v>
      </c>
      <c r="E9" s="64">
        <f aca="true" t="shared" si="0" ref="E9:G10">SUM(E10)</f>
        <v>0</v>
      </c>
      <c r="F9" s="64">
        <f t="shared" si="0"/>
        <v>30000</v>
      </c>
      <c r="G9" s="64">
        <f t="shared" si="0"/>
        <v>30000</v>
      </c>
      <c r="H9" s="104">
        <f aca="true" t="shared" si="1" ref="H9:H68">G9/F9*100</f>
        <v>100</v>
      </c>
    </row>
    <row r="10" spans="1:8" s="24" customFormat="1" ht="56.25">
      <c r="A10" s="82"/>
      <c r="B10" s="59"/>
      <c r="C10" s="91">
        <v>6300</v>
      </c>
      <c r="D10" s="42" t="s">
        <v>427</v>
      </c>
      <c r="E10" s="64">
        <f t="shared" si="0"/>
        <v>0</v>
      </c>
      <c r="F10" s="64">
        <f t="shared" si="0"/>
        <v>30000</v>
      </c>
      <c r="G10" s="64">
        <f t="shared" si="0"/>
        <v>30000</v>
      </c>
      <c r="H10" s="104">
        <f t="shared" si="1"/>
        <v>100</v>
      </c>
    </row>
    <row r="11" spans="1:8" s="24" customFormat="1" ht="78.75">
      <c r="A11" s="55"/>
      <c r="B11" s="52"/>
      <c r="C11" s="53"/>
      <c r="D11" s="57" t="s">
        <v>557</v>
      </c>
      <c r="E11" s="193">
        <v>0</v>
      </c>
      <c r="F11" s="262">
        <v>30000</v>
      </c>
      <c r="G11" s="193">
        <v>30000</v>
      </c>
      <c r="H11" s="104">
        <f t="shared" si="1"/>
        <v>100</v>
      </c>
    </row>
    <row r="12" spans="1:8" s="28" customFormat="1" ht="19.5" customHeight="1">
      <c r="A12" s="82"/>
      <c r="B12" s="83" t="s">
        <v>97</v>
      </c>
      <c r="C12" s="91"/>
      <c r="D12" s="14" t="s">
        <v>98</v>
      </c>
      <c r="E12" s="64">
        <f>SUM(E13,E39,E42)</f>
        <v>1107280</v>
      </c>
      <c r="F12" s="64">
        <f>SUM(F13,F39,F42)</f>
        <v>2789127</v>
      </c>
      <c r="G12" s="64">
        <f>SUM(G13,G39,G42)</f>
        <v>2290718.8499999996</v>
      </c>
      <c r="H12" s="104">
        <f t="shared" si="1"/>
        <v>82.13031712073347</v>
      </c>
    </row>
    <row r="13" spans="1:8" s="24" customFormat="1" ht="24.75" customHeight="1">
      <c r="A13" s="89"/>
      <c r="B13" s="59"/>
      <c r="C13" s="91">
        <v>6050</v>
      </c>
      <c r="D13" s="14" t="s">
        <v>94</v>
      </c>
      <c r="E13" s="64">
        <f>SUM(E14:E38)</f>
        <v>1055630</v>
      </c>
      <c r="F13" s="64">
        <f>SUM(F14:F38)</f>
        <v>2752437</v>
      </c>
      <c r="G13" s="64">
        <f>SUM(G14:G38)</f>
        <v>2265342.8499999996</v>
      </c>
      <c r="H13" s="104">
        <f t="shared" si="1"/>
        <v>82.30316806524543</v>
      </c>
    </row>
    <row r="14" spans="1:8" s="24" customFormat="1" ht="19.5" customHeight="1">
      <c r="A14" s="51"/>
      <c r="B14" s="52"/>
      <c r="C14" s="53"/>
      <c r="D14" s="57" t="s">
        <v>299</v>
      </c>
      <c r="E14" s="107">
        <v>60000</v>
      </c>
      <c r="F14" s="263">
        <v>90000</v>
      </c>
      <c r="G14" s="107">
        <v>90000</v>
      </c>
      <c r="H14" s="107">
        <f t="shared" si="1"/>
        <v>100</v>
      </c>
    </row>
    <row r="15" spans="1:8" s="28" customFormat="1" ht="24.75" customHeight="1">
      <c r="A15" s="51"/>
      <c r="B15" s="52"/>
      <c r="C15" s="53"/>
      <c r="D15" s="57" t="s">
        <v>401</v>
      </c>
      <c r="E15" s="107">
        <v>100000</v>
      </c>
      <c r="F15" s="263">
        <v>150000</v>
      </c>
      <c r="G15" s="107">
        <v>149992.9</v>
      </c>
      <c r="H15" s="107">
        <f t="shared" si="1"/>
        <v>99.99526666666667</v>
      </c>
    </row>
    <row r="16" spans="1:8" s="28" customFormat="1" ht="24.75" customHeight="1">
      <c r="A16" s="51"/>
      <c r="B16" s="52"/>
      <c r="C16" s="53"/>
      <c r="D16" s="57" t="s">
        <v>300</v>
      </c>
      <c r="E16" s="107">
        <v>280000</v>
      </c>
      <c r="F16" s="263">
        <v>283440</v>
      </c>
      <c r="G16" s="107">
        <v>283381.53</v>
      </c>
      <c r="H16" s="107">
        <f t="shared" si="1"/>
        <v>99.9793712955123</v>
      </c>
    </row>
    <row r="17" spans="1:8" s="28" customFormat="1" ht="24.75" customHeight="1">
      <c r="A17" s="51"/>
      <c r="B17" s="52"/>
      <c r="C17" s="53"/>
      <c r="D17" s="57" t="s">
        <v>302</v>
      </c>
      <c r="E17" s="107">
        <v>36000</v>
      </c>
      <c r="F17" s="263">
        <v>197500</v>
      </c>
      <c r="G17" s="107">
        <v>197500</v>
      </c>
      <c r="H17" s="107">
        <f t="shared" si="1"/>
        <v>100</v>
      </c>
    </row>
    <row r="18" spans="1:8" s="28" customFormat="1" ht="19.5" customHeight="1">
      <c r="A18" s="51"/>
      <c r="B18" s="52"/>
      <c r="C18" s="53"/>
      <c r="D18" s="57" t="s">
        <v>301</v>
      </c>
      <c r="E18" s="107">
        <v>190000</v>
      </c>
      <c r="F18" s="263">
        <v>387000</v>
      </c>
      <c r="G18" s="107">
        <v>386917.62</v>
      </c>
      <c r="H18" s="107">
        <f t="shared" si="1"/>
        <v>99.97871317829457</v>
      </c>
    </row>
    <row r="19" spans="1:8" s="28" customFormat="1" ht="24.75" customHeight="1">
      <c r="A19" s="51"/>
      <c r="B19" s="52"/>
      <c r="C19" s="53"/>
      <c r="D19" s="57" t="s">
        <v>303</v>
      </c>
      <c r="E19" s="107">
        <v>54000</v>
      </c>
      <c r="F19" s="263">
        <v>84520</v>
      </c>
      <c r="G19" s="107">
        <v>84523.75</v>
      </c>
      <c r="H19" s="107">
        <f t="shared" si="1"/>
        <v>100.00443681968764</v>
      </c>
    </row>
    <row r="20" spans="1:8" s="28" customFormat="1" ht="19.5" customHeight="1">
      <c r="A20" s="51"/>
      <c r="B20" s="52"/>
      <c r="C20" s="53"/>
      <c r="D20" s="57" t="s">
        <v>304</v>
      </c>
      <c r="E20" s="107">
        <v>240000</v>
      </c>
      <c r="F20" s="263">
        <v>110000</v>
      </c>
      <c r="G20" s="107">
        <v>109154.72</v>
      </c>
      <c r="H20" s="107">
        <f t="shared" si="1"/>
        <v>99.23156363636365</v>
      </c>
    </row>
    <row r="21" spans="1:8" s="28" customFormat="1" ht="24.75" customHeight="1">
      <c r="A21" s="51"/>
      <c r="B21" s="52"/>
      <c r="C21" s="53"/>
      <c r="D21" s="57" t="s">
        <v>306</v>
      </c>
      <c r="E21" s="107">
        <v>35000</v>
      </c>
      <c r="F21" s="263">
        <v>35000</v>
      </c>
      <c r="G21" s="107">
        <v>34997.49</v>
      </c>
      <c r="H21" s="107">
        <f t="shared" si="1"/>
        <v>99.99282857142856</v>
      </c>
    </row>
    <row r="22" spans="1:8" s="28" customFormat="1" ht="19.5" customHeight="1">
      <c r="A22" s="51"/>
      <c r="B22" s="52"/>
      <c r="C22" s="53"/>
      <c r="D22" s="57" t="s">
        <v>248</v>
      </c>
      <c r="E22" s="107">
        <v>6300</v>
      </c>
      <c r="F22" s="263">
        <v>7792</v>
      </c>
      <c r="G22" s="107">
        <v>7792</v>
      </c>
      <c r="H22" s="107">
        <f t="shared" si="1"/>
        <v>100</v>
      </c>
    </row>
    <row r="23" spans="1:8" s="28" customFormat="1" ht="19.5" customHeight="1">
      <c r="A23" s="51"/>
      <c r="B23" s="52"/>
      <c r="C23" s="53"/>
      <c r="D23" s="54" t="s">
        <v>277</v>
      </c>
      <c r="E23" s="107">
        <v>21000</v>
      </c>
      <c r="F23" s="263">
        <v>46000</v>
      </c>
      <c r="G23" s="107">
        <v>45980.39</v>
      </c>
      <c r="H23" s="107">
        <f t="shared" si="1"/>
        <v>99.95736956521739</v>
      </c>
    </row>
    <row r="24" spans="1:8" s="28" customFormat="1" ht="19.5" customHeight="1">
      <c r="A24" s="51"/>
      <c r="B24" s="52"/>
      <c r="C24" s="53"/>
      <c r="D24" s="54" t="s">
        <v>307</v>
      </c>
      <c r="E24" s="107">
        <v>8700</v>
      </c>
      <c r="F24" s="263">
        <v>8000</v>
      </c>
      <c r="G24" s="107">
        <v>7998.81</v>
      </c>
      <c r="H24" s="107">
        <f t="shared" si="1"/>
        <v>99.98512500000001</v>
      </c>
    </row>
    <row r="25" spans="1:8" s="28" customFormat="1" ht="19.5" customHeight="1">
      <c r="A25" s="51"/>
      <c r="B25" s="52"/>
      <c r="C25" s="53"/>
      <c r="D25" s="54" t="s">
        <v>308</v>
      </c>
      <c r="E25" s="107">
        <v>11820</v>
      </c>
      <c r="F25" s="263">
        <v>7185</v>
      </c>
      <c r="G25" s="107">
        <v>7182.31</v>
      </c>
      <c r="H25" s="107">
        <f t="shared" si="1"/>
        <v>99.96256089074461</v>
      </c>
    </row>
    <row r="26" spans="1:8" s="28" customFormat="1" ht="19.5" customHeight="1">
      <c r="A26" s="51"/>
      <c r="B26" s="52"/>
      <c r="C26" s="53"/>
      <c r="D26" s="54" t="s">
        <v>309</v>
      </c>
      <c r="E26" s="107">
        <v>6000</v>
      </c>
      <c r="F26" s="263">
        <v>0</v>
      </c>
      <c r="G26" s="107">
        <v>0</v>
      </c>
      <c r="H26" s="107">
        <v>0</v>
      </c>
    </row>
    <row r="27" spans="1:8" s="28" customFormat="1" ht="19.5" customHeight="1">
      <c r="A27" s="51"/>
      <c r="B27" s="52"/>
      <c r="C27" s="53"/>
      <c r="D27" s="54" t="s">
        <v>310</v>
      </c>
      <c r="E27" s="107">
        <v>6810</v>
      </c>
      <c r="F27" s="263">
        <v>0</v>
      </c>
      <c r="G27" s="107">
        <v>0</v>
      </c>
      <c r="H27" s="107">
        <v>0</v>
      </c>
    </row>
    <row r="28" spans="1:8" s="28" customFormat="1" ht="19.5" customHeight="1">
      <c r="A28" s="51"/>
      <c r="B28" s="52"/>
      <c r="C28" s="53"/>
      <c r="D28" s="57" t="s">
        <v>487</v>
      </c>
      <c r="E28" s="107">
        <v>0</v>
      </c>
      <c r="F28" s="263">
        <v>80000</v>
      </c>
      <c r="G28" s="107">
        <v>5441</v>
      </c>
      <c r="H28" s="107">
        <f t="shared" si="1"/>
        <v>6.8012500000000005</v>
      </c>
    </row>
    <row r="29" spans="1:8" s="28" customFormat="1" ht="24.75" customHeight="1">
      <c r="A29" s="51"/>
      <c r="B29" s="52"/>
      <c r="C29" s="53"/>
      <c r="D29" s="57" t="s">
        <v>3</v>
      </c>
      <c r="E29" s="107">
        <v>0</v>
      </c>
      <c r="F29" s="263">
        <v>20000</v>
      </c>
      <c r="G29" s="107">
        <v>20000</v>
      </c>
      <c r="H29" s="107">
        <f t="shared" si="1"/>
        <v>100</v>
      </c>
    </row>
    <row r="30" spans="1:8" s="28" customFormat="1" ht="33.75">
      <c r="A30" s="51"/>
      <c r="B30" s="52"/>
      <c r="C30" s="53"/>
      <c r="D30" s="57" t="s">
        <v>498</v>
      </c>
      <c r="E30" s="107">
        <v>0</v>
      </c>
      <c r="F30" s="263">
        <v>54000</v>
      </c>
      <c r="G30" s="107">
        <v>53999.99</v>
      </c>
      <c r="H30" s="107">
        <f t="shared" si="1"/>
        <v>99.99998148148148</v>
      </c>
    </row>
    <row r="31" spans="1:8" s="28" customFormat="1" ht="19.5" customHeight="1">
      <c r="A31" s="51"/>
      <c r="B31" s="52"/>
      <c r="C31" s="53"/>
      <c r="D31" s="54" t="s">
        <v>486</v>
      </c>
      <c r="E31" s="107">
        <v>0</v>
      </c>
      <c r="F31" s="263">
        <v>230000</v>
      </c>
      <c r="G31" s="107">
        <v>229369.81</v>
      </c>
      <c r="H31" s="107">
        <f t="shared" si="1"/>
        <v>99.72600434782608</v>
      </c>
    </row>
    <row r="32" spans="1:8" s="28" customFormat="1" ht="19.5" customHeight="1">
      <c r="A32" s="51"/>
      <c r="B32" s="52"/>
      <c r="C32" s="53"/>
      <c r="D32" s="57" t="s">
        <v>488</v>
      </c>
      <c r="E32" s="107">
        <v>0</v>
      </c>
      <c r="F32" s="263">
        <v>5500</v>
      </c>
      <c r="G32" s="107">
        <v>5041.7</v>
      </c>
      <c r="H32" s="107">
        <f t="shared" si="1"/>
        <v>91.66727272727272</v>
      </c>
    </row>
    <row r="33" spans="1:8" s="28" customFormat="1" ht="33.75">
      <c r="A33" s="51"/>
      <c r="B33" s="52"/>
      <c r="C33" s="53"/>
      <c r="D33" s="57" t="s">
        <v>497</v>
      </c>
      <c r="E33" s="107">
        <v>0</v>
      </c>
      <c r="F33" s="263">
        <v>290000</v>
      </c>
      <c r="G33" s="107">
        <v>289426.9</v>
      </c>
      <c r="H33" s="107">
        <f t="shared" si="1"/>
        <v>99.80237931034483</v>
      </c>
    </row>
    <row r="34" spans="1:8" s="28" customFormat="1" ht="24.75" customHeight="1">
      <c r="A34" s="51"/>
      <c r="B34" s="52"/>
      <c r="C34" s="53"/>
      <c r="D34" s="57" t="s">
        <v>4</v>
      </c>
      <c r="E34" s="107">
        <v>0</v>
      </c>
      <c r="F34" s="263">
        <v>140500</v>
      </c>
      <c r="G34" s="107">
        <v>140500</v>
      </c>
      <c r="H34" s="107">
        <f t="shared" si="1"/>
        <v>100</v>
      </c>
    </row>
    <row r="35" spans="1:8" s="28" customFormat="1" ht="19.5" customHeight="1">
      <c r="A35" s="51"/>
      <c r="B35" s="52"/>
      <c r="C35" s="53"/>
      <c r="D35" s="54" t="s">
        <v>472</v>
      </c>
      <c r="E35" s="107">
        <v>0</v>
      </c>
      <c r="F35" s="263">
        <v>10000</v>
      </c>
      <c r="G35" s="107">
        <v>9905</v>
      </c>
      <c r="H35" s="107">
        <f t="shared" si="1"/>
        <v>99.05000000000001</v>
      </c>
    </row>
    <row r="36" spans="1:8" s="28" customFormat="1" ht="24.75" customHeight="1">
      <c r="A36" s="51"/>
      <c r="B36" s="52"/>
      <c r="C36" s="53"/>
      <c r="D36" s="57" t="s">
        <v>6</v>
      </c>
      <c r="E36" s="107">
        <v>0</v>
      </c>
      <c r="F36" s="263">
        <v>56000</v>
      </c>
      <c r="G36" s="107">
        <v>55557.03</v>
      </c>
      <c r="H36" s="107">
        <f t="shared" si="1"/>
        <v>99.20898214285714</v>
      </c>
    </row>
    <row r="37" spans="1:8" s="28" customFormat="1" ht="24.75" customHeight="1">
      <c r="A37" s="51"/>
      <c r="B37" s="52"/>
      <c r="C37" s="53"/>
      <c r="D37" s="57" t="s">
        <v>5</v>
      </c>
      <c r="E37" s="107">
        <v>0</v>
      </c>
      <c r="F37" s="263">
        <v>350000</v>
      </c>
      <c r="G37" s="107">
        <v>11647.9</v>
      </c>
      <c r="H37" s="107">
        <f t="shared" si="1"/>
        <v>3.327971428571429</v>
      </c>
    </row>
    <row r="38" spans="1:8" s="28" customFormat="1" ht="50.25" customHeight="1">
      <c r="A38" s="51"/>
      <c r="B38" s="52"/>
      <c r="C38" s="53"/>
      <c r="D38" s="57" t="s">
        <v>7</v>
      </c>
      <c r="E38" s="107">
        <v>0</v>
      </c>
      <c r="F38" s="263">
        <v>110000</v>
      </c>
      <c r="G38" s="107">
        <v>39032</v>
      </c>
      <c r="H38" s="107">
        <f t="shared" si="1"/>
        <v>35.483636363636364</v>
      </c>
    </row>
    <row r="39" spans="1:8" s="28" customFormat="1" ht="24.75" customHeight="1">
      <c r="A39" s="89"/>
      <c r="B39" s="59"/>
      <c r="C39" s="91">
        <v>6060</v>
      </c>
      <c r="D39" s="14" t="s">
        <v>117</v>
      </c>
      <c r="E39" s="104">
        <f>SUM(E40:E41)</f>
        <v>11650</v>
      </c>
      <c r="F39" s="104">
        <f>SUM(F40:F41)</f>
        <v>26690</v>
      </c>
      <c r="G39" s="104">
        <f>SUM(G40:G41)</f>
        <v>25376</v>
      </c>
      <c r="H39" s="104">
        <f t="shared" si="1"/>
        <v>95.07680779318096</v>
      </c>
    </row>
    <row r="40" spans="1:8" s="24" customFormat="1" ht="24.75" customHeight="1">
      <c r="A40" s="51"/>
      <c r="B40" s="52"/>
      <c r="C40" s="53"/>
      <c r="D40" s="57" t="s">
        <v>305</v>
      </c>
      <c r="E40" s="107">
        <v>11650</v>
      </c>
      <c r="F40" s="263">
        <v>12690</v>
      </c>
      <c r="G40" s="107">
        <v>12688</v>
      </c>
      <c r="H40" s="104">
        <f t="shared" si="1"/>
        <v>99.98423955870764</v>
      </c>
    </row>
    <row r="41" spans="1:8" s="28" customFormat="1" ht="24.75" customHeight="1">
      <c r="A41" s="51"/>
      <c r="B41" s="52"/>
      <c r="C41" s="53"/>
      <c r="D41" s="57" t="s">
        <v>471</v>
      </c>
      <c r="E41" s="107">
        <v>0</v>
      </c>
      <c r="F41" s="263">
        <v>14000</v>
      </c>
      <c r="G41" s="107">
        <v>12688</v>
      </c>
      <c r="H41" s="104">
        <f t="shared" si="1"/>
        <v>90.62857142857142</v>
      </c>
    </row>
    <row r="42" spans="1:8" s="28" customFormat="1" ht="24.75" customHeight="1">
      <c r="A42" s="51"/>
      <c r="B42" s="52"/>
      <c r="C42" s="91">
        <v>6800</v>
      </c>
      <c r="D42" s="14" t="s">
        <v>395</v>
      </c>
      <c r="E42" s="104">
        <f>SUM(E43)</f>
        <v>40000</v>
      </c>
      <c r="F42" s="104">
        <f>SUM(F43)</f>
        <v>10000</v>
      </c>
      <c r="G42" s="104">
        <f>SUM(G43)</f>
        <v>0</v>
      </c>
      <c r="H42" s="104">
        <f t="shared" si="1"/>
        <v>0</v>
      </c>
    </row>
    <row r="43" spans="1:8" s="28" customFormat="1" ht="40.5" customHeight="1">
      <c r="A43" s="51"/>
      <c r="B43" s="52"/>
      <c r="C43" s="53"/>
      <c r="D43" s="57" t="s">
        <v>400</v>
      </c>
      <c r="E43" s="107">
        <v>40000</v>
      </c>
      <c r="F43" s="263">
        <v>10000</v>
      </c>
      <c r="G43" s="107">
        <v>0</v>
      </c>
      <c r="H43" s="104">
        <f t="shared" si="1"/>
        <v>0</v>
      </c>
    </row>
    <row r="44" spans="1:8" s="28" customFormat="1" ht="19.5" customHeight="1">
      <c r="A44" s="32" t="s">
        <v>23</v>
      </c>
      <c r="B44" s="5"/>
      <c r="C44" s="20"/>
      <c r="D44" s="19" t="s">
        <v>24</v>
      </c>
      <c r="E44" s="16">
        <f>SUM(E45,E48,)</f>
        <v>450000</v>
      </c>
      <c r="F44" s="16">
        <f>SUM(F45,F48,)</f>
        <v>649023</v>
      </c>
      <c r="G44" s="16">
        <f>SUM(G45,G48,)</f>
        <v>649023</v>
      </c>
      <c r="H44" s="47">
        <f t="shared" si="1"/>
        <v>100</v>
      </c>
    </row>
    <row r="45" spans="1:8" s="11" customFormat="1" ht="19.5" customHeight="1">
      <c r="A45" s="82"/>
      <c r="B45" s="59">
        <v>70021</v>
      </c>
      <c r="C45" s="84"/>
      <c r="D45" s="42" t="s">
        <v>221</v>
      </c>
      <c r="E45" s="104">
        <f aca="true" t="shared" si="2" ref="E45:G46">SUM(E46)</f>
        <v>300000</v>
      </c>
      <c r="F45" s="104">
        <f t="shared" si="2"/>
        <v>300000</v>
      </c>
      <c r="G45" s="104">
        <f t="shared" si="2"/>
        <v>300000</v>
      </c>
      <c r="H45" s="104">
        <f t="shared" si="1"/>
        <v>100</v>
      </c>
    </row>
    <row r="46" spans="1:8" s="24" customFormat="1" ht="56.25">
      <c r="A46" s="82"/>
      <c r="B46" s="59"/>
      <c r="C46" s="84">
        <v>6010</v>
      </c>
      <c r="D46" s="42" t="s">
        <v>294</v>
      </c>
      <c r="E46" s="104">
        <f t="shared" si="2"/>
        <v>300000</v>
      </c>
      <c r="F46" s="104">
        <f t="shared" si="2"/>
        <v>300000</v>
      </c>
      <c r="G46" s="104">
        <f t="shared" si="2"/>
        <v>300000</v>
      </c>
      <c r="H46" s="104">
        <f t="shared" si="1"/>
        <v>100</v>
      </c>
    </row>
    <row r="47" spans="1:8" s="24" customFormat="1" ht="24.75" customHeight="1">
      <c r="A47" s="55"/>
      <c r="B47" s="52"/>
      <c r="C47" s="121"/>
      <c r="D47" s="57" t="s">
        <v>394</v>
      </c>
      <c r="E47" s="58">
        <v>300000</v>
      </c>
      <c r="F47" s="265">
        <v>300000</v>
      </c>
      <c r="G47" s="58">
        <v>300000</v>
      </c>
      <c r="H47" s="107">
        <f t="shared" si="1"/>
        <v>100</v>
      </c>
    </row>
    <row r="48" spans="1:8" s="28" customFormat="1" ht="19.5" customHeight="1">
      <c r="A48" s="82"/>
      <c r="B48" s="83">
        <v>70095</v>
      </c>
      <c r="C48" s="91"/>
      <c r="D48" s="14" t="s">
        <v>18</v>
      </c>
      <c r="E48" s="104">
        <f>E49</f>
        <v>150000</v>
      </c>
      <c r="F48" s="104">
        <f>F49</f>
        <v>349023</v>
      </c>
      <c r="G48" s="104">
        <f>G49</f>
        <v>349023</v>
      </c>
      <c r="H48" s="104">
        <f t="shared" si="1"/>
        <v>100</v>
      </c>
    </row>
    <row r="49" spans="1:8" s="24" customFormat="1" ht="24.75" customHeight="1">
      <c r="A49" s="82"/>
      <c r="B49" s="83"/>
      <c r="C49" s="84">
        <v>6050</v>
      </c>
      <c r="D49" s="14" t="s">
        <v>94</v>
      </c>
      <c r="E49" s="97">
        <f>SUM(E50)</f>
        <v>150000</v>
      </c>
      <c r="F49" s="97">
        <f>SUM(F50)</f>
        <v>349023</v>
      </c>
      <c r="G49" s="97">
        <f>SUM(G50)</f>
        <v>349023</v>
      </c>
      <c r="H49" s="104">
        <f t="shared" si="1"/>
        <v>100</v>
      </c>
    </row>
    <row r="50" spans="1:8" s="24" customFormat="1" ht="19.5" customHeight="1">
      <c r="A50" s="55"/>
      <c r="B50" s="52"/>
      <c r="C50" s="56"/>
      <c r="D50" s="57" t="s">
        <v>176</v>
      </c>
      <c r="E50" s="107">
        <v>150000</v>
      </c>
      <c r="F50" s="263">
        <v>349023</v>
      </c>
      <c r="G50" s="107">
        <v>349023</v>
      </c>
      <c r="H50" s="107">
        <f t="shared" si="1"/>
        <v>100</v>
      </c>
    </row>
    <row r="51" spans="1:8" s="24" customFormat="1" ht="19.5" customHeight="1">
      <c r="A51" s="32">
        <v>750</v>
      </c>
      <c r="B51" s="5"/>
      <c r="C51" s="13"/>
      <c r="D51" s="19" t="s">
        <v>104</v>
      </c>
      <c r="E51" s="47">
        <f aca="true" t="shared" si="3" ref="E51:G52">E52</f>
        <v>51800</v>
      </c>
      <c r="F51" s="47">
        <f t="shared" si="3"/>
        <v>51800</v>
      </c>
      <c r="G51" s="47">
        <f t="shared" si="3"/>
        <v>51655.56</v>
      </c>
      <c r="H51" s="47">
        <f t="shared" si="1"/>
        <v>99.7211583011583</v>
      </c>
    </row>
    <row r="52" spans="1:8" s="45" customFormat="1" ht="24.75" customHeight="1">
      <c r="A52" s="82"/>
      <c r="B52" s="94" t="s">
        <v>33</v>
      </c>
      <c r="C52" s="98"/>
      <c r="D52" s="42" t="s">
        <v>34</v>
      </c>
      <c r="E52" s="104">
        <f t="shared" si="3"/>
        <v>51800</v>
      </c>
      <c r="F52" s="104">
        <f t="shared" si="3"/>
        <v>51800</v>
      </c>
      <c r="G52" s="104">
        <f t="shared" si="3"/>
        <v>51655.56</v>
      </c>
      <c r="H52" s="104">
        <f t="shared" si="1"/>
        <v>99.7211583011583</v>
      </c>
    </row>
    <row r="53" spans="1:8" s="24" customFormat="1" ht="24.75" customHeight="1">
      <c r="A53" s="82"/>
      <c r="B53" s="59"/>
      <c r="C53" s="85">
        <v>6060</v>
      </c>
      <c r="D53" s="14" t="s">
        <v>117</v>
      </c>
      <c r="E53" s="104">
        <f>SUM(E54)</f>
        <v>51800</v>
      </c>
      <c r="F53" s="104">
        <f>SUM(F54)</f>
        <v>51800</v>
      </c>
      <c r="G53" s="104">
        <f>SUM(G54)</f>
        <v>51655.56</v>
      </c>
      <c r="H53" s="104">
        <f t="shared" si="1"/>
        <v>99.7211583011583</v>
      </c>
    </row>
    <row r="54" spans="1:8" s="24" customFormat="1" ht="19.5" customHeight="1">
      <c r="A54" s="55"/>
      <c r="B54" s="52"/>
      <c r="C54" s="56"/>
      <c r="D54" s="57" t="s">
        <v>311</v>
      </c>
      <c r="E54" s="107">
        <v>51800</v>
      </c>
      <c r="F54" s="263">
        <v>51800</v>
      </c>
      <c r="G54" s="107">
        <v>51655.56</v>
      </c>
      <c r="H54" s="107">
        <f t="shared" si="1"/>
        <v>99.7211583011583</v>
      </c>
    </row>
    <row r="55" spans="1:8" s="28" customFormat="1" ht="24.75" customHeight="1">
      <c r="A55" s="32">
        <v>754</v>
      </c>
      <c r="B55" s="5"/>
      <c r="C55" s="13"/>
      <c r="D55" s="19" t="s">
        <v>38</v>
      </c>
      <c r="E55" s="47">
        <f>SUM(E56,E59)</f>
        <v>68170</v>
      </c>
      <c r="F55" s="47">
        <f>SUM(F56,F59)</f>
        <v>96670</v>
      </c>
      <c r="G55" s="47">
        <f>SUM(G56,G59)</f>
        <v>96360.69</v>
      </c>
      <c r="H55" s="47">
        <f t="shared" si="1"/>
        <v>99.680035171201</v>
      </c>
    </row>
    <row r="56" spans="1:8" s="283" customFormat="1" ht="24.75" customHeight="1">
      <c r="A56" s="82"/>
      <c r="B56" s="59">
        <v>75411</v>
      </c>
      <c r="C56" s="85"/>
      <c r="D56" s="14" t="s">
        <v>494</v>
      </c>
      <c r="E56" s="104">
        <f aca="true" t="shared" si="4" ref="E56:G57">SUM(E57)</f>
        <v>0</v>
      </c>
      <c r="F56" s="104">
        <f t="shared" si="4"/>
        <v>25000</v>
      </c>
      <c r="G56" s="104">
        <f t="shared" si="4"/>
        <v>25000</v>
      </c>
      <c r="H56" s="104">
        <f t="shared" si="1"/>
        <v>100</v>
      </c>
    </row>
    <row r="57" spans="1:8" s="24" customFormat="1" ht="56.25">
      <c r="A57" s="82"/>
      <c r="B57" s="59"/>
      <c r="C57" s="85">
        <v>6620</v>
      </c>
      <c r="D57" s="14" t="s">
        <v>558</v>
      </c>
      <c r="E57" s="104">
        <f t="shared" si="4"/>
        <v>0</v>
      </c>
      <c r="F57" s="104">
        <f t="shared" si="4"/>
        <v>25000</v>
      </c>
      <c r="G57" s="104">
        <f t="shared" si="4"/>
        <v>25000</v>
      </c>
      <c r="H57" s="104">
        <f t="shared" si="1"/>
        <v>100</v>
      </c>
    </row>
    <row r="58" spans="1:8" s="8" customFormat="1" ht="45">
      <c r="A58" s="55"/>
      <c r="B58" s="52"/>
      <c r="C58" s="56"/>
      <c r="D58" s="212" t="s">
        <v>496</v>
      </c>
      <c r="E58" s="213">
        <v>0</v>
      </c>
      <c r="F58" s="266">
        <v>25000</v>
      </c>
      <c r="G58" s="213">
        <v>25000</v>
      </c>
      <c r="H58" s="107">
        <f t="shared" si="1"/>
        <v>100</v>
      </c>
    </row>
    <row r="59" spans="1:8" s="28" customFormat="1" ht="19.5" customHeight="1">
      <c r="A59" s="82"/>
      <c r="B59" s="59">
        <v>75412</v>
      </c>
      <c r="C59" s="85"/>
      <c r="D59" s="14" t="s">
        <v>122</v>
      </c>
      <c r="E59" s="104">
        <f>SUM(E60)</f>
        <v>68170</v>
      </c>
      <c r="F59" s="104">
        <f>SUM(F60)</f>
        <v>71670</v>
      </c>
      <c r="G59" s="104">
        <f>SUM(G60)</f>
        <v>71360.69</v>
      </c>
      <c r="H59" s="104">
        <f t="shared" si="1"/>
        <v>99.56842472443142</v>
      </c>
    </row>
    <row r="60" spans="1:8" s="24" customFormat="1" ht="24.75" customHeight="1">
      <c r="A60" s="55"/>
      <c r="B60" s="52"/>
      <c r="C60" s="85">
        <v>6050</v>
      </c>
      <c r="D60" s="14" t="s">
        <v>94</v>
      </c>
      <c r="E60" s="104">
        <f>SUM(E61:E62)</f>
        <v>68170</v>
      </c>
      <c r="F60" s="104">
        <f>SUM(F61:F62)</f>
        <v>71670</v>
      </c>
      <c r="G60" s="104">
        <f>SUM(G61:G62)</f>
        <v>71360.69</v>
      </c>
      <c r="H60" s="104">
        <f t="shared" si="1"/>
        <v>99.56842472443142</v>
      </c>
    </row>
    <row r="61" spans="1:8" s="24" customFormat="1" ht="19.5" customHeight="1">
      <c r="A61" s="55"/>
      <c r="B61" s="52"/>
      <c r="C61" s="56"/>
      <c r="D61" s="57" t="s">
        <v>261</v>
      </c>
      <c r="E61" s="107">
        <v>68170</v>
      </c>
      <c r="F61" s="263">
        <v>36957</v>
      </c>
      <c r="G61" s="107">
        <v>36956.43</v>
      </c>
      <c r="H61" s="107">
        <f t="shared" si="1"/>
        <v>99.99845766701843</v>
      </c>
    </row>
    <row r="62" spans="1:8" s="24" customFormat="1" ht="19.5" customHeight="1">
      <c r="A62" s="55"/>
      <c r="B62" s="52"/>
      <c r="C62" s="56"/>
      <c r="D62" s="57" t="s">
        <v>8</v>
      </c>
      <c r="E62" s="107">
        <v>0</v>
      </c>
      <c r="F62" s="263">
        <v>34713</v>
      </c>
      <c r="G62" s="107">
        <v>34404.26</v>
      </c>
      <c r="H62" s="107">
        <f t="shared" si="1"/>
        <v>99.1105925733875</v>
      </c>
    </row>
    <row r="63" spans="1:8" s="24" customFormat="1" ht="19.5" customHeight="1">
      <c r="A63" s="32">
        <v>801</v>
      </c>
      <c r="B63" s="5"/>
      <c r="C63" s="13"/>
      <c r="D63" s="19" t="s">
        <v>133</v>
      </c>
      <c r="E63" s="16">
        <f>SUM(E64,E69,)</f>
        <v>294060</v>
      </c>
      <c r="F63" s="16">
        <f>SUM(F64,F69,)</f>
        <v>103660</v>
      </c>
      <c r="G63" s="16">
        <f>SUM(G64,G69,)</f>
        <v>4138.45</v>
      </c>
      <c r="H63" s="47">
        <f t="shared" si="1"/>
        <v>3.992330696507814</v>
      </c>
    </row>
    <row r="64" spans="1:8" s="45" customFormat="1" ht="19.5" customHeight="1">
      <c r="A64" s="82"/>
      <c r="B64" s="59">
        <v>80101</v>
      </c>
      <c r="C64" s="85"/>
      <c r="D64" s="14" t="s">
        <v>71</v>
      </c>
      <c r="E64" s="97">
        <f>SUM(E65,E67)</f>
        <v>184560</v>
      </c>
      <c r="F64" s="97">
        <f>SUM(F65,F67)</f>
        <v>3660</v>
      </c>
      <c r="G64" s="97">
        <f>SUM(G65,G67)</f>
        <v>3660</v>
      </c>
      <c r="H64" s="104">
        <f t="shared" si="1"/>
        <v>100</v>
      </c>
    </row>
    <row r="65" spans="1:8" s="24" customFormat="1" ht="24.75" customHeight="1">
      <c r="A65" s="82"/>
      <c r="B65" s="59"/>
      <c r="C65" s="85">
        <v>6050</v>
      </c>
      <c r="D65" s="14" t="s">
        <v>94</v>
      </c>
      <c r="E65" s="97">
        <f>SUM(E66)</f>
        <v>150000</v>
      </c>
      <c r="F65" s="97">
        <f>SUM(F66)</f>
        <v>0</v>
      </c>
      <c r="G65" s="97">
        <f>SUM(G66)</f>
        <v>0</v>
      </c>
      <c r="H65" s="289" t="s">
        <v>514</v>
      </c>
    </row>
    <row r="66" spans="1:8" s="24" customFormat="1" ht="24.75" customHeight="1">
      <c r="A66" s="55"/>
      <c r="B66" s="52"/>
      <c r="C66" s="56"/>
      <c r="D66" s="57" t="s">
        <v>396</v>
      </c>
      <c r="E66" s="58">
        <v>150000</v>
      </c>
      <c r="F66" s="265">
        <v>0</v>
      </c>
      <c r="G66" s="58">
        <v>0</v>
      </c>
      <c r="H66" s="366" t="s">
        <v>514</v>
      </c>
    </row>
    <row r="67" spans="1:8" s="28" customFormat="1" ht="24.75" customHeight="1">
      <c r="A67" s="82"/>
      <c r="B67" s="59"/>
      <c r="C67" s="85">
        <v>6060</v>
      </c>
      <c r="D67" s="14" t="s">
        <v>117</v>
      </c>
      <c r="E67" s="97">
        <f>SUM(E68)</f>
        <v>34560</v>
      </c>
      <c r="F67" s="97">
        <f>SUM(F68)</f>
        <v>3660</v>
      </c>
      <c r="G67" s="97">
        <f>SUM(G68)</f>
        <v>3660</v>
      </c>
      <c r="H67" s="104">
        <f t="shared" si="1"/>
        <v>100</v>
      </c>
    </row>
    <row r="68" spans="1:8" s="24" customFormat="1" ht="19.5" customHeight="1">
      <c r="A68" s="55"/>
      <c r="B68" s="52"/>
      <c r="C68" s="56"/>
      <c r="D68" s="57" t="s">
        <v>312</v>
      </c>
      <c r="E68" s="58">
        <v>34560</v>
      </c>
      <c r="F68" s="265">
        <v>3660</v>
      </c>
      <c r="G68" s="58">
        <v>3660</v>
      </c>
      <c r="H68" s="107">
        <f t="shared" si="1"/>
        <v>100</v>
      </c>
    </row>
    <row r="69" spans="1:8" s="28" customFormat="1" ht="19.5" customHeight="1">
      <c r="A69" s="82"/>
      <c r="B69" s="59">
        <v>80110</v>
      </c>
      <c r="C69" s="85"/>
      <c r="D69" s="14" t="s">
        <v>72</v>
      </c>
      <c r="E69" s="97">
        <f>SUM(E70,E72)</f>
        <v>109500</v>
      </c>
      <c r="F69" s="97">
        <f>SUM(F70,F72)</f>
        <v>100000</v>
      </c>
      <c r="G69" s="97">
        <f>SUM(G70,G72)</f>
        <v>478.45</v>
      </c>
      <c r="H69" s="104">
        <f aca="true" t="shared" si="5" ref="H69:H129">G69/F69*100</f>
        <v>0.47845</v>
      </c>
    </row>
    <row r="70" spans="1:8" s="24" customFormat="1" ht="24.75" customHeight="1">
      <c r="A70" s="82"/>
      <c r="B70" s="59"/>
      <c r="C70" s="85">
        <v>6050</v>
      </c>
      <c r="D70" s="14" t="s">
        <v>94</v>
      </c>
      <c r="E70" s="97">
        <f>SUM(E71)</f>
        <v>100000</v>
      </c>
      <c r="F70" s="97">
        <f>SUM(F71)</f>
        <v>100000</v>
      </c>
      <c r="G70" s="97">
        <f>SUM(G71)</f>
        <v>478.45</v>
      </c>
      <c r="H70" s="104">
        <f t="shared" si="5"/>
        <v>0.47845</v>
      </c>
    </row>
    <row r="71" spans="1:8" s="24" customFormat="1" ht="19.5" customHeight="1">
      <c r="A71" s="55"/>
      <c r="B71" s="52"/>
      <c r="C71" s="56"/>
      <c r="D71" s="57" t="s">
        <v>323</v>
      </c>
      <c r="E71" s="58">
        <v>100000</v>
      </c>
      <c r="F71" s="265">
        <v>100000</v>
      </c>
      <c r="G71" s="58">
        <v>478.45</v>
      </c>
      <c r="H71" s="107">
        <f t="shared" si="5"/>
        <v>0.47845</v>
      </c>
    </row>
    <row r="72" spans="1:8" s="28" customFormat="1" ht="24.75" customHeight="1">
      <c r="A72" s="82"/>
      <c r="B72" s="59"/>
      <c r="C72" s="85">
        <v>6060</v>
      </c>
      <c r="D72" s="14" t="s">
        <v>117</v>
      </c>
      <c r="E72" s="97">
        <f>SUM(E73)</f>
        <v>9500</v>
      </c>
      <c r="F72" s="97">
        <f>SUM(F73)</f>
        <v>0</v>
      </c>
      <c r="G72" s="97">
        <f>SUM(G73)</f>
        <v>0</v>
      </c>
      <c r="H72" s="289" t="s">
        <v>514</v>
      </c>
    </row>
    <row r="73" spans="1:8" s="24" customFormat="1" ht="19.5" customHeight="1">
      <c r="A73" s="55"/>
      <c r="B73" s="52"/>
      <c r="C73" s="56"/>
      <c r="D73" s="57" t="s">
        <v>312</v>
      </c>
      <c r="E73" s="107">
        <v>9500</v>
      </c>
      <c r="F73" s="263">
        <v>0</v>
      </c>
      <c r="G73" s="107">
        <v>0</v>
      </c>
      <c r="H73" s="366" t="s">
        <v>514</v>
      </c>
    </row>
    <row r="74" spans="1:8" s="28" customFormat="1" ht="19.5" customHeight="1">
      <c r="A74" s="32">
        <v>851</v>
      </c>
      <c r="B74" s="5"/>
      <c r="C74" s="13"/>
      <c r="D74" s="19" t="s">
        <v>73</v>
      </c>
      <c r="E74" s="47">
        <f aca="true" t="shared" si="6" ref="E74:G76">SUM(E75)</f>
        <v>20000</v>
      </c>
      <c r="F74" s="47">
        <f t="shared" si="6"/>
        <v>20000</v>
      </c>
      <c r="G74" s="47">
        <f t="shared" si="6"/>
        <v>20000</v>
      </c>
      <c r="H74" s="104">
        <f t="shared" si="5"/>
        <v>100</v>
      </c>
    </row>
    <row r="75" spans="1:8" s="45" customFormat="1" ht="19.5" customHeight="1">
      <c r="A75" s="82"/>
      <c r="B75" s="59">
        <v>85153</v>
      </c>
      <c r="C75" s="85"/>
      <c r="D75" s="14" t="s">
        <v>282</v>
      </c>
      <c r="E75" s="104">
        <f t="shared" si="6"/>
        <v>20000</v>
      </c>
      <c r="F75" s="104">
        <f t="shared" si="6"/>
        <v>20000</v>
      </c>
      <c r="G75" s="104">
        <f t="shared" si="6"/>
        <v>20000</v>
      </c>
      <c r="H75" s="104">
        <f t="shared" si="5"/>
        <v>100</v>
      </c>
    </row>
    <row r="76" spans="1:8" s="24" customFormat="1" ht="24.75" customHeight="1">
      <c r="A76" s="32"/>
      <c r="B76" s="5"/>
      <c r="C76" s="85">
        <v>6060</v>
      </c>
      <c r="D76" s="14" t="s">
        <v>117</v>
      </c>
      <c r="E76" s="104">
        <f t="shared" si="6"/>
        <v>20000</v>
      </c>
      <c r="F76" s="104">
        <f t="shared" si="6"/>
        <v>20000</v>
      </c>
      <c r="G76" s="104">
        <f t="shared" si="6"/>
        <v>20000</v>
      </c>
      <c r="H76" s="104">
        <f t="shared" si="5"/>
        <v>100</v>
      </c>
    </row>
    <row r="77" spans="1:8" s="45" customFormat="1" ht="19.5" customHeight="1">
      <c r="A77" s="32"/>
      <c r="B77" s="5"/>
      <c r="C77" s="85"/>
      <c r="D77" s="57" t="s">
        <v>239</v>
      </c>
      <c r="E77" s="107">
        <v>20000</v>
      </c>
      <c r="F77" s="263">
        <v>20000</v>
      </c>
      <c r="G77" s="107">
        <v>20000</v>
      </c>
      <c r="H77" s="107">
        <f t="shared" si="5"/>
        <v>100</v>
      </c>
    </row>
    <row r="78" spans="1:8" s="45" customFormat="1" ht="19.5" customHeight="1">
      <c r="A78" s="32">
        <v>852</v>
      </c>
      <c r="B78" s="5"/>
      <c r="C78" s="13"/>
      <c r="D78" s="19" t="s">
        <v>230</v>
      </c>
      <c r="E78" s="47">
        <f>SUM(E79)</f>
        <v>18550</v>
      </c>
      <c r="F78" s="47">
        <f aca="true" t="shared" si="7" ref="F78:G80">SUM(F79)</f>
        <v>15872</v>
      </c>
      <c r="G78" s="47">
        <f t="shared" si="7"/>
        <v>15871.78</v>
      </c>
      <c r="H78" s="47">
        <f t="shared" si="5"/>
        <v>99.99861391129032</v>
      </c>
    </row>
    <row r="79" spans="1:8" s="45" customFormat="1" ht="19.5" customHeight="1">
      <c r="A79" s="82"/>
      <c r="B79" s="59">
        <v>85219</v>
      </c>
      <c r="C79" s="85"/>
      <c r="D79" s="14" t="s">
        <v>79</v>
      </c>
      <c r="E79" s="104">
        <f>SUM(E80)</f>
        <v>18550</v>
      </c>
      <c r="F79" s="104">
        <f t="shared" si="7"/>
        <v>15872</v>
      </c>
      <c r="G79" s="104">
        <f t="shared" si="7"/>
        <v>15871.78</v>
      </c>
      <c r="H79" s="104">
        <f t="shared" si="5"/>
        <v>99.99861391129032</v>
      </c>
    </row>
    <row r="80" spans="1:8" s="24" customFormat="1" ht="24.75" customHeight="1">
      <c r="A80" s="82"/>
      <c r="B80" s="59"/>
      <c r="C80" s="85">
        <v>6060</v>
      </c>
      <c r="D80" s="14" t="s">
        <v>117</v>
      </c>
      <c r="E80" s="104">
        <f>SUM(E81)</f>
        <v>18550</v>
      </c>
      <c r="F80" s="104">
        <f t="shared" si="7"/>
        <v>15872</v>
      </c>
      <c r="G80" s="104">
        <f t="shared" si="7"/>
        <v>15871.78</v>
      </c>
      <c r="H80" s="104">
        <f t="shared" si="5"/>
        <v>99.99861391129032</v>
      </c>
    </row>
    <row r="81" spans="1:8" s="24" customFormat="1" ht="19.5" customHeight="1">
      <c r="A81" s="55"/>
      <c r="B81" s="52"/>
      <c r="C81" s="56"/>
      <c r="D81" s="57" t="s">
        <v>312</v>
      </c>
      <c r="E81" s="107">
        <v>18550</v>
      </c>
      <c r="F81" s="263">
        <v>15872</v>
      </c>
      <c r="G81" s="107">
        <v>15871.78</v>
      </c>
      <c r="H81" s="107">
        <f t="shared" si="5"/>
        <v>99.99861391129032</v>
      </c>
    </row>
    <row r="82" spans="1:8" s="28" customFormat="1" ht="19.5" customHeight="1">
      <c r="A82" s="32">
        <v>854</v>
      </c>
      <c r="B82" s="5"/>
      <c r="C82" s="13"/>
      <c r="D82" s="19" t="s">
        <v>80</v>
      </c>
      <c r="E82" s="47">
        <f aca="true" t="shared" si="8" ref="E82:G84">SUM(E83)</f>
        <v>30000</v>
      </c>
      <c r="F82" s="47">
        <f t="shared" si="8"/>
        <v>112000</v>
      </c>
      <c r="G82" s="47">
        <f t="shared" si="8"/>
        <v>111945.73</v>
      </c>
      <c r="H82" s="47">
        <f t="shared" si="5"/>
        <v>99.95154464285714</v>
      </c>
    </row>
    <row r="83" spans="1:8" s="45" customFormat="1" ht="37.5" customHeight="1">
      <c r="A83" s="82"/>
      <c r="B83" s="59">
        <v>85412</v>
      </c>
      <c r="C83" s="85"/>
      <c r="D83" s="42" t="s">
        <v>193</v>
      </c>
      <c r="E83" s="104">
        <f t="shared" si="8"/>
        <v>30000</v>
      </c>
      <c r="F83" s="104">
        <f t="shared" si="8"/>
        <v>112000</v>
      </c>
      <c r="G83" s="104">
        <f t="shared" si="8"/>
        <v>111945.73</v>
      </c>
      <c r="H83" s="104">
        <f t="shared" si="5"/>
        <v>99.95154464285714</v>
      </c>
    </row>
    <row r="84" spans="1:8" s="24" customFormat="1" ht="24.75" customHeight="1">
      <c r="A84" s="82"/>
      <c r="B84" s="59"/>
      <c r="C84" s="85">
        <v>6050</v>
      </c>
      <c r="D84" s="14" t="s">
        <v>94</v>
      </c>
      <c r="E84" s="104">
        <f t="shared" si="8"/>
        <v>30000</v>
      </c>
      <c r="F84" s="104">
        <f t="shared" si="8"/>
        <v>112000</v>
      </c>
      <c r="G84" s="104">
        <f t="shared" si="8"/>
        <v>111945.73</v>
      </c>
      <c r="H84" s="104">
        <f t="shared" si="5"/>
        <v>99.95154464285714</v>
      </c>
    </row>
    <row r="85" spans="1:8" s="24" customFormat="1" ht="19.5" customHeight="1">
      <c r="A85" s="55"/>
      <c r="B85" s="52"/>
      <c r="C85" s="56"/>
      <c r="D85" s="57" t="s">
        <v>313</v>
      </c>
      <c r="E85" s="107">
        <v>30000</v>
      </c>
      <c r="F85" s="266">
        <v>112000</v>
      </c>
      <c r="G85" s="213">
        <v>111945.73</v>
      </c>
      <c r="H85" s="107">
        <f t="shared" si="5"/>
        <v>99.95154464285714</v>
      </c>
    </row>
    <row r="86" spans="1:8" s="28" customFormat="1" ht="24.75" customHeight="1">
      <c r="A86" s="32" t="s">
        <v>151</v>
      </c>
      <c r="B86" s="5"/>
      <c r="C86" s="20"/>
      <c r="D86" s="19" t="s">
        <v>82</v>
      </c>
      <c r="E86" s="16">
        <f>SUM(E87,E103)</f>
        <v>665400</v>
      </c>
      <c r="F86" s="16">
        <f>SUM(F87,F103)</f>
        <v>1704650</v>
      </c>
      <c r="G86" s="16">
        <f>SUM(G87,G103)</f>
        <v>1209291.82</v>
      </c>
      <c r="H86" s="47">
        <f t="shared" si="5"/>
        <v>70.94076907283021</v>
      </c>
    </row>
    <row r="87" spans="1:8" s="45" customFormat="1" ht="19.5" customHeight="1">
      <c r="A87" s="82"/>
      <c r="B87" s="83" t="s">
        <v>152</v>
      </c>
      <c r="C87" s="91"/>
      <c r="D87" s="14" t="s">
        <v>83</v>
      </c>
      <c r="E87" s="97">
        <f>SUM(E88,E90,)</f>
        <v>510000</v>
      </c>
      <c r="F87" s="97">
        <f>SUM(F88,F90,)</f>
        <v>1530750</v>
      </c>
      <c r="G87" s="97">
        <f>SUM(G88,G90,)</f>
        <v>1065222.07</v>
      </c>
      <c r="H87" s="104">
        <f t="shared" si="5"/>
        <v>69.58824563122653</v>
      </c>
    </row>
    <row r="88" spans="1:8" s="24" customFormat="1" ht="56.25">
      <c r="A88" s="82"/>
      <c r="B88" s="83"/>
      <c r="C88" s="91">
        <v>6010</v>
      </c>
      <c r="D88" s="42" t="s">
        <v>294</v>
      </c>
      <c r="E88" s="97">
        <f>SUM(E89)</f>
        <v>0</v>
      </c>
      <c r="F88" s="97">
        <f>SUM(F89)</f>
        <v>750</v>
      </c>
      <c r="G88" s="97">
        <f>SUM(G89)</f>
        <v>749.94</v>
      </c>
      <c r="H88" s="104">
        <f t="shared" si="5"/>
        <v>99.992</v>
      </c>
    </row>
    <row r="89" spans="1:8" s="24" customFormat="1" ht="24.75" customHeight="1">
      <c r="A89" s="82"/>
      <c r="B89" s="83"/>
      <c r="C89" s="91"/>
      <c r="D89" s="57" t="s">
        <v>579</v>
      </c>
      <c r="E89" s="58">
        <v>0</v>
      </c>
      <c r="F89" s="265">
        <v>750</v>
      </c>
      <c r="G89" s="58">
        <v>749.94</v>
      </c>
      <c r="H89" s="107">
        <f t="shared" si="5"/>
        <v>99.992</v>
      </c>
    </row>
    <row r="90" spans="1:8" s="24" customFormat="1" ht="24.75" customHeight="1">
      <c r="A90" s="82"/>
      <c r="B90" s="83"/>
      <c r="C90" s="84">
        <v>6050</v>
      </c>
      <c r="D90" s="14" t="s">
        <v>94</v>
      </c>
      <c r="E90" s="104">
        <f>SUM(E91:E102)</f>
        <v>510000</v>
      </c>
      <c r="F90" s="104">
        <f>SUM(F91:F102)</f>
        <v>1530000</v>
      </c>
      <c r="G90" s="104">
        <f>SUM(G91:G102)</f>
        <v>1064472.1300000001</v>
      </c>
      <c r="H90" s="104">
        <f t="shared" si="5"/>
        <v>69.57334183006537</v>
      </c>
    </row>
    <row r="91" spans="1:8" s="24" customFormat="1" ht="19.5" customHeight="1">
      <c r="A91" s="55"/>
      <c r="B91" s="111"/>
      <c r="C91" s="121"/>
      <c r="D91" s="60" t="s">
        <v>314</v>
      </c>
      <c r="E91" s="107">
        <v>150000</v>
      </c>
      <c r="F91" s="263">
        <v>179000</v>
      </c>
      <c r="G91" s="107">
        <v>178889.73</v>
      </c>
      <c r="H91" s="107">
        <f t="shared" si="5"/>
        <v>99.9383966480447</v>
      </c>
    </row>
    <row r="92" spans="1:8" s="28" customFormat="1" ht="19.5" customHeight="1">
      <c r="A92" s="55"/>
      <c r="B92" s="111"/>
      <c r="C92" s="121"/>
      <c r="D92" s="60" t="s">
        <v>315</v>
      </c>
      <c r="E92" s="107">
        <v>110000</v>
      </c>
      <c r="F92" s="263">
        <v>170000</v>
      </c>
      <c r="G92" s="107">
        <v>169790.1</v>
      </c>
      <c r="H92" s="107">
        <f t="shared" si="5"/>
        <v>99.87652941176471</v>
      </c>
    </row>
    <row r="93" spans="1:8" s="28" customFormat="1" ht="62.25" customHeight="1">
      <c r="A93" s="55"/>
      <c r="B93" s="111"/>
      <c r="C93" s="121"/>
      <c r="D93" s="60" t="s">
        <v>424</v>
      </c>
      <c r="E93" s="107">
        <v>250000</v>
      </c>
      <c r="F93" s="263">
        <v>166000</v>
      </c>
      <c r="G93" s="107">
        <v>165757.12</v>
      </c>
      <c r="H93" s="107">
        <f t="shared" si="5"/>
        <v>99.85368674698795</v>
      </c>
    </row>
    <row r="94" spans="1:8" s="28" customFormat="1" ht="35.25" customHeight="1">
      <c r="A94" s="55"/>
      <c r="B94" s="111"/>
      <c r="C94" s="121"/>
      <c r="D94" s="60" t="s">
        <v>442</v>
      </c>
      <c r="E94" s="107">
        <v>0</v>
      </c>
      <c r="F94" s="263">
        <v>1500</v>
      </c>
      <c r="G94" s="107">
        <v>1500</v>
      </c>
      <c r="H94" s="107">
        <f t="shared" si="5"/>
        <v>100</v>
      </c>
    </row>
    <row r="95" spans="1:8" s="28" customFormat="1" ht="35.25" customHeight="1">
      <c r="A95" s="55"/>
      <c r="B95" s="111"/>
      <c r="C95" s="121"/>
      <c r="D95" s="60" t="s">
        <v>453</v>
      </c>
      <c r="E95" s="58">
        <v>0</v>
      </c>
      <c r="F95" s="265">
        <v>500000</v>
      </c>
      <c r="G95" s="58">
        <v>44336.24</v>
      </c>
      <c r="H95" s="107">
        <f t="shared" si="5"/>
        <v>8.867248</v>
      </c>
    </row>
    <row r="96" spans="1:8" s="28" customFormat="1" ht="24.75" customHeight="1">
      <c r="A96" s="55"/>
      <c r="B96" s="111"/>
      <c r="C96" s="121"/>
      <c r="D96" s="60" t="s">
        <v>489</v>
      </c>
      <c r="E96" s="58">
        <v>0</v>
      </c>
      <c r="F96" s="265">
        <v>101000</v>
      </c>
      <c r="G96" s="58">
        <v>99925.8</v>
      </c>
      <c r="H96" s="107">
        <f t="shared" si="5"/>
        <v>98.93643564356435</v>
      </c>
    </row>
    <row r="97" spans="1:8" s="28" customFormat="1" ht="24.75" customHeight="1">
      <c r="A97" s="55"/>
      <c r="B97" s="111"/>
      <c r="C97" s="121"/>
      <c r="D97" s="60" t="s">
        <v>473</v>
      </c>
      <c r="E97" s="58">
        <v>0</v>
      </c>
      <c r="F97" s="265">
        <v>37000</v>
      </c>
      <c r="G97" s="58">
        <v>36498.76</v>
      </c>
      <c r="H97" s="107">
        <f t="shared" si="5"/>
        <v>98.6452972972973</v>
      </c>
    </row>
    <row r="98" spans="1:8" s="28" customFormat="1" ht="24.75" customHeight="1">
      <c r="A98" s="55"/>
      <c r="B98" s="111"/>
      <c r="C98" s="121"/>
      <c r="D98" s="60" t="s">
        <v>490</v>
      </c>
      <c r="E98" s="58">
        <v>0</v>
      </c>
      <c r="F98" s="265">
        <v>82000</v>
      </c>
      <c r="G98" s="58">
        <v>81503.49</v>
      </c>
      <c r="H98" s="107">
        <f t="shared" si="5"/>
        <v>99.39450000000001</v>
      </c>
    </row>
    <row r="99" spans="1:8" s="28" customFormat="1" ht="24.75" customHeight="1">
      <c r="A99" s="55"/>
      <c r="B99" s="111"/>
      <c r="C99" s="121"/>
      <c r="D99" s="60" t="s">
        <v>491</v>
      </c>
      <c r="E99" s="58">
        <v>0</v>
      </c>
      <c r="F99" s="265">
        <v>44000</v>
      </c>
      <c r="G99" s="58">
        <v>39252.42</v>
      </c>
      <c r="H99" s="107">
        <f t="shared" si="5"/>
        <v>89.21004545454545</v>
      </c>
    </row>
    <row r="100" spans="1:8" s="28" customFormat="1" ht="19.5" customHeight="1">
      <c r="A100" s="55"/>
      <c r="B100" s="111"/>
      <c r="C100" s="121"/>
      <c r="D100" s="60" t="s">
        <v>474</v>
      </c>
      <c r="E100" s="58">
        <v>0</v>
      </c>
      <c r="F100" s="265">
        <v>32000</v>
      </c>
      <c r="G100" s="58">
        <v>32006.75</v>
      </c>
      <c r="H100" s="107">
        <f t="shared" si="5"/>
        <v>100.02109374999999</v>
      </c>
    </row>
    <row r="101" spans="1:8" s="28" customFormat="1" ht="24.75" customHeight="1">
      <c r="A101" s="55"/>
      <c r="B101" s="111"/>
      <c r="C101" s="121"/>
      <c r="D101" s="60" t="s">
        <v>9</v>
      </c>
      <c r="E101" s="58">
        <v>0</v>
      </c>
      <c r="F101" s="267">
        <v>40000</v>
      </c>
      <c r="G101" s="214">
        <v>37707.22</v>
      </c>
      <c r="H101" s="107">
        <f t="shared" si="5"/>
        <v>94.26805</v>
      </c>
    </row>
    <row r="102" spans="1:8" s="28" customFormat="1" ht="19.5" customHeight="1">
      <c r="A102" s="55"/>
      <c r="B102" s="111"/>
      <c r="C102" s="121"/>
      <c r="D102" s="60" t="s">
        <v>475</v>
      </c>
      <c r="E102" s="58">
        <v>0</v>
      </c>
      <c r="F102" s="265">
        <v>177500</v>
      </c>
      <c r="G102" s="58">
        <v>177304.5</v>
      </c>
      <c r="H102" s="107">
        <f t="shared" si="5"/>
        <v>99.88985915492957</v>
      </c>
    </row>
    <row r="103" spans="1:8" s="28" customFormat="1" ht="19.5" customHeight="1">
      <c r="A103" s="82"/>
      <c r="B103" s="83" t="s">
        <v>161</v>
      </c>
      <c r="C103" s="91"/>
      <c r="D103" s="14" t="s">
        <v>162</v>
      </c>
      <c r="E103" s="97">
        <f>SUM(E104)</f>
        <v>155400</v>
      </c>
      <c r="F103" s="97">
        <f>SUM(F104)</f>
        <v>173900</v>
      </c>
      <c r="G103" s="97">
        <f>SUM(G104)</f>
        <v>144069.75</v>
      </c>
      <c r="H103" s="104">
        <f t="shared" si="5"/>
        <v>82.8463197239793</v>
      </c>
    </row>
    <row r="104" spans="1:8" s="24" customFormat="1" ht="24.75" customHeight="1">
      <c r="A104" s="82"/>
      <c r="B104" s="59"/>
      <c r="C104" s="84">
        <v>6050</v>
      </c>
      <c r="D104" s="14" t="s">
        <v>94</v>
      </c>
      <c r="E104" s="97">
        <f>SUM(E105:E113)</f>
        <v>155400</v>
      </c>
      <c r="F104" s="97">
        <f>SUM(F105:F113)</f>
        <v>173900</v>
      </c>
      <c r="G104" s="97">
        <f>SUM(G105:G113)</f>
        <v>144069.75</v>
      </c>
      <c r="H104" s="104">
        <f t="shared" si="5"/>
        <v>82.8463197239793</v>
      </c>
    </row>
    <row r="105" spans="1:8" s="24" customFormat="1" ht="19.5" customHeight="1">
      <c r="A105" s="55"/>
      <c r="B105" s="52"/>
      <c r="C105" s="121"/>
      <c r="D105" s="57" t="s">
        <v>316</v>
      </c>
      <c r="E105" s="58">
        <v>85000</v>
      </c>
      <c r="F105" s="265">
        <v>76000</v>
      </c>
      <c r="G105" s="58">
        <v>75347.76</v>
      </c>
      <c r="H105" s="107">
        <f t="shared" si="5"/>
        <v>99.1417894736842</v>
      </c>
    </row>
    <row r="106" spans="1:8" s="28" customFormat="1" ht="40.5" customHeight="1">
      <c r="A106" s="55"/>
      <c r="B106" s="52"/>
      <c r="C106" s="121"/>
      <c r="D106" s="57" t="s">
        <v>397</v>
      </c>
      <c r="E106" s="58">
        <f>20000+4000</f>
        <v>24000</v>
      </c>
      <c r="F106" s="265">
        <v>17500</v>
      </c>
      <c r="G106" s="58">
        <v>17440.5</v>
      </c>
      <c r="H106" s="107">
        <f t="shared" si="5"/>
        <v>99.66000000000001</v>
      </c>
    </row>
    <row r="107" spans="1:8" s="28" customFormat="1" ht="19.5" customHeight="1">
      <c r="A107" s="55"/>
      <c r="B107" s="52"/>
      <c r="C107" s="121"/>
      <c r="D107" s="57" t="s">
        <v>317</v>
      </c>
      <c r="E107" s="58">
        <v>15000</v>
      </c>
      <c r="F107" s="265">
        <v>15000</v>
      </c>
      <c r="G107" s="58">
        <v>14013</v>
      </c>
      <c r="H107" s="107">
        <f t="shared" si="5"/>
        <v>93.42</v>
      </c>
    </row>
    <row r="108" spans="1:8" s="28" customFormat="1" ht="19.5" customHeight="1">
      <c r="A108" s="55"/>
      <c r="B108" s="52"/>
      <c r="C108" s="121"/>
      <c r="D108" s="57" t="s">
        <v>318</v>
      </c>
      <c r="E108" s="107">
        <v>1400</v>
      </c>
      <c r="F108" s="266">
        <v>14900</v>
      </c>
      <c r="G108" s="213">
        <v>13140.5</v>
      </c>
      <c r="H108" s="107">
        <f t="shared" si="5"/>
        <v>88.19127516778524</v>
      </c>
    </row>
    <row r="109" spans="1:8" s="28" customFormat="1" ht="19.5" customHeight="1">
      <c r="A109" s="55"/>
      <c r="B109" s="52"/>
      <c r="C109" s="56"/>
      <c r="D109" s="57" t="s">
        <v>319</v>
      </c>
      <c r="E109" s="107">
        <v>10000</v>
      </c>
      <c r="F109" s="263">
        <v>10000</v>
      </c>
      <c r="G109" s="107">
        <v>1900</v>
      </c>
      <c r="H109" s="107">
        <f t="shared" si="5"/>
        <v>19</v>
      </c>
    </row>
    <row r="110" spans="1:8" s="28" customFormat="1" ht="19.5" customHeight="1">
      <c r="A110" s="55"/>
      <c r="B110" s="52"/>
      <c r="C110" s="56"/>
      <c r="D110" s="57" t="s">
        <v>320</v>
      </c>
      <c r="E110" s="107">
        <v>20000</v>
      </c>
      <c r="F110" s="263">
        <v>20000</v>
      </c>
      <c r="G110" s="107">
        <v>2683.2</v>
      </c>
      <c r="H110" s="107">
        <f t="shared" si="5"/>
        <v>13.416</v>
      </c>
    </row>
    <row r="111" spans="1:8" s="28" customFormat="1" ht="39.75" customHeight="1">
      <c r="A111" s="55"/>
      <c r="B111" s="52"/>
      <c r="C111" s="56"/>
      <c r="D111" s="57" t="s">
        <v>11</v>
      </c>
      <c r="E111" s="107">
        <v>0</v>
      </c>
      <c r="F111" s="263">
        <v>14000</v>
      </c>
      <c r="G111" s="107">
        <v>13617.48</v>
      </c>
      <c r="H111" s="107">
        <f t="shared" si="5"/>
        <v>97.26771428571428</v>
      </c>
    </row>
    <row r="112" spans="1:8" s="28" customFormat="1" ht="19.5" customHeight="1">
      <c r="A112" s="55"/>
      <c r="B112" s="52"/>
      <c r="C112" s="56"/>
      <c r="D112" s="57" t="s">
        <v>484</v>
      </c>
      <c r="E112" s="107">
        <v>0</v>
      </c>
      <c r="F112" s="263">
        <v>3000</v>
      </c>
      <c r="G112" s="107">
        <v>2882.19</v>
      </c>
      <c r="H112" s="107">
        <f t="shared" si="5"/>
        <v>96.073</v>
      </c>
    </row>
    <row r="113" spans="1:8" s="28" customFormat="1" ht="19.5" customHeight="1">
      <c r="A113" s="55"/>
      <c r="B113" s="52"/>
      <c r="C113" s="56"/>
      <c r="D113" s="57" t="s">
        <v>485</v>
      </c>
      <c r="E113" s="107">
        <v>0</v>
      </c>
      <c r="F113" s="263">
        <v>3500</v>
      </c>
      <c r="G113" s="107">
        <v>3045.12</v>
      </c>
      <c r="H113" s="107">
        <f t="shared" si="5"/>
        <v>87.00342857142857</v>
      </c>
    </row>
    <row r="114" spans="1:8" s="28" customFormat="1" ht="24.75" customHeight="1">
      <c r="A114" s="32">
        <v>921</v>
      </c>
      <c r="B114" s="5"/>
      <c r="C114" s="20"/>
      <c r="D114" s="19" t="s">
        <v>164</v>
      </c>
      <c r="E114" s="16">
        <f>SUM(E115)</f>
        <v>4980</v>
      </c>
      <c r="F114" s="264">
        <f>SUM(F115)</f>
        <v>7980</v>
      </c>
      <c r="G114" s="16">
        <f>SUM(G115)</f>
        <v>6688</v>
      </c>
      <c r="H114" s="47">
        <f t="shared" si="5"/>
        <v>83.80952380952381</v>
      </c>
    </row>
    <row r="115" spans="1:8" s="28" customFormat="1" ht="19.5" customHeight="1">
      <c r="A115" s="82"/>
      <c r="B115" s="83">
        <v>92109</v>
      </c>
      <c r="C115" s="91"/>
      <c r="D115" s="42" t="s">
        <v>185</v>
      </c>
      <c r="E115" s="97">
        <f>SUM(E118,E116)</f>
        <v>4980</v>
      </c>
      <c r="F115" s="97">
        <f>SUM(F118,F116)</f>
        <v>7980</v>
      </c>
      <c r="G115" s="97">
        <f>SUM(G118,G116)</f>
        <v>6688</v>
      </c>
      <c r="H115" s="104">
        <f t="shared" si="5"/>
        <v>83.80952380952381</v>
      </c>
    </row>
    <row r="116" spans="1:8" s="28" customFormat="1" ht="21.75" customHeight="1">
      <c r="A116" s="82"/>
      <c r="B116" s="83"/>
      <c r="C116" s="91">
        <v>6050</v>
      </c>
      <c r="D116" s="14" t="s">
        <v>94</v>
      </c>
      <c r="E116" s="97">
        <f>SUM(E117)</f>
        <v>0</v>
      </c>
      <c r="F116" s="97">
        <f>SUM(F117)</f>
        <v>3000</v>
      </c>
      <c r="G116" s="97">
        <f>SUM(G117)</f>
        <v>1708</v>
      </c>
      <c r="H116" s="104">
        <f t="shared" si="5"/>
        <v>56.93333333333334</v>
      </c>
    </row>
    <row r="117" spans="1:8" s="28" customFormat="1" ht="22.5">
      <c r="A117" s="82"/>
      <c r="B117" s="83"/>
      <c r="C117" s="91"/>
      <c r="D117" s="42" t="s">
        <v>559</v>
      </c>
      <c r="E117" s="97">
        <v>0</v>
      </c>
      <c r="F117" s="256">
        <v>3000</v>
      </c>
      <c r="G117" s="97">
        <v>1708</v>
      </c>
      <c r="H117" s="104">
        <f t="shared" si="5"/>
        <v>56.93333333333334</v>
      </c>
    </row>
    <row r="118" spans="1:8" s="28" customFormat="1" ht="27" customHeight="1">
      <c r="A118" s="82"/>
      <c r="B118" s="83"/>
      <c r="C118" s="84">
        <v>6060</v>
      </c>
      <c r="D118" s="14" t="s">
        <v>117</v>
      </c>
      <c r="E118" s="104">
        <f>SUM(E119)</f>
        <v>4980</v>
      </c>
      <c r="F118" s="104">
        <f>SUM(F119)</f>
        <v>4980</v>
      </c>
      <c r="G118" s="104">
        <f>SUM(G119)</f>
        <v>4980</v>
      </c>
      <c r="H118" s="104">
        <f t="shared" si="5"/>
        <v>100</v>
      </c>
    </row>
    <row r="119" spans="1:8" s="28" customFormat="1" ht="30" customHeight="1">
      <c r="A119" s="55"/>
      <c r="B119" s="111"/>
      <c r="C119" s="121"/>
      <c r="D119" s="60" t="s">
        <v>321</v>
      </c>
      <c r="E119" s="107">
        <v>4980</v>
      </c>
      <c r="F119" s="263">
        <v>4980</v>
      </c>
      <c r="G119" s="107">
        <v>4980</v>
      </c>
      <c r="H119" s="107">
        <f t="shared" si="5"/>
        <v>100</v>
      </c>
    </row>
    <row r="120" spans="1:8" s="28" customFormat="1" ht="19.5" customHeight="1">
      <c r="A120" s="32">
        <v>926</v>
      </c>
      <c r="B120" s="5"/>
      <c r="C120" s="20"/>
      <c r="D120" s="19" t="s">
        <v>87</v>
      </c>
      <c r="E120" s="16">
        <f>SUM(E121,E124)</f>
        <v>100000</v>
      </c>
      <c r="F120" s="264">
        <f>SUM(F121,F124)</f>
        <v>462800</v>
      </c>
      <c r="G120" s="16">
        <f>SUM(G121,G124)</f>
        <v>45383.18</v>
      </c>
      <c r="H120" s="47">
        <f t="shared" si="5"/>
        <v>9.806218668971479</v>
      </c>
    </row>
    <row r="121" spans="1:8" s="28" customFormat="1" ht="19.5" customHeight="1">
      <c r="A121" s="82"/>
      <c r="B121" s="83">
        <v>92601</v>
      </c>
      <c r="C121" s="91"/>
      <c r="D121" s="14" t="s">
        <v>298</v>
      </c>
      <c r="E121" s="97">
        <f>SUM(E122)</f>
        <v>100000</v>
      </c>
      <c r="F121" s="256">
        <f>SUM(F122)</f>
        <v>100000</v>
      </c>
      <c r="G121" s="97">
        <f>SUM(G122)</f>
        <v>0</v>
      </c>
      <c r="H121" s="104">
        <f t="shared" si="5"/>
        <v>0</v>
      </c>
    </row>
    <row r="122" spans="1:8" s="28" customFormat="1" ht="24.75" customHeight="1">
      <c r="A122" s="82"/>
      <c r="B122" s="83"/>
      <c r="C122" s="84">
        <v>6050</v>
      </c>
      <c r="D122" s="14" t="s">
        <v>94</v>
      </c>
      <c r="E122" s="104">
        <f>SUM(E123:E123)</f>
        <v>100000</v>
      </c>
      <c r="F122" s="255">
        <f>SUM(F123:F123)</f>
        <v>100000</v>
      </c>
      <c r="G122" s="104">
        <f>SUM(G123:G123)</f>
        <v>0</v>
      </c>
      <c r="H122" s="104">
        <f t="shared" si="5"/>
        <v>0</v>
      </c>
    </row>
    <row r="123" spans="1:8" s="28" customFormat="1" ht="19.5" customHeight="1">
      <c r="A123" s="55"/>
      <c r="B123" s="111"/>
      <c r="C123" s="121"/>
      <c r="D123" s="60" t="s">
        <v>322</v>
      </c>
      <c r="E123" s="58">
        <v>100000</v>
      </c>
      <c r="F123" s="265">
        <v>100000</v>
      </c>
      <c r="G123" s="58">
        <v>0</v>
      </c>
      <c r="H123" s="107">
        <f t="shared" si="5"/>
        <v>0</v>
      </c>
    </row>
    <row r="124" spans="1:8" s="161" customFormat="1" ht="24.75" customHeight="1">
      <c r="A124" s="83"/>
      <c r="B124" s="83">
        <v>92605</v>
      </c>
      <c r="C124" s="83"/>
      <c r="D124" s="157" t="s">
        <v>88</v>
      </c>
      <c r="E124" s="158">
        <f>SUM(E125)</f>
        <v>0</v>
      </c>
      <c r="F124" s="268">
        <f>SUM(F125)</f>
        <v>362800</v>
      </c>
      <c r="G124" s="106">
        <f>SUM(G125)</f>
        <v>45383.18</v>
      </c>
      <c r="H124" s="104">
        <f t="shared" si="5"/>
        <v>12.509145534729878</v>
      </c>
    </row>
    <row r="125" spans="1:8" s="24" customFormat="1" ht="24.75" customHeight="1">
      <c r="A125" s="83"/>
      <c r="B125" s="83"/>
      <c r="C125" s="83">
        <v>6050</v>
      </c>
      <c r="D125" s="14" t="s">
        <v>94</v>
      </c>
      <c r="E125" s="158">
        <f>SUM(E126:E128)</f>
        <v>0</v>
      </c>
      <c r="F125" s="158">
        <f>SUM(F126:F128)</f>
        <v>362800</v>
      </c>
      <c r="G125" s="158">
        <f>SUM(G126:G128)</f>
        <v>45383.18</v>
      </c>
      <c r="H125" s="104">
        <f t="shared" si="5"/>
        <v>12.509145534729878</v>
      </c>
    </row>
    <row r="126" spans="1:8" s="24" customFormat="1" ht="24.75" customHeight="1">
      <c r="A126" s="111"/>
      <c r="B126" s="111"/>
      <c r="C126" s="111"/>
      <c r="D126" s="159" t="s">
        <v>420</v>
      </c>
      <c r="E126" s="160">
        <v>0</v>
      </c>
      <c r="F126" s="269">
        <v>20740</v>
      </c>
      <c r="G126" s="271">
        <v>20740</v>
      </c>
      <c r="H126" s="107">
        <f t="shared" si="5"/>
        <v>100</v>
      </c>
    </row>
    <row r="127" spans="1:8" s="28" customFormat="1" ht="24.75" customHeight="1">
      <c r="A127" s="111"/>
      <c r="B127" s="111"/>
      <c r="C127" s="111"/>
      <c r="D127" s="159" t="s">
        <v>419</v>
      </c>
      <c r="E127" s="160">
        <v>0</v>
      </c>
      <c r="F127" s="214">
        <v>336000</v>
      </c>
      <c r="G127" s="274">
        <v>18583.1</v>
      </c>
      <c r="H127" s="107">
        <f t="shared" si="5"/>
        <v>5.530684523809523</v>
      </c>
    </row>
    <row r="128" spans="1:8" s="28" customFormat="1" ht="19.5" customHeight="1">
      <c r="A128" s="111"/>
      <c r="B128" s="111"/>
      <c r="C128" s="111"/>
      <c r="D128" s="159" t="s">
        <v>560</v>
      </c>
      <c r="E128" s="269">
        <v>0</v>
      </c>
      <c r="F128" s="214">
        <v>6060</v>
      </c>
      <c r="G128" s="274">
        <v>6060.08</v>
      </c>
      <c r="H128" s="107">
        <f t="shared" si="5"/>
        <v>100.00132013201319</v>
      </c>
    </row>
    <row r="129" spans="1:8" s="28" customFormat="1" ht="27" customHeight="1">
      <c r="A129" s="10"/>
      <c r="B129" s="10"/>
      <c r="C129" s="10"/>
      <c r="D129" s="131" t="s">
        <v>89</v>
      </c>
      <c r="E129" s="270">
        <f>SUM(E120,E114,E86,E82,E78,E74,E63,E55,E51,E44,E8,)</f>
        <v>2810240</v>
      </c>
      <c r="F129" s="16">
        <f>SUM(F120,F114,F86,F82,F78,F74,F63,F55,F51,F44,F8,)</f>
        <v>6043582</v>
      </c>
      <c r="G129" s="16">
        <f>SUM(G120,G114,G86,G82,G78,G74,G63,G55,G51,G44,G8,)</f>
        <v>4531077.06</v>
      </c>
      <c r="H129" s="47">
        <f t="shared" si="5"/>
        <v>74.97336943554335</v>
      </c>
    </row>
    <row r="130" spans="5:8" s="8" customFormat="1" ht="23.25" customHeight="1">
      <c r="E130"/>
      <c r="F130" s="272"/>
      <c r="G130" s="272"/>
      <c r="H130" s="281"/>
    </row>
    <row r="131" spans="6:8" ht="12.75">
      <c r="F131" s="21"/>
      <c r="G131" s="21"/>
      <c r="H131" s="282"/>
    </row>
    <row r="132" spans="5:8" ht="12.75">
      <c r="E132" s="61"/>
      <c r="F132" s="21"/>
      <c r="G132" s="21"/>
      <c r="H132" s="282"/>
    </row>
    <row r="133" spans="6:8" ht="12.75">
      <c r="F133" s="273"/>
      <c r="G133" s="273"/>
      <c r="H133" s="282"/>
    </row>
    <row r="134" spans="6:8" ht="12.75">
      <c r="F134" s="21"/>
      <c r="G134" s="21"/>
      <c r="H134" s="282"/>
    </row>
    <row r="135" spans="6:7" ht="12.75">
      <c r="F135" s="61"/>
      <c r="G135" s="61"/>
    </row>
    <row r="136" spans="6:7" ht="12.75">
      <c r="F136" s="61"/>
      <c r="G136" s="61"/>
    </row>
    <row r="137" spans="6:7" ht="12.75">
      <c r="F137" s="61"/>
      <c r="G137" s="61"/>
    </row>
    <row r="138" spans="6:7" ht="12.75">
      <c r="F138" s="61"/>
      <c r="G138" s="61"/>
    </row>
    <row r="139" spans="6:7" ht="12.75">
      <c r="F139" s="206"/>
      <c r="G139" s="206"/>
    </row>
    <row r="140" spans="6:7" ht="12.75">
      <c r="F140" s="61"/>
      <c r="G140" s="61"/>
    </row>
    <row r="141" spans="6:7" ht="12.75">
      <c r="F141" s="61"/>
      <c r="G141" s="61"/>
    </row>
    <row r="142" spans="6:7" ht="12.75">
      <c r="F142" s="206"/>
      <c r="G142" s="206"/>
    </row>
    <row r="143" ht="12.75">
      <c r="E143" t="s">
        <v>263</v>
      </c>
    </row>
    <row r="144" spans="5:7" ht="12.75">
      <c r="E144" t="s">
        <v>264</v>
      </c>
      <c r="F144" t="s">
        <v>263</v>
      </c>
      <c r="G144" t="s">
        <v>263</v>
      </c>
    </row>
    <row r="145" spans="6:7" ht="12.75">
      <c r="F145" t="s">
        <v>264</v>
      </c>
      <c r="G145" t="s">
        <v>264</v>
      </c>
    </row>
  </sheetData>
  <mergeCells count="7">
    <mergeCell ref="G6:H6"/>
    <mergeCell ref="A6:A7"/>
    <mergeCell ref="B6:B7"/>
    <mergeCell ref="C6:C7"/>
    <mergeCell ref="D6:D7"/>
    <mergeCell ref="E6:E7"/>
    <mergeCell ref="F6:F7"/>
  </mergeCells>
  <printOptions horizontalCentered="1"/>
  <pageMargins left="0.57" right="0.43" top="0.7874015748031497" bottom="0.7874015748031497" header="0.5118110236220472" footer="0.31496062992125984"/>
  <pageSetup horizontalDpi="600" verticalDpi="600" orientation="portrait" paperSize="9" r:id="rId1"/>
  <headerFooter alignWithMargins="0">
    <oddFooter>&amp;C&amp;8Wydatki majątkowe - str.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33"/>
  <sheetViews>
    <sheetView workbookViewId="0" topLeftCell="A7">
      <selection activeCell="F36" sqref="F36"/>
    </sheetView>
  </sheetViews>
  <sheetFormatPr defaultColWidth="9.00390625" defaultRowHeight="12.75"/>
  <cols>
    <col min="1" max="1" width="5.125" style="8" customWidth="1"/>
    <col min="2" max="2" width="7.125" style="8" customWidth="1"/>
    <col min="3" max="3" width="5.125" style="8" customWidth="1"/>
    <col min="4" max="4" width="27.875" style="8" customWidth="1"/>
    <col min="5" max="5" width="11.125" style="8" customWidth="1"/>
    <col min="6" max="6" width="11.25390625" style="61" customWidth="1"/>
    <col min="7" max="7" width="13.375" style="61" customWidth="1"/>
    <col min="8" max="8" width="7.125" style="177" customWidth="1"/>
  </cols>
  <sheetData>
    <row r="1" spans="5:8" ht="12.75">
      <c r="E1" s="67"/>
      <c r="F1" s="350"/>
      <c r="G1" s="353" t="s">
        <v>571</v>
      </c>
      <c r="H1" s="350"/>
    </row>
    <row r="2" spans="5:8" ht="12.75">
      <c r="E2" s="67"/>
      <c r="F2" s="350"/>
      <c r="G2" s="353" t="s">
        <v>562</v>
      </c>
      <c r="H2" s="350"/>
    </row>
    <row r="3" spans="5:8" ht="12.75">
      <c r="E3" s="67"/>
      <c r="F3" s="350"/>
      <c r="G3" s="353" t="s">
        <v>515</v>
      </c>
      <c r="H3" s="350"/>
    </row>
    <row r="4" spans="5:8" ht="12.75">
      <c r="E4" s="67"/>
      <c r="F4" s="350"/>
      <c r="G4" s="353" t="s">
        <v>564</v>
      </c>
      <c r="H4" s="350"/>
    </row>
    <row r="5" spans="1:7" ht="44.25" customHeight="1">
      <c r="A5" s="422" t="s">
        <v>536</v>
      </c>
      <c r="B5" s="422"/>
      <c r="C5" s="422"/>
      <c r="D5" s="422"/>
      <c r="E5" s="422"/>
      <c r="F5" s="422"/>
      <c r="G5" s="422"/>
    </row>
    <row r="6" spans="1:8" ht="18" customHeight="1">
      <c r="A6" s="416" t="s">
        <v>12</v>
      </c>
      <c r="B6" s="416" t="s">
        <v>13</v>
      </c>
      <c r="C6" s="416" t="s">
        <v>14</v>
      </c>
      <c r="D6" s="416" t="s">
        <v>408</v>
      </c>
      <c r="E6" s="423" t="s">
        <v>170</v>
      </c>
      <c r="F6" s="423" t="s">
        <v>250</v>
      </c>
      <c r="G6" s="401" t="s">
        <v>0</v>
      </c>
      <c r="H6" s="401"/>
    </row>
    <row r="7" spans="1:8" s="8" customFormat="1" ht="18" customHeight="1">
      <c r="A7" s="416"/>
      <c r="B7" s="416"/>
      <c r="C7" s="416"/>
      <c r="D7" s="416"/>
      <c r="E7" s="423"/>
      <c r="F7" s="423"/>
      <c r="G7" s="196" t="s">
        <v>1</v>
      </c>
      <c r="H7" s="2" t="s">
        <v>2</v>
      </c>
    </row>
    <row r="8" spans="1:8" s="8" customFormat="1" ht="19.5" customHeight="1">
      <c r="A8" s="2">
        <v>801</v>
      </c>
      <c r="B8" s="2"/>
      <c r="C8" s="2"/>
      <c r="D8" s="150" t="s">
        <v>133</v>
      </c>
      <c r="E8" s="148">
        <f>SUM(E9)</f>
        <v>2940</v>
      </c>
      <c r="F8" s="148">
        <f>SUM(F9,F14)</f>
        <v>4540</v>
      </c>
      <c r="G8" s="148">
        <f>SUM(G9,G14)</f>
        <v>4396.11</v>
      </c>
      <c r="H8" s="47">
        <f>G8/F8*100</f>
        <v>96.83061674008809</v>
      </c>
    </row>
    <row r="9" spans="1:8" s="24" customFormat="1" ht="19.5" customHeight="1">
      <c r="A9" s="63"/>
      <c r="B9" s="63">
        <v>80101</v>
      </c>
      <c r="C9" s="63"/>
      <c r="D9" s="62" t="s">
        <v>71</v>
      </c>
      <c r="E9" s="194">
        <f>SUM(E10:E12)</f>
        <v>2940</v>
      </c>
      <c r="F9" s="194">
        <f>SUM(F10:F13)</f>
        <v>3940</v>
      </c>
      <c r="G9" s="194">
        <f>SUM(G10:G13)</f>
        <v>3796.45</v>
      </c>
      <c r="H9" s="104">
        <f aca="true" t="shared" si="0" ref="H9:H26">G9/F9*100</f>
        <v>96.35659898477157</v>
      </c>
    </row>
    <row r="10" spans="1:8" s="24" customFormat="1" ht="24.75" customHeight="1">
      <c r="A10" s="63"/>
      <c r="B10" s="63"/>
      <c r="C10" s="98">
        <v>4010</v>
      </c>
      <c r="D10" s="42" t="s">
        <v>105</v>
      </c>
      <c r="E10" s="194">
        <v>2452</v>
      </c>
      <c r="F10" s="104">
        <v>2452</v>
      </c>
      <c r="G10" s="104">
        <v>2339</v>
      </c>
      <c r="H10" s="104">
        <f t="shared" si="0"/>
        <v>95.3915171288744</v>
      </c>
    </row>
    <row r="11" spans="1:8" s="24" customFormat="1" ht="19.5" customHeight="1">
      <c r="A11" s="63"/>
      <c r="B11" s="63"/>
      <c r="C11" s="98">
        <v>4110</v>
      </c>
      <c r="D11" s="42" t="s">
        <v>107</v>
      </c>
      <c r="E11" s="194">
        <v>428</v>
      </c>
      <c r="F11" s="104">
        <v>428</v>
      </c>
      <c r="G11" s="104">
        <v>402.35</v>
      </c>
      <c r="H11" s="104">
        <f t="shared" si="0"/>
        <v>94.0070093457944</v>
      </c>
    </row>
    <row r="12" spans="1:8" s="24" customFormat="1" ht="19.5" customHeight="1">
      <c r="A12" s="63"/>
      <c r="B12" s="63"/>
      <c r="C12" s="98">
        <v>4120</v>
      </c>
      <c r="D12" s="42" t="s">
        <v>108</v>
      </c>
      <c r="E12" s="194">
        <v>60</v>
      </c>
      <c r="F12" s="104">
        <v>60</v>
      </c>
      <c r="G12" s="104">
        <v>57.31</v>
      </c>
      <c r="H12" s="104">
        <f t="shared" si="0"/>
        <v>95.51666666666667</v>
      </c>
    </row>
    <row r="13" spans="1:8" s="24" customFormat="1" ht="19.5" customHeight="1">
      <c r="A13" s="63"/>
      <c r="B13" s="63"/>
      <c r="C13" s="98">
        <v>4210</v>
      </c>
      <c r="D13" s="42" t="s">
        <v>113</v>
      </c>
      <c r="E13" s="194">
        <v>0</v>
      </c>
      <c r="F13" s="104">
        <v>1000</v>
      </c>
      <c r="G13" s="104">
        <v>997.79</v>
      </c>
      <c r="H13" s="104">
        <f t="shared" si="0"/>
        <v>99.779</v>
      </c>
    </row>
    <row r="14" spans="1:8" s="8" customFormat="1" ht="19.5" customHeight="1">
      <c r="A14" s="143"/>
      <c r="B14" s="143">
        <v>80110</v>
      </c>
      <c r="C14" s="98"/>
      <c r="D14" s="42" t="s">
        <v>72</v>
      </c>
      <c r="E14" s="149">
        <f>SUM(E15)</f>
        <v>0</v>
      </c>
      <c r="F14" s="149">
        <f>SUM(F15)</f>
        <v>600</v>
      </c>
      <c r="G14" s="149">
        <f>SUM(G15)</f>
        <v>599.66</v>
      </c>
      <c r="H14" s="104">
        <f t="shared" si="0"/>
        <v>99.94333333333333</v>
      </c>
    </row>
    <row r="15" spans="1:8" s="8" customFormat="1" ht="19.5" customHeight="1">
      <c r="A15" s="143"/>
      <c r="B15" s="143"/>
      <c r="C15" s="98">
        <v>4210</v>
      </c>
      <c r="D15" s="42" t="s">
        <v>113</v>
      </c>
      <c r="E15" s="149">
        <v>0</v>
      </c>
      <c r="F15" s="104">
        <v>600</v>
      </c>
      <c r="G15" s="104">
        <v>599.66</v>
      </c>
      <c r="H15" s="104">
        <f t="shared" si="0"/>
        <v>99.94333333333333</v>
      </c>
    </row>
    <row r="16" spans="1:8" s="7" customFormat="1" ht="24.75" customHeight="1">
      <c r="A16" s="35" t="s">
        <v>84</v>
      </c>
      <c r="B16" s="5"/>
      <c r="C16" s="5"/>
      <c r="D16" s="19" t="s">
        <v>90</v>
      </c>
      <c r="E16" s="16">
        <f>E19</f>
        <v>45900</v>
      </c>
      <c r="F16" s="148">
        <f>SUM(F17,F19,F21,)</f>
        <v>57400</v>
      </c>
      <c r="G16" s="148">
        <f>SUM(G17,G19,G21,)</f>
        <v>55900</v>
      </c>
      <c r="H16" s="47">
        <f t="shared" si="0"/>
        <v>97.38675958188153</v>
      </c>
    </row>
    <row r="17" spans="1:8" s="24" customFormat="1" ht="24.75" customHeight="1">
      <c r="A17" s="83"/>
      <c r="B17" s="59">
        <v>92109</v>
      </c>
      <c r="C17" s="59"/>
      <c r="D17" s="14" t="s">
        <v>185</v>
      </c>
      <c r="E17" s="194">
        <f>SUM(E18)</f>
        <v>0</v>
      </c>
      <c r="F17" s="194">
        <f>SUM(F18)</f>
        <v>9500</v>
      </c>
      <c r="G17" s="194">
        <f>SUM(G18)</f>
        <v>8000</v>
      </c>
      <c r="H17" s="104">
        <f t="shared" si="0"/>
        <v>84.21052631578947</v>
      </c>
    </row>
    <row r="18" spans="1:8" s="24" customFormat="1" ht="24.75" customHeight="1">
      <c r="A18" s="83"/>
      <c r="B18" s="59"/>
      <c r="C18" s="59">
        <v>2480</v>
      </c>
      <c r="D18" s="14" t="s">
        <v>166</v>
      </c>
      <c r="E18" s="97">
        <v>0</v>
      </c>
      <c r="F18" s="97">
        <v>9500</v>
      </c>
      <c r="G18" s="97">
        <v>8000</v>
      </c>
      <c r="H18" s="104">
        <f t="shared" si="0"/>
        <v>84.21052631578947</v>
      </c>
    </row>
    <row r="19" spans="1:8" s="24" customFormat="1" ht="19.5" customHeight="1">
      <c r="A19" s="83"/>
      <c r="B19" s="83" t="s">
        <v>85</v>
      </c>
      <c r="C19" s="59"/>
      <c r="D19" s="14" t="s">
        <v>86</v>
      </c>
      <c r="E19" s="97">
        <f>E20</f>
        <v>45900</v>
      </c>
      <c r="F19" s="97">
        <f>F20</f>
        <v>45900</v>
      </c>
      <c r="G19" s="97">
        <f>G20</f>
        <v>45900</v>
      </c>
      <c r="H19" s="104">
        <f t="shared" si="0"/>
        <v>100</v>
      </c>
    </row>
    <row r="20" spans="1:8" s="24" customFormat="1" ht="24.75" customHeight="1">
      <c r="A20" s="83"/>
      <c r="B20" s="83"/>
      <c r="C20" s="59">
        <v>2480</v>
      </c>
      <c r="D20" s="14" t="s">
        <v>166</v>
      </c>
      <c r="E20" s="97">
        <v>45900</v>
      </c>
      <c r="F20" s="104">
        <v>45900</v>
      </c>
      <c r="G20" s="104">
        <v>45900</v>
      </c>
      <c r="H20" s="104">
        <f t="shared" si="0"/>
        <v>100</v>
      </c>
    </row>
    <row r="21" spans="1:8" s="24" customFormat="1" ht="19.5" customHeight="1">
      <c r="A21" s="83"/>
      <c r="B21" s="83">
        <v>92118</v>
      </c>
      <c r="C21" s="59"/>
      <c r="D21" s="14" t="s">
        <v>168</v>
      </c>
      <c r="E21" s="194">
        <f>SUM(E22)</f>
        <v>0</v>
      </c>
      <c r="F21" s="194">
        <f>SUM(F22)</f>
        <v>2000</v>
      </c>
      <c r="G21" s="194">
        <f>SUM(G22)</f>
        <v>2000</v>
      </c>
      <c r="H21" s="104">
        <f t="shared" si="0"/>
        <v>100</v>
      </c>
    </row>
    <row r="22" spans="1:8" s="24" customFormat="1" ht="24.75" customHeight="1">
      <c r="A22" s="83"/>
      <c r="B22" s="83"/>
      <c r="C22" s="59">
        <v>2480</v>
      </c>
      <c r="D22" s="14" t="s">
        <v>166</v>
      </c>
      <c r="E22" s="97">
        <v>0</v>
      </c>
      <c r="F22" s="104">
        <v>2000</v>
      </c>
      <c r="G22" s="104">
        <v>2000</v>
      </c>
      <c r="H22" s="104">
        <f t="shared" si="0"/>
        <v>100</v>
      </c>
    </row>
    <row r="23" spans="1:8" s="45" customFormat="1" ht="21.75" customHeight="1">
      <c r="A23" s="35">
        <v>926</v>
      </c>
      <c r="B23" s="35"/>
      <c r="C23" s="5"/>
      <c r="D23" s="40" t="s">
        <v>87</v>
      </c>
      <c r="E23" s="148">
        <f aca="true" t="shared" si="1" ref="E23:G24">SUM(E24)</f>
        <v>0</v>
      </c>
      <c r="F23" s="148">
        <f t="shared" si="1"/>
        <v>600</v>
      </c>
      <c r="G23" s="148">
        <f t="shared" si="1"/>
        <v>600</v>
      </c>
      <c r="H23" s="47">
        <f t="shared" si="0"/>
        <v>100</v>
      </c>
    </row>
    <row r="24" spans="1:8" s="24" customFormat="1" ht="24.75" customHeight="1">
      <c r="A24" s="83"/>
      <c r="B24" s="83">
        <v>92605</v>
      </c>
      <c r="C24" s="59"/>
      <c r="D24" s="14" t="s">
        <v>88</v>
      </c>
      <c r="E24" s="194">
        <f t="shared" si="1"/>
        <v>0</v>
      </c>
      <c r="F24" s="194">
        <f t="shared" si="1"/>
        <v>600</v>
      </c>
      <c r="G24" s="194">
        <f t="shared" si="1"/>
        <v>600</v>
      </c>
      <c r="H24" s="104">
        <f t="shared" si="0"/>
        <v>100</v>
      </c>
    </row>
    <row r="25" spans="1:8" s="24" customFormat="1" ht="19.5" customHeight="1">
      <c r="A25" s="83"/>
      <c r="B25" s="83"/>
      <c r="C25" s="59">
        <v>4300</v>
      </c>
      <c r="D25" s="42" t="s">
        <v>100</v>
      </c>
      <c r="E25" s="97">
        <v>0</v>
      </c>
      <c r="F25" s="104">
        <v>600</v>
      </c>
      <c r="G25" s="104">
        <v>600</v>
      </c>
      <c r="H25" s="104">
        <f t="shared" si="0"/>
        <v>100</v>
      </c>
    </row>
    <row r="26" spans="1:8" s="7" customFormat="1" ht="19.5" customHeight="1">
      <c r="A26" s="17"/>
      <c r="B26" s="17"/>
      <c r="C26" s="17"/>
      <c r="D26" s="5" t="s">
        <v>89</v>
      </c>
      <c r="E26" s="148">
        <f>SUM(E23,E16,E8,)</f>
        <v>48840</v>
      </c>
      <c r="F26" s="148">
        <f>SUM(F23,F16,F8,)</f>
        <v>62540</v>
      </c>
      <c r="G26" s="148">
        <f>SUM(G23,G16,G8,)</f>
        <v>60896.11</v>
      </c>
      <c r="H26" s="47">
        <f t="shared" si="0"/>
        <v>97.37145826670931</v>
      </c>
    </row>
    <row r="29" ht="12.75">
      <c r="E29" s="27"/>
    </row>
    <row r="30" ht="12.75">
      <c r="E30" s="27"/>
    </row>
    <row r="31" ht="12.75">
      <c r="E31" s="43"/>
    </row>
    <row r="32" ht="12.75">
      <c r="E32" s="27"/>
    </row>
    <row r="33" ht="12.75">
      <c r="E33" s="27"/>
    </row>
  </sheetData>
  <mergeCells count="8">
    <mergeCell ref="A5:G5"/>
    <mergeCell ref="A6:A7"/>
    <mergeCell ref="B6:B7"/>
    <mergeCell ref="C6:C7"/>
    <mergeCell ref="D6:D7"/>
    <mergeCell ref="E6:E7"/>
    <mergeCell ref="F6:F7"/>
    <mergeCell ref="G6:H6"/>
  </mergeCells>
  <printOptions horizontalCentered="1"/>
  <pageMargins left="0.57" right="0.7874015748031497" top="0.7874015748031497" bottom="0.7874015748031497" header="0.5118110236220472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3"/>
  <sheetViews>
    <sheetView workbookViewId="0" topLeftCell="A1">
      <selection activeCell="H7" sqref="H7"/>
    </sheetView>
  </sheetViews>
  <sheetFormatPr defaultColWidth="9.00390625" defaultRowHeight="12.75"/>
  <cols>
    <col min="1" max="1" width="7.25390625" style="8" customWidth="1"/>
    <col min="2" max="2" width="8.00390625" style="8" customWidth="1"/>
    <col min="3" max="3" width="6.375" style="8" customWidth="1"/>
    <col min="4" max="4" width="29.125" style="8" customWidth="1"/>
    <col min="5" max="5" width="13.125" style="8" customWidth="1"/>
    <col min="6" max="6" width="11.875" style="8" customWidth="1"/>
    <col min="7" max="7" width="8.625" style="177" customWidth="1"/>
  </cols>
  <sheetData>
    <row r="1" spans="5:7" ht="12.75">
      <c r="E1" s="353"/>
      <c r="F1" s="353" t="s">
        <v>575</v>
      </c>
      <c r="G1" s="353"/>
    </row>
    <row r="2" spans="5:7" ht="12.75">
      <c r="E2" s="353"/>
      <c r="F2" s="353" t="s">
        <v>562</v>
      </c>
      <c r="G2" s="353"/>
    </row>
    <row r="3" spans="5:7" ht="12.75">
      <c r="E3" s="353"/>
      <c r="F3" s="353" t="s">
        <v>515</v>
      </c>
      <c r="G3" s="353"/>
    </row>
    <row r="4" spans="5:7" ht="12.75">
      <c r="E4" s="353"/>
      <c r="F4" s="353" t="s">
        <v>564</v>
      </c>
      <c r="G4" s="353"/>
    </row>
    <row r="5" spans="1:6" ht="30" customHeight="1">
      <c r="A5" s="426" t="s">
        <v>535</v>
      </c>
      <c r="B5" s="426"/>
      <c r="C5" s="426"/>
      <c r="D5" s="426"/>
      <c r="E5" s="426"/>
      <c r="F5"/>
    </row>
    <row r="6" spans="1:6" ht="19.5" customHeight="1">
      <c r="A6" s="166"/>
      <c r="B6" s="166"/>
      <c r="C6" s="166"/>
      <c r="D6" s="166"/>
      <c r="E6" s="166"/>
      <c r="F6"/>
    </row>
    <row r="7" spans="1:7" ht="32.25" customHeight="1">
      <c r="A7" s="424" t="s">
        <v>324</v>
      </c>
      <c r="B7" s="424"/>
      <c r="C7" s="424"/>
      <c r="D7" s="424"/>
      <c r="E7" s="424"/>
      <c r="F7" s="424"/>
      <c r="G7" s="424"/>
    </row>
    <row r="8" spans="1:7" ht="24.75" customHeight="1">
      <c r="A8" s="12" t="s">
        <v>12</v>
      </c>
      <c r="B8" s="12" t="s">
        <v>13</v>
      </c>
      <c r="C8" s="12" t="s">
        <v>14</v>
      </c>
      <c r="D8" s="12" t="s">
        <v>15</v>
      </c>
      <c r="E8" s="167" t="s">
        <v>170</v>
      </c>
      <c r="F8" s="167" t="s">
        <v>0</v>
      </c>
      <c r="G8" s="181" t="s">
        <v>2</v>
      </c>
    </row>
    <row r="9" spans="1:7" s="8" customFormat="1" ht="27.75" customHeight="1">
      <c r="A9" s="35" t="s">
        <v>151</v>
      </c>
      <c r="B9" s="6"/>
      <c r="C9" s="5"/>
      <c r="D9" s="19" t="s">
        <v>82</v>
      </c>
      <c r="E9" s="16">
        <f>SUM(E10)</f>
        <v>90000</v>
      </c>
      <c r="F9" s="16">
        <f>SUM(F10)</f>
        <v>128287.03</v>
      </c>
      <c r="G9" s="34">
        <f>F9/E9*100</f>
        <v>142.54114444444443</v>
      </c>
    </row>
    <row r="10" spans="1:7" s="8" customFormat="1" ht="30" customHeight="1">
      <c r="A10" s="3"/>
      <c r="B10" s="168">
        <v>90011</v>
      </c>
      <c r="C10" s="4"/>
      <c r="D10" s="169" t="s">
        <v>325</v>
      </c>
      <c r="E10" s="162">
        <f>SUM(E11:E12)</f>
        <v>90000</v>
      </c>
      <c r="F10" s="162">
        <f>SUM(F11:F12)</f>
        <v>128287.03</v>
      </c>
      <c r="G10" s="9">
        <f>F10/E10*100</f>
        <v>142.54114444444443</v>
      </c>
    </row>
    <row r="11" spans="1:7" s="28" customFormat="1" ht="21.75" customHeight="1">
      <c r="A11" s="111"/>
      <c r="B11" s="51"/>
      <c r="C11" s="52"/>
      <c r="D11" s="57" t="s">
        <v>326</v>
      </c>
      <c r="E11" s="58">
        <v>0</v>
      </c>
      <c r="F11" s="58">
        <v>1572</v>
      </c>
      <c r="G11" s="171">
        <v>0</v>
      </c>
    </row>
    <row r="12" spans="1:7" s="8" customFormat="1" ht="21.75" customHeight="1">
      <c r="A12" s="3"/>
      <c r="B12" s="168"/>
      <c r="C12" s="172" t="s">
        <v>223</v>
      </c>
      <c r="D12" s="169" t="s">
        <v>177</v>
      </c>
      <c r="E12" s="162">
        <v>90000</v>
      </c>
      <c r="F12" s="162">
        <v>126715.03</v>
      </c>
      <c r="G12" s="9">
        <f>F12/E12*100</f>
        <v>140.7944777777778</v>
      </c>
    </row>
    <row r="13" spans="1:7" ht="22.5" customHeight="1">
      <c r="A13" s="173"/>
      <c r="B13" s="17"/>
      <c r="C13" s="17"/>
      <c r="D13" s="12" t="s">
        <v>89</v>
      </c>
      <c r="E13" s="16">
        <f>SUM(E9)</f>
        <v>90000</v>
      </c>
      <c r="F13" s="16">
        <f>SUM(F9)</f>
        <v>128287.03</v>
      </c>
      <c r="G13" s="34">
        <f>F13/E13*100</f>
        <v>142.54114444444443</v>
      </c>
    </row>
    <row r="14" ht="18.75" customHeight="1"/>
    <row r="15" spans="1:7" ht="28.5" customHeight="1">
      <c r="A15" s="425" t="s">
        <v>525</v>
      </c>
      <c r="B15" s="425"/>
      <c r="C15" s="425"/>
      <c r="D15" s="425"/>
      <c r="E15" s="425"/>
      <c r="F15" s="425"/>
      <c r="G15" s="425"/>
    </row>
    <row r="16" spans="1:7" ht="24.75" customHeight="1">
      <c r="A16" s="12" t="s">
        <v>12</v>
      </c>
      <c r="B16" s="12" t="s">
        <v>13</v>
      </c>
      <c r="C16" s="12" t="s">
        <v>14</v>
      </c>
      <c r="D16" s="12" t="s">
        <v>15</v>
      </c>
      <c r="E16" s="167" t="s">
        <v>170</v>
      </c>
      <c r="F16" s="167" t="s">
        <v>506</v>
      </c>
      <c r="G16" s="181" t="s">
        <v>2</v>
      </c>
    </row>
    <row r="17" spans="1:7" s="8" customFormat="1" ht="29.25" customHeight="1">
      <c r="A17" s="35" t="s">
        <v>151</v>
      </c>
      <c r="B17" s="6"/>
      <c r="C17" s="5"/>
      <c r="D17" s="19" t="s">
        <v>82</v>
      </c>
      <c r="E17" s="16">
        <f>SUM(E18)</f>
        <v>90000</v>
      </c>
      <c r="F17" s="16">
        <f>SUM(F18)</f>
        <v>66367.12999999999</v>
      </c>
      <c r="G17" s="34">
        <f>F17/E17*100</f>
        <v>73.74125555555554</v>
      </c>
    </row>
    <row r="18" spans="1:7" s="8" customFormat="1" ht="29.25" customHeight="1">
      <c r="A18" s="3"/>
      <c r="B18" s="168">
        <v>90011</v>
      </c>
      <c r="C18" s="4"/>
      <c r="D18" s="169" t="s">
        <v>325</v>
      </c>
      <c r="E18" s="162">
        <f>SUM(E19,E24)</f>
        <v>90000</v>
      </c>
      <c r="F18" s="162">
        <f>SUM(F19,F24)</f>
        <v>66367.12999999999</v>
      </c>
      <c r="G18" s="9">
        <f aca="true" t="shared" si="0" ref="G18:G32">F18/E18*100</f>
        <v>73.74125555555554</v>
      </c>
    </row>
    <row r="19" spans="1:7" s="8" customFormat="1" ht="21.75" customHeight="1">
      <c r="A19" s="3"/>
      <c r="B19" s="168"/>
      <c r="C19" s="4">
        <v>4210</v>
      </c>
      <c r="D19" s="169" t="s">
        <v>93</v>
      </c>
      <c r="E19" s="162">
        <f>SUM(E20:E23)</f>
        <v>8500</v>
      </c>
      <c r="F19" s="162">
        <f>SUM(F20:F23)</f>
        <v>5835.4400000000005</v>
      </c>
      <c r="G19" s="9">
        <f t="shared" si="0"/>
        <v>68.65223529411766</v>
      </c>
    </row>
    <row r="20" spans="1:7" s="28" customFormat="1" ht="21.75" customHeight="1">
      <c r="A20" s="111"/>
      <c r="B20" s="51"/>
      <c r="C20" s="312"/>
      <c r="D20" s="57" t="s">
        <v>327</v>
      </c>
      <c r="E20" s="58">
        <v>2000</v>
      </c>
      <c r="F20" s="58">
        <v>507.5</v>
      </c>
      <c r="G20" s="171">
        <f t="shared" si="0"/>
        <v>25.374999999999996</v>
      </c>
    </row>
    <row r="21" spans="1:7" s="28" customFormat="1" ht="21.75" customHeight="1">
      <c r="A21" s="111"/>
      <c r="B21" s="51"/>
      <c r="C21" s="312"/>
      <c r="D21" s="57" t="s">
        <v>328</v>
      </c>
      <c r="E21" s="58">
        <v>2000</v>
      </c>
      <c r="F21" s="58">
        <f>1874+1065</f>
        <v>2939</v>
      </c>
      <c r="G21" s="171">
        <f t="shared" si="0"/>
        <v>146.95</v>
      </c>
    </row>
    <row r="22" spans="1:7" s="28" customFormat="1" ht="21.75" customHeight="1">
      <c r="A22" s="111"/>
      <c r="B22" s="51"/>
      <c r="C22" s="312"/>
      <c r="D22" s="57" t="s">
        <v>329</v>
      </c>
      <c r="E22" s="58">
        <v>2500</v>
      </c>
      <c r="F22" s="58">
        <v>606.63</v>
      </c>
      <c r="G22" s="171">
        <f t="shared" si="0"/>
        <v>24.2652</v>
      </c>
    </row>
    <row r="23" spans="1:7" s="28" customFormat="1" ht="21.75" customHeight="1">
      <c r="A23" s="111"/>
      <c r="B23" s="51"/>
      <c r="C23" s="312"/>
      <c r="D23" s="57" t="s">
        <v>330</v>
      </c>
      <c r="E23" s="58">
        <v>2000</v>
      </c>
      <c r="F23" s="58">
        <v>1782.31</v>
      </c>
      <c r="G23" s="171">
        <f t="shared" si="0"/>
        <v>89.1155</v>
      </c>
    </row>
    <row r="24" spans="1:7" s="8" customFormat="1" ht="21.75" customHeight="1">
      <c r="A24" s="3"/>
      <c r="B24" s="168"/>
      <c r="C24" s="172">
        <v>4300</v>
      </c>
      <c r="D24" s="169" t="s">
        <v>100</v>
      </c>
      <c r="E24" s="162">
        <f>SUM(E25:E31)</f>
        <v>81500</v>
      </c>
      <c r="F24" s="162">
        <f>SUM(F25:F31)</f>
        <v>60531.689999999995</v>
      </c>
      <c r="G24" s="9">
        <f t="shared" si="0"/>
        <v>74.27201226993864</v>
      </c>
    </row>
    <row r="25" spans="1:9" s="28" customFormat="1" ht="21.75" customHeight="1">
      <c r="A25" s="111"/>
      <c r="B25" s="51"/>
      <c r="C25" s="312"/>
      <c r="D25" s="57" t="s">
        <v>331</v>
      </c>
      <c r="E25" s="58">
        <v>60300</v>
      </c>
      <c r="F25" s="58">
        <f>54397.46+520.02</f>
        <v>54917.479999999996</v>
      </c>
      <c r="G25" s="171">
        <f t="shared" si="0"/>
        <v>91.07376451077943</v>
      </c>
      <c r="I25" s="313"/>
    </row>
    <row r="26" spans="1:7" s="28" customFormat="1" ht="21.75" customHeight="1" hidden="1">
      <c r="A26" s="111"/>
      <c r="B26" s="51"/>
      <c r="C26" s="312"/>
      <c r="D26" s="57" t="s">
        <v>332</v>
      </c>
      <c r="E26" s="58">
        <v>0</v>
      </c>
      <c r="F26" s="58"/>
      <c r="G26" s="171" t="e">
        <f t="shared" si="0"/>
        <v>#DIV/0!</v>
      </c>
    </row>
    <row r="27" spans="1:7" s="28" customFormat="1" ht="21.75" customHeight="1" hidden="1">
      <c r="A27" s="111"/>
      <c r="B27" s="51"/>
      <c r="C27" s="312"/>
      <c r="D27" s="57" t="s">
        <v>333</v>
      </c>
      <c r="E27" s="58">
        <v>0</v>
      </c>
      <c r="F27" s="58"/>
      <c r="G27" s="171" t="e">
        <f t="shared" si="0"/>
        <v>#DIV/0!</v>
      </c>
    </row>
    <row r="28" spans="1:7" s="28" customFormat="1" ht="21.75" customHeight="1">
      <c r="A28" s="111"/>
      <c r="B28" s="51"/>
      <c r="C28" s="312"/>
      <c r="D28" s="57" t="s">
        <v>334</v>
      </c>
      <c r="E28" s="58">
        <v>6000</v>
      </c>
      <c r="F28" s="58">
        <f>2628.75+30</f>
        <v>2658.75</v>
      </c>
      <c r="G28" s="171">
        <f t="shared" si="0"/>
        <v>44.3125</v>
      </c>
    </row>
    <row r="29" spans="1:7" s="28" customFormat="1" ht="21.75" customHeight="1">
      <c r="A29" s="111"/>
      <c r="B29" s="51"/>
      <c r="C29" s="312"/>
      <c r="D29" s="57" t="s">
        <v>335</v>
      </c>
      <c r="E29" s="58">
        <v>5000</v>
      </c>
      <c r="F29" s="58">
        <v>2381.5</v>
      </c>
      <c r="G29" s="171">
        <f t="shared" si="0"/>
        <v>47.63</v>
      </c>
    </row>
    <row r="30" spans="1:7" s="28" customFormat="1" ht="24.75" customHeight="1">
      <c r="A30" s="111"/>
      <c r="B30" s="52"/>
      <c r="C30" s="52"/>
      <c r="D30" s="57" t="s">
        <v>336</v>
      </c>
      <c r="E30" s="58">
        <v>10000</v>
      </c>
      <c r="F30" s="58">
        <v>573.96</v>
      </c>
      <c r="G30" s="171">
        <f t="shared" si="0"/>
        <v>5.7396</v>
      </c>
    </row>
    <row r="31" spans="1:7" s="28" customFormat="1" ht="19.5" customHeight="1">
      <c r="A31" s="111"/>
      <c r="B31" s="52"/>
      <c r="C31" s="52"/>
      <c r="D31" s="57" t="s">
        <v>337</v>
      </c>
      <c r="E31" s="58">
        <v>200</v>
      </c>
      <c r="F31" s="58">
        <v>0</v>
      </c>
      <c r="G31" s="171">
        <f t="shared" si="0"/>
        <v>0</v>
      </c>
    </row>
    <row r="32" spans="1:7" ht="21.75" customHeight="1">
      <c r="A32" s="173"/>
      <c r="B32" s="17"/>
      <c r="C32" s="4"/>
      <c r="D32" s="12" t="s">
        <v>89</v>
      </c>
      <c r="E32" s="16">
        <f>SUM(E18)</f>
        <v>90000</v>
      </c>
      <c r="F32" s="16">
        <f>SUM(F18)</f>
        <v>66367.12999999999</v>
      </c>
      <c r="G32" s="34">
        <f t="shared" si="0"/>
        <v>73.74125555555554</v>
      </c>
    </row>
    <row r="33" spans="1:7" ht="21.75" customHeight="1">
      <c r="A33" s="174"/>
      <c r="B33" s="175"/>
      <c r="C33" s="170"/>
      <c r="D33" s="176" t="s">
        <v>338</v>
      </c>
      <c r="E33" s="16">
        <f>SUM(E13-E32)</f>
        <v>0</v>
      </c>
      <c r="F33" s="16">
        <f>SUM(F13-F32)</f>
        <v>61919.90000000001</v>
      </c>
      <c r="G33" s="34">
        <v>0</v>
      </c>
    </row>
  </sheetData>
  <mergeCells count="3">
    <mergeCell ref="A7:G7"/>
    <mergeCell ref="A15:G15"/>
    <mergeCell ref="A5:E5"/>
  </mergeCells>
  <printOptions horizontalCentered="1"/>
  <pageMargins left="0.74" right="0.64" top="0.7874015748031497" bottom="0.7874015748031497" header="0.5118110236220472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66"/>
  <sheetViews>
    <sheetView workbookViewId="0" topLeftCell="A55">
      <selection activeCell="L26" sqref="K26:L26"/>
    </sheetView>
  </sheetViews>
  <sheetFormatPr defaultColWidth="9.00390625" defaultRowHeight="12.75"/>
  <cols>
    <col min="1" max="1" width="5.375" style="8" customWidth="1"/>
    <col min="2" max="2" width="7.25390625" style="8" bestFit="1" customWidth="1"/>
    <col min="3" max="3" width="5.00390625" style="8" customWidth="1"/>
    <col min="4" max="4" width="31.375" style="8" customWidth="1"/>
    <col min="5" max="5" width="11.375" style="0" customWidth="1"/>
    <col min="6" max="6" width="11.25390625" style="0" bestFit="1" customWidth="1"/>
    <col min="7" max="7" width="13.25390625" style="0" customWidth="1"/>
    <col min="8" max="8" width="7.125" style="0" customWidth="1"/>
  </cols>
  <sheetData>
    <row r="1" spans="5:8" ht="12.75">
      <c r="E1" s="118"/>
      <c r="F1" s="350"/>
      <c r="G1" s="353" t="s">
        <v>572</v>
      </c>
      <c r="H1" s="350"/>
    </row>
    <row r="2" spans="5:8" ht="12.75">
      <c r="E2" s="118"/>
      <c r="F2" s="350"/>
      <c r="G2" s="353" t="s">
        <v>562</v>
      </c>
      <c r="H2" s="350"/>
    </row>
    <row r="3" spans="5:8" ht="12.75">
      <c r="E3" s="118"/>
      <c r="F3" s="350"/>
      <c r="G3" s="353" t="s">
        <v>515</v>
      </c>
      <c r="H3" s="350"/>
    </row>
    <row r="4" spans="5:8" ht="12.75">
      <c r="E4" s="118"/>
      <c r="F4" s="350"/>
      <c r="G4" s="353" t="s">
        <v>564</v>
      </c>
      <c r="H4" s="350"/>
    </row>
    <row r="5" spans="1:8" ht="37.5" customHeight="1">
      <c r="A5" s="434" t="s">
        <v>534</v>
      </c>
      <c r="B5" s="434"/>
      <c r="C5" s="434"/>
      <c r="D5" s="434"/>
      <c r="E5" s="434"/>
      <c r="F5" s="434"/>
      <c r="G5" s="434"/>
      <c r="H5" s="434"/>
    </row>
    <row r="6" spans="1:4" ht="14.25" customHeight="1">
      <c r="A6" s="132"/>
      <c r="B6" s="132"/>
      <c r="C6" s="132"/>
      <c r="D6" s="132"/>
    </row>
    <row r="7" spans="1:8" ht="20.25" customHeight="1">
      <c r="A7" s="427" t="s">
        <v>520</v>
      </c>
      <c r="B7" s="427"/>
      <c r="C7" s="427"/>
      <c r="D7" s="427"/>
      <c r="E7" s="427"/>
      <c r="F7" s="427"/>
      <c r="G7" s="427"/>
      <c r="H7" s="427"/>
    </row>
    <row r="8" spans="1:8" ht="18" customHeight="1">
      <c r="A8" s="430" t="s">
        <v>12</v>
      </c>
      <c r="B8" s="430" t="s">
        <v>13</v>
      </c>
      <c r="C8" s="430" t="s">
        <v>14</v>
      </c>
      <c r="D8" s="430" t="s">
        <v>15</v>
      </c>
      <c r="E8" s="372" t="s">
        <v>171</v>
      </c>
      <c r="F8" s="372" t="s">
        <v>511</v>
      </c>
      <c r="G8" s="373" t="s">
        <v>0</v>
      </c>
      <c r="H8" s="373"/>
    </row>
    <row r="9" spans="1:8" s="133" customFormat="1" ht="18" customHeight="1">
      <c r="A9" s="431"/>
      <c r="B9" s="431"/>
      <c r="C9" s="431"/>
      <c r="D9" s="431"/>
      <c r="E9" s="372"/>
      <c r="F9" s="372"/>
      <c r="G9" s="119" t="s">
        <v>1</v>
      </c>
      <c r="H9" s="2" t="s">
        <v>2</v>
      </c>
    </row>
    <row r="10" spans="1:8" s="25" customFormat="1" ht="48">
      <c r="A10" s="2">
        <v>756</v>
      </c>
      <c r="B10" s="2"/>
      <c r="C10" s="2"/>
      <c r="D10" s="49" t="s">
        <v>43</v>
      </c>
      <c r="E10" s="34">
        <f aca="true" t="shared" si="0" ref="E10:G11">SUM(E11)</f>
        <v>290000</v>
      </c>
      <c r="F10" s="34">
        <f t="shared" si="0"/>
        <v>315710</v>
      </c>
      <c r="G10" s="34">
        <f t="shared" si="0"/>
        <v>317461.99</v>
      </c>
      <c r="H10" s="34">
        <f>G10/F10*100</f>
        <v>100.55493649235056</v>
      </c>
    </row>
    <row r="11" spans="1:8" s="137" customFormat="1" ht="33.75">
      <c r="A11" s="63"/>
      <c r="B11" s="59">
        <v>75618</v>
      </c>
      <c r="C11" s="63"/>
      <c r="D11" s="50" t="s">
        <v>178</v>
      </c>
      <c r="E11" s="124">
        <f t="shared" si="0"/>
        <v>290000</v>
      </c>
      <c r="F11" s="124">
        <f t="shared" si="0"/>
        <v>315710</v>
      </c>
      <c r="G11" s="124">
        <f t="shared" si="0"/>
        <v>317461.99</v>
      </c>
      <c r="H11" s="124">
        <f>G11/F11*100</f>
        <v>100.55493649235056</v>
      </c>
    </row>
    <row r="12" spans="1:8" s="137" customFormat="1" ht="27" customHeight="1">
      <c r="A12" s="63"/>
      <c r="B12" s="63"/>
      <c r="C12" s="138" t="s">
        <v>217</v>
      </c>
      <c r="D12" s="50" t="s">
        <v>75</v>
      </c>
      <c r="E12" s="124">
        <v>290000</v>
      </c>
      <c r="F12" s="285">
        <v>315710</v>
      </c>
      <c r="G12" s="124">
        <v>317461.99</v>
      </c>
      <c r="H12" s="124">
        <f>G12/F12*100</f>
        <v>100.55493649235056</v>
      </c>
    </row>
    <row r="13" spans="1:8" s="1" customFormat="1" ht="21" customHeight="1">
      <c r="A13" s="48"/>
      <c r="B13" s="48"/>
      <c r="C13" s="48"/>
      <c r="D13" s="2" t="s">
        <v>89</v>
      </c>
      <c r="E13" s="34">
        <f>SUM(E10)</f>
        <v>290000</v>
      </c>
      <c r="F13" s="34">
        <f>SUM(F10)</f>
        <v>315710</v>
      </c>
      <c r="G13" s="34">
        <f>SUM(G10)</f>
        <v>317461.99</v>
      </c>
      <c r="H13" s="34">
        <f>G13/F13*100</f>
        <v>100.55493649235056</v>
      </c>
    </row>
    <row r="14" spans="1:7" s="1" customFormat="1" ht="22.5" customHeight="1">
      <c r="A14" s="134"/>
      <c r="B14" s="134"/>
      <c r="C14" s="134"/>
      <c r="D14" s="135"/>
      <c r="E14" s="136"/>
      <c r="F14" s="136"/>
      <c r="G14" s="136"/>
    </row>
    <row r="15" spans="1:8" ht="30.75" customHeight="1">
      <c r="A15" s="427" t="s">
        <v>519</v>
      </c>
      <c r="B15" s="427"/>
      <c r="C15" s="427"/>
      <c r="D15" s="427"/>
      <c r="E15" s="427"/>
      <c r="F15" s="427"/>
      <c r="G15" s="427"/>
      <c r="H15" s="427"/>
    </row>
    <row r="16" spans="1:8" ht="18" customHeight="1">
      <c r="A16" s="430" t="s">
        <v>12</v>
      </c>
      <c r="B16" s="430" t="s">
        <v>13</v>
      </c>
      <c r="C16" s="430" t="s">
        <v>14</v>
      </c>
      <c r="D16" s="432" t="s">
        <v>15</v>
      </c>
      <c r="E16" s="372" t="s">
        <v>171</v>
      </c>
      <c r="F16" s="372" t="s">
        <v>511</v>
      </c>
      <c r="G16" s="428" t="s">
        <v>0</v>
      </c>
      <c r="H16" s="429"/>
    </row>
    <row r="17" spans="1:8" s="140" customFormat="1" ht="18" customHeight="1">
      <c r="A17" s="431"/>
      <c r="B17" s="431"/>
      <c r="C17" s="431"/>
      <c r="D17" s="433"/>
      <c r="E17" s="372"/>
      <c r="F17" s="372"/>
      <c r="G17" s="119" t="s">
        <v>1</v>
      </c>
      <c r="H17" s="286" t="s">
        <v>2</v>
      </c>
    </row>
    <row r="18" spans="1:9" s="140" customFormat="1" ht="21.75" customHeight="1">
      <c r="A18" s="2">
        <v>750</v>
      </c>
      <c r="B18" s="2"/>
      <c r="C18" s="2"/>
      <c r="D18" s="150" t="s">
        <v>31</v>
      </c>
      <c r="E18" s="148">
        <f aca="true" t="shared" si="1" ref="E18:G19">SUM(E19)</f>
        <v>0</v>
      </c>
      <c r="F18" s="148">
        <f t="shared" si="1"/>
        <v>3542</v>
      </c>
      <c r="G18" s="148">
        <f t="shared" si="1"/>
        <v>3542</v>
      </c>
      <c r="H18" s="47">
        <f>G18/F18*100</f>
        <v>100</v>
      </c>
      <c r="I18" s="368"/>
    </row>
    <row r="19" spans="1:9" s="209" customFormat="1" ht="24.75" customHeight="1">
      <c r="A19" s="63"/>
      <c r="B19" s="63">
        <v>75023</v>
      </c>
      <c r="C19" s="63"/>
      <c r="D19" s="42" t="s">
        <v>34</v>
      </c>
      <c r="E19" s="194">
        <f t="shared" si="1"/>
        <v>0</v>
      </c>
      <c r="F19" s="194">
        <f t="shared" si="1"/>
        <v>3542</v>
      </c>
      <c r="G19" s="194">
        <f t="shared" si="1"/>
        <v>3542</v>
      </c>
      <c r="H19" s="104">
        <f aca="true" t="shared" si="2" ref="H19:H66">G19/F19*100</f>
        <v>100</v>
      </c>
      <c r="I19" s="368"/>
    </row>
    <row r="20" spans="1:9" s="209" customFormat="1" ht="19.5" customHeight="1">
      <c r="A20" s="63"/>
      <c r="B20" s="63"/>
      <c r="C20" s="63">
        <v>4010</v>
      </c>
      <c r="D20" s="42" t="s">
        <v>105</v>
      </c>
      <c r="E20" s="195">
        <v>0</v>
      </c>
      <c r="F20" s="195">
        <v>3542</v>
      </c>
      <c r="G20" s="195">
        <v>3542</v>
      </c>
      <c r="H20" s="104">
        <f t="shared" si="2"/>
        <v>100</v>
      </c>
      <c r="I20" s="368"/>
    </row>
    <row r="21" spans="1:9" s="144" customFormat="1" ht="19.5" customHeight="1">
      <c r="A21" s="2">
        <v>851</v>
      </c>
      <c r="B21" s="2"/>
      <c r="C21" s="2"/>
      <c r="D21" s="145" t="s">
        <v>278</v>
      </c>
      <c r="E21" s="146">
        <f>E24+E22</f>
        <v>118720</v>
      </c>
      <c r="F21" s="146">
        <f>F24+F22</f>
        <v>135370</v>
      </c>
      <c r="G21" s="146">
        <f>G24+G22</f>
        <v>122600.96</v>
      </c>
      <c r="H21" s="47">
        <f t="shared" si="2"/>
        <v>90.56730442490951</v>
      </c>
      <c r="I21" s="368"/>
    </row>
    <row r="22" spans="1:9" s="287" customFormat="1" ht="19.5" customHeight="1">
      <c r="A22" s="178"/>
      <c r="B22" s="63">
        <v>85153</v>
      </c>
      <c r="C22" s="178"/>
      <c r="D22" s="62" t="s">
        <v>283</v>
      </c>
      <c r="E22" s="195">
        <f>SUM(E23:E23)</f>
        <v>20000</v>
      </c>
      <c r="F22" s="195">
        <f>SUM(F23:F23)</f>
        <v>20000</v>
      </c>
      <c r="G22" s="195">
        <f>SUM(G23:G23)</f>
        <v>20000</v>
      </c>
      <c r="H22" s="104">
        <f t="shared" si="2"/>
        <v>100</v>
      </c>
      <c r="I22" s="368"/>
    </row>
    <row r="23" spans="1:9" s="287" customFormat="1" ht="24.75" customHeight="1">
      <c r="A23" s="178"/>
      <c r="B23" s="178"/>
      <c r="C23" s="59">
        <v>6060</v>
      </c>
      <c r="D23" s="42" t="s">
        <v>117</v>
      </c>
      <c r="E23" s="195">
        <v>20000</v>
      </c>
      <c r="F23" s="195">
        <v>20000</v>
      </c>
      <c r="G23" s="195">
        <v>20000</v>
      </c>
      <c r="H23" s="104">
        <f t="shared" si="2"/>
        <v>100</v>
      </c>
      <c r="I23" s="368"/>
    </row>
    <row r="24" spans="1:9" s="24" customFormat="1" ht="19.5" customHeight="1">
      <c r="A24" s="83"/>
      <c r="B24" s="83" t="s">
        <v>142</v>
      </c>
      <c r="C24" s="59"/>
      <c r="D24" s="14" t="s">
        <v>74</v>
      </c>
      <c r="E24" s="97">
        <f>SUM(E25:E35)</f>
        <v>98720</v>
      </c>
      <c r="F24" s="195">
        <f>SUM(F25:F35)</f>
        <v>115370</v>
      </c>
      <c r="G24" s="195">
        <f>SUM(G25:G35)</f>
        <v>102600.96</v>
      </c>
      <c r="H24" s="104">
        <f t="shared" si="2"/>
        <v>88.93209673225275</v>
      </c>
      <c r="I24" s="368"/>
    </row>
    <row r="25" spans="1:9" s="24" customFormat="1" ht="33.75">
      <c r="A25" s="83"/>
      <c r="B25" s="83"/>
      <c r="C25" s="59">
        <v>2630</v>
      </c>
      <c r="D25" s="14" t="s">
        <v>293</v>
      </c>
      <c r="E25" s="97">
        <f>10000+16000+40000</f>
        <v>66000</v>
      </c>
      <c r="F25" s="195">
        <v>0</v>
      </c>
      <c r="G25" s="97">
        <v>0</v>
      </c>
      <c r="H25" s="104">
        <v>0</v>
      </c>
      <c r="I25" s="368"/>
    </row>
    <row r="26" spans="1:9" s="24" customFormat="1" ht="45">
      <c r="A26" s="83"/>
      <c r="B26" s="83"/>
      <c r="C26" s="59">
        <v>2710</v>
      </c>
      <c r="D26" s="42" t="s">
        <v>430</v>
      </c>
      <c r="E26" s="97">
        <v>0</v>
      </c>
      <c r="F26" s="195">
        <v>11551</v>
      </c>
      <c r="G26" s="97">
        <v>11551</v>
      </c>
      <c r="H26" s="104">
        <f t="shared" si="2"/>
        <v>100</v>
      </c>
      <c r="I26" s="368"/>
    </row>
    <row r="27" spans="1:9" s="24" customFormat="1" ht="33.75">
      <c r="A27" s="83"/>
      <c r="B27" s="83"/>
      <c r="C27" s="98">
        <v>2820</v>
      </c>
      <c r="D27" s="42" t="s">
        <v>403</v>
      </c>
      <c r="E27" s="97">
        <v>0</v>
      </c>
      <c r="F27" s="195">
        <v>7953</v>
      </c>
      <c r="G27" s="97">
        <v>7953</v>
      </c>
      <c r="H27" s="104">
        <f t="shared" si="2"/>
        <v>100</v>
      </c>
      <c r="I27" s="368"/>
    </row>
    <row r="28" spans="1:9" s="24" customFormat="1" ht="56.25">
      <c r="A28" s="83"/>
      <c r="B28" s="83"/>
      <c r="C28" s="98">
        <v>2830</v>
      </c>
      <c r="D28" s="42" t="s">
        <v>402</v>
      </c>
      <c r="E28" s="97">
        <v>0</v>
      </c>
      <c r="F28" s="195">
        <v>39147</v>
      </c>
      <c r="G28" s="97">
        <v>39147</v>
      </c>
      <c r="H28" s="104">
        <f t="shared" si="2"/>
        <v>100</v>
      </c>
      <c r="I28" s="368"/>
    </row>
    <row r="29" spans="1:9" s="24" customFormat="1" ht="19.5" customHeight="1">
      <c r="A29" s="83"/>
      <c r="B29" s="83"/>
      <c r="C29" s="98">
        <v>4110</v>
      </c>
      <c r="D29" s="42" t="s">
        <v>107</v>
      </c>
      <c r="E29" s="97">
        <v>0</v>
      </c>
      <c r="F29" s="195">
        <v>338</v>
      </c>
      <c r="G29" s="97">
        <v>413.97</v>
      </c>
      <c r="H29" s="104">
        <f t="shared" si="2"/>
        <v>122.47633136094676</v>
      </c>
      <c r="I29" s="368"/>
    </row>
    <row r="30" spans="1:9" s="24" customFormat="1" ht="19.5" customHeight="1">
      <c r="A30" s="83"/>
      <c r="B30" s="59"/>
      <c r="C30" s="59">
        <v>4170</v>
      </c>
      <c r="D30" s="14" t="s">
        <v>235</v>
      </c>
      <c r="E30" s="104">
        <v>16000</v>
      </c>
      <c r="F30" s="195">
        <v>21616</v>
      </c>
      <c r="G30" s="104">
        <v>18526.24</v>
      </c>
      <c r="H30" s="104">
        <f t="shared" si="2"/>
        <v>85.70614359733531</v>
      </c>
      <c r="I30" s="368"/>
    </row>
    <row r="31" spans="1:9" s="24" customFormat="1" ht="19.5" customHeight="1">
      <c r="A31" s="83"/>
      <c r="B31" s="59"/>
      <c r="C31" s="59">
        <v>4210</v>
      </c>
      <c r="D31" s="14" t="s">
        <v>113</v>
      </c>
      <c r="E31" s="104">
        <v>0</v>
      </c>
      <c r="F31" s="195">
        <v>13343</v>
      </c>
      <c r="G31" s="104">
        <v>11242.83</v>
      </c>
      <c r="H31" s="104">
        <f t="shared" si="2"/>
        <v>84.2601364011092</v>
      </c>
      <c r="I31" s="368"/>
    </row>
    <row r="32" spans="1:9" s="24" customFormat="1" ht="19.5" customHeight="1">
      <c r="A32" s="83"/>
      <c r="B32" s="59"/>
      <c r="C32" s="59">
        <v>4220</v>
      </c>
      <c r="D32" s="14" t="s">
        <v>219</v>
      </c>
      <c r="E32" s="104">
        <v>0</v>
      </c>
      <c r="F32" s="195">
        <v>2000</v>
      </c>
      <c r="G32" s="104">
        <v>1015.08</v>
      </c>
      <c r="H32" s="104">
        <f t="shared" si="2"/>
        <v>50.754</v>
      </c>
      <c r="I32" s="368"/>
    </row>
    <row r="33" spans="1:9" s="24" customFormat="1" ht="19.5" customHeight="1">
      <c r="A33" s="83"/>
      <c r="B33" s="59"/>
      <c r="C33" s="59">
        <v>4300</v>
      </c>
      <c r="D33" s="14" t="s">
        <v>100</v>
      </c>
      <c r="E33" s="104">
        <f>10000+11000+4000+16000+860+40000+860-10000-16000-40000</f>
        <v>16720</v>
      </c>
      <c r="F33" s="195">
        <v>16850</v>
      </c>
      <c r="G33" s="104">
        <v>12158.59</v>
      </c>
      <c r="H33" s="104">
        <f t="shared" si="2"/>
        <v>72.15780415430267</v>
      </c>
      <c r="I33" s="368"/>
    </row>
    <row r="34" spans="1:9" s="24" customFormat="1" ht="19.5" customHeight="1">
      <c r="A34" s="83"/>
      <c r="B34" s="59"/>
      <c r="C34" s="59">
        <v>4350</v>
      </c>
      <c r="D34" s="14" t="s">
        <v>258</v>
      </c>
      <c r="E34" s="104">
        <v>0</v>
      </c>
      <c r="F34" s="195">
        <v>672</v>
      </c>
      <c r="G34" s="104">
        <v>145.02</v>
      </c>
      <c r="H34" s="104">
        <f t="shared" si="2"/>
        <v>21.580357142857146</v>
      </c>
      <c r="I34" s="368"/>
    </row>
    <row r="35" spans="1:9" s="24" customFormat="1" ht="19.5" customHeight="1">
      <c r="A35" s="83"/>
      <c r="B35" s="59"/>
      <c r="C35" s="59">
        <v>4410</v>
      </c>
      <c r="D35" s="14" t="s">
        <v>111</v>
      </c>
      <c r="E35" s="104">
        <v>0</v>
      </c>
      <c r="F35" s="195">
        <v>1900</v>
      </c>
      <c r="G35" s="104">
        <v>448.23</v>
      </c>
      <c r="H35" s="104">
        <f t="shared" si="2"/>
        <v>23.59105263157895</v>
      </c>
      <c r="I35" s="368"/>
    </row>
    <row r="36" spans="1:9" s="8" customFormat="1" ht="19.5" customHeight="1">
      <c r="A36" s="35">
        <v>852</v>
      </c>
      <c r="B36" s="5"/>
      <c r="C36" s="5"/>
      <c r="D36" s="19" t="s">
        <v>231</v>
      </c>
      <c r="E36" s="16">
        <f>SUM(E39,E37)</f>
        <v>104280</v>
      </c>
      <c r="F36" s="16">
        <f>SUM(F39,F37)</f>
        <v>87630</v>
      </c>
      <c r="G36" s="16">
        <f>SUM(G39,G37)</f>
        <v>86517.81999999999</v>
      </c>
      <c r="H36" s="47">
        <f t="shared" si="2"/>
        <v>98.73082277758758</v>
      </c>
      <c r="I36" s="368"/>
    </row>
    <row r="37" spans="1:9" s="24" customFormat="1" ht="30" customHeight="1">
      <c r="A37" s="83"/>
      <c r="B37" s="83">
        <v>85214</v>
      </c>
      <c r="C37" s="59"/>
      <c r="D37" s="14" t="s">
        <v>259</v>
      </c>
      <c r="E37" s="104">
        <f>SUM(E38)</f>
        <v>3000</v>
      </c>
      <c r="F37" s="104">
        <f>SUM(F38)</f>
        <v>3000</v>
      </c>
      <c r="G37" s="104">
        <f>SUM(G38)</f>
        <v>3000</v>
      </c>
      <c r="H37" s="104">
        <f t="shared" si="2"/>
        <v>100</v>
      </c>
      <c r="I37" s="368"/>
    </row>
    <row r="38" spans="1:9" s="24" customFormat="1" ht="19.5" customHeight="1">
      <c r="A38" s="83"/>
      <c r="B38" s="83"/>
      <c r="C38" s="59">
        <v>3110</v>
      </c>
      <c r="D38" s="14" t="s">
        <v>135</v>
      </c>
      <c r="E38" s="104">
        <v>3000</v>
      </c>
      <c r="F38" s="195">
        <v>3000</v>
      </c>
      <c r="G38" s="104">
        <v>3000</v>
      </c>
      <c r="H38" s="104">
        <f t="shared" si="2"/>
        <v>100</v>
      </c>
      <c r="I38" s="368"/>
    </row>
    <row r="39" spans="1:9" s="24" customFormat="1" ht="19.5" customHeight="1">
      <c r="A39" s="83"/>
      <c r="B39" s="83">
        <v>85219</v>
      </c>
      <c r="C39" s="59"/>
      <c r="D39" s="42" t="s">
        <v>79</v>
      </c>
      <c r="E39" s="97">
        <f>SUM(E40:E54)</f>
        <v>101280</v>
      </c>
      <c r="F39" s="97">
        <f>SUM(F40:F54)</f>
        <v>84630</v>
      </c>
      <c r="G39" s="97">
        <f>SUM(G40:G54)</f>
        <v>83517.81999999999</v>
      </c>
      <c r="H39" s="104">
        <f t="shared" si="2"/>
        <v>98.68583244712276</v>
      </c>
      <c r="I39" s="368"/>
    </row>
    <row r="40" spans="1:9" s="24" customFormat="1" ht="19.5" customHeight="1">
      <c r="A40" s="83"/>
      <c r="B40" s="83"/>
      <c r="C40" s="98">
        <v>4010</v>
      </c>
      <c r="D40" s="42" t="s">
        <v>105</v>
      </c>
      <c r="E40" s="104">
        <v>19769</v>
      </c>
      <c r="F40" s="195">
        <v>21951</v>
      </c>
      <c r="G40" s="104">
        <v>21951</v>
      </c>
      <c r="H40" s="104">
        <f t="shared" si="2"/>
        <v>100</v>
      </c>
      <c r="I40" s="368"/>
    </row>
    <row r="41" spans="1:9" s="24" customFormat="1" ht="19.5" customHeight="1">
      <c r="A41" s="83"/>
      <c r="B41" s="83"/>
      <c r="C41" s="98">
        <v>4040</v>
      </c>
      <c r="D41" s="42" t="s">
        <v>106</v>
      </c>
      <c r="E41" s="104">
        <v>1500</v>
      </c>
      <c r="F41" s="195">
        <v>1417</v>
      </c>
      <c r="G41" s="104">
        <v>1416.11</v>
      </c>
      <c r="H41" s="104">
        <f t="shared" si="2"/>
        <v>99.93719124911784</v>
      </c>
      <c r="I41" s="368"/>
    </row>
    <row r="42" spans="1:9" s="24" customFormat="1" ht="19.5" customHeight="1">
      <c r="A42" s="83"/>
      <c r="B42" s="83"/>
      <c r="C42" s="98">
        <v>4110</v>
      </c>
      <c r="D42" s="42" t="s">
        <v>107</v>
      </c>
      <c r="E42" s="104">
        <v>3771</v>
      </c>
      <c r="F42" s="195">
        <v>4391</v>
      </c>
      <c r="G42" s="104">
        <v>4391</v>
      </c>
      <c r="H42" s="104">
        <f t="shared" si="2"/>
        <v>100</v>
      </c>
      <c r="I42" s="368"/>
    </row>
    <row r="43" spans="1:9" s="24" customFormat="1" ht="19.5" customHeight="1">
      <c r="A43" s="83"/>
      <c r="B43" s="83"/>
      <c r="C43" s="98">
        <v>4120</v>
      </c>
      <c r="D43" s="42" t="s">
        <v>108</v>
      </c>
      <c r="E43" s="104">
        <v>522</v>
      </c>
      <c r="F43" s="195">
        <v>560</v>
      </c>
      <c r="G43" s="104">
        <v>560</v>
      </c>
      <c r="H43" s="104">
        <f t="shared" si="2"/>
        <v>100</v>
      </c>
      <c r="I43" s="368"/>
    </row>
    <row r="44" spans="1:9" s="24" customFormat="1" ht="19.5" customHeight="1">
      <c r="A44" s="83"/>
      <c r="B44" s="83"/>
      <c r="C44" s="98">
        <v>4170</v>
      </c>
      <c r="D44" s="42" t="s">
        <v>235</v>
      </c>
      <c r="E44" s="104">
        <v>13200</v>
      </c>
      <c r="F44" s="195">
        <v>13200</v>
      </c>
      <c r="G44" s="104">
        <v>13200</v>
      </c>
      <c r="H44" s="104">
        <f t="shared" si="2"/>
        <v>100</v>
      </c>
      <c r="I44" s="368"/>
    </row>
    <row r="45" spans="1:9" s="24" customFormat="1" ht="19.5" customHeight="1">
      <c r="A45" s="83"/>
      <c r="B45" s="83"/>
      <c r="C45" s="98">
        <v>4210</v>
      </c>
      <c r="D45" s="14" t="s">
        <v>113</v>
      </c>
      <c r="E45" s="104">
        <v>9300</v>
      </c>
      <c r="F45" s="195">
        <v>12360</v>
      </c>
      <c r="G45" s="104">
        <v>12360</v>
      </c>
      <c r="H45" s="104">
        <f t="shared" si="2"/>
        <v>100</v>
      </c>
      <c r="I45" s="368"/>
    </row>
    <row r="46" spans="1:9" s="24" customFormat="1" ht="19.5" customHeight="1">
      <c r="A46" s="83"/>
      <c r="B46" s="83"/>
      <c r="C46" s="98">
        <v>4280</v>
      </c>
      <c r="D46" s="14" t="s">
        <v>247</v>
      </c>
      <c r="E46" s="104">
        <v>150</v>
      </c>
      <c r="F46" s="195">
        <v>100</v>
      </c>
      <c r="G46" s="104">
        <v>100</v>
      </c>
      <c r="H46" s="104">
        <f t="shared" si="2"/>
        <v>100</v>
      </c>
      <c r="I46" s="368"/>
    </row>
    <row r="47" spans="1:9" s="24" customFormat="1" ht="19.5" customHeight="1">
      <c r="A47" s="83"/>
      <c r="B47" s="83"/>
      <c r="C47" s="98">
        <v>4300</v>
      </c>
      <c r="D47" s="14" t="s">
        <v>100</v>
      </c>
      <c r="E47" s="104">
        <v>46605</v>
      </c>
      <c r="F47" s="195">
        <v>24001</v>
      </c>
      <c r="G47" s="104">
        <v>22958.47</v>
      </c>
      <c r="H47" s="104">
        <f t="shared" si="2"/>
        <v>95.65630598725053</v>
      </c>
      <c r="I47" s="368"/>
    </row>
    <row r="48" spans="1:9" s="24" customFormat="1" ht="19.5" customHeight="1">
      <c r="A48" s="83"/>
      <c r="B48" s="83"/>
      <c r="C48" s="98">
        <v>4350</v>
      </c>
      <c r="D48" s="14" t="s">
        <v>258</v>
      </c>
      <c r="E48" s="104">
        <v>665</v>
      </c>
      <c r="F48" s="195">
        <v>434</v>
      </c>
      <c r="G48" s="104">
        <v>433.3</v>
      </c>
      <c r="H48" s="104">
        <f t="shared" si="2"/>
        <v>99.83870967741936</v>
      </c>
      <c r="I48" s="368"/>
    </row>
    <row r="49" spans="1:9" s="24" customFormat="1" ht="24.75" customHeight="1">
      <c r="A49" s="83"/>
      <c r="B49" s="83"/>
      <c r="C49" s="98">
        <v>4370</v>
      </c>
      <c r="D49" s="42" t="s">
        <v>287</v>
      </c>
      <c r="E49" s="104">
        <v>2400</v>
      </c>
      <c r="F49" s="195">
        <v>1701</v>
      </c>
      <c r="G49" s="104">
        <v>1633.4</v>
      </c>
      <c r="H49" s="104">
        <f t="shared" si="2"/>
        <v>96.02586713697825</v>
      </c>
      <c r="I49" s="368"/>
    </row>
    <row r="50" spans="1:9" s="24" customFormat="1" ht="24.75" customHeight="1">
      <c r="A50" s="83"/>
      <c r="B50" s="83"/>
      <c r="C50" s="98">
        <v>4400</v>
      </c>
      <c r="D50" s="42" t="s">
        <v>288</v>
      </c>
      <c r="E50" s="104">
        <v>1922</v>
      </c>
      <c r="F50" s="195">
        <v>1922</v>
      </c>
      <c r="G50" s="104">
        <v>1922.05</v>
      </c>
      <c r="H50" s="104">
        <f t="shared" si="2"/>
        <v>100.00260145681581</v>
      </c>
      <c r="I50" s="368"/>
    </row>
    <row r="51" spans="1:9" s="24" customFormat="1" ht="19.5" customHeight="1">
      <c r="A51" s="83"/>
      <c r="B51" s="83"/>
      <c r="C51" s="98">
        <v>4410</v>
      </c>
      <c r="D51" s="42" t="s">
        <v>111</v>
      </c>
      <c r="E51" s="104">
        <v>500</v>
      </c>
      <c r="F51" s="195">
        <v>850</v>
      </c>
      <c r="G51" s="104">
        <v>850.03</v>
      </c>
      <c r="H51" s="104">
        <f t="shared" si="2"/>
        <v>100.00352941176472</v>
      </c>
      <c r="I51" s="368"/>
    </row>
    <row r="52" spans="1:9" s="24" customFormat="1" ht="24.75" customHeight="1">
      <c r="A52" s="83"/>
      <c r="B52" s="83"/>
      <c r="C52" s="98">
        <v>4440</v>
      </c>
      <c r="D52" s="42" t="s">
        <v>109</v>
      </c>
      <c r="E52" s="104">
        <v>776</v>
      </c>
      <c r="F52" s="195">
        <v>1073</v>
      </c>
      <c r="G52" s="104">
        <v>1072.53</v>
      </c>
      <c r="H52" s="104">
        <f t="shared" si="2"/>
        <v>99.95619757688723</v>
      </c>
      <c r="I52" s="368"/>
    </row>
    <row r="53" spans="1:9" s="24" customFormat="1" ht="24.75" customHeight="1">
      <c r="A53" s="83"/>
      <c r="B53" s="83"/>
      <c r="C53" s="98">
        <v>4700</v>
      </c>
      <c r="D53" s="42" t="s">
        <v>290</v>
      </c>
      <c r="E53" s="104">
        <v>0</v>
      </c>
      <c r="F53" s="195">
        <v>470</v>
      </c>
      <c r="G53" s="104">
        <v>470</v>
      </c>
      <c r="H53" s="104">
        <f t="shared" si="2"/>
        <v>100</v>
      </c>
      <c r="I53" s="368"/>
    </row>
    <row r="54" spans="1:9" s="24" customFormat="1" ht="33.75">
      <c r="A54" s="83"/>
      <c r="B54" s="83"/>
      <c r="C54" s="98">
        <v>4740</v>
      </c>
      <c r="D54" s="42" t="s">
        <v>289</v>
      </c>
      <c r="E54" s="104">
        <v>200</v>
      </c>
      <c r="F54" s="195">
        <v>200</v>
      </c>
      <c r="G54" s="104">
        <v>199.93</v>
      </c>
      <c r="H54" s="104">
        <f t="shared" si="2"/>
        <v>99.965</v>
      </c>
      <c r="I54" s="368"/>
    </row>
    <row r="55" spans="1:9" s="8" customFormat="1" ht="19.5" customHeight="1">
      <c r="A55" s="35" t="s">
        <v>145</v>
      </c>
      <c r="B55" s="5"/>
      <c r="C55" s="5"/>
      <c r="D55" s="19" t="s">
        <v>80</v>
      </c>
      <c r="E55" s="16">
        <f>SUM(E56)</f>
        <v>47000</v>
      </c>
      <c r="F55" s="16">
        <f>SUM(F56)</f>
        <v>69168</v>
      </c>
      <c r="G55" s="16">
        <f>SUM(G56)</f>
        <v>42881.5</v>
      </c>
      <c r="H55" s="47">
        <f t="shared" si="2"/>
        <v>61.996154291001616</v>
      </c>
      <c r="I55" s="368"/>
    </row>
    <row r="56" spans="1:9" s="24" customFormat="1" ht="24.75" customHeight="1">
      <c r="A56" s="83"/>
      <c r="B56" s="83" t="s">
        <v>149</v>
      </c>
      <c r="C56" s="59"/>
      <c r="D56" s="14" t="s">
        <v>150</v>
      </c>
      <c r="E56" s="97">
        <f>SUM(E57:E61)</f>
        <v>47000</v>
      </c>
      <c r="F56" s="97">
        <f>SUM(F57:F61)</f>
        <v>69168</v>
      </c>
      <c r="G56" s="97">
        <f>SUM(G57:G61)</f>
        <v>42881.5</v>
      </c>
      <c r="H56" s="104">
        <f t="shared" si="2"/>
        <v>61.996154291001616</v>
      </c>
      <c r="I56" s="368"/>
    </row>
    <row r="57" spans="1:9" s="24" customFormat="1" ht="33.75">
      <c r="A57" s="83"/>
      <c r="B57" s="83"/>
      <c r="C57" s="59">
        <v>2630</v>
      </c>
      <c r="D57" s="14" t="s">
        <v>293</v>
      </c>
      <c r="E57" s="97">
        <v>36000</v>
      </c>
      <c r="F57" s="195">
        <v>25710</v>
      </c>
      <c r="G57" s="97">
        <v>0</v>
      </c>
      <c r="H57" s="104">
        <v>0</v>
      </c>
      <c r="I57" s="368"/>
    </row>
    <row r="58" spans="1:9" s="24" customFormat="1" ht="33.75">
      <c r="A58" s="83"/>
      <c r="B58" s="83"/>
      <c r="C58" s="59">
        <v>2820</v>
      </c>
      <c r="D58" s="42" t="s">
        <v>403</v>
      </c>
      <c r="E58" s="97">
        <v>0</v>
      </c>
      <c r="F58" s="195">
        <v>9290</v>
      </c>
      <c r="G58" s="97">
        <v>9290</v>
      </c>
      <c r="H58" s="104">
        <f t="shared" si="2"/>
        <v>100</v>
      </c>
      <c r="I58" s="368"/>
    </row>
    <row r="59" spans="1:9" s="24" customFormat="1" ht="56.25">
      <c r="A59" s="83"/>
      <c r="B59" s="83"/>
      <c r="C59" s="59">
        <v>2830</v>
      </c>
      <c r="D59" s="42" t="s">
        <v>402</v>
      </c>
      <c r="E59" s="97">
        <v>0</v>
      </c>
      <c r="F59" s="195">
        <v>26710</v>
      </c>
      <c r="G59" s="97">
        <v>26710</v>
      </c>
      <c r="H59" s="104">
        <f t="shared" si="2"/>
        <v>100</v>
      </c>
      <c r="I59" s="368"/>
    </row>
    <row r="60" spans="1:9" s="24" customFormat="1" ht="19.5" customHeight="1">
      <c r="A60" s="83"/>
      <c r="B60" s="83"/>
      <c r="C60" s="59">
        <v>4210</v>
      </c>
      <c r="D60" s="14" t="s">
        <v>113</v>
      </c>
      <c r="E60" s="104">
        <v>5500</v>
      </c>
      <c r="F60" s="195">
        <v>6303</v>
      </c>
      <c r="G60" s="104">
        <v>6303</v>
      </c>
      <c r="H60" s="104">
        <f t="shared" si="2"/>
        <v>100</v>
      </c>
      <c r="I60" s="368"/>
    </row>
    <row r="61" spans="1:9" s="24" customFormat="1" ht="19.5" customHeight="1">
      <c r="A61" s="59"/>
      <c r="B61" s="59"/>
      <c r="C61" s="59">
        <v>4300</v>
      </c>
      <c r="D61" s="14" t="s">
        <v>100</v>
      </c>
      <c r="E61" s="104">
        <f>5500</f>
        <v>5500</v>
      </c>
      <c r="F61" s="195">
        <v>1155</v>
      </c>
      <c r="G61" s="104">
        <v>578.5</v>
      </c>
      <c r="H61" s="104">
        <f t="shared" si="2"/>
        <v>50.08658008658009</v>
      </c>
      <c r="I61" s="368"/>
    </row>
    <row r="62" spans="1:9" s="8" customFormat="1" ht="19.5" customHeight="1">
      <c r="A62" s="35" t="s">
        <v>169</v>
      </c>
      <c r="B62" s="5"/>
      <c r="C62" s="5"/>
      <c r="D62" s="19" t="s">
        <v>87</v>
      </c>
      <c r="E62" s="16">
        <f>SUM(E63)</f>
        <v>20000</v>
      </c>
      <c r="F62" s="16">
        <f>SUM(F63)</f>
        <v>20000</v>
      </c>
      <c r="G62" s="16">
        <f>SUM(G63)</f>
        <v>20000</v>
      </c>
      <c r="H62" s="47">
        <f t="shared" si="2"/>
        <v>100</v>
      </c>
      <c r="I62" s="368"/>
    </row>
    <row r="63" spans="1:9" s="24" customFormat="1" ht="24.75" customHeight="1">
      <c r="A63" s="59"/>
      <c r="B63" s="93">
        <v>92605</v>
      </c>
      <c r="C63" s="59"/>
      <c r="D63" s="14" t="s">
        <v>88</v>
      </c>
      <c r="E63" s="104">
        <f>SUM(E64:E65)</f>
        <v>20000</v>
      </c>
      <c r="F63" s="104">
        <f>SUM(F64:F65)</f>
        <v>20000</v>
      </c>
      <c r="G63" s="104">
        <f>SUM(G64:G65)</f>
        <v>20000</v>
      </c>
      <c r="H63" s="104">
        <f t="shared" si="2"/>
        <v>100</v>
      </c>
      <c r="I63" s="368"/>
    </row>
    <row r="64" spans="1:9" s="24" customFormat="1" ht="19.5" customHeight="1">
      <c r="A64" s="59"/>
      <c r="B64" s="93"/>
      <c r="C64" s="59">
        <v>4170</v>
      </c>
      <c r="D64" s="14" t="s">
        <v>235</v>
      </c>
      <c r="E64" s="104">
        <v>20000</v>
      </c>
      <c r="F64" s="195">
        <v>15960</v>
      </c>
      <c r="G64" s="104">
        <v>15960</v>
      </c>
      <c r="H64" s="104">
        <f t="shared" si="2"/>
        <v>100</v>
      </c>
      <c r="I64" s="368"/>
    </row>
    <row r="65" spans="1:9" s="24" customFormat="1" ht="19.5" customHeight="1">
      <c r="A65" s="59"/>
      <c r="B65" s="93"/>
      <c r="C65" s="59">
        <v>4300</v>
      </c>
      <c r="D65" s="14" t="s">
        <v>100</v>
      </c>
      <c r="E65" s="104">
        <v>0</v>
      </c>
      <c r="F65" s="195">
        <v>4040</v>
      </c>
      <c r="G65" s="104">
        <v>4040</v>
      </c>
      <c r="H65" s="104">
        <f t="shared" si="2"/>
        <v>100</v>
      </c>
      <c r="I65" s="368"/>
    </row>
    <row r="66" spans="1:9" s="45" customFormat="1" ht="19.5" customHeight="1">
      <c r="A66" s="139"/>
      <c r="B66" s="139"/>
      <c r="C66" s="139"/>
      <c r="D66" s="6" t="s">
        <v>89</v>
      </c>
      <c r="E66" s="16">
        <f>E36+E21+E55+E62+E18</f>
        <v>290000</v>
      </c>
      <c r="F66" s="16">
        <f>F36+F21+F55+F62+F18</f>
        <v>315710</v>
      </c>
      <c r="G66" s="16">
        <f>G36+G21+G55+G62+G18</f>
        <v>275542.28</v>
      </c>
      <c r="H66" s="367">
        <f t="shared" si="2"/>
        <v>87.27702005004593</v>
      </c>
      <c r="I66" s="16"/>
    </row>
  </sheetData>
  <mergeCells count="17">
    <mergeCell ref="A7:H7"/>
    <mergeCell ref="A5:H5"/>
    <mergeCell ref="A8:A9"/>
    <mergeCell ref="F8:F9"/>
    <mergeCell ref="E8:E9"/>
    <mergeCell ref="D8:D9"/>
    <mergeCell ref="C8:C9"/>
    <mergeCell ref="B8:B9"/>
    <mergeCell ref="A15:H15"/>
    <mergeCell ref="G8:H8"/>
    <mergeCell ref="E16:E17"/>
    <mergeCell ref="F16:F17"/>
    <mergeCell ref="G16:H16"/>
    <mergeCell ref="A16:A17"/>
    <mergeCell ref="B16:B17"/>
    <mergeCell ref="C16:C17"/>
    <mergeCell ref="D16:D17"/>
  </mergeCells>
  <printOptions horizontalCentered="1"/>
  <pageMargins left="0.5118110236220472" right="0.5118110236220472" top="0.7874015748031497" bottom="0.7874015748031497" header="0.5118110236220472" footer="0.31496062992125984"/>
  <pageSetup horizontalDpi="600" verticalDpi="6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w Trzciance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 w Trzciance</dc:creator>
  <cp:keywords/>
  <dc:description/>
  <cp:lastModifiedBy>izawalniak</cp:lastModifiedBy>
  <cp:lastPrinted>2008-03-27T08:34:26Z</cp:lastPrinted>
  <dcterms:created xsi:type="dcterms:W3CDTF">2002-10-21T08:56:44Z</dcterms:created>
  <dcterms:modified xsi:type="dcterms:W3CDTF">2006-11-16T11:50:59Z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