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606" activeTab="1"/>
  </bookViews>
  <sheets>
    <sheet name="dochody 2007 zał.1" sheetId="1" r:id="rId1"/>
    <sheet name="wydatki 2007 zał.2" sheetId="2" r:id="rId2"/>
    <sheet name="zał. dotacje przek " sheetId="3" r:id="rId3"/>
    <sheet name="admin.zał 4- bestia" sheetId="4" r:id="rId4"/>
    <sheet name="wyd.maj.zał 3" sheetId="5" r:id="rId5"/>
    <sheet name="poroz. zał 5 " sheetId="6" r:id="rId6"/>
    <sheet name="GKRPA zał.7  " sheetId="7" r:id="rId7"/>
    <sheet name="deficyt zał. " sheetId="8" r:id="rId8"/>
    <sheet name="Zał.zakł.budż.6" sheetId="9" r:id="rId9"/>
    <sheet name="WPI nr   (2)" sheetId="10" r:id="rId10"/>
  </sheets>
  <definedNames>
    <definedName name="_xlnm.Print_Area" localSheetId="6">'GKRPA zał.7  '!$A:$IV</definedName>
    <definedName name="_xlnm.Print_Titles" localSheetId="3">'admin.zał 4- bestia'!$7:$7</definedName>
    <definedName name="_xlnm.Print_Titles" localSheetId="0">'dochody 2007 zał.1'!$7:$7</definedName>
    <definedName name="_xlnm.Print_Titles" localSheetId="6">'GKRPA zał.7  '!$8:$8</definedName>
    <definedName name="_xlnm.Print_Titles" localSheetId="5">'poroz. zał 5 '!$8:$8</definedName>
    <definedName name="_xlnm.Print_Titles" localSheetId="4">'wyd.maj.zał 3'!$7:$7</definedName>
    <definedName name="_xlnm.Print_Titles" localSheetId="1">'wydatki 2007 zał.2'!$8:$8</definedName>
  </definedNames>
  <calcPr fullCalcOnLoad="1"/>
</workbook>
</file>

<file path=xl/comments1.xml><?xml version="1.0" encoding="utf-8"?>
<comments xmlns="http://schemas.openxmlformats.org/spreadsheetml/2006/main">
  <authors>
    <author>Zawalniak</author>
    <author>izawalniak</author>
  </authors>
  <commentList>
    <comment ref="M11" authorId="0">
      <text>
        <r>
          <rPr>
            <b/>
            <sz val="8"/>
            <rFont val="Tahoma"/>
            <family val="0"/>
          </rPr>
          <t>Zawalniak:</t>
        </r>
        <r>
          <rPr>
            <sz val="8"/>
            <rFont val="Tahoma"/>
            <family val="0"/>
          </rPr>
          <t xml:space="preserve">
76.000 sprzedaz gruntów rolnych</t>
        </r>
      </text>
    </comment>
    <comment ref="M10" authorId="0">
      <text>
        <r>
          <rPr>
            <b/>
            <sz val="8"/>
            <rFont val="Tahoma"/>
            <family val="0"/>
          </rPr>
          <t>Zawalniak:</t>
        </r>
        <r>
          <rPr>
            <sz val="8"/>
            <rFont val="Tahoma"/>
            <family val="0"/>
          </rPr>
          <t xml:space="preserve">
4.720 obwody łowieckie
80.000 dzierżawa gruntów rolnych
</t>
        </r>
      </text>
    </comment>
    <comment ref="M23" authorId="0">
      <text>
        <r>
          <rPr>
            <b/>
            <sz val="8"/>
            <rFont val="Tahoma"/>
            <family val="0"/>
          </rPr>
          <t>Zawalniak:</t>
        </r>
        <r>
          <rPr>
            <sz val="8"/>
            <rFont val="Tahoma"/>
            <family val="0"/>
          </rPr>
          <t xml:space="preserve">
80.000 dzierżwa gr.rol.</t>
        </r>
      </text>
    </comment>
    <comment ref="M25" authorId="0">
      <text>
        <r>
          <rPr>
            <b/>
            <sz val="8"/>
            <rFont val="Tahoma"/>
            <family val="0"/>
          </rPr>
          <t>Zawalniak:</t>
        </r>
        <r>
          <rPr>
            <sz val="8"/>
            <rFont val="Tahoma"/>
            <family val="0"/>
          </rPr>
          <t xml:space="preserve">
76.000 sprzedaz gr,.rol.</t>
        </r>
      </text>
    </comment>
    <comment ref="AA110" authorId="1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40.000 pracownicy młodociani
5.146 program G S-ko, SP Nr 2
</t>
        </r>
      </text>
    </comment>
  </commentList>
</comments>
</file>

<file path=xl/comments2.xml><?xml version="1.0" encoding="utf-8"?>
<comments xmlns="http://schemas.openxmlformats.org/spreadsheetml/2006/main">
  <authors>
    <author>Zawalniak</author>
    <author>izawalniak</author>
  </authors>
  <commentList>
    <comment ref="F47" authorId="0">
      <text>
        <r>
          <rPr>
            <b/>
            <sz val="8"/>
            <rFont val="Tahoma"/>
            <family val="0"/>
          </rPr>
          <t>Zawalniak:</t>
        </r>
        <r>
          <rPr>
            <sz val="8"/>
            <rFont val="Tahoma"/>
            <family val="0"/>
          </rPr>
          <t xml:space="preserve">
150.000 termomodernizacja TDK,Muzeum, Biblioteka obiekty oświatowe
</t>
        </r>
      </text>
    </comment>
    <comment ref="F166" authorId="0">
      <text>
        <r>
          <rPr>
            <b/>
            <sz val="8"/>
            <rFont val="Tahoma"/>
            <family val="0"/>
          </rPr>
          <t>Zawalniak:</t>
        </r>
        <r>
          <rPr>
            <sz val="8"/>
            <rFont val="Tahoma"/>
            <family val="0"/>
          </rPr>
          <t xml:space="preserve">
20.000 PT monitoring w mieście
</t>
        </r>
      </text>
    </comment>
    <comment ref="F242" authorId="0">
      <text>
        <r>
          <rPr>
            <b/>
            <sz val="8"/>
            <rFont val="Tahoma"/>
            <family val="0"/>
          </rPr>
          <t>Zawalniak:</t>
        </r>
        <r>
          <rPr>
            <sz val="8"/>
            <rFont val="Tahoma"/>
            <family val="0"/>
          </rPr>
          <t xml:space="preserve">
PT sala gimnastyczna przy G 2 50.000 zł</t>
        </r>
      </text>
    </comment>
    <comment ref="F395" authorId="0">
      <text>
        <r>
          <rPr>
            <b/>
            <sz val="8"/>
            <rFont val="Tahoma"/>
            <family val="0"/>
          </rPr>
          <t>Zawalniak:</t>
        </r>
        <r>
          <rPr>
            <sz val="8"/>
            <rFont val="Tahoma"/>
            <family val="0"/>
          </rPr>
          <t xml:space="preserve">
50.000  PT wodociągów Biernatowo, Osiniec II, Siedlisko zatorze
</t>
        </r>
      </text>
    </comment>
    <comment ref="F398" authorId="0">
      <text>
        <r>
          <rPr>
            <b/>
            <sz val="8"/>
            <rFont val="Tahoma"/>
            <family val="0"/>
          </rPr>
          <t>Zawalniak:</t>
        </r>
        <r>
          <rPr>
            <sz val="8"/>
            <rFont val="Tahoma"/>
            <family val="0"/>
          </rPr>
          <t xml:space="preserve">
250.000 kanalizacja sanitarna i deszczowa Łomnica
150.000 Sarcz 
110.000 Stobno
</t>
        </r>
      </text>
    </comment>
    <comment ref="F28" authorId="0">
      <text>
        <r>
          <rPr>
            <b/>
            <sz val="8"/>
            <rFont val="Tahoma"/>
            <family val="0"/>
          </rPr>
          <t>Zawalniak:</t>
        </r>
        <r>
          <rPr>
            <sz val="8"/>
            <rFont val="Tahoma"/>
            <family val="0"/>
          </rPr>
          <t xml:space="preserve">
100.000 modernizacja dróg gminnych
</t>
        </r>
      </text>
    </comment>
    <comment ref="F13" authorId="0">
      <text>
        <r>
          <rPr>
            <b/>
            <sz val="8"/>
            <rFont val="Tahoma"/>
            <family val="0"/>
          </rPr>
          <t>Zawalniak:</t>
        </r>
        <r>
          <rPr>
            <sz val="8"/>
            <rFont val="Tahoma"/>
            <family val="0"/>
          </rPr>
          <t xml:space="preserve">
250.000 program PAOW
</t>
        </r>
      </text>
    </comment>
    <comment ref="F209" authorId="0">
      <text>
        <r>
          <rPr>
            <b/>
            <sz val="8"/>
            <rFont val="Tahoma"/>
            <family val="0"/>
          </rPr>
          <t>Zawalniak:</t>
        </r>
        <r>
          <rPr>
            <sz val="8"/>
            <rFont val="Tahoma"/>
            <family val="0"/>
          </rPr>
          <t xml:space="preserve">
150.000 budowa boiska sportowego przy SP 3
</t>
        </r>
      </text>
    </comment>
    <comment ref="I449" authorId="0">
      <text>
        <r>
          <rPr>
            <b/>
            <sz val="8"/>
            <rFont val="Tahoma"/>
            <family val="0"/>
          </rPr>
          <t>Zawalniak:</t>
        </r>
        <r>
          <rPr>
            <sz val="8"/>
            <rFont val="Tahoma"/>
            <family val="0"/>
          </rPr>
          <t xml:space="preserve">
600
 porozumienie
</t>
        </r>
      </text>
    </comment>
    <comment ref="K144" authorId="0">
      <text>
        <r>
          <rPr>
            <b/>
            <sz val="8"/>
            <rFont val="Tahoma"/>
            <family val="0"/>
          </rPr>
          <t>Zawalniak:</t>
        </r>
        <r>
          <rPr>
            <sz val="8"/>
            <rFont val="Tahoma"/>
            <family val="0"/>
          </rPr>
          <t xml:space="preserve">
900 soł.</t>
        </r>
      </text>
    </comment>
    <comment ref="K106" authorId="0">
      <text>
        <r>
          <rPr>
            <b/>
            <sz val="8"/>
            <rFont val="Tahoma"/>
            <family val="0"/>
          </rPr>
          <t>Zawalniak:</t>
        </r>
        <r>
          <rPr>
            <sz val="8"/>
            <rFont val="Tahoma"/>
            <family val="0"/>
          </rPr>
          <t xml:space="preserve">
-300 soł.</t>
        </r>
      </text>
    </comment>
    <comment ref="K26" authorId="0">
      <text>
        <r>
          <rPr>
            <b/>
            <sz val="8"/>
            <rFont val="Tahoma"/>
            <family val="0"/>
          </rPr>
          <t>Zawalniak:</t>
        </r>
        <r>
          <rPr>
            <sz val="8"/>
            <rFont val="Tahoma"/>
            <family val="0"/>
          </rPr>
          <t xml:space="preserve">
4772 soł.</t>
        </r>
      </text>
    </comment>
    <comment ref="K28" authorId="0">
      <text>
        <r>
          <rPr>
            <b/>
            <sz val="8"/>
            <rFont val="Tahoma"/>
            <family val="0"/>
          </rPr>
          <t>Zawalniak:</t>
        </r>
        <r>
          <rPr>
            <sz val="8"/>
            <rFont val="Tahoma"/>
            <family val="0"/>
          </rPr>
          <t xml:space="preserve">
-1772 soł.</t>
        </r>
      </text>
    </comment>
    <comment ref="K402" authorId="0">
      <text>
        <r>
          <rPr>
            <b/>
            <sz val="8"/>
            <rFont val="Tahoma"/>
            <family val="0"/>
          </rPr>
          <t>Zawalniak:</t>
        </r>
        <r>
          <rPr>
            <sz val="8"/>
            <rFont val="Tahoma"/>
            <family val="0"/>
          </rPr>
          <t xml:space="preserve">
-400 soł.</t>
        </r>
      </text>
    </comment>
    <comment ref="K404" authorId="0">
      <text>
        <r>
          <rPr>
            <b/>
            <sz val="8"/>
            <rFont val="Tahoma"/>
            <family val="0"/>
          </rPr>
          <t>Zawalniak:</t>
        </r>
        <r>
          <rPr>
            <sz val="8"/>
            <rFont val="Tahoma"/>
            <family val="0"/>
          </rPr>
          <t xml:space="preserve">
-3000 soł.</t>
        </r>
      </text>
    </comment>
    <comment ref="K381" authorId="0">
      <text>
        <r>
          <rPr>
            <b/>
            <sz val="8"/>
            <rFont val="Tahoma"/>
            <family val="0"/>
          </rPr>
          <t>Zawalniak:</t>
        </r>
        <r>
          <rPr>
            <sz val="8"/>
            <rFont val="Tahoma"/>
            <family val="0"/>
          </rPr>
          <t xml:space="preserve">
252197 dotacja stypendia
</t>
        </r>
      </text>
    </comment>
    <comment ref="O349" authorId="0">
      <text>
        <r>
          <rPr>
            <b/>
            <sz val="8"/>
            <rFont val="Tahoma"/>
            <family val="0"/>
          </rPr>
          <t>Zawalniak:</t>
        </r>
        <r>
          <rPr>
            <sz val="8"/>
            <rFont val="Tahoma"/>
            <family val="0"/>
          </rPr>
          <t xml:space="preserve">
10.000 prace spo.uzyt.</t>
        </r>
      </text>
    </comment>
    <comment ref="P446" authorId="0">
      <text>
        <r>
          <rPr>
            <b/>
            <sz val="8"/>
            <rFont val="Tahoma"/>
            <family val="0"/>
          </rPr>
          <t>Zawalniak:</t>
        </r>
        <r>
          <rPr>
            <sz val="8"/>
            <rFont val="Tahoma"/>
            <family val="0"/>
          </rPr>
          <t xml:space="preserve">
40 MS</t>
        </r>
      </text>
    </comment>
    <comment ref="P448" authorId="0">
      <text>
        <r>
          <rPr>
            <b/>
            <sz val="8"/>
            <rFont val="Tahoma"/>
            <family val="0"/>
          </rPr>
          <t>Zawalniak:</t>
        </r>
        <r>
          <rPr>
            <sz val="8"/>
            <rFont val="Tahoma"/>
            <family val="0"/>
          </rPr>
          <t xml:space="preserve">
15.960 MS środki AA
20.000 AA pozostają 
1.000 poz.śr. Na zajęcia</t>
        </r>
      </text>
    </comment>
    <comment ref="P449" authorId="0">
      <text>
        <r>
          <rPr>
            <b/>
            <sz val="8"/>
            <rFont val="Tahoma"/>
            <family val="0"/>
          </rPr>
          <t>Zawalniak:</t>
        </r>
        <r>
          <rPr>
            <sz val="8"/>
            <rFont val="Tahoma"/>
            <family val="0"/>
          </rPr>
          <t xml:space="preserve">
600 porozum.Starostwo
7.780 sołeckie
4.000 MS
</t>
        </r>
      </text>
    </comment>
    <comment ref="P450" authorId="0">
      <text>
        <r>
          <rPr>
            <b/>
            <sz val="8"/>
            <rFont val="Tahoma"/>
            <family val="0"/>
          </rPr>
          <t>Zawalniak:</t>
        </r>
        <r>
          <rPr>
            <sz val="8"/>
            <rFont val="Tahoma"/>
            <family val="0"/>
          </rPr>
          <t xml:space="preserve">
600 sołeckie
</t>
        </r>
      </text>
    </comment>
    <comment ref="P451" authorId="0">
      <text>
        <r>
          <rPr>
            <b/>
            <sz val="8"/>
            <rFont val="Tahoma"/>
            <family val="0"/>
          </rPr>
          <t>Zawalniak:</t>
        </r>
        <r>
          <rPr>
            <sz val="8"/>
            <rFont val="Tahoma"/>
            <family val="0"/>
          </rPr>
          <t xml:space="preserve">
2.000 dzień dziecka
3.200 sołeckie
40.000 MS-4.040 wracają do ogólnego budżetu
4.040 GKRPA
</t>
        </r>
      </text>
    </comment>
    <comment ref="O442" authorId="0">
      <text>
        <r>
          <rPr>
            <b/>
            <sz val="8"/>
            <rFont val="Tahoma"/>
            <family val="0"/>
          </rPr>
          <t>Zawalniak:</t>
        </r>
        <r>
          <rPr>
            <sz val="8"/>
            <rFont val="Tahoma"/>
            <family val="0"/>
          </rPr>
          <t xml:space="preserve">
3.000 z nadwyzki
2.000 z zaoszczędzonej dotacji
2.000 z 75075 z 4210
</t>
        </r>
      </text>
    </comment>
    <comment ref="Q79" authorId="1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AA 3542
budżet 5443,60 w tym PUP 3500
</t>
        </r>
      </text>
    </comment>
    <comment ref="Q82" authorId="1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220,15 półkolonie dofin.budzet </t>
        </r>
      </text>
    </comment>
    <comment ref="Q81" authorId="1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1552,70 budżet dofin.półkolonii
 w tym PUP 604,80
</t>
        </r>
      </text>
    </comment>
    <comment ref="Q87" authorId="1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280 półkolonie dofinansowanie z budżetu</t>
        </r>
      </text>
    </comment>
    <comment ref="Q96" authorId="1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352,70 budżet dofinansownie półkolonii</t>
        </r>
      </text>
    </comment>
    <comment ref="Q377" authorId="1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250 soł. 
803 GKRPA i 2.100 tez  GKRP na paliwo z 92605 z zajęć przeniesione 
po zm. 
250 soł. 
8.403 półkolonie AA</t>
        </r>
      </text>
    </comment>
    <comment ref="Q378" authorId="1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po zmianach 1.155 półkolonie AA
1.000 sołeckie</t>
        </r>
      </text>
    </comment>
    <comment ref="R377" authorId="1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6.303 pólkolonie AA
1.250 soł.
2100 półkolonie budżet</t>
        </r>
      </text>
    </comment>
    <comment ref="Q47" authorId="1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350.000 termomod.</t>
        </r>
      </text>
    </comment>
    <comment ref="Q76" authorId="1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11.393 półkolonie w tym: 
AA 3.542
budżet 7.851
</t>
        </r>
      </text>
    </comment>
    <comment ref="Q107" authorId="1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-70.000 do 50.000 sport
20.000 do TDK</t>
        </r>
      </text>
    </comment>
    <comment ref="Q443" authorId="1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7
0.000 do podziału na sport przeniesiono z promocji</t>
        </r>
      </text>
    </comment>
    <comment ref="Q422" authorId="1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20.000 przeniesiono z promocji na imprezy letnie dotacja 10.000
10.000 dożynki</t>
        </r>
      </text>
    </comment>
    <comment ref="W48" authorId="1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2936 kaucje mieszkaniowe</t>
        </r>
      </text>
    </comment>
    <comment ref="W27" authorId="1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20.000 re,cząstkowe dró gm.
6.500 rem.bież.chodników</t>
        </r>
      </text>
    </comment>
    <comment ref="W288" authorId="1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400 środki sołęckie</t>
        </r>
      </text>
    </comment>
    <comment ref="W448" authorId="1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ścieżki piesze
</t>
        </r>
      </text>
    </comment>
    <comment ref="W451" authorId="1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4190 ściezki piesze
</t>
        </r>
      </text>
    </comment>
    <comment ref="W446" authorId="1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120 ściezki piesze
</t>
        </r>
      </text>
    </comment>
    <comment ref="AA334" authorId="1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-16.650 PPK specjaliści</t>
        </r>
      </text>
    </comment>
    <comment ref="AB277" authorId="1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400 śro.soł.
</t>
        </r>
      </text>
    </comment>
    <comment ref="AD277" authorId="1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400 śro.soł.
</t>
        </r>
      </text>
    </comment>
    <comment ref="AC334" authorId="1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-16.650 PPK specjaliści</t>
        </r>
      </text>
    </comment>
    <comment ref="AE334" authorId="1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-16.650 PPK specjaliści</t>
        </r>
      </text>
    </comment>
  </commentList>
</comments>
</file>

<file path=xl/sharedStrings.xml><?xml version="1.0" encoding="utf-8"?>
<sst xmlns="http://schemas.openxmlformats.org/spreadsheetml/2006/main" count="1991" uniqueCount="729">
  <si>
    <t>Załącznik Nr 6 do Uchwały Nr V/25/07</t>
  </si>
  <si>
    <t>Dochody i wydatki na rok 2007 z tytułu opłat za wydawanie zezwoleń na sprzedaż napojów alkoholowych oraz wydatki na realizację zadań określonych w programie profilaktyki i rozwiązywania problemów alkoholowych - plan po zmianach</t>
  </si>
  <si>
    <t>plan 
przed zmianą</t>
  </si>
  <si>
    <t>treść</t>
  </si>
  <si>
    <t>Załącznik Nr 4 do Uchwały Nr V/25/07</t>
  </si>
  <si>
    <t>MKS Lubuszanin</t>
  </si>
  <si>
    <t>Klub Sportów Motorowych i Motorowodnych</t>
  </si>
  <si>
    <t>UKS Kajak</t>
  </si>
  <si>
    <t>UKS Dysk</t>
  </si>
  <si>
    <t>Sekcja "Olompijczyk"</t>
  </si>
  <si>
    <t>UKS Forma</t>
  </si>
  <si>
    <t>UKS Fortuna Biała</t>
  </si>
  <si>
    <t>Trzciancekie Stowarzyszenie Ludowych Zespołów Sportowych</t>
  </si>
  <si>
    <t>LKS Zuch Rychlik</t>
  </si>
  <si>
    <t>"Sprawni razem"</t>
  </si>
  <si>
    <t>I. Jendostki niezaliczane do sektora finansów publicznych oraz stowarzyszenia</t>
  </si>
  <si>
    <t>2. Dotacje przedmiotowe i celowe</t>
  </si>
  <si>
    <t>budowa boiska wielofunkcyjnego przy ul. Broniewskiego w Trzciance</t>
  </si>
  <si>
    <t>budowa boiska piłkarskiego przy ul. Chopina w Trzciance</t>
  </si>
  <si>
    <t>teść</t>
  </si>
  <si>
    <t>Załącznik Nr 10 do Uchwały Nr V/25/07</t>
  </si>
  <si>
    <t xml:space="preserve">rozdział 80104 
przedszkola - plan </t>
  </si>
  <si>
    <t>1 a.</t>
  </si>
  <si>
    <t>1 b.</t>
  </si>
  <si>
    <t>rozdział 80104 
przedszkola - plan po zmianach 
(suma 1a. i 1b.)</t>
  </si>
  <si>
    <t>Zakłady budżetowe (1.+2.) - plan po zmianach</t>
  </si>
  <si>
    <t xml:space="preserve">zmiana </t>
  </si>
  <si>
    <t>kary i odszkodowania wypłacane na rzecz osób prawnych i innych jednostek organizacyjnych</t>
  </si>
  <si>
    <t>Załącznik Nr 11 do Uchwały Nr V/25/07</t>
  </si>
  <si>
    <t>Załącznik Nr 1 do Uchwały Nr VI/26/07</t>
  </si>
  <si>
    <t>Załącznik Nr 2 do Uchwały Nr VI/26/07</t>
  </si>
  <si>
    <t>Załącznik Nr 4 do Uchwały Nr VI/26/07</t>
  </si>
  <si>
    <t>budowa kanalizacji sanitarnej i deszczowej w Trzciance oraz kanalizacji sanitarnej we wsiach Siedlisko, Rychlik, Stobno, Wrząca, Przyłęki, Górnica, Biernatowo i Łomnica</t>
  </si>
  <si>
    <t>Załącznik Nr 5 do Uchwały Nr VI/26/07</t>
  </si>
  <si>
    <t>Załącznik Nr 7 do Uchwały Nr VI/26/07</t>
  </si>
  <si>
    <t>Załącznik Nr 8 do Uchwały Nr VI/26/07</t>
  </si>
  <si>
    <t>Załącznik Nr 10 do Uchwały Nr VI/26/07</t>
  </si>
  <si>
    <t>Dochody budżetu gminy Trzcianka na 2007 rok - plan po zmianach</t>
  </si>
  <si>
    <t>Burmistrza Trzcianki z dnia 30.03.2007 r. zmieniający</t>
  </si>
  <si>
    <t xml:space="preserve">Rady Miejskiej Trzcianki z dnia 15.03.2007 r. </t>
  </si>
  <si>
    <t>Załącznik Nr 1 do Zarządzenia Nr 47/07</t>
  </si>
  <si>
    <t xml:space="preserve">Burmistrza Trzcianki z dnia 30.03.2007 r. </t>
  </si>
  <si>
    <t>drogi publiczne wojewódzkie</t>
  </si>
  <si>
    <t>dotacja celowa na pomoc finansową udzieloną między jednostkami samorządu terytorialnego na dofiannsowanie własnych zadań inwestycyjnych i zakupów inwestycyjnych</t>
  </si>
  <si>
    <t>dotacaj celowa na pomoc finansową udzielaną między jednostkami samorzadu terytorialnego na dofinansowanie własnych zadań bieżących</t>
  </si>
  <si>
    <t>4. Dotacje celowe na pomoc finansową udzielaną między jednostkami samorządu terytorialnego</t>
  </si>
  <si>
    <t>ZIK</t>
  </si>
  <si>
    <t>Izba Wytrzeźwien</t>
  </si>
  <si>
    <t>sala wiejska</t>
  </si>
  <si>
    <t>rezerwa</t>
  </si>
  <si>
    <t xml:space="preserve">pomoc finansowa </t>
  </si>
  <si>
    <t>M</t>
  </si>
  <si>
    <t>M, D</t>
  </si>
  <si>
    <t>B</t>
  </si>
  <si>
    <t>B, D</t>
  </si>
  <si>
    <t xml:space="preserve">Rachunek dochodów własnych - 
plan </t>
  </si>
  <si>
    <t xml:space="preserve">pomoc finansowa dla Województwa Wielkopolskiego na wspólne sfinansowanie kontynuacji przebudowy ciągu pieszo - rowerowego po prawej stronie drogi wojewódzkiej nr 180 relacji Kocien Wielki - Piła w miejscowości Siedlisko </t>
  </si>
  <si>
    <t>Załącznik Nr 6 do Zarządzenia Nr 148/07</t>
  </si>
  <si>
    <t>Burmistrza Trzcianki z dnia 15.10.2007 r.</t>
  </si>
  <si>
    <t>podwyższenie udziałów w spółce  Z.I.K. Sp z o.o.</t>
  </si>
  <si>
    <t>plan przed
 zmianą</t>
  </si>
  <si>
    <t>dotacja celowa na pomoc finansową udzielaną między jednostkami samorzadu terytorialnego na dofinansowanie własnych zadań bieżących</t>
  </si>
  <si>
    <t>AA IZBA</t>
  </si>
  <si>
    <t xml:space="preserve">Gmina Piła </t>
  </si>
  <si>
    <t>Załącznik Nr  3 do Uchwały Nr XVII/96/07</t>
  </si>
  <si>
    <t>Rady Miejskiej Trzcianki z dnia 20 grudnia 2007 r. zmieniający</t>
  </si>
  <si>
    <t>Załącznik Nr 7 do Uchwały Nr XVII/96/07</t>
  </si>
  <si>
    <t>Załącznik Nr 5 do Uchwały Nr XVII/96/07</t>
  </si>
  <si>
    <t>Załącznik Nr 4 do Uchwały Nr XVII/96/07</t>
  </si>
  <si>
    <t>Załącznik Nr 6 do Uchwały Nr XVII/96/07</t>
  </si>
  <si>
    <t>pomoc finansowa na zakup usług w Ośrodku Profilaktyki i Rozwiązywania Problemów Alkoholowych w Pile</t>
  </si>
  <si>
    <t>Województwo Wielkopolskie</t>
  </si>
  <si>
    <t>pomoc finansowa na wspólne sfinansowanie kontynuacji przebudowy ciągu pieszo - rowerowego po prawiej stronie drogi wojewódzkiej nr 180 relacji Kocien Wielki - Piła 
w miejscowości Siedlisko</t>
  </si>
  <si>
    <t>01095</t>
  </si>
  <si>
    <t>0770</t>
  </si>
  <si>
    <t>wpływy z dywidend</t>
  </si>
  <si>
    <t>wpłaty z tytułu odpłatnego nabycia prawa własności oraz prawa użytkowania wieczystego nieruchomości</t>
  </si>
  <si>
    <t>zakup leków, wyrobów medycznych i produktów biobójczych</t>
  </si>
  <si>
    <t>B,D</t>
  </si>
  <si>
    <t>świetlice AA</t>
  </si>
  <si>
    <t>delegacje AA</t>
  </si>
  <si>
    <t>szkolenia grup AA</t>
  </si>
  <si>
    <t>SP sr.obrotowe</t>
  </si>
  <si>
    <t>Gim.śr.obrotowe</t>
  </si>
  <si>
    <t>specjaliści AA</t>
  </si>
  <si>
    <t>wynagr.PPK</t>
  </si>
  <si>
    <t>broszury</t>
  </si>
  <si>
    <t>wpływy do budżetu nadwyzki dochodów własnych lub środków obrotowych</t>
  </si>
  <si>
    <t>Rady Miejskiej Trzcianki z dnia 26.04.2007 r. zmieniający</t>
  </si>
  <si>
    <t>rozbudowa sieci wodociagowej we wsi Siedlisko - "wybudowanie"  w kierunku Trzcianki</t>
  </si>
  <si>
    <t>I. DOTACJE NA ZADANIA BIEŻĄCE</t>
  </si>
  <si>
    <t>II. DOTACJE NA ZADANIA INWESTYCYJNE</t>
  </si>
  <si>
    <t>1. Dotacje celowe na pomoc finansową udzielaną między jednostkami samorządu terytorialnego</t>
  </si>
  <si>
    <t>Dotacje przekazywane na zadnia bieżące- ogółem (1+2+3+4)</t>
  </si>
  <si>
    <t>Dotacje przekazywane na zadania inwestycyjne- ogółem (1)</t>
  </si>
  <si>
    <t>opłaty za administrowanie i czynsze za budynki, lokale i pomieszczenia garażowe</t>
  </si>
  <si>
    <t>Ogółem dotacje przekazywane (I + II)</t>
  </si>
  <si>
    <t>Załącznik Nr 5 do Uchwały Nr VIIII/44/07</t>
  </si>
  <si>
    <t>Załącznik Nr 3 do Uchwały Nr VIII/44/07</t>
  </si>
  <si>
    <t>pomoc materialna dla uczniów</t>
  </si>
  <si>
    <t>Załącznik Nr 2 do Uchwały Nr VIII/44/07</t>
  </si>
  <si>
    <t>Załącznik Nr 7 do Uchwały Nr VIII/44/07</t>
  </si>
  <si>
    <t>Załącznik Nr 1 do Uchwały Nr VIII/44/07</t>
  </si>
  <si>
    <t>Załącznik Nr 4 do Uchwały Nr VIII/44/07</t>
  </si>
  <si>
    <t>budowa kanalizacji sanitarnej 
w ul. Gorzowskiej do firmy "Joskin" i "Northstar"</t>
  </si>
  <si>
    <t>dotacje celowe otrzymane 
z budżetu państwa na realizację zadań bieżących z zakresu administracji rządowej oraz innych zadań zleconych gminie (związkom gmin) ustawami</t>
  </si>
  <si>
    <t>dotacje celowe otrzymane 
z gminy na zadania bieżące realizowane na podstawie porozumień  (umów) między jednostkami samorządu terytorialnego</t>
  </si>
  <si>
    <t xml:space="preserve">placówki wychowania pozaszkolengo - działalność sekcji Hercerwskiego Ośrodka Wodnego </t>
  </si>
  <si>
    <t>placówki wychowania pozaszkolnego</t>
  </si>
  <si>
    <t xml:space="preserve">dotacje celowe przekazane dla powiatu na inwestycje i zakupy inwestycyjne realizowane na podstawie porozumień (umów) między jednostkami samorządu terytorialnego </t>
  </si>
  <si>
    <t>2007-2009</t>
  </si>
  <si>
    <t xml:space="preserve">Rady Miejskiej Trzcianki z dnia 29 listopada 2007 r. poprawiający </t>
  </si>
  <si>
    <t>Rady Miejskiej Trzcianki z dnia 25 października 2007 r.</t>
  </si>
  <si>
    <t>Załącznik nr 9 do Uchwały Nr XV/72/07</t>
  </si>
  <si>
    <t>dotacje celowe otrzymane 
z powiatu na zadania bieżące realizowane na podstawie porozumień  między jednostkami samorządu terytorialnego</t>
  </si>
  <si>
    <t>wpływy do budżetu nadwyżki dochodów własnych lub środków obrotowych</t>
  </si>
  <si>
    <t>domy i ośrodki kultury, świetlice
i kluby</t>
  </si>
  <si>
    <t xml:space="preserve">Rady Miejskiej Trzcianki z dnia 26.04.2007 r. </t>
  </si>
  <si>
    <t>Rady Miejskiej Trzcianki z dnia 26.04.2007 r.</t>
  </si>
  <si>
    <t>plan przed 
zmianą</t>
  </si>
  <si>
    <t>Burmistrza Trzcianki z dnia 14.05.2007 r. zmieniający</t>
  </si>
  <si>
    <t xml:space="preserve">Załącznik Nr 2 do Zarządzenia Nr 64/07 </t>
  </si>
  <si>
    <t>Załącznik Nr 1 do Zarządzenia Nr 64/07</t>
  </si>
  <si>
    <t xml:space="preserve">Załącznik Nr 4 do Zarządzenia Nr 64/07 </t>
  </si>
  <si>
    <t>wpłaty gmin na rzecz izb rolniczych 
w wysokości 2% uzyskanych wpływów 
z podatku rolnego</t>
  </si>
  <si>
    <t>Załącznik Nr 5 do Uchwały Nr V/25/07</t>
  </si>
  <si>
    <t>plan po 
zmianie</t>
  </si>
  <si>
    <t>90001.6010</t>
  </si>
  <si>
    <t>soł. Teresin</t>
  </si>
  <si>
    <t>soł.Radolin</t>
  </si>
  <si>
    <t xml:space="preserve">Burmistrza Trzcianki z dnia 14.05.2007 r. </t>
  </si>
  <si>
    <t>926.92605</t>
  </si>
  <si>
    <t>z nadwyżki</t>
  </si>
  <si>
    <t>dotacja Min.Sportu</t>
  </si>
  <si>
    <t>razem (I.+II.+III.)</t>
  </si>
  <si>
    <t>montaż nagrzewnicy w sali wiejskiej w Pokrzywnie</t>
  </si>
  <si>
    <t>zadania z zakresu kultury fizycznej</t>
  </si>
  <si>
    <t>Zakres i kwoty dotacji dla zakładów budżetowych, niepublicznych jednostek oświaty, samorządowych instytucji kultury, jednostek niezaliczanych do sektora finansów publicznych oraz na realizację porozumień zawartych między jednostkami samorządu terytorialnego - plan po zmianach</t>
  </si>
  <si>
    <t>szkoły</t>
  </si>
  <si>
    <t>900.90015</t>
  </si>
  <si>
    <t>Załącznik Nr 1 do Uchwały Nr IX/51/07</t>
  </si>
  <si>
    <t>Rady Miejskiej Trzcianki z dnia 31 maja 2007 r. zmieniający</t>
  </si>
  <si>
    <t xml:space="preserve">Załącznik Nr 2 do Uchwały Nr IX/51/07 </t>
  </si>
  <si>
    <t>Załącznik Nr 4 do Uchwały Nr IX/51/07</t>
  </si>
  <si>
    <t>Załącznik Nr 5 do Uchwały Nr IX/51/07</t>
  </si>
  <si>
    <t xml:space="preserve">Załącznik Nr 6 do Uchwały Nr IX/51/07 </t>
  </si>
  <si>
    <t>Załącznik Nr 8 do Uchwały Nr IX/51/07</t>
  </si>
  <si>
    <t>Rady Miejskiej Trzcianki z dnia 31 maja 2007 r.</t>
  </si>
  <si>
    <t xml:space="preserve">Rady Miejskiej Trzcianki z dnia 31 maja 2007 r. </t>
  </si>
  <si>
    <t>plan przed
zmianą</t>
  </si>
  <si>
    <t>plan po
 zmianie</t>
  </si>
  <si>
    <t>plan przed zmiana</t>
  </si>
  <si>
    <t>pozostałe zadania w zakresie kultury</t>
  </si>
  <si>
    <t>Pozostałe zadania w zakresie polityki społecznej</t>
  </si>
  <si>
    <t>plan przed
 zmiana</t>
  </si>
  <si>
    <t>Rady Miejskiej Trzcianki z dnia 28.06.2007 r.</t>
  </si>
  <si>
    <t>rehabilitacja zawodowa i społęczna osób niepełnosprawnych</t>
  </si>
  <si>
    <t>Powiat Czarnkowsko - Trzcianecki</t>
  </si>
  <si>
    <t>pomoc finansowa na sfinansowanie części kosztów działalności Warsztatów Terapii Zajęciowej</t>
  </si>
  <si>
    <t>promocja</t>
  </si>
  <si>
    <t>plan pprzed zmianą</t>
  </si>
  <si>
    <t>Burmistrza Trzcianki z dnia 30.08.2007 r.</t>
  </si>
  <si>
    <t xml:space="preserve">Burmistrza Trzcianki z dnia 30.08.2007 r. </t>
  </si>
  <si>
    <t>kary i odszkodowania wypłacane na rzecz osób fizycznych</t>
  </si>
  <si>
    <t>zakup równiarki na potrzeby sołectwa Wapniarnia I</t>
  </si>
  <si>
    <t>budowa chodnika na ulicy Strażackiej</t>
  </si>
  <si>
    <t>termomod.</t>
  </si>
  <si>
    <t>drogi publiczne powiatowe</t>
  </si>
  <si>
    <t>bosiko SP 2</t>
  </si>
  <si>
    <t>straznica</t>
  </si>
  <si>
    <t>budowa kanalizacji sanitarnej na ul.Rzemieślniczej</t>
  </si>
  <si>
    <t>budowa wodociągu przy ul. Zielnej</t>
  </si>
  <si>
    <t>budowa wodociągu przy ul.Rzemieślniczej</t>
  </si>
  <si>
    <t>7.851 dołożenie z bud. Do półkolonie z tego z PUP zwrot 4.104,80</t>
  </si>
  <si>
    <t>zdot.przedszkola</t>
  </si>
  <si>
    <t>Załącznik Nr  7 do Uchwały Nr XIV/68/07</t>
  </si>
  <si>
    <t>Załącznik Nr 10 do Uchwały Nr XIV/68/07</t>
  </si>
  <si>
    <t>odsetki od dotacji wykorzystanych niezgodnie z przeznaczeniem lub pobranych w nadmiernej wysokości</t>
  </si>
  <si>
    <t>zwrot dotacji wykorzystanych niezgodnie z zprzeznaczeniem lub pobranych w nadmiernej wysokości</t>
  </si>
  <si>
    <t>Rachunek dochodów własnych - 
plan po zmianach</t>
  </si>
  <si>
    <t>pokrycie 
amortyzacji</t>
  </si>
  <si>
    <t>odpisy amortyzacyjne</t>
  </si>
  <si>
    <t>inne formy pomocy dla uczniów</t>
  </si>
  <si>
    <t>składki na ubezpieczenie zdrowotne opłacane za osoby pobierające niektóre świadczenia
z pomocy społecznej oraz niektóre świadczenia rodzinne</t>
  </si>
  <si>
    <t>świadczenia rodzinne, zaliczka alimentacyjna oraz składki na ubezpieczenia emerytalne 
i rentowe z ubezpieczenia społecznego</t>
  </si>
  <si>
    <t>zakup materiałów papierniczych do sprzętu drukarskiego i urządzeń kserograficznych</t>
  </si>
  <si>
    <t>Załącznik Nr 2 do Zarządzenia Nr 121/07</t>
  </si>
  <si>
    <t>Załącznik Nr 1 do Zarządzenia Nr 121/07</t>
  </si>
  <si>
    <t>Załącznik Nr 4 do Zarządzenia Nr 121/07</t>
  </si>
  <si>
    <t>spłaty pożyczek otrzymanych na finansowanie zadań realizowanych z udziałem środków pochodzących z budżetu Unii Europejskiej</t>
  </si>
  <si>
    <t>oświata</t>
  </si>
  <si>
    <t>0400</t>
  </si>
  <si>
    <t>wpływy z opłaty produktowej</t>
  </si>
  <si>
    <t>budowa oświetlenia przy ul.Rzemieślniczej</t>
  </si>
  <si>
    <t>budowa oświetlenia przy ul.Krętej</t>
  </si>
  <si>
    <t>budowa oświetlenia przy ul.Bocznej</t>
  </si>
  <si>
    <t>2007 - 2009</t>
  </si>
  <si>
    <t xml:space="preserve">przebudowa drogi na ulicy Bocznej </t>
  </si>
  <si>
    <t>rozbudowa chodnika wzdłuż projektowanej jezdni na ul.Krętej</t>
  </si>
  <si>
    <t>przebudowa ulicy Nowej w Białej</t>
  </si>
  <si>
    <t xml:space="preserve">przebudowa ulicy Krętej </t>
  </si>
  <si>
    <t>budowa kanalizacji sanitarnej na ul.Zielnej I etap od ul. Gorzowskiej do ul.Lelewela</t>
  </si>
  <si>
    <t>budowa kanalizacji deszczowej przy ul.Rzemieślniczej</t>
  </si>
  <si>
    <t>budowa wodociągu na os.przy Rzemieślniczej</t>
  </si>
  <si>
    <t>Burmistrza Trzcianki z dnia 30.08.2007 r. zmieniający</t>
  </si>
  <si>
    <t xml:space="preserve">współpraca z Powiatem Czarnkowsko -Trzcianeckim - modernizacja nawierzchni asfaltowej przy ul.Gorzowskiej </t>
  </si>
  <si>
    <t>Załącznik Nr 2 do Uchwały Nr X/55/07</t>
  </si>
  <si>
    <t>Rady Miejskiej Trzcianki z dnia 28.06.2007 r. zmieniający</t>
  </si>
  <si>
    <t>Załącznik Nr 1 do Uchwały Nr X/55/07</t>
  </si>
  <si>
    <t>Załącznik Nr 4 do Uchwały Nr X/55/07</t>
  </si>
  <si>
    <t>Załącznik Nr 6 do Uchwały Nr X/55/07</t>
  </si>
  <si>
    <t>Załącznik Nr 5 do Uchwały Nr X/55/07</t>
  </si>
  <si>
    <t>Załącznik Nr  9 do Uchwały Nr X/55/07</t>
  </si>
  <si>
    <t>Załącznik Nr 10 do Uchwały Nr X/55/07</t>
  </si>
  <si>
    <t>Komendy powiatowe Państwowej Straży Pożarnej</t>
  </si>
  <si>
    <t>dotacje celowe z budżetu na finansowanie lub dofinansowanie kosztów realizacji inwestycji i zakupów inwestycyjnych innych jednostek sektora finanansów publicznych</t>
  </si>
  <si>
    <t>Powiatowa Straż Pożarna</t>
  </si>
  <si>
    <t>2. Dotacje celowe na finansowanie lub dofinansowanie inwestycji innych jednostek sektora finansów publicznych</t>
  </si>
  <si>
    <t>dotacje celowe z budżetu na finansowanie lub dofinansowanie kosztów realizacji inwestycji i zakupów inwestycyjnych innych jednostek sektora finansów publicznych</t>
  </si>
  <si>
    <t xml:space="preserve">Burmistrza Trzcianki z dnia 9.07.2007 r. </t>
  </si>
  <si>
    <t>zakup łodzi do celów ratownictwa wodnego dla Powiatowej Straży Pożarnej (Jednostka Ratowniczo - Gaśnicza 
w Trzciance)</t>
  </si>
  <si>
    <t>drogi parkowa Strażacka</t>
  </si>
  <si>
    <t>drogi Dąbrow,Broniew,Stobno, Dłużewo</t>
  </si>
  <si>
    <t>łódz PSP</t>
  </si>
  <si>
    <t>budowa nakładki bitumicznej 
w Dłużewie - od drogi powiatowej do Dłużewa</t>
  </si>
  <si>
    <t>Załącznik Nr 1 do Zarządzenia Nr 94/07</t>
  </si>
  <si>
    <t>Burmistrza Trzcianki z dnia 9.07.2007 r. zmieniający</t>
  </si>
  <si>
    <t>Załącznik Nr 2 do Zarządzenia Nr 94/07</t>
  </si>
  <si>
    <t xml:space="preserve">Rady Miejskiej Trzcianki z dnia 28.06.2007 r. </t>
  </si>
  <si>
    <t>budowa ścieżki pieszo - rowerowej łączącej ul. Konopnicką z  ul.Żeromskiego</t>
  </si>
  <si>
    <t>nawierzchnia asfaltowa na ul Mickiewicza (od ul.Staszica do ul.Roosevelta)</t>
  </si>
  <si>
    <t>budowa drogi z miejscami parkingowymi przy ul.Broniewskiego (za Parkiem 1 Maja)</t>
  </si>
  <si>
    <t>budowa boiska w Teresinie</t>
  </si>
  <si>
    <t>projekty techniczne dróg, chodników  i kanalizacji deszczowej - ul.Ogrodowa, os.Modrzewiowe, dróg Przyłeki do stacji PKP i w Stobnie</t>
  </si>
  <si>
    <t>budowa kanliazaji deszczowej w ul.Ogrodowej i na os.Modrzewiowym</t>
  </si>
  <si>
    <t xml:space="preserve">monitoring  strażnic </t>
  </si>
  <si>
    <t xml:space="preserve">Rady Miejskiej Trzcianki z dnia 29 listopada 2007 r. </t>
  </si>
  <si>
    <t>Rady Miejskiej Trzcianki z dnia ................ 2007 r. zmieniający</t>
  </si>
  <si>
    <t>Rady Miejskiej Trzcianki z dnia 29 listopada 2007 r.</t>
  </si>
  <si>
    <t>Załącznik Nr 4 do Uchwały Nr</t>
  </si>
  <si>
    <t>Rady Miejskiej Trzcianki z dnia 29 listopada 2007 r</t>
  </si>
  <si>
    <t>projekt techniczny wodociągu w Siedlisku przed torami</t>
  </si>
  <si>
    <t>zakup łodzi do ratownictwa wodnego dla Powiatowej Straży Pożarnej (Jednostka Ratowniczo - Gaśnicza w Trzciance)</t>
  </si>
  <si>
    <t>zasilanie energetyczne placu budowy działek budowlanych położonych 
w Trzciance przy jez. Okunie</t>
  </si>
  <si>
    <t>dział</t>
  </si>
  <si>
    <t>rozdział</t>
  </si>
  <si>
    <t>§</t>
  </si>
  <si>
    <t>nazwa</t>
  </si>
  <si>
    <t>010</t>
  </si>
  <si>
    <t>Rolnictwo i łowiectwo</t>
  </si>
  <si>
    <t>pozostała działalność</t>
  </si>
  <si>
    <t>odsetki z tytułu nieterminowych wpłat 
z tytułu podatków i opłat</t>
  </si>
  <si>
    <t>rekompensaty utraconych dochodów 
w podatkach i opłatach lokalnych</t>
  </si>
  <si>
    <t>dotacje celowe otrzymane z budżetu państwa na realizację zadań bieżących 
z zakresu administracji rządowej oraz innych zadań zleconych gminie (związkom gmin) ustawami</t>
  </si>
  <si>
    <t>środki na dofinansowanie własnych inwestycji gmin (związków gmin), powiatów (zwiazków powiatów), samorządów województw, pozyskane 
z innych źródeł</t>
  </si>
  <si>
    <t>wpływy i wydatki związane 
z gromadzeniem środków z opłat produktowych</t>
  </si>
  <si>
    <t>świadczenia rodzinne, zaliczka alimentacyjna oraz składki na ubezpieczenia emerytalne i rentowe 
z ubezpieczenia społecznego</t>
  </si>
  <si>
    <t>wpływy z innych lokalnych opłat pobieranych przez jednostki samorządu terytorialnego na podstawie odrębnych ustaw</t>
  </si>
  <si>
    <t>020</t>
  </si>
  <si>
    <t>Leśnictwo</t>
  </si>
  <si>
    <t>02095</t>
  </si>
  <si>
    <t>700</t>
  </si>
  <si>
    <t>Gospodarka mieszkaniowa</t>
  </si>
  <si>
    <t>70005</t>
  </si>
  <si>
    <t>pozostałe odsetki</t>
  </si>
  <si>
    <t>wpływy z różnych dochodów</t>
  </si>
  <si>
    <t>710</t>
  </si>
  <si>
    <t>cmentarze</t>
  </si>
  <si>
    <t>750</t>
  </si>
  <si>
    <t xml:space="preserve">Burmistrza Trzcianki z dnia 7.11.2007 r. </t>
  </si>
  <si>
    <t xml:space="preserve">Administracja publiczna </t>
  </si>
  <si>
    <t>urzędy wojewódzkie</t>
  </si>
  <si>
    <t>75023</t>
  </si>
  <si>
    <t>urzędy gmin (miast i miast na prawach powiatu)</t>
  </si>
  <si>
    <t xml:space="preserve">Urzędy naczelnych organów władzy państwowej, kontroli i ochrony prawa oraz sądownictwa </t>
  </si>
  <si>
    <t>urzędy naczelnych organów władzy państwowej, kontroli i ochrony prawa</t>
  </si>
  <si>
    <t>754</t>
  </si>
  <si>
    <t>Bezpieczeństwo publiczne i ochrona przeciwpożarowa</t>
  </si>
  <si>
    <t>75416</t>
  </si>
  <si>
    <t>straż miejska</t>
  </si>
  <si>
    <t xml:space="preserve">grzywny, mandaty i inne kary pieniężne od ludności </t>
  </si>
  <si>
    <t>756</t>
  </si>
  <si>
    <t>Dochody od osób prawnych, od osób fizycznych i od innych jednostek nie posiadających osobowości prawnej</t>
  </si>
  <si>
    <t xml:space="preserve">wpływy z podatku dochodowego od osób fizycznych </t>
  </si>
  <si>
    <t>podatek od działalności gospodarczej osób fizycznych, opłacany w formie karty podatkowej</t>
  </si>
  <si>
    <t>75615</t>
  </si>
  <si>
    <t>podatek od nieruchomości</t>
  </si>
  <si>
    <t>podatek rolny</t>
  </si>
  <si>
    <t>podatek leśny</t>
  </si>
  <si>
    <t>podatek od środków transportowych</t>
  </si>
  <si>
    <t>wpływy z opłaty eksploatacyjnej</t>
  </si>
  <si>
    <t>podatek od spadków i darowizn</t>
  </si>
  <si>
    <t>podatek od posiadania psów</t>
  </si>
  <si>
    <t>wpływy z opłaty targowej</t>
  </si>
  <si>
    <t>wpływy z opłaty miejscowej</t>
  </si>
  <si>
    <t>wpływy z opłaty administracyjnej za czynności urzędowe</t>
  </si>
  <si>
    <t>podatek od czynności cywilnoprawnych</t>
  </si>
  <si>
    <t>75618</t>
  </si>
  <si>
    <t>wpływy z innych opłat stanowiących dochody jednostek samorządu terytorialnego na podstawie ustaw</t>
  </si>
  <si>
    <t>wpływy z opłaty skarbowej</t>
  </si>
  <si>
    <t>75621</t>
  </si>
  <si>
    <t>udziały gmin w podatkach stanowiących dochód budżetu państwa</t>
  </si>
  <si>
    <t>podatek dochodowy od osób fizycznych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</si>
  <si>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</si>
  <si>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</si>
  <si>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</si>
  <si>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</si>
  <si>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</si>
  <si>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subwencje ogólne z budżetu państwa</t>
  </si>
  <si>
    <t>różne rozliczenia finansowe</t>
  </si>
  <si>
    <t>szkoły podstawowe</t>
  </si>
  <si>
    <t>gimnazja</t>
  </si>
  <si>
    <t>Ochrona zdrowia</t>
  </si>
  <si>
    <t>przeciwdziałanie alkoholizmowi</t>
  </si>
  <si>
    <t>wpływy z opłat za zezwolenia na sprzedaż alkoholu</t>
  </si>
  <si>
    <t>podatek od towarów i usług (VAT)</t>
  </si>
  <si>
    <t>dochody z najmu i dzierżawy składników majątkowych Skarbu Państwa, jednostek samorządu terytorialnego lub  innych jednostek zaliczanych do sektora finansów publicznych oraz innych umów o podobnym charakterze</t>
  </si>
  <si>
    <t xml:space="preserve">zasiłki i pomoc w naturze oraz składki na ubezpieczenia społeczne </t>
  </si>
  <si>
    <t>dodatki mieszkaniowe</t>
  </si>
  <si>
    <t>ośrodki pomocy społecznej</t>
  </si>
  <si>
    <t>Edukacyjna opieka wychowawcza</t>
  </si>
  <si>
    <t>świetlice szkolne</t>
  </si>
  <si>
    <t>Gospodarka komunalna i ochrona środowiska</t>
  </si>
  <si>
    <t>gospodarka ściekowa i ochrona wód</t>
  </si>
  <si>
    <t>921</t>
  </si>
  <si>
    <t>92116</t>
  </si>
  <si>
    <t>biblioteki</t>
  </si>
  <si>
    <t>Kultura fizyczna i sport</t>
  </si>
  <si>
    <t>zadania w zakresie kultury fizycznej i sportu</t>
  </si>
  <si>
    <t>razem</t>
  </si>
  <si>
    <t xml:space="preserve">Kultura i ochrona dziedzictwa narodowego </t>
  </si>
  <si>
    <t>01030</t>
  </si>
  <si>
    <t>izby rolnicze</t>
  </si>
  <si>
    <t>zakup materiałów i wyposażenia</t>
  </si>
  <si>
    <t>wydatki inwestycyjne jednostek budżetowych</t>
  </si>
  <si>
    <t>600</t>
  </si>
  <si>
    <t>Transport i łączność</t>
  </si>
  <si>
    <t>60016</t>
  </si>
  <si>
    <t>drogi publiczne gminne</t>
  </si>
  <si>
    <t>zakup usług remontowych</t>
  </si>
  <si>
    <t>zakup usług pozostałych</t>
  </si>
  <si>
    <t>Działalność usługowa</t>
  </si>
  <si>
    <t>71004</t>
  </si>
  <si>
    <t>plany zagospodarowania przestrzennego</t>
  </si>
  <si>
    <t>Administracja publiczna</t>
  </si>
  <si>
    <t>wynagrodzenia osobowe pracowników</t>
  </si>
  <si>
    <t>dodatkowe wynagrodzenie roczne</t>
  </si>
  <si>
    <t>składki na ubezpieczenia społeczne</t>
  </si>
  <si>
    <t>składki na Fundusz Pracy</t>
  </si>
  <si>
    <t>odpisy na zakładowy fundusz świadczeń socjalnych</t>
  </si>
  <si>
    <t>różne wydatki na rzecz osób fizycznych</t>
  </si>
  <si>
    <t xml:space="preserve">Załącznik Nr 10 do Uchwały Nr XVI/84/07 </t>
  </si>
  <si>
    <t>podróże służbowe krajowe</t>
  </si>
  <si>
    <t>75022</t>
  </si>
  <si>
    <t xml:space="preserve">zakup materiałów i wyposażenia </t>
  </si>
  <si>
    <t>podróże służbowe zagraniczne</t>
  </si>
  <si>
    <t>różne opłaty i składki</t>
  </si>
  <si>
    <t>zakup energii</t>
  </si>
  <si>
    <t>wydatki na zakupy inwestycyjne jednostek budżetowych</t>
  </si>
  <si>
    <t>wynagrodzenia agencyjno-prowizyjne</t>
  </si>
  <si>
    <t>Urzędy naczelnych organów władzy państwowej, kontroli i ochrony prawa oraz sądownictwa</t>
  </si>
  <si>
    <t>Bezpieczeństwo publiczne                                                                       i ochrona przeciwpożarowa</t>
  </si>
  <si>
    <t>75412</t>
  </si>
  <si>
    <t>ochotnicze straże pożarne</t>
  </si>
  <si>
    <t>75495</t>
  </si>
  <si>
    <t>757</t>
  </si>
  <si>
    <t>Obsługa długu publicznego</t>
  </si>
  <si>
    <t>75702</t>
  </si>
  <si>
    <t>obsługa papierów wartościowych, kredytów i pożyczek jednostek samorządu terytorialnego</t>
  </si>
  <si>
    <t>odsetki i dyskonto od krajowych skarbowych papierów wartościowych oraz pożyczek i kredytów</t>
  </si>
  <si>
    <t>75818</t>
  </si>
  <si>
    <t>rezerwy ogólne i celowe</t>
  </si>
  <si>
    <t xml:space="preserve">rezerwy </t>
  </si>
  <si>
    <t>801</t>
  </si>
  <si>
    <t>Oświata i wychowanie</t>
  </si>
  <si>
    <t>80101</t>
  </si>
  <si>
    <t>świadczenia społeczne</t>
  </si>
  <si>
    <t>80104</t>
  </si>
  <si>
    <t>odpisy na zakłdowy fundusz świadczeń socjalnych</t>
  </si>
  <si>
    <t xml:space="preserve">80110 </t>
  </si>
  <si>
    <t>80113</t>
  </si>
  <si>
    <t>dowożenie uczniów do szkół</t>
  </si>
  <si>
    <t>851</t>
  </si>
  <si>
    <t>85154</t>
  </si>
  <si>
    <t>składki na ubezpieczenia zdrowotne</t>
  </si>
  <si>
    <t>usługi opiekuńcze i specjalistyczne usługi opiekuńcze</t>
  </si>
  <si>
    <t>854</t>
  </si>
  <si>
    <t>zakup pomocy naukowych, dydaktycznych i książek</t>
  </si>
  <si>
    <t xml:space="preserve">przedszkola </t>
  </si>
  <si>
    <t xml:space="preserve">dotacja podmiotowa z budżetu dla zakładu budżetowego </t>
  </si>
  <si>
    <t>85412</t>
  </si>
  <si>
    <t>kolonie i obozy  oraz inne formy wypoczynku dzieci i młodzieży szkolnej</t>
  </si>
  <si>
    <t>900</t>
  </si>
  <si>
    <t>90001</t>
  </si>
  <si>
    <t>90003</t>
  </si>
  <si>
    <t>oczyszczanie miast i wsi</t>
  </si>
  <si>
    <t>90004</t>
  </si>
  <si>
    <t>90005</t>
  </si>
  <si>
    <t>ochrona powietrza atmosferycznego i klimatu</t>
  </si>
  <si>
    <t>opłaty na rzecz budżetów jednostek samorządu terytorialnego</t>
  </si>
  <si>
    <t>90013</t>
  </si>
  <si>
    <t>schroniska dla zwierząt</t>
  </si>
  <si>
    <t>90015</t>
  </si>
  <si>
    <t>oświetlenie ulic, placów i dróg</t>
  </si>
  <si>
    <t>90095</t>
  </si>
  <si>
    <t>Załącznik Nr 10 do Uchwały Nr XVII/96/07</t>
  </si>
  <si>
    <t>Kultura i ochrona dziedzictwa narodowego</t>
  </si>
  <si>
    <t>92109</t>
  </si>
  <si>
    <t>dotacja podmiotowa z budżetu dla instytucji kultury</t>
  </si>
  <si>
    <t>92118</t>
  </si>
  <si>
    <t>muzea</t>
  </si>
  <si>
    <t>926</t>
  </si>
  <si>
    <t>plan</t>
  </si>
  <si>
    <t xml:space="preserve">plan </t>
  </si>
  <si>
    <t>przychody</t>
  </si>
  <si>
    <t>rozchody</t>
  </si>
  <si>
    <t>saldo</t>
  </si>
  <si>
    <t>spłaty otrzymanych krajowych pożyczek i kredytów</t>
  </si>
  <si>
    <t>wykup gruntów</t>
  </si>
  <si>
    <t>wpływy z różnych opłat</t>
  </si>
  <si>
    <t xml:space="preserve">wpływy z innych opłat stanowiacych dochody jednostek samorządu terytorialnego na podstawie ustaw </t>
  </si>
  <si>
    <t>opłaty na rzecz budżetu państwa</t>
  </si>
  <si>
    <t>Rady Miejskiej Trzcianki</t>
  </si>
  <si>
    <t>przychody z zaciagniętych pożyczek i kredytów na rynku krajowym</t>
  </si>
  <si>
    <t>dokształcanie i doskonalenie nauczycieli</t>
  </si>
  <si>
    <t>gospodarka gruntami i nieruchomościami</t>
  </si>
  <si>
    <t>rady gmin (miast i miast na prawach powiatu)</t>
  </si>
  <si>
    <t>dotacje celowe przekazane dla powiatu na zadania bieżące realizowane na podstawie porozumień (umów) między jednostkami samorządu terytorialnego</t>
  </si>
  <si>
    <t>domy i ośrodki kultury, świetlice i kluby</t>
  </si>
  <si>
    <t>utrzymanie zieleni w miastach i gminach</t>
  </si>
  <si>
    <t>Dochody od osób prawnych, od osób fizycznych i od innych jednostek nieposiadających osobowości prawnej oraz wydatki związane z ich poborem</t>
  </si>
  <si>
    <t>852</t>
  </si>
  <si>
    <t>85214</t>
  </si>
  <si>
    <t>85219</t>
  </si>
  <si>
    <t>85295</t>
  </si>
  <si>
    <t>kolonie i obozy  oraz inne formy wypoczynku dzieci i młodzieży szkolnej, a także szkolenia młodzieży</t>
  </si>
  <si>
    <t>0490</t>
  </si>
  <si>
    <t>0470</t>
  </si>
  <si>
    <t>0750</t>
  </si>
  <si>
    <t>0920</t>
  </si>
  <si>
    <t>0970</t>
  </si>
  <si>
    <t>0570</t>
  </si>
  <si>
    <t>0350</t>
  </si>
  <si>
    <t>0910</t>
  </si>
  <si>
    <t>0310</t>
  </si>
  <si>
    <t>0320</t>
  </si>
  <si>
    <t>0330</t>
  </si>
  <si>
    <t>0340</t>
  </si>
  <si>
    <t>0360</t>
  </si>
  <si>
    <t>0370</t>
  </si>
  <si>
    <t>0430</t>
  </si>
  <si>
    <t>0440</t>
  </si>
  <si>
    <t>0450</t>
  </si>
  <si>
    <t>0460</t>
  </si>
  <si>
    <t>0500</t>
  </si>
  <si>
    <t>0410</t>
  </si>
  <si>
    <t>0010</t>
  </si>
  <si>
    <t>0020</t>
  </si>
  <si>
    <t>0740</t>
  </si>
  <si>
    <t>0480</t>
  </si>
  <si>
    <t>zakup środków żywności</t>
  </si>
  <si>
    <t>pobór podatków, opłat i niepodatkowych należności budżetowych</t>
  </si>
  <si>
    <t>Towarzystwa budownictwa społecznego</t>
  </si>
  <si>
    <t>koszty postępowania sądowego i prokuratorskiego</t>
  </si>
  <si>
    <t>0690</t>
  </si>
  <si>
    <t xml:space="preserve">dotacja podmiotowa z budżetu dla niepublicznej jednostki systemu oświaty </t>
  </si>
  <si>
    <t>dochody jednostek samorządu terytorialnego związane z realizacją zadań z zakresu administracji rządowej oraz innych zadań zleconych ustawami</t>
  </si>
  <si>
    <t>dotacje otrzymane z funduszy celowych na realizację zadań bieżących jednostek sektora finansów publicznych</t>
  </si>
  <si>
    <t>część wyrównawcza subwencji ogólnej dla gmin</t>
  </si>
  <si>
    <t>75807</t>
  </si>
  <si>
    <t xml:space="preserve">Pomoc społeczna </t>
  </si>
  <si>
    <t>Pomoc społeczna</t>
  </si>
  <si>
    <t>wpływy ze sprzedaży składników majątkowych</t>
  </si>
  <si>
    <t>dotacja podmiotowa z budżetu dla samorządowej instytucji kultury</t>
  </si>
  <si>
    <t xml:space="preserve"> wydatki osobowe niezaliczone do wynagrodzeń</t>
  </si>
  <si>
    <t xml:space="preserve">wynagrodzenia bezosobowe </t>
  </si>
  <si>
    <t xml:space="preserve">wpływy z podatku rolnego, podatku leśnego, podatku od czynności cywilnoprawnych, podatków i opłat lokalnych od osób prawnych i innych jednostek organizacyjnych </t>
  </si>
  <si>
    <t xml:space="preserve">wpływy z podatku rolnego, podatku leśnego,podatku od spadków i darowizn, podatku od czynności cywilnoprawnych oraz podatków i opłat lokalnych od osób fizycznych </t>
  </si>
  <si>
    <t>wynagrodzenia bezosobowe</t>
  </si>
  <si>
    <t>Załącznik Nr 1 do Zarządzenia Nr 159/07</t>
  </si>
  <si>
    <t>Załącznik Nr 6 do Uchwały Nr XVI/84/07</t>
  </si>
  <si>
    <t>Załącznik Nr  5  do Uchwały Nr XVI/84/07</t>
  </si>
  <si>
    <t>Załącznik Nr  7 do Uchwały Nr XVI/84/07</t>
  </si>
  <si>
    <t>Burmistrza Trzcianki z dnia 7.11.2007 r. zmieniający</t>
  </si>
  <si>
    <t>Załącznik Nr 2 do Zarządzenia Nr 159/07</t>
  </si>
  <si>
    <t>Załącznik Nr 4 do Zarządzenia Nr 159/07</t>
  </si>
  <si>
    <t>wpływy do budżetu nadwyżki środków obrotowych zakładu budżetowego</t>
  </si>
  <si>
    <t>zakup elementów do monitorowania miasta</t>
  </si>
  <si>
    <t>0830</t>
  </si>
  <si>
    <t>wpływy z usług</t>
  </si>
  <si>
    <t>Rady Miejskiej Trzcianki z dnia 25.10.2007 r. zmieniający</t>
  </si>
  <si>
    <t>Załącznik Nr  5  do Uchwały Nr XV/72/07</t>
  </si>
  <si>
    <t>Załącznik Nr 1 do Uchwały Nr  XV/72/07</t>
  </si>
  <si>
    <t>Załącznik Nr 4 do Uchwały Nr XV/72/07</t>
  </si>
  <si>
    <t>Załącznik Nr 10 do Uchwały Nr XV/72/07</t>
  </si>
  <si>
    <t>Załącznik Nr 2 do Uchały Nr XV/72/07</t>
  </si>
  <si>
    <t>Załącznik Nr 6 do Uchwały Nr XV/72/07</t>
  </si>
  <si>
    <t>Załącznik Nr  8 do Uchwały Nr XV/72/07</t>
  </si>
  <si>
    <t>wpływy z pomocy finansowej udzielanej między jednostkami samorządu terytorialnego na dofinansowanie własnych zadań bieżących</t>
  </si>
  <si>
    <t>wynagrodzenie bezosobowe</t>
  </si>
  <si>
    <t>0870</t>
  </si>
  <si>
    <t>zwiększenia</t>
  </si>
  <si>
    <t>zmniejszenia</t>
  </si>
  <si>
    <t>15.11.2007 r.</t>
  </si>
  <si>
    <t>Projekt budżetu</t>
  </si>
  <si>
    <t>instytucje kultury fizycznej</t>
  </si>
  <si>
    <t>zmiany</t>
  </si>
  <si>
    <t>wykup innych papierów wartościowych</t>
  </si>
  <si>
    <t>zakup usług zdrowotnych</t>
  </si>
  <si>
    <t>budowa chodnika w Siedlisku</t>
  </si>
  <si>
    <t>różne jednostki obsługi gospodarki mieszkaniowej</t>
  </si>
  <si>
    <t>świadczenia rodzinne oraz składki na ubezpieczenia emerytalne i rentowe z ubezpieczenia społecznego</t>
  </si>
  <si>
    <t>plan po zmianach</t>
  </si>
  <si>
    <t>Załącznik Nr 10 do uchwały nr XXXIII/233/05</t>
  </si>
  <si>
    <t>Rady Miejskiej trzcianki z dnia 10.02.2005 r.</t>
  </si>
  <si>
    <t>odsetki od nieterminowych wpłat 
z tytułu podatków i opłat</t>
  </si>
  <si>
    <t>składki na ubezpieczenie zdrowotne opłacane za osoby pobierające niektóre świadczenia 
z pomocy społecznej oraz niektóre świadczenia rodzinne</t>
  </si>
  <si>
    <t>dotacje celowe otrzymane 
z budżetu państwa na realizację własnych zadań bieżących gmin (związków gmin)</t>
  </si>
  <si>
    <t xml:space="preserve">pozostała działalność </t>
  </si>
  <si>
    <t>Rady Miejskiej Trzcianki z dnia 28.04.2005 r. zmieniający</t>
  </si>
  <si>
    <t>Załącznik Nr 2 do Uchwały Nr XVII/96/07</t>
  </si>
  <si>
    <t>Załącznik Nr 6 do Uchwały Nr XXXVII/255/05</t>
  </si>
  <si>
    <t>oddziały przedszkolne w szkołach podstawowych</t>
  </si>
  <si>
    <t>promocja jednostek samorządu terytorialnego</t>
  </si>
  <si>
    <t xml:space="preserve">zasiłki i pomoc w naturze oraz składki na ubezpieczenia emerytalne i rentowe </t>
  </si>
  <si>
    <t>zakup usług dostępu do sieci Internet</t>
  </si>
  <si>
    <t xml:space="preserve">zasiłki i pomoc w naturze oraz składki na ubezpieczenia emerytalne i rentowe  </t>
  </si>
  <si>
    <t>przychody z zaciągniętych pożyczek na finansowanie zadań realizowanych z udziałem środków pochodzących z budżetu Unii Eropejskiej</t>
  </si>
  <si>
    <t>budowa remizy w Niekursku</t>
  </si>
  <si>
    <t>zakup usług dostepu do sieci Internet</t>
  </si>
  <si>
    <t xml:space="preserve"> </t>
  </si>
  <si>
    <t xml:space="preserve">       </t>
  </si>
  <si>
    <t xml:space="preserve">                   </t>
  </si>
  <si>
    <t>wydatki osobowe niezaliczone do wynagrodzeń</t>
  </si>
  <si>
    <t>wpływy z opłat za zarząd, użytkowanie i użytkowanie wieczyste nieruchomości</t>
  </si>
  <si>
    <t>dotacje celowe otrzymane z budżetu państwa na realizację zadań bieżących z zakresu administracji rządowej oraz innych zadań zleconych gminie (związkom gmin) ustawami</t>
  </si>
  <si>
    <t>Załącznik Nr 2 do Uchwały Nr XIV/68/07</t>
  </si>
  <si>
    <t>Rady Miejskiej Trzcianki z dnia 27.09.2007 r. zmieniający</t>
  </si>
  <si>
    <t>Załącznik Nr 1 do Uchwały Nr XIV/68/07</t>
  </si>
  <si>
    <t>Załącznik Nr 4 do Uchwały Nr XIV/68/07</t>
  </si>
  <si>
    <t>Załącznik Nr 6 do Zarządzenia Nr XIV/68/07</t>
  </si>
  <si>
    <t>Załącznik Nr  5  do Uchwały Nr XIV/68/07</t>
  </si>
  <si>
    <t>dotacje celowe otrzymane z budżetu państwa na realizację własnych zadań bieżących gmin (związków gmin)</t>
  </si>
  <si>
    <t>dotacje celowe otrzymane z powiatu na zadania bieżące realizowane na podstawie porozumień  między jednostkami samorządu terytorialnego</t>
  </si>
  <si>
    <t>75831</t>
  </si>
  <si>
    <t>część równoważąca subwencji ogólnej dla gmin</t>
  </si>
  <si>
    <t>zakup usług medycznych</t>
  </si>
  <si>
    <t>składki na fundusz pracy</t>
  </si>
  <si>
    <t>zakup usług dostepu do sieci interet</t>
  </si>
  <si>
    <t>budowa chodnika w Stobnie</t>
  </si>
  <si>
    <t>Załącznik Nr 7</t>
  </si>
  <si>
    <t xml:space="preserve">      Ochrona zdrowia</t>
  </si>
  <si>
    <t xml:space="preserve">Burmistrza Trzcianki z dnia 15.10.2007 r. </t>
  </si>
  <si>
    <t xml:space="preserve">                </t>
  </si>
  <si>
    <t>Dochody z tytułu opłat za wydawanie zezwoleń na sprzedaż napojów alkoholowych</t>
  </si>
  <si>
    <t>Wydatki na realizację zadań określonych w programie profilaktyki i rozwiązywania problemów alkoholowych</t>
  </si>
  <si>
    <t>Załącznik Nr 11</t>
  </si>
  <si>
    <t>świadczenia rodzinne, zaliczka alimentacyjna oraz składki na ubezpieczenia emerytalne i rentowe z ubezpieczenia społecznego</t>
  </si>
  <si>
    <t>dotacja przedmiotowa z budżetu dla jednostek nie zaliczanych do sektora finansów publicznych</t>
  </si>
  <si>
    <t>przeciwdziałanie narkomanii</t>
  </si>
  <si>
    <t>zwalczanie narkomanii</t>
  </si>
  <si>
    <t>wpływy z opłat za wydawanie zezwoleń na sprzedaż alkoholu</t>
  </si>
  <si>
    <t>0760</t>
  </si>
  <si>
    <t>Załącznik Nr 1 do Uchwały Nr XVI/84/07</t>
  </si>
  <si>
    <t>Rady Miejskiej Trzcianki z dnia 29 listopada 2007 r. zmieniający</t>
  </si>
  <si>
    <t>Załącznik Nr 2 do Uchwały Nr XVI/84/07</t>
  </si>
  <si>
    <t>Załącznik Nr 4 do Uchwały Nr XVI/84/07</t>
  </si>
  <si>
    <t>wpływy z tytułu przekształcenia prawa użytkowania wieczystego przysługującego osobom fizycznym w prawo własności</t>
  </si>
  <si>
    <t>opłaty z tytułu zakupu usług telekomunikacyjnych telefonii stacjonarnej</t>
  </si>
  <si>
    <t>opłaty czynszowe za pomieszczenia biurowe</t>
  </si>
  <si>
    <t>zakup materiałów papierniczych do sprzętu drukarskiego i urządzeń kesrograficznych</t>
  </si>
  <si>
    <t>szkolenia pracowników niebędących członkami służby cywilnej</t>
  </si>
  <si>
    <t>zakup akcesoriów komputerowych, w tym programów i licencji</t>
  </si>
  <si>
    <t>opłaty z tytułu zakupu usług telekomunikacyjnych telefonii komórkowej</t>
  </si>
  <si>
    <t>zakup usług obejmujących wykonanie ekspertyz, analiz i opinii</t>
  </si>
  <si>
    <t>dotacja przedmiotowa dla jednostek nie zaliczanych do sektora finansów publicznych</t>
  </si>
  <si>
    <t>wydatki na zakup i objęcie akcji, wniesienie wkładów do spółek prawa handlowego oraz na uzupełnienie funduszy statutowych banków państwowych i innych instytucji finansowych</t>
  </si>
  <si>
    <t xml:space="preserve">pomoc materialna dla uczniów </t>
  </si>
  <si>
    <t>stypendia dla uczniów</t>
  </si>
  <si>
    <t>obiekty sportowe</t>
  </si>
  <si>
    <t>budowa chodnika na ul. Staszica</t>
  </si>
  <si>
    <t xml:space="preserve">modernizacja dróg na ul. Konopnickiej i Wita Stwosza </t>
  </si>
  <si>
    <t>modernizacja ulicy Ogrodowej</t>
  </si>
  <si>
    <t xml:space="preserve">budowa ciągu pieszo - rowerowego przy ul. Ogrodowej </t>
  </si>
  <si>
    <t>budowa chodnika przy ul. Kopernika i Wiosny Ludów</t>
  </si>
  <si>
    <t>modernizacja drogi ul. Mickiewicza</t>
  </si>
  <si>
    <t>budowa chodnika przy ul. Mickiewicza</t>
  </si>
  <si>
    <t>zakup równiarki na potrzeby sołectwa Rychlik</t>
  </si>
  <si>
    <t>budowa chodnika w Białej ul. Radolińska oraz utwardzenie drogi na cmentarz</t>
  </si>
  <si>
    <t>budowa chodnika w Biernatowie</t>
  </si>
  <si>
    <t>budowa chodnika w Radolinie</t>
  </si>
  <si>
    <t>budowa chodnika w Runowie</t>
  </si>
  <si>
    <t>budowa chodnika w Teresinie</t>
  </si>
  <si>
    <t xml:space="preserve">zakup sprzętu komputerowego </t>
  </si>
  <si>
    <t>zakup sprzętu komputerowego</t>
  </si>
  <si>
    <t>budowa placów zabaw</t>
  </si>
  <si>
    <t>budowa wodociągu w Stobnie</t>
  </si>
  <si>
    <t>budowa wodociągu w Sarczu</t>
  </si>
  <si>
    <t>wybory do Sejmu i Senatu</t>
  </si>
  <si>
    <t>budowa oświetlenia na ul. Ogrodowej</t>
  </si>
  <si>
    <t>budowa oświetlenia Nowa Wieś</t>
  </si>
  <si>
    <t>budowa oświetlenia Przyłęki</t>
  </si>
  <si>
    <t>budowa oświetlenia Wapniarnia III</t>
  </si>
  <si>
    <t>budowa oświetlenia Siedlisko</t>
  </si>
  <si>
    <t>Załącznik Nr 9 do Uchwały Nr XVII/96/07</t>
  </si>
  <si>
    <t>modernizacja instalacji grzewczej sali wiejskiej w Straduniu</t>
  </si>
  <si>
    <t>budowa pływalni (kryty basen)</t>
  </si>
  <si>
    <t>budowa sali sportowej we wsi Siedlisko</t>
  </si>
  <si>
    <t>Załącznik Nr 6</t>
  </si>
  <si>
    <t>Wydatki na wieloletnie programy inwestycyjne w latach 2007 - 2009</t>
  </si>
  <si>
    <t>L.p.</t>
  </si>
  <si>
    <t>Nazwa programu lub zadania z kontraktu</t>
  </si>
  <si>
    <t>Cel</t>
  </si>
  <si>
    <t>Jendostka organizacyjna odpowiedzialna za realizację lub koordynująca</t>
  </si>
  <si>
    <t>Okres realizacji                               (w latach)</t>
  </si>
  <si>
    <t>Łączne nakłady finansowe</t>
  </si>
  <si>
    <t>Wydatki</t>
  </si>
  <si>
    <t>2007 r.</t>
  </si>
  <si>
    <t>2008 r.</t>
  </si>
  <si>
    <t>2009 r.</t>
  </si>
  <si>
    <t>1.</t>
  </si>
  <si>
    <t>Modernizacja dróg gminnych</t>
  </si>
  <si>
    <t>poprawa stanu nawierzchni dróg i chodników</t>
  </si>
  <si>
    <t>Urząd Miejski Trzcianki</t>
  </si>
  <si>
    <t>2004 - 2011</t>
  </si>
  <si>
    <t>2.</t>
  </si>
  <si>
    <t>Budowa pływalni (kryty basen)</t>
  </si>
  <si>
    <t>Rady Miejskiej Trzcianki z dnia 25.10.2007 r.</t>
  </si>
  <si>
    <t xml:space="preserve">Rady Miejskiej Trzcianki z dnia 25.10.2007 r. </t>
  </si>
  <si>
    <t>budowa bazy rekreacyjno - sportowej</t>
  </si>
  <si>
    <t>Budowa sali sportowej we wsi Siedlisko</t>
  </si>
  <si>
    <t>4.</t>
  </si>
  <si>
    <t>Budowa remizy w Niekursku</t>
  </si>
  <si>
    <t>poprawa bezpieczeństwa i ochrona przeciwpożarowa</t>
  </si>
  <si>
    <t>2005 - 2007</t>
  </si>
  <si>
    <t>l.p.</t>
  </si>
  <si>
    <t>Wyszczególnienie</t>
  </si>
  <si>
    <t>Przychody</t>
  </si>
  <si>
    <t>ogółem</t>
  </si>
  <si>
    <t>w tym: dotacja z budżetu</t>
  </si>
  <si>
    <t>wydatki osobowe</t>
  </si>
  <si>
    <t>wydatki rzeczowe</t>
  </si>
  <si>
    <t>wydatki inwestycyjne</t>
  </si>
  <si>
    <t>I</t>
  </si>
  <si>
    <t>II.</t>
  </si>
  <si>
    <t>1. Dotacje podmiotowe</t>
  </si>
  <si>
    <t>Nazwa jednostki</t>
  </si>
  <si>
    <t>Zakres dotacji</t>
  </si>
  <si>
    <t>I. Zakłady budżetowe</t>
  </si>
  <si>
    <t>Gminne Przedszkola Publiczne</t>
  </si>
  <si>
    <t>prowadzenie przedszkoli</t>
  </si>
  <si>
    <t>dokształcanie i doskonalenie zawodowe nauczycieli</t>
  </si>
  <si>
    <t xml:space="preserve">II. Niepubliczne jednostki systemu oświaty </t>
  </si>
  <si>
    <t xml:space="preserve">Katolicka Szkoła Podstawowa im. św. Siostry Faustyny w Trzciance  </t>
  </si>
  <si>
    <t>prowadzenie szkoły</t>
  </si>
  <si>
    <t>Oddział Przedszkolny przy Katolickiej Szkole Podstawowej św. Siostry Faustyny w Trzciance</t>
  </si>
  <si>
    <t>prowadzenie oddziału przedszkolnego</t>
  </si>
  <si>
    <t xml:space="preserve">III. Samorządowe instytucje kultury </t>
  </si>
  <si>
    <t>Trzcianecki Dom Kultury</t>
  </si>
  <si>
    <t>działalność instytucji kultury</t>
  </si>
  <si>
    <t>Biblioteka Publiczna Miasta i Gminy im. Kazimiery Iłłakowiczówny</t>
  </si>
  <si>
    <t>działalność instytucji kultury - porozumienie</t>
  </si>
  <si>
    <t>Muzeum Ziemi Nadnoteckiej im. Wiktora Stachowiaka</t>
  </si>
  <si>
    <t>konkurs</t>
  </si>
  <si>
    <t xml:space="preserve">prowadzenie świetlic środwiskowych </t>
  </si>
  <si>
    <t>realizacja programów o charakterze profilaktyczno - edukacyjnym</t>
  </si>
  <si>
    <t>Caritas Parafii p.w. Św. Jana Chrzciciela</t>
  </si>
  <si>
    <t>Stowarzyszenie "Pomagajmy Dzieciom"</t>
  </si>
  <si>
    <t>Towarzystwo Przyjaciół Dzieci Koło Przyjaciół Dzieci Niepełnosprawnych w Trzciance</t>
  </si>
  <si>
    <t>Olimpiady Specjalne Polska Oodział Regionalny Olimpiady Specjalne Polska Wielkopolskie</t>
  </si>
  <si>
    <t xml:space="preserve">organizacja wypoczynku </t>
  </si>
  <si>
    <t>MKS "Lubuszanin"</t>
  </si>
  <si>
    <t>MKS MDK</t>
  </si>
  <si>
    <t>UKS "Dysk" przy SP nr 3</t>
  </si>
  <si>
    <t>UKS " Kajak"przy Gimnazjum nr 1</t>
  </si>
  <si>
    <t>Sekcja Olimpiad Specjalnych "Olimpijczyk"</t>
  </si>
  <si>
    <t>UKS "Fortuna" Biała</t>
  </si>
  <si>
    <t>LKS "Zuch" Rychlik</t>
  </si>
  <si>
    <t>Trzcianeckie Stowarzyszenie LZS</t>
  </si>
  <si>
    <t>ZHP</t>
  </si>
  <si>
    <t>Oddział Olimpiad Specjalnych "Olimpijczyk"</t>
  </si>
  <si>
    <t>PTSS "Sprawni Razem"</t>
  </si>
  <si>
    <t xml:space="preserve">3. Dotacje celowe na realizację porozumień  </t>
  </si>
  <si>
    <t xml:space="preserve">Starostwo Powiatowe </t>
  </si>
  <si>
    <t>utrzymanie hali sportowo-widowiskowej przy L.O. w Trzciance</t>
  </si>
  <si>
    <t>Starostwo Powiatowe</t>
  </si>
  <si>
    <t>utrzymanie pracownika ZNP</t>
  </si>
  <si>
    <t>rozdział 80146 - dokształcanie i doskonalenie zawodowe nauczycieli</t>
  </si>
  <si>
    <t>z dnia 8 lutego 2007 r.</t>
  </si>
  <si>
    <t>wniesienie udziałów do TTBS na budowę budynku mieszkalnego przy ul. Matejki</t>
  </si>
  <si>
    <t>rezerwa na inwestycje i zakupy inwestycyjne</t>
  </si>
  <si>
    <t>budowa boiska sportowego przy szkole Podstawowej nr 3</t>
  </si>
  <si>
    <t>budowa oświetlenia w Niekursku
( 20.000 środki budżetu gminy, 4.000 zł środki sołectwa Niekursko)</t>
  </si>
  <si>
    <t>do Uchwały Nr V/25/07</t>
  </si>
  <si>
    <t>01038</t>
  </si>
  <si>
    <t>Rozwój obszarów wiejskich</t>
  </si>
  <si>
    <t>współpraca z WZDW - dokończenie budowy chodnika w Siedlisku oraz budowa chodnika  we Wrzącej</t>
  </si>
  <si>
    <t xml:space="preserve">budowa chodnika przy ul. Konopnickiej i Wita Stwosza </t>
  </si>
  <si>
    <t>Rady Miejskiej Trzcianki z dnia 15.03.2007 r. zmieniający</t>
  </si>
  <si>
    <t>załącznik Nr 1 do Uchwały Nr V/25/07</t>
  </si>
  <si>
    <t>Rady Miejskiej Trzcianki z dnia 8.02.2007 r.</t>
  </si>
  <si>
    <t>Załącznik Nr 1 do Uchwały Nr XVII/96/07</t>
  </si>
  <si>
    <t>załącznik Nr 2 do Uchwały Nr V/25/07</t>
  </si>
  <si>
    <t>Wydatki  budżetu gminy Trzcianka na 2007 rok - plan po zmianach</t>
  </si>
  <si>
    <t>zwiekszenia</t>
  </si>
  <si>
    <t>budowa chodnika ul. Dąbrowskiego
( od ul.Strażackiej do ul. Wieleńskiej)</t>
  </si>
  <si>
    <t>dokończenie budowy drogi ul.Dąbrowskiego( od ul.Strażackiej do ul. Wieleńskiej)</t>
  </si>
  <si>
    <t>Wydatki związane z realizacją zadań z zakresu administracji rządowej i innych zadań zleconych ustawami na rok 2007 - plan po zmianach</t>
  </si>
  <si>
    <t xml:space="preserve">Rady Miejskiej Trzcianki z dnia 08.02.2007 r. </t>
  </si>
  <si>
    <t xml:space="preserve">Załącznik Nr  do Uchwały Nr </t>
  </si>
  <si>
    <t>Załącznik Nr  do Uchwały Nr V/25/07</t>
  </si>
  <si>
    <t>dotacja celowa z budżetu na finansowanie lub dofinansowanie zadań zleconych do realizacji pozostałym jednostkom niezaliczanym do sektora finansów publicznych</t>
  </si>
  <si>
    <t>dotacja celowa z budżetu na finansowanie lub dofinansowanie zadań zleconych do realizacji stowarzyszeniom</t>
  </si>
  <si>
    <t>Wydatki związane z realizacją zadań wspólnych realizowanych w drodze umów lub porozumień między jednostkami samorządu terytorialnego na rok 2007 - plan po zmianach</t>
  </si>
  <si>
    <t>Plan przychodów i rozchodów 2007 - plan po zmianach</t>
  </si>
  <si>
    <t>nadwyżki z lat ubiegłych</t>
  </si>
  <si>
    <t>zmiana</t>
  </si>
  <si>
    <t>plan przed zmianą</t>
  </si>
  <si>
    <t>plan po zmianie</t>
  </si>
  <si>
    <t>Załącznik Nr 7 do Uchwały Nr V/25/07</t>
  </si>
  <si>
    <t xml:space="preserve">plan przed zmianą </t>
  </si>
  <si>
    <t>Załącznik Nr 1 do Zarządzenia Nr 148/07</t>
  </si>
  <si>
    <t>Burmistrza Trzcianki z dnia 15.10.2007 r. zmieniający</t>
  </si>
  <si>
    <t xml:space="preserve">Rady Miejskiej Trzcianki z dnia 27.09.2007 r. </t>
  </si>
  <si>
    <t>Rady Miejskiej Trzcianki z dnia 27.09.2007 r.</t>
  </si>
  <si>
    <t>plan przed  
zmianą</t>
  </si>
  <si>
    <t>Załącznik Nr 2 do Zarządzenia Nr 148/07</t>
  </si>
  <si>
    <t>Załącznik Nr 4 do Zarządzenia Nr 148/07</t>
  </si>
  <si>
    <t>Wydatki majątkowe na 2007 rok - plan po zmianach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</si>
</sst>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28">
    <font>
      <sz val="10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i/>
      <sz val="8"/>
      <name val="Arial CE"/>
      <family val="2"/>
    </font>
    <font>
      <b/>
      <i/>
      <sz val="9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10"/>
      <name val="Arial CE"/>
      <family val="2"/>
    </font>
    <font>
      <sz val="8"/>
      <color indexed="8"/>
      <name val="Arial CE"/>
      <family val="2"/>
    </font>
    <font>
      <sz val="12"/>
      <name val="Arial CE"/>
      <family val="2"/>
    </font>
    <font>
      <i/>
      <sz val="10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b/>
      <sz val="14"/>
      <name val="Arial CE"/>
      <family val="2"/>
    </font>
    <font>
      <b/>
      <sz val="16"/>
      <name val="Arial CE"/>
      <family val="2"/>
    </font>
    <font>
      <i/>
      <sz val="8"/>
      <color indexed="8"/>
      <name val="Arial CE"/>
      <family val="2"/>
    </font>
    <font>
      <sz val="9"/>
      <color indexed="8"/>
      <name val="Arial CE"/>
      <family val="2"/>
    </font>
    <font>
      <sz val="7"/>
      <color indexed="8"/>
      <name val="Arial CE"/>
      <family val="2"/>
    </font>
    <font>
      <b/>
      <sz val="12"/>
      <color indexed="8"/>
      <name val="Arial CE"/>
      <family val="2"/>
    </font>
    <font>
      <b/>
      <sz val="9"/>
      <color indexed="8"/>
      <name val="Arial CE"/>
      <family val="2"/>
    </font>
    <font>
      <b/>
      <sz val="8"/>
      <color indexed="8"/>
      <name val="Arial CE"/>
      <family val="2"/>
    </font>
    <font>
      <sz val="9"/>
      <color indexed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" fontId="4" fillId="0" borderId="1" xfId="0" applyNumberFormat="1" applyFont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 indent="1"/>
    </xf>
    <xf numFmtId="0" fontId="3" fillId="0" borderId="4" xfId="0" applyFont="1" applyFill="1" applyBorder="1" applyAlignment="1" quotePrefix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 wrapText="1" indent="1"/>
    </xf>
    <xf numFmtId="0" fontId="3" fillId="0" borderId="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vertical="center"/>
    </xf>
    <xf numFmtId="4" fontId="4" fillId="0" borderId="0" xfId="0" applyNumberFormat="1" applyFont="1" applyAlignment="1">
      <alignment/>
    </xf>
    <xf numFmtId="0" fontId="8" fillId="0" borderId="0" xfId="0" applyFont="1" applyAlignment="1">
      <alignment/>
    </xf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Fill="1" applyBorder="1" applyAlignment="1" quotePrefix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 indent="1"/>
    </xf>
    <xf numFmtId="4" fontId="3" fillId="0" borderId="1" xfId="0" applyNumberFormat="1" applyFont="1" applyBorder="1" applyAlignment="1">
      <alignment vertical="center"/>
    </xf>
    <xf numFmtId="0" fontId="3" fillId="0" borderId="1" xfId="0" applyFont="1" applyFill="1" applyBorder="1" applyAlignment="1" quotePrefix="1">
      <alignment horizontal="center" vertical="center" wrapText="1"/>
    </xf>
    <xf numFmtId="0" fontId="4" fillId="0" borderId="0" xfId="0" applyFont="1" applyFill="1" applyAlignment="1">
      <alignment horizontal="left" vertical="center" indent="1"/>
    </xf>
    <xf numFmtId="0" fontId="3" fillId="2" borderId="1" xfId="0" applyFont="1" applyFill="1" applyBorder="1" applyAlignment="1" quotePrefix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left" vertical="center" wrapText="1" indent="1"/>
    </xf>
    <xf numFmtId="4" fontId="3" fillId="0" borderId="0" xfId="0" applyNumberFormat="1" applyFont="1" applyAlignment="1">
      <alignment/>
    </xf>
    <xf numFmtId="4" fontId="3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4" fontId="3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 indent="1"/>
    </xf>
    <xf numFmtId="4" fontId="4" fillId="0" borderId="0" xfId="0" applyNumberFormat="1" applyFont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1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indent="1"/>
    </xf>
    <xf numFmtId="0" fontId="8" fillId="0" borderId="2" xfId="0" applyFont="1" applyFill="1" applyBorder="1" applyAlignment="1" quotePrefix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 indent="1"/>
    </xf>
    <xf numFmtId="4" fontId="8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 indent="1"/>
    </xf>
    <xf numFmtId="4" fontId="0" fillId="0" borderId="0" xfId="0" applyNumberFormat="1" applyAlignment="1">
      <alignment/>
    </xf>
    <xf numFmtId="0" fontId="2" fillId="0" borderId="1" xfId="0" applyFont="1" applyBorder="1" applyAlignment="1">
      <alignment horizontal="left" vertical="center" indent="1"/>
    </xf>
    <xf numFmtId="4" fontId="3" fillId="0" borderId="5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/>
    </xf>
    <xf numFmtId="4" fontId="2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/>
    </xf>
    <xf numFmtId="0" fontId="2" fillId="2" borderId="2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 quotePrefix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vertical="center"/>
    </xf>
    <xf numFmtId="0" fontId="2" fillId="0" borderId="2" xfId="0" applyFont="1" applyFill="1" applyBorder="1" applyAlignment="1" quotePrefix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 wrapText="1"/>
    </xf>
    <xf numFmtId="0" fontId="2" fillId="0" borderId="3" xfId="0" applyFont="1" applyFill="1" applyBorder="1" applyAlignment="1" quotePrefix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 quotePrefix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  <xf numFmtId="0" fontId="2" fillId="0" borderId="2" xfId="0" applyFont="1" applyFill="1" applyBorder="1" applyAlignment="1">
      <alignment horizontal="left" vertical="center" wrapText="1" inden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 quotePrefix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quotePrefix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4" fontId="2" fillId="2" borderId="1" xfId="0" applyNumberFormat="1" applyFont="1" applyFill="1" applyBorder="1" applyAlignment="1">
      <alignment horizontal="right" vertical="center"/>
    </xf>
    <xf numFmtId="4" fontId="8" fillId="0" borderId="1" xfId="0" applyNumberFormat="1" applyFont="1" applyBorder="1" applyAlignment="1">
      <alignment horizontal="right" vertical="center"/>
    </xf>
    <xf numFmtId="0" fontId="3" fillId="2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 wrapText="1"/>
    </xf>
    <xf numFmtId="0" fontId="8" fillId="0" borderId="1" xfId="0" applyFont="1" applyFill="1" applyBorder="1" applyAlignment="1" quotePrefix="1">
      <alignment horizontal="center" vertical="center" wrapText="1"/>
    </xf>
    <xf numFmtId="0" fontId="3" fillId="0" borderId="2" xfId="0" applyFont="1" applyFill="1" applyBorder="1" applyAlignment="1" quotePrefix="1">
      <alignment horizontal="center" vertical="center"/>
    </xf>
    <xf numFmtId="4" fontId="4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8" fillId="0" borderId="3" xfId="0" applyFont="1" applyFill="1" applyBorder="1" applyAlignment="1" quotePrefix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" fontId="4" fillId="3" borderId="1" xfId="0" applyNumberFormat="1" applyFont="1" applyFill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 quotePrefix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4" fontId="4" fillId="0" borderId="7" xfId="0" applyNumberFormat="1" applyFont="1" applyFill="1" applyBorder="1" applyAlignment="1">
      <alignment vertical="center"/>
    </xf>
    <xf numFmtId="4" fontId="2" fillId="0" borderId="0" xfId="0" applyNumberFormat="1" applyFont="1" applyAlignment="1">
      <alignment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/>
    </xf>
    <xf numFmtId="4" fontId="3" fillId="0" borderId="1" xfId="0" applyNumberFormat="1" applyFont="1" applyBorder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4" fontId="4" fillId="0" borderId="1" xfId="0" applyNumberFormat="1" applyFont="1" applyBorder="1" applyAlignment="1">
      <alignment vertical="center" wrapText="1"/>
    </xf>
    <xf numFmtId="0" fontId="13" fillId="0" borderId="1" xfId="0" applyFont="1" applyFill="1" applyBorder="1" applyAlignment="1" quotePrefix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indent="1"/>
    </xf>
    <xf numFmtId="0" fontId="2" fillId="2" borderId="6" xfId="0" applyFont="1" applyFill="1" applyBorder="1" applyAlignment="1">
      <alignment horizontal="left" vertical="center" wrapText="1" indent="1"/>
    </xf>
    <xf numFmtId="4" fontId="2" fillId="2" borderId="5" xfId="0" applyNumberFormat="1" applyFont="1" applyFill="1" applyBorder="1" applyAlignment="1">
      <alignment horizontal="right" vertical="center"/>
    </xf>
    <xf numFmtId="0" fontId="8" fillId="2" borderId="6" xfId="0" applyFont="1" applyFill="1" applyBorder="1" applyAlignment="1">
      <alignment horizontal="left" vertical="center" wrapText="1" indent="1"/>
    </xf>
    <xf numFmtId="4" fontId="8" fillId="2" borderId="5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0" fontId="14" fillId="0" borderId="3" xfId="0" applyFont="1" applyFill="1" applyBorder="1" applyAlignment="1" quotePrefix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 indent="1"/>
    </xf>
    <xf numFmtId="4" fontId="14" fillId="0" borderId="1" xfId="0" applyNumberFormat="1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 indent="1"/>
    </xf>
    <xf numFmtId="4" fontId="7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4" fontId="2" fillId="0" borderId="3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 quotePrefix="1">
      <alignment horizontal="center" vertical="center" wrapText="1"/>
    </xf>
    <xf numFmtId="0" fontId="10" fillId="0" borderId="2" xfId="0" applyFont="1" applyBorder="1" applyAlignment="1">
      <alignment vertical="center"/>
    </xf>
    <xf numFmtId="0" fontId="15" fillId="0" borderId="0" xfId="0" applyFont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 quotePrefix="1">
      <alignment horizontal="right" vertical="center" wrapText="1"/>
    </xf>
    <xf numFmtId="0" fontId="16" fillId="0" borderId="0" xfId="0" applyFont="1" applyAlignment="1">
      <alignment/>
    </xf>
    <xf numFmtId="4" fontId="2" fillId="0" borderId="3" xfId="0" applyNumberFormat="1" applyFont="1" applyFill="1" applyBorder="1" applyAlignment="1" quotePrefix="1">
      <alignment horizontal="right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9" xfId="0" applyFont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164" fontId="10" fillId="0" borderId="0" xfId="0" applyNumberFormat="1" applyFont="1" applyFill="1" applyAlignment="1">
      <alignment horizontal="left" vertical="center"/>
    </xf>
    <xf numFmtId="4" fontId="8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vertical="center"/>
    </xf>
    <xf numFmtId="4" fontId="2" fillId="0" borderId="1" xfId="0" applyNumberFormat="1" applyFont="1" applyBorder="1" applyAlignment="1">
      <alignment vertical="center"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 indent="1"/>
    </xf>
    <xf numFmtId="0" fontId="2" fillId="0" borderId="3" xfId="0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left" vertical="center" indent="1"/>
    </xf>
    <xf numFmtId="0" fontId="2" fillId="0" borderId="8" xfId="0" applyFont="1" applyFill="1" applyBorder="1" applyAlignment="1">
      <alignment horizontal="left" vertical="center" wrapText="1" indent="1"/>
    </xf>
    <xf numFmtId="0" fontId="10" fillId="0" borderId="2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4" fontId="6" fillId="0" borderId="3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left" vertical="center" indent="1"/>
    </xf>
    <xf numFmtId="0" fontId="1" fillId="0" borderId="7" xfId="0" applyFont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vertical="center"/>
    </xf>
    <xf numFmtId="0" fontId="1" fillId="0" borderId="7" xfId="0" applyFont="1" applyFill="1" applyBorder="1" applyAlignment="1">
      <alignment horizontal="left" vertical="center" wrapText="1"/>
    </xf>
    <xf numFmtId="0" fontId="15" fillId="0" borderId="0" xfId="0" applyFont="1" applyAlignment="1">
      <alignment/>
    </xf>
    <xf numFmtId="0" fontId="10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4" fontId="10" fillId="0" borderId="1" xfId="0" applyNumberFormat="1" applyFont="1" applyBorder="1" applyAlignment="1">
      <alignment vertical="center"/>
    </xf>
    <xf numFmtId="4" fontId="19" fillId="0" borderId="0" xfId="0" applyNumberFormat="1" applyFont="1" applyAlignment="1">
      <alignment/>
    </xf>
    <xf numFmtId="0" fontId="4" fillId="0" borderId="8" xfId="0" applyFont="1" applyBorder="1" applyAlignment="1">
      <alignment horizontal="center" vertical="center"/>
    </xf>
    <xf numFmtId="4" fontId="8" fillId="0" borderId="5" xfId="0" applyNumberFormat="1" applyFont="1" applyFill="1" applyBorder="1" applyAlignment="1">
      <alignment horizontal="right" vertical="center"/>
    </xf>
    <xf numFmtId="4" fontId="5" fillId="0" borderId="0" xfId="0" applyNumberFormat="1" applyFont="1" applyAlignment="1">
      <alignment/>
    </xf>
    <xf numFmtId="0" fontId="2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2" fillId="0" borderId="0" xfId="0" applyFont="1" applyAlignment="1">
      <alignment horizontal="center"/>
    </xf>
    <xf numFmtId="2" fontId="3" fillId="0" borderId="1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4" fontId="13" fillId="0" borderId="1" xfId="0" applyNumberFormat="1" applyFont="1" applyFill="1" applyBorder="1" applyAlignment="1">
      <alignment vertical="center"/>
    </xf>
    <xf numFmtId="4" fontId="21" fillId="0" borderId="1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/>
    </xf>
    <xf numFmtId="0" fontId="21" fillId="0" borderId="1" xfId="0" applyFont="1" applyFill="1" applyBorder="1" applyAlignment="1">
      <alignment horizontal="left" vertical="center" wrapText="1" indent="1"/>
    </xf>
    <xf numFmtId="4" fontId="21" fillId="0" borderId="1" xfId="0" applyNumberFormat="1" applyFont="1" applyBorder="1" applyAlignment="1">
      <alignment horizontal="right" vertical="center"/>
    </xf>
    <xf numFmtId="4" fontId="21" fillId="0" borderId="1" xfId="0" applyNumberFormat="1" applyFont="1" applyFill="1" applyBorder="1" applyAlignment="1">
      <alignment horizontal="right" vertical="center"/>
    </xf>
    <xf numFmtId="4" fontId="21" fillId="0" borderId="5" xfId="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/>
    </xf>
    <xf numFmtId="4" fontId="14" fillId="0" borderId="0" xfId="0" applyNumberFormat="1" applyFont="1" applyFill="1" applyAlignment="1">
      <alignment vertical="center"/>
    </xf>
    <xf numFmtId="4" fontId="23" fillId="0" borderId="0" xfId="0" applyNumberFormat="1" applyFont="1" applyFill="1" applyAlignment="1">
      <alignment vertical="center"/>
    </xf>
    <xf numFmtId="164" fontId="24" fillId="0" borderId="0" xfId="0" applyNumberFormat="1" applyFont="1" applyFill="1" applyAlignment="1">
      <alignment horizontal="left" vertical="center"/>
    </xf>
    <xf numFmtId="0" fontId="25" fillId="0" borderId="3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4" fontId="25" fillId="0" borderId="1" xfId="0" applyNumberFormat="1" applyFont="1" applyFill="1" applyBorder="1" applyAlignment="1">
      <alignment horizontal="center" vertical="center"/>
    </xf>
    <xf numFmtId="4" fontId="25" fillId="0" borderId="1" xfId="0" applyNumberFormat="1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left" vertical="center" indent="1"/>
    </xf>
    <xf numFmtId="4" fontId="25" fillId="0" borderId="1" xfId="0" applyNumberFormat="1" applyFont="1" applyFill="1" applyBorder="1" applyAlignment="1">
      <alignment horizontal="right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 indent="1"/>
    </xf>
    <xf numFmtId="4" fontId="14" fillId="0" borderId="1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right" vertical="center" wrapText="1"/>
    </xf>
    <xf numFmtId="0" fontId="14" fillId="0" borderId="3" xfId="0" applyFont="1" applyFill="1" applyBorder="1" applyAlignment="1" quotePrefix="1">
      <alignment horizontal="center" vertical="center"/>
    </xf>
    <xf numFmtId="4" fontId="14" fillId="0" borderId="1" xfId="0" applyNumberFormat="1" applyFont="1" applyFill="1" applyBorder="1" applyAlignment="1">
      <alignment horizontal="right" vertical="center"/>
    </xf>
    <xf numFmtId="0" fontId="22" fillId="0" borderId="3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left" vertical="center" wrapText="1" indent="1"/>
    </xf>
    <xf numFmtId="4" fontId="25" fillId="0" borderId="1" xfId="0" applyNumberFormat="1" applyFont="1" applyFill="1" applyBorder="1" applyAlignment="1">
      <alignment vertical="center"/>
    </xf>
    <xf numFmtId="0" fontId="22" fillId="0" borderId="3" xfId="0" applyFont="1" applyFill="1" applyBorder="1" applyAlignment="1">
      <alignment horizontal="center" vertical="center"/>
    </xf>
    <xf numFmtId="4" fontId="26" fillId="0" borderId="1" xfId="0" applyNumberFormat="1" applyFont="1" applyFill="1" applyBorder="1" applyAlignment="1">
      <alignment vertical="center"/>
    </xf>
    <xf numFmtId="4" fontId="22" fillId="0" borderId="1" xfId="0" applyNumberFormat="1" applyFont="1" applyFill="1" applyBorder="1" applyAlignment="1">
      <alignment vertical="center"/>
    </xf>
    <xf numFmtId="0" fontId="25" fillId="0" borderId="3" xfId="0" applyFont="1" applyFill="1" applyBorder="1" applyAlignment="1" quotePrefix="1">
      <alignment horizontal="center" vertical="center" wrapText="1"/>
    </xf>
    <xf numFmtId="0" fontId="25" fillId="0" borderId="1" xfId="0" applyFont="1" applyFill="1" applyBorder="1" applyAlignment="1" quotePrefix="1">
      <alignment horizontal="center" vertical="center" wrapText="1"/>
    </xf>
    <xf numFmtId="0" fontId="14" fillId="0" borderId="1" xfId="0" applyFont="1" applyFill="1" applyBorder="1" applyAlignment="1" quotePrefix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4" fontId="22" fillId="0" borderId="0" xfId="0" applyNumberFormat="1" applyFont="1" applyAlignment="1">
      <alignment horizontal="right"/>
    </xf>
    <xf numFmtId="4" fontId="22" fillId="0" borderId="0" xfId="0" applyNumberFormat="1" applyFont="1" applyAlignment="1">
      <alignment vertical="center"/>
    </xf>
    <xf numFmtId="4" fontId="25" fillId="0" borderId="0" xfId="0" applyNumberFormat="1" applyFont="1" applyAlignment="1">
      <alignment vertical="center"/>
    </xf>
    <xf numFmtId="4" fontId="22" fillId="0" borderId="0" xfId="0" applyNumberFormat="1" applyFont="1" applyAlignment="1">
      <alignment horizontal="left"/>
    </xf>
    <xf numFmtId="4" fontId="15" fillId="0" borderId="0" xfId="0" applyNumberFormat="1" applyFont="1" applyFill="1" applyBorder="1" applyAlignment="1">
      <alignment vertical="center"/>
    </xf>
    <xf numFmtId="4" fontId="14" fillId="0" borderId="1" xfId="0" applyNumberFormat="1" applyFont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 indent="1"/>
    </xf>
    <xf numFmtId="0" fontId="6" fillId="0" borderId="1" xfId="0" applyFont="1" applyFill="1" applyBorder="1" applyAlignment="1">
      <alignment horizontal="left" vertical="center" wrapText="1" indent="1"/>
    </xf>
    <xf numFmtId="4" fontId="6" fillId="0" borderId="3" xfId="0" applyNumberFormat="1" applyFont="1" applyFill="1" applyBorder="1" applyAlignment="1">
      <alignment horizontal="right" vertical="center"/>
    </xf>
    <xf numFmtId="4" fontId="27" fillId="0" borderId="1" xfId="0" applyNumberFormat="1" applyFont="1" applyBorder="1" applyAlignment="1">
      <alignment vertical="center"/>
    </xf>
    <xf numFmtId="4" fontId="27" fillId="0" borderId="1" xfId="0" applyNumberFormat="1" applyFont="1" applyBorder="1" applyAlignment="1">
      <alignment/>
    </xf>
    <xf numFmtId="0" fontId="5" fillId="3" borderId="1" xfId="0" applyFont="1" applyFill="1" applyBorder="1" applyAlignment="1">
      <alignment horizontal="center" vertical="center"/>
    </xf>
    <xf numFmtId="3" fontId="5" fillId="1" borderId="1" xfId="0" applyNumberFormat="1" applyFont="1" applyFill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 indent="1"/>
    </xf>
    <xf numFmtId="165" fontId="2" fillId="0" borderId="0" xfId="0" applyNumberFormat="1" applyFont="1" applyFill="1" applyAlignment="1">
      <alignment vertical="center"/>
    </xf>
    <xf numFmtId="0" fontId="5" fillId="0" borderId="1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8" fillId="2" borderId="1" xfId="0" applyFont="1" applyFill="1" applyBorder="1" applyAlignment="1">
      <alignment horizontal="left" vertical="center" wrapText="1" indent="1"/>
    </xf>
    <xf numFmtId="0" fontId="4" fillId="0" borderId="5" xfId="0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left" vertical="center" wrapText="1" indent="1"/>
    </xf>
    <xf numFmtId="0" fontId="14" fillId="0" borderId="1" xfId="0" applyFont="1" applyFill="1" applyBorder="1" applyAlignment="1" quotePrefix="1">
      <alignment horizontal="center" vertical="center"/>
    </xf>
    <xf numFmtId="4" fontId="5" fillId="1" borderId="1" xfId="0" applyNumberFormat="1" applyFont="1" applyFill="1" applyBorder="1" applyAlignment="1">
      <alignment horizontal="right" vertical="center"/>
    </xf>
    <xf numFmtId="4" fontId="0" fillId="0" borderId="1" xfId="0" applyNumberForma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3" fontId="3" fillId="3" borderId="1" xfId="0" applyNumberFormat="1" applyFont="1" applyFill="1" applyBorder="1" applyAlignment="1">
      <alignment/>
    </xf>
    <xf numFmtId="0" fontId="4" fillId="0" borderId="0" xfId="0" applyFont="1" applyAlignment="1">
      <alignment wrapText="1"/>
    </xf>
    <xf numFmtId="4" fontId="0" fillId="0" borderId="0" xfId="0" applyNumberFormat="1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1" borderId="2" xfId="0" applyFont="1" applyFill="1" applyBorder="1" applyAlignment="1">
      <alignment horizontal="center" vertical="center" wrapText="1"/>
    </xf>
    <xf numFmtId="0" fontId="5" fillId="1" borderId="3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1" borderId="1" xfId="0" applyFont="1" applyFill="1" applyBorder="1" applyAlignment="1">
      <alignment horizontal="center" vertical="center" wrapText="1"/>
    </xf>
    <xf numFmtId="0" fontId="5" fillId="1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5" fillId="0" borderId="7" xfId="0" applyFont="1" applyBorder="1" applyAlignment="1">
      <alignment horizontal="left" wrapText="1"/>
    </xf>
    <xf numFmtId="4" fontId="3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02"/>
  <sheetViews>
    <sheetView workbookViewId="0" topLeftCell="A155">
      <selection activeCell="D192" sqref="D192"/>
    </sheetView>
  </sheetViews>
  <sheetFormatPr defaultColWidth="9.00390625" defaultRowHeight="12.75"/>
  <cols>
    <col min="1" max="1" width="5.25390625" style="8" customWidth="1"/>
    <col min="2" max="2" width="7.625" style="8" customWidth="1"/>
    <col min="3" max="3" width="5.00390625" style="246" bestFit="1" customWidth="1"/>
    <col min="4" max="4" width="32.00390625" style="246" customWidth="1"/>
    <col min="5" max="5" width="12.25390625" style="248" hidden="1" customWidth="1"/>
    <col min="6" max="6" width="11.00390625" style="248" hidden="1" customWidth="1"/>
    <col min="7" max="7" width="11.625" style="248" hidden="1" customWidth="1"/>
    <col min="8" max="8" width="34.875" style="248" hidden="1" customWidth="1"/>
    <col min="9" max="9" width="10.375" style="248" hidden="1" customWidth="1"/>
    <col min="10" max="10" width="12.875" style="248" hidden="1" customWidth="1"/>
    <col min="11" max="11" width="32.375" style="248" hidden="1" customWidth="1"/>
    <col min="12" max="12" width="34.875" style="248" hidden="1" customWidth="1"/>
    <col min="13" max="13" width="10.375" style="248" hidden="1" customWidth="1"/>
    <col min="14" max="14" width="32.375" style="248" hidden="1" customWidth="1"/>
    <col min="15" max="15" width="10.00390625" style="248" hidden="1" customWidth="1"/>
    <col min="16" max="16" width="36.25390625" style="248" hidden="1" customWidth="1"/>
    <col min="17" max="17" width="10.00390625" style="248" hidden="1" customWidth="1"/>
    <col min="18" max="19" width="0.12890625" style="248" hidden="1" customWidth="1"/>
    <col min="20" max="20" width="12.875" style="248" hidden="1" customWidth="1"/>
    <col min="21" max="21" width="12.25390625" style="248" hidden="1" customWidth="1"/>
    <col min="22" max="22" width="12.875" style="248" hidden="1" customWidth="1"/>
    <col min="23" max="23" width="12.25390625" style="248" hidden="1" customWidth="1"/>
    <col min="24" max="24" width="12.875" style="248" hidden="1" customWidth="1"/>
    <col min="25" max="25" width="12.25390625" style="248" hidden="1" customWidth="1"/>
    <col min="26" max="26" width="12.875" style="248" hidden="1" customWidth="1"/>
    <col min="27" max="27" width="12.25390625" style="248" hidden="1" customWidth="1"/>
    <col min="28" max="28" width="12.875" style="248" hidden="1" customWidth="1"/>
    <col min="29" max="29" width="12.25390625" style="248" hidden="1" customWidth="1"/>
    <col min="30" max="30" width="12.875" style="248" hidden="1" customWidth="1"/>
    <col min="31" max="31" width="12.25390625" style="248" hidden="1" customWidth="1"/>
    <col min="32" max="32" width="12.875" style="248" hidden="1" customWidth="1"/>
    <col min="33" max="33" width="12.25390625" style="248" hidden="1" customWidth="1"/>
    <col min="34" max="34" width="12.875" style="248" customWidth="1"/>
    <col min="35" max="35" width="12.25390625" style="248" customWidth="1"/>
    <col min="36" max="36" width="12.875" style="248" customWidth="1"/>
  </cols>
  <sheetData>
    <row r="1" spans="1:36" ht="12.75">
      <c r="A1" s="65"/>
      <c r="B1" s="65"/>
      <c r="C1" s="218"/>
      <c r="D1" s="218"/>
      <c r="E1" s="219"/>
      <c r="F1" s="219"/>
      <c r="G1" s="219"/>
      <c r="H1" s="220" t="s">
        <v>29</v>
      </c>
      <c r="I1" s="220"/>
      <c r="J1" s="219"/>
      <c r="K1" s="220" t="s">
        <v>40</v>
      </c>
      <c r="L1" s="220" t="s">
        <v>102</v>
      </c>
      <c r="M1" s="220"/>
      <c r="N1" s="220" t="s">
        <v>122</v>
      </c>
      <c r="O1" s="220"/>
      <c r="P1" s="220" t="s">
        <v>140</v>
      </c>
      <c r="Q1" s="220"/>
      <c r="R1" s="220" t="s">
        <v>208</v>
      </c>
      <c r="S1" s="220"/>
      <c r="T1" s="220" t="s">
        <v>225</v>
      </c>
      <c r="U1" s="220"/>
      <c r="V1" s="220" t="s">
        <v>187</v>
      </c>
      <c r="W1" s="220"/>
      <c r="X1" s="220" t="s">
        <v>538</v>
      </c>
      <c r="Y1" s="220"/>
      <c r="Z1" s="220" t="s">
        <v>721</v>
      </c>
      <c r="AA1" s="220"/>
      <c r="AB1" s="220" t="s">
        <v>492</v>
      </c>
      <c r="AC1" s="220"/>
      <c r="AD1" s="220" t="s">
        <v>479</v>
      </c>
      <c r="AE1" s="220"/>
      <c r="AF1" s="220" t="s">
        <v>563</v>
      </c>
      <c r="AG1" s="220"/>
      <c r="AH1" s="220" t="s">
        <v>701</v>
      </c>
      <c r="AI1" s="220"/>
      <c r="AJ1" s="219"/>
    </row>
    <row r="2" spans="1:36" ht="12.75">
      <c r="A2" s="65"/>
      <c r="B2" s="65"/>
      <c r="C2" s="218"/>
      <c r="D2" s="218"/>
      <c r="E2" s="219"/>
      <c r="F2" s="219"/>
      <c r="G2" s="219"/>
      <c r="H2" s="220" t="s">
        <v>698</v>
      </c>
      <c r="I2" s="220"/>
      <c r="J2" s="219"/>
      <c r="K2" s="220" t="s">
        <v>38</v>
      </c>
      <c r="L2" s="220" t="s">
        <v>88</v>
      </c>
      <c r="M2" s="220"/>
      <c r="N2" s="220" t="s">
        <v>120</v>
      </c>
      <c r="O2" s="220"/>
      <c r="P2" s="220" t="s">
        <v>141</v>
      </c>
      <c r="Q2" s="220"/>
      <c r="R2" s="220" t="s">
        <v>207</v>
      </c>
      <c r="S2" s="220"/>
      <c r="T2" s="220" t="s">
        <v>226</v>
      </c>
      <c r="U2" s="220"/>
      <c r="V2" s="220" t="s">
        <v>204</v>
      </c>
      <c r="W2" s="220"/>
      <c r="X2" s="220" t="s">
        <v>537</v>
      </c>
      <c r="Y2" s="220"/>
      <c r="Z2" s="220" t="s">
        <v>722</v>
      </c>
      <c r="AA2" s="220"/>
      <c r="AB2" s="220" t="s">
        <v>490</v>
      </c>
      <c r="AC2" s="220"/>
      <c r="AD2" s="220" t="s">
        <v>483</v>
      </c>
      <c r="AE2" s="220"/>
      <c r="AF2" s="220" t="s">
        <v>564</v>
      </c>
      <c r="AG2" s="220"/>
      <c r="AH2" s="220" t="s">
        <v>65</v>
      </c>
      <c r="AI2" s="220"/>
      <c r="AJ2" s="219"/>
    </row>
    <row r="3" spans="1:36" ht="12.75">
      <c r="A3" s="65"/>
      <c r="B3" s="65"/>
      <c r="C3" s="218"/>
      <c r="D3" s="218"/>
      <c r="E3" s="219"/>
      <c r="F3" s="219"/>
      <c r="G3" s="219"/>
      <c r="H3" s="220" t="s">
        <v>699</v>
      </c>
      <c r="I3" s="220"/>
      <c r="J3" s="219"/>
      <c r="K3" s="220" t="s">
        <v>29</v>
      </c>
      <c r="L3" s="220" t="s">
        <v>40</v>
      </c>
      <c r="M3" s="220"/>
      <c r="N3" s="220" t="s">
        <v>102</v>
      </c>
      <c r="O3" s="220"/>
      <c r="P3" s="220" t="s">
        <v>122</v>
      </c>
      <c r="Q3" s="220"/>
      <c r="R3" s="220" t="s">
        <v>140</v>
      </c>
      <c r="S3" s="220"/>
      <c r="T3" s="220" t="s">
        <v>208</v>
      </c>
      <c r="U3" s="220"/>
      <c r="V3" s="220" t="s">
        <v>225</v>
      </c>
      <c r="W3" s="220"/>
      <c r="X3" s="220" t="s">
        <v>187</v>
      </c>
      <c r="Y3" s="220"/>
      <c r="Z3" s="220" t="s">
        <v>538</v>
      </c>
      <c r="AA3" s="220"/>
      <c r="AB3" s="220" t="s">
        <v>721</v>
      </c>
      <c r="AC3" s="220"/>
      <c r="AD3" s="220" t="s">
        <v>492</v>
      </c>
      <c r="AE3" s="220"/>
      <c r="AF3" s="220" t="s">
        <v>479</v>
      </c>
      <c r="AG3" s="220"/>
      <c r="AH3" s="220" t="s">
        <v>563</v>
      </c>
      <c r="AI3" s="220"/>
      <c r="AJ3" s="219"/>
    </row>
    <row r="4" spans="1:36" ht="12.75">
      <c r="A4" s="65"/>
      <c r="B4" s="65"/>
      <c r="C4" s="218"/>
      <c r="D4" s="218"/>
      <c r="E4" s="219"/>
      <c r="F4" s="219"/>
      <c r="G4" s="219"/>
      <c r="H4" s="220" t="s">
        <v>700</v>
      </c>
      <c r="I4" s="220"/>
      <c r="J4" s="219"/>
      <c r="K4" s="220" t="s">
        <v>39</v>
      </c>
      <c r="L4" s="220" t="s">
        <v>41</v>
      </c>
      <c r="M4" s="220"/>
      <c r="N4" s="220" t="s">
        <v>117</v>
      </c>
      <c r="O4" s="220"/>
      <c r="P4" s="220" t="s">
        <v>130</v>
      </c>
      <c r="Q4" s="220"/>
      <c r="R4" s="220" t="s">
        <v>147</v>
      </c>
      <c r="S4" s="220"/>
      <c r="T4" s="220" t="s">
        <v>228</v>
      </c>
      <c r="U4" s="220"/>
      <c r="V4" s="220" t="s">
        <v>219</v>
      </c>
      <c r="W4" s="220"/>
      <c r="X4" s="220" t="s">
        <v>161</v>
      </c>
      <c r="Y4" s="220"/>
      <c r="Z4" s="220" t="s">
        <v>723</v>
      </c>
      <c r="AA4" s="220"/>
      <c r="AB4" s="220" t="s">
        <v>552</v>
      </c>
      <c r="AC4" s="220"/>
      <c r="AD4" s="220" t="s">
        <v>627</v>
      </c>
      <c r="AE4" s="220"/>
      <c r="AF4" s="220" t="s">
        <v>269</v>
      </c>
      <c r="AG4" s="220"/>
      <c r="AH4" s="220" t="s">
        <v>236</v>
      </c>
      <c r="AI4" s="220"/>
      <c r="AJ4" s="219"/>
    </row>
    <row r="5" spans="1:36" ht="12.75">
      <c r="A5" s="65"/>
      <c r="B5" s="65"/>
      <c r="C5" s="218"/>
      <c r="D5" s="218" t="s">
        <v>530</v>
      </c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</row>
    <row r="6" spans="1:36" ht="18.75" customHeight="1">
      <c r="A6" s="169" t="s">
        <v>37</v>
      </c>
      <c r="B6" s="169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</row>
    <row r="7" spans="1:36" s="8" customFormat="1" ht="24.75" customHeight="1">
      <c r="A7" s="6" t="s">
        <v>244</v>
      </c>
      <c r="B7" s="5" t="s">
        <v>245</v>
      </c>
      <c r="C7" s="222" t="s">
        <v>246</v>
      </c>
      <c r="D7" s="223" t="s">
        <v>3</v>
      </c>
      <c r="E7" s="224" t="s">
        <v>412</v>
      </c>
      <c r="F7" s="224" t="s">
        <v>501</v>
      </c>
      <c r="G7" s="224" t="s">
        <v>502</v>
      </c>
      <c r="H7" s="225" t="s">
        <v>717</v>
      </c>
      <c r="I7" s="224" t="s">
        <v>716</v>
      </c>
      <c r="J7" s="225" t="s">
        <v>413</v>
      </c>
      <c r="K7" s="224" t="s">
        <v>716</v>
      </c>
      <c r="L7" s="225" t="s">
        <v>717</v>
      </c>
      <c r="M7" s="224" t="s">
        <v>506</v>
      </c>
      <c r="N7" s="225" t="s">
        <v>717</v>
      </c>
      <c r="O7" s="224" t="s">
        <v>506</v>
      </c>
      <c r="P7" s="225" t="s">
        <v>717</v>
      </c>
      <c r="Q7" s="224" t="s">
        <v>716</v>
      </c>
      <c r="R7" s="225" t="s">
        <v>717</v>
      </c>
      <c r="S7" s="224" t="s">
        <v>716</v>
      </c>
      <c r="T7" s="225" t="s">
        <v>717</v>
      </c>
      <c r="U7" s="224" t="s">
        <v>716</v>
      </c>
      <c r="V7" s="225" t="s">
        <v>149</v>
      </c>
      <c r="W7" s="224" t="s">
        <v>716</v>
      </c>
      <c r="X7" s="225" t="s">
        <v>160</v>
      </c>
      <c r="Y7" s="224" t="s">
        <v>716</v>
      </c>
      <c r="Z7" s="225" t="s">
        <v>717</v>
      </c>
      <c r="AA7" s="224" t="s">
        <v>716</v>
      </c>
      <c r="AB7" s="225" t="s">
        <v>717</v>
      </c>
      <c r="AC7" s="224" t="s">
        <v>716</v>
      </c>
      <c r="AD7" s="225" t="s">
        <v>413</v>
      </c>
      <c r="AE7" s="224" t="s">
        <v>716</v>
      </c>
      <c r="AF7" s="225" t="s">
        <v>413</v>
      </c>
      <c r="AG7" s="224" t="s">
        <v>716</v>
      </c>
      <c r="AH7" s="225" t="s">
        <v>413</v>
      </c>
      <c r="AI7" s="224" t="s">
        <v>716</v>
      </c>
      <c r="AJ7" s="225" t="s">
        <v>718</v>
      </c>
    </row>
    <row r="8" spans="1:36" s="8" customFormat="1" ht="24.75" customHeight="1">
      <c r="A8" s="95" t="s">
        <v>248</v>
      </c>
      <c r="B8" s="5"/>
      <c r="C8" s="222"/>
      <c r="D8" s="226" t="s">
        <v>249</v>
      </c>
      <c r="E8" s="224"/>
      <c r="F8" s="224"/>
      <c r="G8" s="224"/>
      <c r="H8" s="225"/>
      <c r="I8" s="224"/>
      <c r="J8" s="225"/>
      <c r="K8" s="224"/>
      <c r="L8" s="227">
        <f aca="true" t="shared" si="0" ref="L8:AJ8">SUM(L9)</f>
        <v>0</v>
      </c>
      <c r="M8" s="227">
        <f t="shared" si="0"/>
        <v>160720</v>
      </c>
      <c r="N8" s="227">
        <f t="shared" si="0"/>
        <v>160720</v>
      </c>
      <c r="O8" s="227">
        <f t="shared" si="0"/>
        <v>98263</v>
      </c>
      <c r="P8" s="227">
        <f t="shared" si="0"/>
        <v>258983</v>
      </c>
      <c r="Q8" s="227">
        <f t="shared" si="0"/>
        <v>0</v>
      </c>
      <c r="R8" s="227">
        <f t="shared" si="0"/>
        <v>258983</v>
      </c>
      <c r="S8" s="227">
        <f t="shared" si="0"/>
        <v>1448500</v>
      </c>
      <c r="T8" s="227">
        <f t="shared" si="0"/>
        <v>1707483</v>
      </c>
      <c r="U8" s="227">
        <f t="shared" si="0"/>
        <v>0</v>
      </c>
      <c r="V8" s="227">
        <f t="shared" si="0"/>
        <v>1707483</v>
      </c>
      <c r="W8" s="227">
        <f t="shared" si="0"/>
        <v>0</v>
      </c>
      <c r="X8" s="227">
        <f t="shared" si="0"/>
        <v>1707483</v>
      </c>
      <c r="Y8" s="227">
        <f t="shared" si="0"/>
        <v>0</v>
      </c>
      <c r="Z8" s="227">
        <f t="shared" si="0"/>
        <v>1707483</v>
      </c>
      <c r="AA8" s="227">
        <f t="shared" si="0"/>
        <v>0</v>
      </c>
      <c r="AB8" s="227">
        <f t="shared" si="0"/>
        <v>1707483</v>
      </c>
      <c r="AC8" s="227">
        <f t="shared" si="0"/>
        <v>0</v>
      </c>
      <c r="AD8" s="227">
        <f t="shared" si="0"/>
        <v>1707483</v>
      </c>
      <c r="AE8" s="227">
        <f t="shared" si="0"/>
        <v>95263</v>
      </c>
      <c r="AF8" s="227">
        <f t="shared" si="0"/>
        <v>1802746</v>
      </c>
      <c r="AG8" s="227">
        <f t="shared" si="0"/>
        <v>1200</v>
      </c>
      <c r="AH8" s="227">
        <f t="shared" si="0"/>
        <v>1803946</v>
      </c>
      <c r="AI8" s="227">
        <f t="shared" si="0"/>
        <v>10000</v>
      </c>
      <c r="AJ8" s="227">
        <f t="shared" si="0"/>
        <v>1813946</v>
      </c>
    </row>
    <row r="9" spans="1:36" s="27" customFormat="1" ht="24.75" customHeight="1">
      <c r="A9" s="82"/>
      <c r="B9" s="80" t="s">
        <v>73</v>
      </c>
      <c r="C9" s="228"/>
      <c r="D9" s="229" t="s">
        <v>250</v>
      </c>
      <c r="E9" s="230"/>
      <c r="F9" s="230"/>
      <c r="G9" s="230"/>
      <c r="H9" s="231"/>
      <c r="I9" s="230"/>
      <c r="J9" s="231"/>
      <c r="K9" s="230"/>
      <c r="L9" s="232">
        <f>SUM(L10:L11)</f>
        <v>0</v>
      </c>
      <c r="M9" s="232">
        <f>SUM(M10:M11)</f>
        <v>160720</v>
      </c>
      <c r="N9" s="232">
        <f aca="true" t="shared" si="1" ref="N9:T9">SUM(N10:N12)</f>
        <v>160720</v>
      </c>
      <c r="O9" s="232">
        <f t="shared" si="1"/>
        <v>98263</v>
      </c>
      <c r="P9" s="232">
        <f t="shared" si="1"/>
        <v>258983</v>
      </c>
      <c r="Q9" s="232">
        <f t="shared" si="1"/>
        <v>0</v>
      </c>
      <c r="R9" s="232">
        <f t="shared" si="1"/>
        <v>258983</v>
      </c>
      <c r="S9" s="232">
        <f t="shared" si="1"/>
        <v>1448500</v>
      </c>
      <c r="T9" s="232">
        <f t="shared" si="1"/>
        <v>1707483</v>
      </c>
      <c r="U9" s="232">
        <f aca="true" t="shared" si="2" ref="U9:Z9">SUM(U10:U12)</f>
        <v>0</v>
      </c>
      <c r="V9" s="232">
        <f t="shared" si="2"/>
        <v>1707483</v>
      </c>
      <c r="W9" s="232">
        <f t="shared" si="2"/>
        <v>0</v>
      </c>
      <c r="X9" s="232">
        <f t="shared" si="2"/>
        <v>1707483</v>
      </c>
      <c r="Y9" s="232">
        <f t="shared" si="2"/>
        <v>0</v>
      </c>
      <c r="Z9" s="232">
        <f t="shared" si="2"/>
        <v>1707483</v>
      </c>
      <c r="AA9" s="232">
        <f>SUM(AA10:AA12)</f>
        <v>0</v>
      </c>
      <c r="AB9" s="232">
        <f>SUM(AB10:AB12)</f>
        <v>1707483</v>
      </c>
      <c r="AC9" s="232">
        <f>SUM(AC10:AC12)</f>
        <v>0</v>
      </c>
      <c r="AD9" s="232">
        <f>SUM(AD10:AD12)</f>
        <v>1707483</v>
      </c>
      <c r="AE9" s="232">
        <f>SUM(AE10:AE12)</f>
        <v>95263</v>
      </c>
      <c r="AF9" s="232">
        <f>SUM(AF10:AF13)</f>
        <v>1802746</v>
      </c>
      <c r="AG9" s="232">
        <f>SUM(AG10:AG13)</f>
        <v>1200</v>
      </c>
      <c r="AH9" s="232">
        <f>SUM(AH10:AH13)</f>
        <v>1803946</v>
      </c>
      <c r="AI9" s="232">
        <f>SUM(AI10:AI13)</f>
        <v>10000</v>
      </c>
      <c r="AJ9" s="232">
        <f>SUM(AJ10:AJ13)</f>
        <v>1813946</v>
      </c>
    </row>
    <row r="10" spans="1:36" s="27" customFormat="1" ht="72">
      <c r="A10" s="82"/>
      <c r="B10" s="58"/>
      <c r="C10" s="233" t="s">
        <v>438</v>
      </c>
      <c r="D10" s="137" t="s">
        <v>316</v>
      </c>
      <c r="E10" s="230"/>
      <c r="F10" s="230"/>
      <c r="G10" s="230"/>
      <c r="H10" s="231"/>
      <c r="I10" s="230"/>
      <c r="J10" s="231"/>
      <c r="K10" s="230"/>
      <c r="L10" s="232">
        <v>0</v>
      </c>
      <c r="M10" s="234">
        <f>80000+4720</f>
        <v>84720</v>
      </c>
      <c r="N10" s="232">
        <f>SUM(L10:M10)</f>
        <v>84720</v>
      </c>
      <c r="O10" s="234">
        <v>0</v>
      </c>
      <c r="P10" s="232">
        <f>SUM(N10:O10)</f>
        <v>84720</v>
      </c>
      <c r="Q10" s="234">
        <v>0</v>
      </c>
      <c r="R10" s="232">
        <f>SUM(P10:Q10)</f>
        <v>84720</v>
      </c>
      <c r="S10" s="234">
        <v>18500</v>
      </c>
      <c r="T10" s="232">
        <f>SUM(R10:S10)</f>
        <v>103220</v>
      </c>
      <c r="U10" s="234">
        <v>0</v>
      </c>
      <c r="V10" s="232">
        <f>SUM(T10:U10)</f>
        <v>103220</v>
      </c>
      <c r="W10" s="234">
        <v>0</v>
      </c>
      <c r="X10" s="232">
        <f>SUM(V10:W10)</f>
        <v>103220</v>
      </c>
      <c r="Y10" s="234">
        <v>0</v>
      </c>
      <c r="Z10" s="232">
        <f>SUM(X10:Y10)</f>
        <v>103220</v>
      </c>
      <c r="AA10" s="234">
        <v>0</v>
      </c>
      <c r="AB10" s="232">
        <f>SUM(Z10:AA10)</f>
        <v>103220</v>
      </c>
      <c r="AC10" s="234">
        <v>0</v>
      </c>
      <c r="AD10" s="232">
        <f>SUM(AB10:AC10)</f>
        <v>103220</v>
      </c>
      <c r="AE10" s="234">
        <v>0</v>
      </c>
      <c r="AF10" s="232">
        <f>SUM(AD10:AE10)</f>
        <v>103220</v>
      </c>
      <c r="AG10" s="234">
        <v>0</v>
      </c>
      <c r="AH10" s="232">
        <f>SUM(AF10:AG10)</f>
        <v>103220</v>
      </c>
      <c r="AI10" s="234">
        <v>10000</v>
      </c>
      <c r="AJ10" s="232">
        <f>SUM(AH10:AI10)</f>
        <v>113220</v>
      </c>
    </row>
    <row r="11" spans="1:36" s="27" customFormat="1" ht="36">
      <c r="A11" s="82"/>
      <c r="B11" s="58"/>
      <c r="C11" s="233" t="s">
        <v>74</v>
      </c>
      <c r="D11" s="137" t="s">
        <v>76</v>
      </c>
      <c r="E11" s="230"/>
      <c r="F11" s="230"/>
      <c r="G11" s="230"/>
      <c r="H11" s="231"/>
      <c r="I11" s="230"/>
      <c r="J11" s="231"/>
      <c r="K11" s="230"/>
      <c r="L11" s="232">
        <v>0</v>
      </c>
      <c r="M11" s="234">
        <v>76000</v>
      </c>
      <c r="N11" s="232">
        <f>SUM(L11:M11)</f>
        <v>76000</v>
      </c>
      <c r="O11" s="234">
        <v>0</v>
      </c>
      <c r="P11" s="232">
        <f>SUM(N11:O11)</f>
        <v>76000</v>
      </c>
      <c r="Q11" s="234">
        <v>0</v>
      </c>
      <c r="R11" s="232">
        <f>SUM(P11:Q11)</f>
        <v>76000</v>
      </c>
      <c r="S11" s="234">
        <f>780000+600000+50000</f>
        <v>1430000</v>
      </c>
      <c r="T11" s="232">
        <f>SUM(R11:S11)</f>
        <v>1506000</v>
      </c>
      <c r="U11" s="234">
        <v>0</v>
      </c>
      <c r="V11" s="232">
        <f>SUM(T11:U11)</f>
        <v>1506000</v>
      </c>
      <c r="W11" s="234">
        <v>0</v>
      </c>
      <c r="X11" s="232">
        <f>SUM(V11:W11)</f>
        <v>1506000</v>
      </c>
      <c r="Y11" s="234">
        <v>0</v>
      </c>
      <c r="Z11" s="232">
        <f>SUM(X11:Y11)</f>
        <v>1506000</v>
      </c>
      <c r="AA11" s="234">
        <v>0</v>
      </c>
      <c r="AB11" s="232">
        <f>SUM(Z11:AA11)</f>
        <v>1506000</v>
      </c>
      <c r="AC11" s="234">
        <v>0</v>
      </c>
      <c r="AD11" s="232">
        <f>SUM(AB11:AC11)</f>
        <v>1506000</v>
      </c>
      <c r="AE11" s="234">
        <v>0</v>
      </c>
      <c r="AF11" s="232">
        <f>SUM(AD11:AE11)</f>
        <v>1506000</v>
      </c>
      <c r="AG11" s="234">
        <v>0</v>
      </c>
      <c r="AH11" s="232">
        <f>SUM(AF11:AG11)</f>
        <v>1506000</v>
      </c>
      <c r="AI11" s="234">
        <v>0</v>
      </c>
      <c r="AJ11" s="232">
        <f>SUM(AH11:AI11)</f>
        <v>1506000</v>
      </c>
    </row>
    <row r="12" spans="1:36" s="27" customFormat="1" ht="60">
      <c r="A12" s="82"/>
      <c r="B12" s="58"/>
      <c r="C12" s="233">
        <v>2010</v>
      </c>
      <c r="D12" s="137" t="s">
        <v>105</v>
      </c>
      <c r="E12" s="230"/>
      <c r="F12" s="230"/>
      <c r="G12" s="230"/>
      <c r="H12" s="231"/>
      <c r="I12" s="230"/>
      <c r="J12" s="231"/>
      <c r="K12" s="230"/>
      <c r="L12" s="232"/>
      <c r="M12" s="234"/>
      <c r="N12" s="232">
        <v>0</v>
      </c>
      <c r="O12" s="234">
        <v>98263</v>
      </c>
      <c r="P12" s="232">
        <f>SUM(N12:O12)</f>
        <v>98263</v>
      </c>
      <c r="Q12" s="234">
        <v>0</v>
      </c>
      <c r="R12" s="232">
        <f>SUM(P12:Q12)</f>
        <v>98263</v>
      </c>
      <c r="S12" s="234">
        <v>0</v>
      </c>
      <c r="T12" s="232">
        <f>SUM(R12:S12)</f>
        <v>98263</v>
      </c>
      <c r="U12" s="234">
        <v>0</v>
      </c>
      <c r="V12" s="232">
        <f>SUM(T12:U12)</f>
        <v>98263</v>
      </c>
      <c r="W12" s="234">
        <v>0</v>
      </c>
      <c r="X12" s="232">
        <f>SUM(V12:W12)</f>
        <v>98263</v>
      </c>
      <c r="Y12" s="234">
        <v>0</v>
      </c>
      <c r="Z12" s="232">
        <f>SUM(X12:Y12)</f>
        <v>98263</v>
      </c>
      <c r="AA12" s="234">
        <v>0</v>
      </c>
      <c r="AB12" s="232">
        <f>SUM(Z12:AA12)</f>
        <v>98263</v>
      </c>
      <c r="AC12" s="234">
        <v>0</v>
      </c>
      <c r="AD12" s="232">
        <f>SUM(AB12:AC12)</f>
        <v>98263</v>
      </c>
      <c r="AE12" s="234">
        <v>95263</v>
      </c>
      <c r="AF12" s="232">
        <f>SUM(AD12:AE12)</f>
        <v>193526</v>
      </c>
      <c r="AG12" s="234">
        <v>0</v>
      </c>
      <c r="AH12" s="232">
        <f>SUM(AF12:AG12)</f>
        <v>193526</v>
      </c>
      <c r="AI12" s="234">
        <v>0</v>
      </c>
      <c r="AJ12" s="232">
        <f>SUM(AH12:AI12)</f>
        <v>193526</v>
      </c>
    </row>
    <row r="13" spans="1:36" s="27" customFormat="1" ht="24" customHeight="1">
      <c r="A13" s="82"/>
      <c r="B13" s="58"/>
      <c r="C13" s="233" t="s">
        <v>439</v>
      </c>
      <c r="D13" s="137" t="s">
        <v>264</v>
      </c>
      <c r="E13" s="230"/>
      <c r="F13" s="230"/>
      <c r="G13" s="230"/>
      <c r="H13" s="231"/>
      <c r="I13" s="230"/>
      <c r="J13" s="231"/>
      <c r="K13" s="230"/>
      <c r="L13" s="232"/>
      <c r="M13" s="234"/>
      <c r="N13" s="232"/>
      <c r="O13" s="234"/>
      <c r="P13" s="232"/>
      <c r="Q13" s="234"/>
      <c r="R13" s="232"/>
      <c r="S13" s="234"/>
      <c r="T13" s="232"/>
      <c r="U13" s="234"/>
      <c r="V13" s="232"/>
      <c r="W13" s="234"/>
      <c r="X13" s="232"/>
      <c r="Y13" s="234"/>
      <c r="Z13" s="232"/>
      <c r="AA13" s="234"/>
      <c r="AB13" s="232"/>
      <c r="AC13" s="234"/>
      <c r="AD13" s="232"/>
      <c r="AE13" s="234"/>
      <c r="AF13" s="232">
        <v>0</v>
      </c>
      <c r="AG13" s="234">
        <v>1200</v>
      </c>
      <c r="AH13" s="232">
        <f>SUM(AF13:AG13)</f>
        <v>1200</v>
      </c>
      <c r="AI13" s="234">
        <v>0</v>
      </c>
      <c r="AJ13" s="232">
        <f>SUM(AH13:AI13)</f>
        <v>1200</v>
      </c>
    </row>
    <row r="14" spans="1:36" s="8" customFormat="1" ht="17.25" customHeight="1" hidden="1">
      <c r="A14" s="33" t="s">
        <v>258</v>
      </c>
      <c r="B14" s="3"/>
      <c r="C14" s="235"/>
      <c r="D14" s="236" t="s">
        <v>259</v>
      </c>
      <c r="E14" s="237">
        <f aca="true" t="shared" si="3" ref="E14:G15">SUM(E15)</f>
        <v>4720</v>
      </c>
      <c r="F14" s="237">
        <f t="shared" si="3"/>
        <v>0</v>
      </c>
      <c r="G14" s="237">
        <f t="shared" si="3"/>
        <v>0</v>
      </c>
      <c r="H14" s="237">
        <f aca="true" t="shared" si="4" ref="H14:H53">E14+F14-G14</f>
        <v>4720</v>
      </c>
      <c r="I14" s="237">
        <f>SUM(I15)</f>
        <v>0</v>
      </c>
      <c r="J14" s="237">
        <f>SUM(H14:I14)</f>
        <v>4720</v>
      </c>
      <c r="K14" s="237">
        <f>SUM(K15)</f>
        <v>0</v>
      </c>
      <c r="L14" s="237">
        <f>SUM(J14:K14)</f>
        <v>4720</v>
      </c>
      <c r="M14" s="237">
        <f>SUM(M15)</f>
        <v>-4720</v>
      </c>
      <c r="N14" s="237">
        <f>SUM(L14:M14)</f>
        <v>0</v>
      </c>
      <c r="O14" s="237">
        <f>SUM(O15)</f>
        <v>0</v>
      </c>
      <c r="P14" s="237">
        <f>SUM(N14:O14)</f>
        <v>0</v>
      </c>
      <c r="Q14" s="237">
        <f>SUM(Q15)</f>
        <v>0</v>
      </c>
      <c r="R14" s="237">
        <f>SUM(P14:Q14)</f>
        <v>0</v>
      </c>
      <c r="S14" s="237">
        <f>SUM(S15)</f>
        <v>0</v>
      </c>
      <c r="T14" s="237">
        <f>SUM(R14:S14)</f>
        <v>0</v>
      </c>
      <c r="U14" s="237">
        <f>SUM(U15)</f>
        <v>0</v>
      </c>
      <c r="V14" s="237">
        <f>SUM(T14:U14)</f>
        <v>0</v>
      </c>
      <c r="W14" s="237">
        <f>SUM(W15)</f>
        <v>0</v>
      </c>
      <c r="X14" s="237">
        <f>SUM(V14:W14)</f>
        <v>0</v>
      </c>
      <c r="Y14" s="237">
        <f>SUM(Y15)</f>
        <v>0</v>
      </c>
      <c r="Z14" s="237">
        <f>SUM(X14:Y14)</f>
        <v>0</v>
      </c>
      <c r="AA14" s="237">
        <f>SUM(AA15)</f>
        <v>0</v>
      </c>
      <c r="AB14" s="237">
        <f>SUM(Z14:AA14)</f>
        <v>0</v>
      </c>
      <c r="AC14" s="237">
        <f>SUM(AC15)</f>
        <v>0</v>
      </c>
      <c r="AD14" s="237">
        <f>SUM(AB14:AC14)</f>
        <v>0</v>
      </c>
      <c r="AE14" s="237">
        <f>SUM(AE15)</f>
        <v>0</v>
      </c>
      <c r="AF14" s="237">
        <f>SUM(AD14:AE14)</f>
        <v>0</v>
      </c>
      <c r="AG14" s="237">
        <f>SUM(AG15)</f>
        <v>0</v>
      </c>
      <c r="AH14" s="237">
        <f>SUM(AF14:AG14)</f>
        <v>0</v>
      </c>
      <c r="AI14" s="237">
        <f>SUM(AI15)</f>
        <v>0</v>
      </c>
      <c r="AJ14" s="237">
        <f>SUM(AH14:AI14)</f>
        <v>0</v>
      </c>
    </row>
    <row r="15" spans="1:36" s="27" customFormat="1" ht="14.25" customHeight="1" hidden="1">
      <c r="A15" s="79"/>
      <c r="B15" s="76" t="s">
        <v>260</v>
      </c>
      <c r="C15" s="228"/>
      <c r="D15" s="137" t="s">
        <v>250</v>
      </c>
      <c r="E15" s="138">
        <f t="shared" si="3"/>
        <v>4720</v>
      </c>
      <c r="F15" s="138">
        <f t="shared" si="3"/>
        <v>0</v>
      </c>
      <c r="G15" s="138">
        <f t="shared" si="3"/>
        <v>0</v>
      </c>
      <c r="H15" s="138">
        <f t="shared" si="4"/>
        <v>4720</v>
      </c>
      <c r="I15" s="138">
        <f>SUM(I16)</f>
        <v>0</v>
      </c>
      <c r="J15" s="138">
        <f aca="true" t="shared" si="5" ref="J15:J88">SUM(H15:I15)</f>
        <v>4720</v>
      </c>
      <c r="K15" s="138">
        <f>SUM(K16)</f>
        <v>0</v>
      </c>
      <c r="L15" s="138">
        <f aca="true" t="shared" si="6" ref="L15:AJ15">SUM(L16:L16)</f>
        <v>4720</v>
      </c>
      <c r="M15" s="138">
        <f t="shared" si="6"/>
        <v>-4720</v>
      </c>
      <c r="N15" s="138">
        <f t="shared" si="6"/>
        <v>0</v>
      </c>
      <c r="O15" s="138">
        <f t="shared" si="6"/>
        <v>0</v>
      </c>
      <c r="P15" s="138">
        <f t="shared" si="6"/>
        <v>0</v>
      </c>
      <c r="Q15" s="138">
        <f t="shared" si="6"/>
        <v>0</v>
      </c>
      <c r="R15" s="138">
        <f t="shared" si="6"/>
        <v>0</v>
      </c>
      <c r="S15" s="138">
        <f t="shared" si="6"/>
        <v>0</v>
      </c>
      <c r="T15" s="138">
        <f t="shared" si="6"/>
        <v>0</v>
      </c>
      <c r="U15" s="138">
        <f t="shared" si="6"/>
        <v>0</v>
      </c>
      <c r="V15" s="138">
        <f t="shared" si="6"/>
        <v>0</v>
      </c>
      <c r="W15" s="138">
        <f t="shared" si="6"/>
        <v>0</v>
      </c>
      <c r="X15" s="138">
        <f t="shared" si="6"/>
        <v>0</v>
      </c>
      <c r="Y15" s="138">
        <f t="shared" si="6"/>
        <v>0</v>
      </c>
      <c r="Z15" s="138">
        <f t="shared" si="6"/>
        <v>0</v>
      </c>
      <c r="AA15" s="138">
        <f t="shared" si="6"/>
        <v>0</v>
      </c>
      <c r="AB15" s="138">
        <f t="shared" si="6"/>
        <v>0</v>
      </c>
      <c r="AC15" s="138">
        <f t="shared" si="6"/>
        <v>0</v>
      </c>
      <c r="AD15" s="138">
        <f t="shared" si="6"/>
        <v>0</v>
      </c>
      <c r="AE15" s="138">
        <f t="shared" si="6"/>
        <v>0</v>
      </c>
      <c r="AF15" s="138">
        <f t="shared" si="6"/>
        <v>0</v>
      </c>
      <c r="AG15" s="138">
        <f t="shared" si="6"/>
        <v>0</v>
      </c>
      <c r="AH15" s="138">
        <f t="shared" si="6"/>
        <v>0</v>
      </c>
      <c r="AI15" s="138">
        <f t="shared" si="6"/>
        <v>0</v>
      </c>
      <c r="AJ15" s="138">
        <f t="shared" si="6"/>
        <v>0</v>
      </c>
    </row>
    <row r="16" spans="1:36" s="27" customFormat="1" ht="45" hidden="1">
      <c r="A16" s="79"/>
      <c r="B16" s="80"/>
      <c r="C16" s="136" t="s">
        <v>436</v>
      </c>
      <c r="D16" s="137" t="s">
        <v>257</v>
      </c>
      <c r="E16" s="138">
        <v>4720</v>
      </c>
      <c r="F16" s="138"/>
      <c r="G16" s="138"/>
      <c r="H16" s="138">
        <f t="shared" si="4"/>
        <v>4720</v>
      </c>
      <c r="I16" s="138">
        <v>0</v>
      </c>
      <c r="J16" s="138">
        <f t="shared" si="5"/>
        <v>4720</v>
      </c>
      <c r="K16" s="138">
        <v>0</v>
      </c>
      <c r="L16" s="138">
        <f aca="true" t="shared" si="7" ref="L16:L88">SUM(J16:K16)</f>
        <v>4720</v>
      </c>
      <c r="M16" s="138">
        <v>-4720</v>
      </c>
      <c r="N16" s="138">
        <f aca="true" t="shared" si="8" ref="N16:N88">SUM(L16:M16)</f>
        <v>0</v>
      </c>
      <c r="O16" s="138">
        <v>0</v>
      </c>
      <c r="P16" s="138">
        <f aca="true" t="shared" si="9" ref="P16:P89">SUM(N16:O16)</f>
        <v>0</v>
      </c>
      <c r="Q16" s="138">
        <v>0</v>
      </c>
      <c r="R16" s="138">
        <f aca="true" t="shared" si="10" ref="R16:R89">SUM(P16:Q16)</f>
        <v>0</v>
      </c>
      <c r="S16" s="138">
        <v>0</v>
      </c>
      <c r="T16" s="138">
        <f aca="true" t="shared" si="11" ref="T16:T89">SUM(R16:S16)</f>
        <v>0</v>
      </c>
      <c r="U16" s="138">
        <v>0</v>
      </c>
      <c r="V16" s="138">
        <f aca="true" t="shared" si="12" ref="V16:V89">SUM(T16:U16)</f>
        <v>0</v>
      </c>
      <c r="W16" s="138">
        <v>0</v>
      </c>
      <c r="X16" s="138">
        <f aca="true" t="shared" si="13" ref="X16:X89">SUM(V16:W16)</f>
        <v>0</v>
      </c>
      <c r="Y16" s="138">
        <v>0</v>
      </c>
      <c r="Z16" s="138">
        <f aca="true" t="shared" si="14" ref="Z16:Z89">SUM(X16:Y16)</f>
        <v>0</v>
      </c>
      <c r="AA16" s="138">
        <v>0</v>
      </c>
      <c r="AB16" s="138">
        <f aca="true" t="shared" si="15" ref="AB16:AB35">SUM(Z16:AA16)</f>
        <v>0</v>
      </c>
      <c r="AC16" s="138">
        <v>0</v>
      </c>
      <c r="AD16" s="138">
        <f aca="true" t="shared" si="16" ref="AD16:AD35">SUM(AB16:AC16)</f>
        <v>0</v>
      </c>
      <c r="AE16" s="138">
        <v>0</v>
      </c>
      <c r="AF16" s="138">
        <f aca="true" t="shared" si="17" ref="AF16:AF35">SUM(AD16:AE16)</f>
        <v>0</v>
      </c>
      <c r="AG16" s="138">
        <v>0</v>
      </c>
      <c r="AH16" s="138">
        <f aca="true" t="shared" si="18" ref="AH16:AH35">SUM(AF16:AG16)</f>
        <v>0</v>
      </c>
      <c r="AI16" s="138">
        <v>0</v>
      </c>
      <c r="AJ16" s="138">
        <f aca="true" t="shared" si="19" ref="AJ16:AJ27">SUM(AH16:AI16)</f>
        <v>0</v>
      </c>
    </row>
    <row r="17" spans="1:36" s="43" customFormat="1" ht="24.75" customHeight="1">
      <c r="A17" s="95">
        <v>600</v>
      </c>
      <c r="B17" s="6"/>
      <c r="C17" s="284"/>
      <c r="D17" s="285" t="s">
        <v>336</v>
      </c>
      <c r="E17" s="237">
        <f aca="true" t="shared" si="20" ref="E17:G18">SUM(E18)</f>
        <v>4000</v>
      </c>
      <c r="F17" s="237">
        <f t="shared" si="20"/>
        <v>0</v>
      </c>
      <c r="G17" s="237">
        <f t="shared" si="20"/>
        <v>0</v>
      </c>
      <c r="H17" s="237">
        <f t="shared" si="4"/>
        <v>4000</v>
      </c>
      <c r="I17" s="237">
        <f>SUM(I18)</f>
        <v>0</v>
      </c>
      <c r="J17" s="237">
        <f t="shared" si="5"/>
        <v>4000</v>
      </c>
      <c r="K17" s="237">
        <f>SUM(K18)</f>
        <v>0</v>
      </c>
      <c r="L17" s="237">
        <f t="shared" si="7"/>
        <v>4000</v>
      </c>
      <c r="M17" s="237">
        <f>SUM(M18)</f>
        <v>0</v>
      </c>
      <c r="N17" s="237">
        <f t="shared" si="8"/>
        <v>4000</v>
      </c>
      <c r="O17" s="237">
        <f>SUM(O18)</f>
        <v>0</v>
      </c>
      <c r="P17" s="237">
        <f t="shared" si="9"/>
        <v>4000</v>
      </c>
      <c r="Q17" s="237">
        <f>SUM(Q18)</f>
        <v>0</v>
      </c>
      <c r="R17" s="237">
        <f t="shared" si="10"/>
        <v>4000</v>
      </c>
      <c r="S17" s="237">
        <f>SUM(S18)</f>
        <v>0</v>
      </c>
      <c r="T17" s="237">
        <f t="shared" si="11"/>
        <v>4000</v>
      </c>
      <c r="U17" s="237">
        <f>SUM(U18)</f>
        <v>0</v>
      </c>
      <c r="V17" s="237">
        <f t="shared" si="12"/>
        <v>4000</v>
      </c>
      <c r="W17" s="237">
        <f>SUM(W18)</f>
        <v>0</v>
      </c>
      <c r="X17" s="237">
        <f t="shared" si="13"/>
        <v>4000</v>
      </c>
      <c r="Y17" s="237">
        <f>SUM(Y18)</f>
        <v>20111</v>
      </c>
      <c r="Z17" s="237">
        <f t="shared" si="14"/>
        <v>24111</v>
      </c>
      <c r="AA17" s="237">
        <f>SUM(AA18)</f>
        <v>0</v>
      </c>
      <c r="AB17" s="237">
        <f t="shared" si="15"/>
        <v>24111</v>
      </c>
      <c r="AC17" s="237">
        <f>SUM(AC18)</f>
        <v>28739</v>
      </c>
      <c r="AD17" s="237">
        <f t="shared" si="16"/>
        <v>52850</v>
      </c>
      <c r="AE17" s="237">
        <f>SUM(AE18)</f>
        <v>0</v>
      </c>
      <c r="AF17" s="237">
        <f t="shared" si="17"/>
        <v>52850</v>
      </c>
      <c r="AG17" s="237">
        <f>SUM(AG18)</f>
        <v>0</v>
      </c>
      <c r="AH17" s="237">
        <f t="shared" si="18"/>
        <v>52850</v>
      </c>
      <c r="AI17" s="237">
        <f>SUM(AI18)</f>
        <v>0</v>
      </c>
      <c r="AJ17" s="237">
        <f t="shared" si="19"/>
        <v>52850</v>
      </c>
    </row>
    <row r="18" spans="1:36" s="27" customFormat="1" ht="22.5" customHeight="1">
      <c r="A18" s="79"/>
      <c r="B18" s="75" t="s">
        <v>337</v>
      </c>
      <c r="C18" s="263"/>
      <c r="D18" s="264" t="s">
        <v>338</v>
      </c>
      <c r="E18" s="138">
        <f t="shared" si="20"/>
        <v>4000</v>
      </c>
      <c r="F18" s="138">
        <f t="shared" si="20"/>
        <v>0</v>
      </c>
      <c r="G18" s="138">
        <f t="shared" si="20"/>
        <v>0</v>
      </c>
      <c r="H18" s="138">
        <f t="shared" si="4"/>
        <v>4000</v>
      </c>
      <c r="I18" s="138">
        <f>SUM(I19)</f>
        <v>0</v>
      </c>
      <c r="J18" s="138">
        <f t="shared" si="5"/>
        <v>4000</v>
      </c>
      <c r="K18" s="138">
        <f>SUM(K19)</f>
        <v>0</v>
      </c>
      <c r="L18" s="138">
        <f t="shared" si="7"/>
        <v>4000</v>
      </c>
      <c r="M18" s="138">
        <f>SUM(M19)</f>
        <v>0</v>
      </c>
      <c r="N18" s="138">
        <f t="shared" si="8"/>
        <v>4000</v>
      </c>
      <c r="O18" s="138">
        <f>SUM(O19)</f>
        <v>0</v>
      </c>
      <c r="P18" s="138">
        <f t="shared" si="9"/>
        <v>4000</v>
      </c>
      <c r="Q18" s="138">
        <f>SUM(Q19)</f>
        <v>0</v>
      </c>
      <c r="R18" s="138">
        <f t="shared" si="10"/>
        <v>4000</v>
      </c>
      <c r="S18" s="138">
        <f>SUM(S19)</f>
        <v>0</v>
      </c>
      <c r="T18" s="138">
        <f t="shared" si="11"/>
        <v>4000</v>
      </c>
      <c r="U18" s="138">
        <f>SUM(U19)</f>
        <v>0</v>
      </c>
      <c r="V18" s="138">
        <f t="shared" si="12"/>
        <v>4000</v>
      </c>
      <c r="W18" s="138">
        <f>SUM(W19)</f>
        <v>0</v>
      </c>
      <c r="X18" s="138">
        <f t="shared" si="13"/>
        <v>4000</v>
      </c>
      <c r="Y18" s="138">
        <f>SUM(Y19)</f>
        <v>20111</v>
      </c>
      <c r="Z18" s="138">
        <f t="shared" si="14"/>
        <v>24111</v>
      </c>
      <c r="AA18" s="138">
        <f>SUM(AA19)</f>
        <v>0</v>
      </c>
      <c r="AB18" s="138">
        <f t="shared" si="15"/>
        <v>24111</v>
      </c>
      <c r="AC18" s="138">
        <f>SUM(AC19)</f>
        <v>28739</v>
      </c>
      <c r="AD18" s="138">
        <f t="shared" si="16"/>
        <v>52850</v>
      </c>
      <c r="AE18" s="138">
        <f>SUM(AE19)</f>
        <v>0</v>
      </c>
      <c r="AF18" s="138">
        <f t="shared" si="17"/>
        <v>52850</v>
      </c>
      <c r="AG18" s="138">
        <f>SUM(AG19)</f>
        <v>0</v>
      </c>
      <c r="AH18" s="138">
        <f t="shared" si="18"/>
        <v>52850</v>
      </c>
      <c r="AI18" s="138">
        <f>SUM(AI19)</f>
        <v>0</v>
      </c>
      <c r="AJ18" s="138">
        <f t="shared" si="19"/>
        <v>52850</v>
      </c>
    </row>
    <row r="19" spans="1:36" s="27" customFormat="1" ht="21.75" customHeight="1">
      <c r="A19" s="79"/>
      <c r="B19" s="126"/>
      <c r="C19" s="136" t="s">
        <v>464</v>
      </c>
      <c r="D19" s="137" t="s">
        <v>419</v>
      </c>
      <c r="E19" s="138">
        <v>4000</v>
      </c>
      <c r="F19" s="138"/>
      <c r="G19" s="138"/>
      <c r="H19" s="138">
        <f t="shared" si="4"/>
        <v>4000</v>
      </c>
      <c r="I19" s="138">
        <v>0</v>
      </c>
      <c r="J19" s="138">
        <f t="shared" si="5"/>
        <v>4000</v>
      </c>
      <c r="K19" s="138">
        <v>0</v>
      </c>
      <c r="L19" s="138">
        <f t="shared" si="7"/>
        <v>4000</v>
      </c>
      <c r="M19" s="138">
        <v>0</v>
      </c>
      <c r="N19" s="138">
        <f t="shared" si="8"/>
        <v>4000</v>
      </c>
      <c r="O19" s="138">
        <v>0</v>
      </c>
      <c r="P19" s="138">
        <f t="shared" si="9"/>
        <v>4000</v>
      </c>
      <c r="Q19" s="138">
        <v>0</v>
      </c>
      <c r="R19" s="138">
        <f t="shared" si="10"/>
        <v>4000</v>
      </c>
      <c r="S19" s="138">
        <v>0</v>
      </c>
      <c r="T19" s="138">
        <f t="shared" si="11"/>
        <v>4000</v>
      </c>
      <c r="U19" s="138">
        <v>0</v>
      </c>
      <c r="V19" s="138">
        <f t="shared" si="12"/>
        <v>4000</v>
      </c>
      <c r="W19" s="138">
        <v>0</v>
      </c>
      <c r="X19" s="138">
        <f t="shared" si="13"/>
        <v>4000</v>
      </c>
      <c r="Y19" s="138">
        <v>20111</v>
      </c>
      <c r="Z19" s="138">
        <f t="shared" si="14"/>
        <v>24111</v>
      </c>
      <c r="AA19" s="138">
        <v>0</v>
      </c>
      <c r="AB19" s="138">
        <f t="shared" si="15"/>
        <v>24111</v>
      </c>
      <c r="AC19" s="138">
        <v>28739</v>
      </c>
      <c r="AD19" s="138">
        <f t="shared" si="16"/>
        <v>52850</v>
      </c>
      <c r="AE19" s="138">
        <v>0</v>
      </c>
      <c r="AF19" s="138">
        <f t="shared" si="17"/>
        <v>52850</v>
      </c>
      <c r="AG19" s="138">
        <v>0</v>
      </c>
      <c r="AH19" s="138">
        <f t="shared" si="18"/>
        <v>52850</v>
      </c>
      <c r="AI19" s="138">
        <v>0</v>
      </c>
      <c r="AJ19" s="138">
        <f t="shared" si="19"/>
        <v>52850</v>
      </c>
    </row>
    <row r="20" spans="1:36" s="7" customFormat="1" ht="24.75" customHeight="1">
      <c r="A20" s="33" t="s">
        <v>261</v>
      </c>
      <c r="B20" s="4"/>
      <c r="C20" s="238"/>
      <c r="D20" s="236" t="s">
        <v>262</v>
      </c>
      <c r="E20" s="237">
        <f>SUM(E21,)</f>
        <v>1691508</v>
      </c>
      <c r="F20" s="237">
        <f>SUM(F21,)</f>
        <v>0</v>
      </c>
      <c r="G20" s="237">
        <f>SUM(G21,)</f>
        <v>0</v>
      </c>
      <c r="H20" s="237">
        <f t="shared" si="4"/>
        <v>1691508</v>
      </c>
      <c r="I20" s="237">
        <f>SUM(I21,)</f>
        <v>0</v>
      </c>
      <c r="J20" s="237">
        <f t="shared" si="5"/>
        <v>1691508</v>
      </c>
      <c r="K20" s="237">
        <f>SUM(K21,)</f>
        <v>0</v>
      </c>
      <c r="L20" s="237">
        <f t="shared" si="7"/>
        <v>1691508</v>
      </c>
      <c r="M20" s="237">
        <f>SUM(M21,)</f>
        <v>-156000</v>
      </c>
      <c r="N20" s="237">
        <f t="shared" si="8"/>
        <v>1535508</v>
      </c>
      <c r="O20" s="237">
        <f>SUM(O21,)</f>
        <v>0</v>
      </c>
      <c r="P20" s="237">
        <f t="shared" si="9"/>
        <v>1535508</v>
      </c>
      <c r="Q20" s="237">
        <f>SUM(Q21,)</f>
        <v>0</v>
      </c>
      <c r="R20" s="237">
        <f t="shared" si="10"/>
        <v>1535508</v>
      </c>
      <c r="S20" s="237">
        <f>SUM(S21,)</f>
        <v>933500</v>
      </c>
      <c r="T20" s="237">
        <f t="shared" si="11"/>
        <v>2469008</v>
      </c>
      <c r="U20" s="237">
        <f>SUM(U21,)</f>
        <v>0</v>
      </c>
      <c r="V20" s="237">
        <f t="shared" si="12"/>
        <v>2469008</v>
      </c>
      <c r="W20" s="237">
        <f>SUM(W21,)</f>
        <v>0</v>
      </c>
      <c r="X20" s="237">
        <f t="shared" si="13"/>
        <v>2469008</v>
      </c>
      <c r="Y20" s="237">
        <f>SUM(Y21,)</f>
        <v>0</v>
      </c>
      <c r="Z20" s="237">
        <f t="shared" si="14"/>
        <v>2469008</v>
      </c>
      <c r="AA20" s="237">
        <f>SUM(AA21,)</f>
        <v>0</v>
      </c>
      <c r="AB20" s="237">
        <f t="shared" si="15"/>
        <v>2469008</v>
      </c>
      <c r="AC20" s="237">
        <f>SUM(AC21,)</f>
        <v>0</v>
      </c>
      <c r="AD20" s="237">
        <f t="shared" si="16"/>
        <v>2469008</v>
      </c>
      <c r="AE20" s="237">
        <f>SUM(AE21,)</f>
        <v>0</v>
      </c>
      <c r="AF20" s="237">
        <f t="shared" si="17"/>
        <v>2469008</v>
      </c>
      <c r="AG20" s="237">
        <f>SUM(AG21,AG28)</f>
        <v>6060</v>
      </c>
      <c r="AH20" s="237">
        <f t="shared" si="18"/>
        <v>2475068</v>
      </c>
      <c r="AI20" s="237">
        <f>SUM(AI21,AI28)</f>
        <v>1101450</v>
      </c>
      <c r="AJ20" s="237">
        <f t="shared" si="19"/>
        <v>3576518</v>
      </c>
    </row>
    <row r="21" spans="1:36" s="27" customFormat="1" ht="21.75" customHeight="1">
      <c r="A21" s="75"/>
      <c r="B21" s="76" t="s">
        <v>263</v>
      </c>
      <c r="C21" s="228"/>
      <c r="D21" s="137" t="s">
        <v>425</v>
      </c>
      <c r="E21" s="138">
        <f>SUM(E22:E27)</f>
        <v>1691508</v>
      </c>
      <c r="F21" s="138">
        <f>SUM(F22:F27)</f>
        <v>0</v>
      </c>
      <c r="G21" s="138">
        <f>SUM(G22:G27)</f>
        <v>0</v>
      </c>
      <c r="H21" s="138">
        <f t="shared" si="4"/>
        <v>1691508</v>
      </c>
      <c r="I21" s="138">
        <f>SUM(I22:I27)</f>
        <v>0</v>
      </c>
      <c r="J21" s="138">
        <f t="shared" si="5"/>
        <v>1691508</v>
      </c>
      <c r="K21" s="138">
        <f>SUM(K22:K27)</f>
        <v>0</v>
      </c>
      <c r="L21" s="138">
        <f t="shared" si="7"/>
        <v>1691508</v>
      </c>
      <c r="M21" s="138">
        <f>SUM(M22:M27)</f>
        <v>-156000</v>
      </c>
      <c r="N21" s="138">
        <f t="shared" si="8"/>
        <v>1535508</v>
      </c>
      <c r="O21" s="138">
        <f>SUM(O22:O27)</f>
        <v>0</v>
      </c>
      <c r="P21" s="138">
        <f t="shared" si="9"/>
        <v>1535508</v>
      </c>
      <c r="Q21" s="138">
        <f>SUM(Q22:Q27)</f>
        <v>0</v>
      </c>
      <c r="R21" s="138">
        <f t="shared" si="10"/>
        <v>1535508</v>
      </c>
      <c r="S21" s="138">
        <f>SUM(S22:S27)</f>
        <v>933500</v>
      </c>
      <c r="T21" s="138">
        <f t="shared" si="11"/>
        <v>2469008</v>
      </c>
      <c r="U21" s="138">
        <f>SUM(U22:U27)</f>
        <v>0</v>
      </c>
      <c r="V21" s="138">
        <f t="shared" si="12"/>
        <v>2469008</v>
      </c>
      <c r="W21" s="138">
        <f>SUM(W22:W27)</f>
        <v>0</v>
      </c>
      <c r="X21" s="138">
        <f t="shared" si="13"/>
        <v>2469008</v>
      </c>
      <c r="Y21" s="138">
        <f>SUM(Y22:Y27)</f>
        <v>0</v>
      </c>
      <c r="Z21" s="138">
        <f t="shared" si="14"/>
        <v>2469008</v>
      </c>
      <c r="AA21" s="138">
        <f>SUM(AA22:AA27)</f>
        <v>0</v>
      </c>
      <c r="AB21" s="138">
        <f t="shared" si="15"/>
        <v>2469008</v>
      </c>
      <c r="AC21" s="138">
        <f>SUM(AC22:AC27)</f>
        <v>0</v>
      </c>
      <c r="AD21" s="138">
        <f t="shared" si="16"/>
        <v>2469008</v>
      </c>
      <c r="AE21" s="138">
        <f>SUM(AE22:AE27)</f>
        <v>0</v>
      </c>
      <c r="AF21" s="138">
        <f t="shared" si="17"/>
        <v>2469008</v>
      </c>
      <c r="AG21" s="138">
        <f>SUM(AG22:AG27)</f>
        <v>5200</v>
      </c>
      <c r="AH21" s="138">
        <f t="shared" si="18"/>
        <v>2474208</v>
      </c>
      <c r="AI21" s="138">
        <f>SUM(AI22:AI27)</f>
        <v>1101450</v>
      </c>
      <c r="AJ21" s="138">
        <f t="shared" si="19"/>
        <v>3575658</v>
      </c>
    </row>
    <row r="22" spans="1:36" s="27" customFormat="1" ht="24">
      <c r="A22" s="75"/>
      <c r="B22" s="58"/>
      <c r="C22" s="233" t="s">
        <v>437</v>
      </c>
      <c r="D22" s="137" t="s">
        <v>534</v>
      </c>
      <c r="E22" s="138">
        <v>164000</v>
      </c>
      <c r="F22" s="138"/>
      <c r="G22" s="138"/>
      <c r="H22" s="138">
        <f t="shared" si="4"/>
        <v>164000</v>
      </c>
      <c r="I22" s="138">
        <v>0</v>
      </c>
      <c r="J22" s="138">
        <f t="shared" si="5"/>
        <v>164000</v>
      </c>
      <c r="K22" s="138">
        <v>0</v>
      </c>
      <c r="L22" s="138">
        <f t="shared" si="7"/>
        <v>164000</v>
      </c>
      <c r="M22" s="138">
        <v>0</v>
      </c>
      <c r="N22" s="138">
        <f t="shared" si="8"/>
        <v>164000</v>
      </c>
      <c r="O22" s="138">
        <v>0</v>
      </c>
      <c r="P22" s="138">
        <f t="shared" si="9"/>
        <v>164000</v>
      </c>
      <c r="Q22" s="138">
        <v>0</v>
      </c>
      <c r="R22" s="138">
        <f t="shared" si="10"/>
        <v>164000</v>
      </c>
      <c r="S22" s="138">
        <v>0</v>
      </c>
      <c r="T22" s="138">
        <f t="shared" si="11"/>
        <v>164000</v>
      </c>
      <c r="U22" s="138">
        <v>0</v>
      </c>
      <c r="V22" s="138">
        <f t="shared" si="12"/>
        <v>164000</v>
      </c>
      <c r="W22" s="138">
        <v>0</v>
      </c>
      <c r="X22" s="138">
        <f t="shared" si="13"/>
        <v>164000</v>
      </c>
      <c r="Y22" s="138">
        <v>0</v>
      </c>
      <c r="Z22" s="138">
        <f t="shared" si="14"/>
        <v>164000</v>
      </c>
      <c r="AA22" s="138">
        <v>0</v>
      </c>
      <c r="AB22" s="138">
        <f t="shared" si="15"/>
        <v>164000</v>
      </c>
      <c r="AC22" s="138">
        <v>0</v>
      </c>
      <c r="AD22" s="138">
        <f t="shared" si="16"/>
        <v>164000</v>
      </c>
      <c r="AE22" s="138">
        <v>0</v>
      </c>
      <c r="AF22" s="138">
        <f t="shared" si="17"/>
        <v>164000</v>
      </c>
      <c r="AG22" s="138">
        <v>0</v>
      </c>
      <c r="AH22" s="138">
        <f t="shared" si="18"/>
        <v>164000</v>
      </c>
      <c r="AI22" s="138">
        <v>10000</v>
      </c>
      <c r="AJ22" s="138">
        <f t="shared" si="19"/>
        <v>174000</v>
      </c>
    </row>
    <row r="23" spans="1:36" s="27" customFormat="1" ht="72">
      <c r="A23" s="75"/>
      <c r="B23" s="58"/>
      <c r="C23" s="136" t="s">
        <v>438</v>
      </c>
      <c r="D23" s="137" t="s">
        <v>316</v>
      </c>
      <c r="E23" s="138">
        <f>181008+4000</f>
        <v>185008</v>
      </c>
      <c r="F23" s="138"/>
      <c r="G23" s="138"/>
      <c r="H23" s="138">
        <f t="shared" si="4"/>
        <v>185008</v>
      </c>
      <c r="I23" s="138">
        <v>0</v>
      </c>
      <c r="J23" s="138">
        <f t="shared" si="5"/>
        <v>185008</v>
      </c>
      <c r="K23" s="138">
        <v>0</v>
      </c>
      <c r="L23" s="138">
        <f t="shared" si="7"/>
        <v>185008</v>
      </c>
      <c r="M23" s="138">
        <v>-80000</v>
      </c>
      <c r="N23" s="138">
        <f t="shared" si="8"/>
        <v>105008</v>
      </c>
      <c r="O23" s="138">
        <v>0</v>
      </c>
      <c r="P23" s="138">
        <f t="shared" si="9"/>
        <v>105008</v>
      </c>
      <c r="Q23" s="138">
        <v>0</v>
      </c>
      <c r="R23" s="138">
        <f t="shared" si="10"/>
        <v>105008</v>
      </c>
      <c r="S23" s="138">
        <v>0</v>
      </c>
      <c r="T23" s="138">
        <f t="shared" si="11"/>
        <v>105008</v>
      </c>
      <c r="U23" s="138">
        <v>0</v>
      </c>
      <c r="V23" s="138">
        <f t="shared" si="12"/>
        <v>105008</v>
      </c>
      <c r="W23" s="138">
        <v>0</v>
      </c>
      <c r="X23" s="138">
        <f t="shared" si="13"/>
        <v>105008</v>
      </c>
      <c r="Y23" s="138">
        <v>0</v>
      </c>
      <c r="Z23" s="138">
        <f t="shared" si="14"/>
        <v>105008</v>
      </c>
      <c r="AA23" s="138">
        <v>0</v>
      </c>
      <c r="AB23" s="138">
        <f t="shared" si="15"/>
        <v>105008</v>
      </c>
      <c r="AC23" s="138">
        <v>0</v>
      </c>
      <c r="AD23" s="138">
        <f t="shared" si="16"/>
        <v>105008</v>
      </c>
      <c r="AE23" s="138">
        <v>0</v>
      </c>
      <c r="AF23" s="138">
        <f t="shared" si="17"/>
        <v>105008</v>
      </c>
      <c r="AG23" s="138">
        <v>0</v>
      </c>
      <c r="AH23" s="138">
        <f t="shared" si="18"/>
        <v>105008</v>
      </c>
      <c r="AI23" s="138">
        <v>0</v>
      </c>
      <c r="AJ23" s="138">
        <f t="shared" si="19"/>
        <v>105008</v>
      </c>
    </row>
    <row r="24" spans="1:36" s="27" customFormat="1" ht="33" customHeight="1">
      <c r="A24" s="75"/>
      <c r="B24" s="58"/>
      <c r="C24" s="136" t="s">
        <v>74</v>
      </c>
      <c r="D24" s="137" t="s">
        <v>76</v>
      </c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>
        <v>0</v>
      </c>
      <c r="S24" s="138">
        <f>1755000+255000+178500</f>
        <v>2188500</v>
      </c>
      <c r="T24" s="138">
        <f t="shared" si="11"/>
        <v>2188500</v>
      </c>
      <c r="U24" s="138"/>
      <c r="V24" s="138">
        <f t="shared" si="12"/>
        <v>2188500</v>
      </c>
      <c r="W24" s="138"/>
      <c r="X24" s="138">
        <f t="shared" si="13"/>
        <v>2188500</v>
      </c>
      <c r="Y24" s="138"/>
      <c r="Z24" s="138">
        <f t="shared" si="14"/>
        <v>2188500</v>
      </c>
      <c r="AA24" s="138"/>
      <c r="AB24" s="138">
        <f t="shared" si="15"/>
        <v>2188500</v>
      </c>
      <c r="AC24" s="138"/>
      <c r="AD24" s="138">
        <f t="shared" si="16"/>
        <v>2188500</v>
      </c>
      <c r="AE24" s="138">
        <v>0</v>
      </c>
      <c r="AF24" s="138">
        <f t="shared" si="17"/>
        <v>2188500</v>
      </c>
      <c r="AG24" s="138">
        <v>0</v>
      </c>
      <c r="AH24" s="138">
        <f t="shared" si="18"/>
        <v>2188500</v>
      </c>
      <c r="AI24" s="138">
        <v>1033000</v>
      </c>
      <c r="AJ24" s="138">
        <f t="shared" si="19"/>
        <v>3221500</v>
      </c>
    </row>
    <row r="25" spans="1:36" s="27" customFormat="1" ht="24">
      <c r="A25" s="75"/>
      <c r="B25" s="58"/>
      <c r="C25" s="136" t="s">
        <v>500</v>
      </c>
      <c r="D25" s="137" t="s">
        <v>472</v>
      </c>
      <c r="E25" s="138">
        <f>400000+80000+775000+76000</f>
        <v>1331000</v>
      </c>
      <c r="F25" s="138"/>
      <c r="G25" s="138"/>
      <c r="H25" s="138">
        <f t="shared" si="4"/>
        <v>1331000</v>
      </c>
      <c r="I25" s="138">
        <v>0</v>
      </c>
      <c r="J25" s="138">
        <f t="shared" si="5"/>
        <v>1331000</v>
      </c>
      <c r="K25" s="138">
        <v>0</v>
      </c>
      <c r="L25" s="138">
        <f t="shared" si="7"/>
        <v>1331000</v>
      </c>
      <c r="M25" s="138">
        <f>-76000</f>
        <v>-76000</v>
      </c>
      <c r="N25" s="138">
        <f t="shared" si="8"/>
        <v>1255000</v>
      </c>
      <c r="O25" s="138">
        <v>0</v>
      </c>
      <c r="P25" s="138">
        <f t="shared" si="9"/>
        <v>1255000</v>
      </c>
      <c r="Q25" s="138">
        <v>0</v>
      </c>
      <c r="R25" s="138">
        <f t="shared" si="10"/>
        <v>1255000</v>
      </c>
      <c r="S25" s="138">
        <v>-1255000</v>
      </c>
      <c r="T25" s="138">
        <f t="shared" si="11"/>
        <v>0</v>
      </c>
      <c r="U25" s="138"/>
      <c r="V25" s="138">
        <f t="shared" si="12"/>
        <v>0</v>
      </c>
      <c r="W25" s="138"/>
      <c r="X25" s="138">
        <f t="shared" si="13"/>
        <v>0</v>
      </c>
      <c r="Y25" s="138"/>
      <c r="Z25" s="138">
        <f t="shared" si="14"/>
        <v>0</v>
      </c>
      <c r="AA25" s="138"/>
      <c r="AB25" s="138">
        <f t="shared" si="15"/>
        <v>0</v>
      </c>
      <c r="AC25" s="138"/>
      <c r="AD25" s="138">
        <f t="shared" si="16"/>
        <v>0</v>
      </c>
      <c r="AE25" s="138">
        <v>0</v>
      </c>
      <c r="AF25" s="138">
        <f t="shared" si="17"/>
        <v>0</v>
      </c>
      <c r="AG25" s="138">
        <v>0</v>
      </c>
      <c r="AH25" s="138">
        <f t="shared" si="18"/>
        <v>0</v>
      </c>
      <c r="AI25" s="138">
        <v>0</v>
      </c>
      <c r="AJ25" s="138">
        <f t="shared" si="19"/>
        <v>0</v>
      </c>
    </row>
    <row r="26" spans="1:36" s="27" customFormat="1" ht="36">
      <c r="A26" s="75"/>
      <c r="B26" s="58"/>
      <c r="C26" s="136" t="s">
        <v>562</v>
      </c>
      <c r="D26" s="137" t="s">
        <v>567</v>
      </c>
      <c r="E26" s="138">
        <v>1500</v>
      </c>
      <c r="F26" s="138"/>
      <c r="G26" s="138"/>
      <c r="H26" s="138">
        <f t="shared" si="4"/>
        <v>1500</v>
      </c>
      <c r="I26" s="138">
        <v>0</v>
      </c>
      <c r="J26" s="138">
        <f t="shared" si="5"/>
        <v>1500</v>
      </c>
      <c r="K26" s="138">
        <v>0</v>
      </c>
      <c r="L26" s="138">
        <f t="shared" si="7"/>
        <v>1500</v>
      </c>
      <c r="M26" s="138">
        <v>0</v>
      </c>
      <c r="N26" s="138">
        <f t="shared" si="8"/>
        <v>1500</v>
      </c>
      <c r="O26" s="138">
        <v>0</v>
      </c>
      <c r="P26" s="138">
        <f t="shared" si="9"/>
        <v>1500</v>
      </c>
      <c r="Q26" s="138">
        <v>0</v>
      </c>
      <c r="R26" s="138">
        <f t="shared" si="10"/>
        <v>1500</v>
      </c>
      <c r="S26" s="138">
        <v>0</v>
      </c>
      <c r="T26" s="138">
        <f t="shared" si="11"/>
        <v>1500</v>
      </c>
      <c r="U26" s="138">
        <v>0</v>
      </c>
      <c r="V26" s="138">
        <f t="shared" si="12"/>
        <v>1500</v>
      </c>
      <c r="W26" s="138">
        <v>0</v>
      </c>
      <c r="X26" s="138">
        <f t="shared" si="13"/>
        <v>1500</v>
      </c>
      <c r="Y26" s="138">
        <v>0</v>
      </c>
      <c r="Z26" s="138">
        <f t="shared" si="14"/>
        <v>1500</v>
      </c>
      <c r="AA26" s="138">
        <v>0</v>
      </c>
      <c r="AB26" s="138">
        <f t="shared" si="15"/>
        <v>1500</v>
      </c>
      <c r="AC26" s="138">
        <v>0</v>
      </c>
      <c r="AD26" s="138">
        <f t="shared" si="16"/>
        <v>1500</v>
      </c>
      <c r="AE26" s="138">
        <v>0</v>
      </c>
      <c r="AF26" s="138">
        <f t="shared" si="17"/>
        <v>1500</v>
      </c>
      <c r="AG26" s="138">
        <v>5200</v>
      </c>
      <c r="AH26" s="138">
        <f t="shared" si="18"/>
        <v>6700</v>
      </c>
      <c r="AI26" s="138">
        <v>58450</v>
      </c>
      <c r="AJ26" s="138">
        <f t="shared" si="19"/>
        <v>65150</v>
      </c>
    </row>
    <row r="27" spans="1:36" s="27" customFormat="1" ht="21.75" customHeight="1">
      <c r="A27" s="75"/>
      <c r="B27" s="58"/>
      <c r="C27" s="136" t="s">
        <v>439</v>
      </c>
      <c r="D27" s="137" t="s">
        <v>264</v>
      </c>
      <c r="E27" s="138">
        <v>10000</v>
      </c>
      <c r="F27" s="138"/>
      <c r="G27" s="138"/>
      <c r="H27" s="138">
        <f t="shared" si="4"/>
        <v>10000</v>
      </c>
      <c r="I27" s="138">
        <v>0</v>
      </c>
      <c r="J27" s="138">
        <f t="shared" si="5"/>
        <v>10000</v>
      </c>
      <c r="K27" s="138">
        <v>0</v>
      </c>
      <c r="L27" s="138">
        <f t="shared" si="7"/>
        <v>10000</v>
      </c>
      <c r="M27" s="138">
        <v>0</v>
      </c>
      <c r="N27" s="138">
        <f t="shared" si="8"/>
        <v>10000</v>
      </c>
      <c r="O27" s="138">
        <v>0</v>
      </c>
      <c r="P27" s="138">
        <f t="shared" si="9"/>
        <v>10000</v>
      </c>
      <c r="Q27" s="138">
        <v>0</v>
      </c>
      <c r="R27" s="138">
        <f t="shared" si="10"/>
        <v>10000</v>
      </c>
      <c r="S27" s="138">
        <v>0</v>
      </c>
      <c r="T27" s="138">
        <f t="shared" si="11"/>
        <v>10000</v>
      </c>
      <c r="U27" s="138">
        <v>0</v>
      </c>
      <c r="V27" s="138">
        <f t="shared" si="12"/>
        <v>10000</v>
      </c>
      <c r="W27" s="138">
        <v>0</v>
      </c>
      <c r="X27" s="138">
        <f t="shared" si="13"/>
        <v>10000</v>
      </c>
      <c r="Y27" s="138">
        <v>0</v>
      </c>
      <c r="Z27" s="138">
        <f t="shared" si="14"/>
        <v>10000</v>
      </c>
      <c r="AA27" s="138">
        <v>0</v>
      </c>
      <c r="AB27" s="138">
        <f t="shared" si="15"/>
        <v>10000</v>
      </c>
      <c r="AC27" s="138">
        <v>0</v>
      </c>
      <c r="AD27" s="138">
        <f t="shared" si="16"/>
        <v>10000</v>
      </c>
      <c r="AE27" s="138">
        <v>0</v>
      </c>
      <c r="AF27" s="138">
        <f t="shared" si="17"/>
        <v>10000</v>
      </c>
      <c r="AG27" s="138">
        <v>0</v>
      </c>
      <c r="AH27" s="138">
        <f t="shared" si="18"/>
        <v>10000</v>
      </c>
      <c r="AI27" s="138">
        <v>0</v>
      </c>
      <c r="AJ27" s="138">
        <f t="shared" si="19"/>
        <v>10000</v>
      </c>
    </row>
    <row r="28" spans="1:36" s="27" customFormat="1" ht="21.75" customHeight="1">
      <c r="A28" s="75"/>
      <c r="B28" s="58">
        <v>70095</v>
      </c>
      <c r="C28" s="136"/>
      <c r="D28" s="137" t="s">
        <v>250</v>
      </c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>
        <f>SUM(AF29)</f>
        <v>0</v>
      </c>
      <c r="AG28" s="138">
        <f>SUM(AG29)</f>
        <v>860</v>
      </c>
      <c r="AH28" s="138">
        <f>SUM(AH29)</f>
        <v>860</v>
      </c>
      <c r="AI28" s="138">
        <f>SUM(AI29)</f>
        <v>0</v>
      </c>
      <c r="AJ28" s="138">
        <f>SUM(AJ29)</f>
        <v>860</v>
      </c>
    </row>
    <row r="29" spans="1:36" s="27" customFormat="1" ht="21.75" customHeight="1">
      <c r="A29" s="75"/>
      <c r="B29" s="58"/>
      <c r="C29" s="136" t="s">
        <v>440</v>
      </c>
      <c r="D29" s="137" t="s">
        <v>265</v>
      </c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>
        <v>0</v>
      </c>
      <c r="AG29" s="138">
        <v>860</v>
      </c>
      <c r="AH29" s="138">
        <f>SUM(AF29:AG29)</f>
        <v>860</v>
      </c>
      <c r="AI29" s="138">
        <v>0</v>
      </c>
      <c r="AJ29" s="138">
        <f aca="true" t="shared" si="21" ref="AJ29:AJ35">SUM(AH29:AI29)</f>
        <v>860</v>
      </c>
    </row>
    <row r="30" spans="1:36" s="7" customFormat="1" ht="24.75" customHeight="1">
      <c r="A30" s="33" t="s">
        <v>268</v>
      </c>
      <c r="B30" s="4"/>
      <c r="C30" s="238"/>
      <c r="D30" s="236" t="s">
        <v>270</v>
      </c>
      <c r="E30" s="237">
        <f>SUM(E31,E34)</f>
        <v>180050</v>
      </c>
      <c r="F30" s="237">
        <f>SUM(F31,F34)</f>
        <v>0</v>
      </c>
      <c r="G30" s="237">
        <f>SUM(G31,G34)</f>
        <v>0</v>
      </c>
      <c r="H30" s="237">
        <f t="shared" si="4"/>
        <v>180050</v>
      </c>
      <c r="I30" s="237">
        <f>SUM(I31,I34)</f>
        <v>0</v>
      </c>
      <c r="J30" s="237">
        <f t="shared" si="5"/>
        <v>180050</v>
      </c>
      <c r="K30" s="237">
        <f>SUM(K31,K34)</f>
        <v>0</v>
      </c>
      <c r="L30" s="237">
        <f t="shared" si="7"/>
        <v>180050</v>
      </c>
      <c r="M30" s="237">
        <f>SUM(M31,M34)</f>
        <v>0</v>
      </c>
      <c r="N30" s="237">
        <f t="shared" si="8"/>
        <v>180050</v>
      </c>
      <c r="O30" s="237">
        <f>SUM(O31,O34)</f>
        <v>0</v>
      </c>
      <c r="P30" s="237">
        <f t="shared" si="9"/>
        <v>180050</v>
      </c>
      <c r="Q30" s="237">
        <f>SUM(Q31,Q34)</f>
        <v>0</v>
      </c>
      <c r="R30" s="237">
        <f t="shared" si="10"/>
        <v>180050</v>
      </c>
      <c r="S30" s="237">
        <f>SUM(S31,S34)</f>
        <v>0</v>
      </c>
      <c r="T30" s="237">
        <f t="shared" si="11"/>
        <v>180050</v>
      </c>
      <c r="U30" s="237">
        <f>SUM(U31,U34)</f>
        <v>0</v>
      </c>
      <c r="V30" s="237">
        <f t="shared" si="12"/>
        <v>180050</v>
      </c>
      <c r="W30" s="237">
        <f>SUM(W31,W34)</f>
        <v>0</v>
      </c>
      <c r="X30" s="237">
        <f t="shared" si="13"/>
        <v>180050</v>
      </c>
      <c r="Y30" s="237">
        <f>SUM(Y31,Y34)</f>
        <v>0</v>
      </c>
      <c r="Z30" s="237">
        <f t="shared" si="14"/>
        <v>180050</v>
      </c>
      <c r="AA30" s="237">
        <f>SUM(AA31,AA34)</f>
        <v>7300</v>
      </c>
      <c r="AB30" s="237">
        <f t="shared" si="15"/>
        <v>187350</v>
      </c>
      <c r="AC30" s="237">
        <f>SUM(AC31,AC34)</f>
        <v>0</v>
      </c>
      <c r="AD30" s="237">
        <f t="shared" si="16"/>
        <v>187350</v>
      </c>
      <c r="AE30" s="237">
        <f>SUM(AE31,AE34)</f>
        <v>0</v>
      </c>
      <c r="AF30" s="237">
        <f t="shared" si="17"/>
        <v>187350</v>
      </c>
      <c r="AG30" s="237">
        <f>SUM(AG31,AG34)</f>
        <v>0</v>
      </c>
      <c r="AH30" s="237">
        <f t="shared" si="18"/>
        <v>187350</v>
      </c>
      <c r="AI30" s="237">
        <f>SUM(AI31,AI34)</f>
        <v>0</v>
      </c>
      <c r="AJ30" s="237">
        <f t="shared" si="21"/>
        <v>187350</v>
      </c>
    </row>
    <row r="31" spans="1:36" s="27" customFormat="1" ht="21" customHeight="1">
      <c r="A31" s="75"/>
      <c r="B31" s="76">
        <v>75011</v>
      </c>
      <c r="C31" s="228"/>
      <c r="D31" s="137" t="s">
        <v>271</v>
      </c>
      <c r="E31" s="138">
        <f>SUM(E32:E33)</f>
        <v>150050</v>
      </c>
      <c r="F31" s="138">
        <f>SUM(F32:F33)</f>
        <v>0</v>
      </c>
      <c r="G31" s="138">
        <f>SUM(G32:G33)</f>
        <v>0</v>
      </c>
      <c r="H31" s="138">
        <f t="shared" si="4"/>
        <v>150050</v>
      </c>
      <c r="I31" s="138">
        <f>SUM(I32:I33)</f>
        <v>0</v>
      </c>
      <c r="J31" s="138">
        <f t="shared" si="5"/>
        <v>150050</v>
      </c>
      <c r="K31" s="138">
        <f>SUM(K32:K33)</f>
        <v>0</v>
      </c>
      <c r="L31" s="138">
        <f t="shared" si="7"/>
        <v>150050</v>
      </c>
      <c r="M31" s="138">
        <f>SUM(M32:M33)</f>
        <v>0</v>
      </c>
      <c r="N31" s="138">
        <f t="shared" si="8"/>
        <v>150050</v>
      </c>
      <c r="O31" s="138">
        <f>SUM(O32:O33)</f>
        <v>0</v>
      </c>
      <c r="P31" s="138">
        <f t="shared" si="9"/>
        <v>150050</v>
      </c>
      <c r="Q31" s="138">
        <f>SUM(Q32:Q33)</f>
        <v>0</v>
      </c>
      <c r="R31" s="138">
        <f t="shared" si="10"/>
        <v>150050</v>
      </c>
      <c r="S31" s="138">
        <f>SUM(S32:S33)</f>
        <v>0</v>
      </c>
      <c r="T31" s="138">
        <f t="shared" si="11"/>
        <v>150050</v>
      </c>
      <c r="U31" s="138">
        <f>SUM(U32:U33)</f>
        <v>0</v>
      </c>
      <c r="V31" s="138">
        <f t="shared" si="12"/>
        <v>150050</v>
      </c>
      <c r="W31" s="138">
        <f>SUM(W32:W33)</f>
        <v>0</v>
      </c>
      <c r="X31" s="138">
        <f t="shared" si="13"/>
        <v>150050</v>
      </c>
      <c r="Y31" s="138">
        <f>SUM(Y32:Y33)</f>
        <v>0</v>
      </c>
      <c r="Z31" s="138">
        <f t="shared" si="14"/>
        <v>150050</v>
      </c>
      <c r="AA31" s="138">
        <f>SUM(AA32:AA33)</f>
        <v>7300</v>
      </c>
      <c r="AB31" s="138">
        <f t="shared" si="15"/>
        <v>157350</v>
      </c>
      <c r="AC31" s="138">
        <f>SUM(AC32:AC33)</f>
        <v>0</v>
      </c>
      <c r="AD31" s="138">
        <f t="shared" si="16"/>
        <v>157350</v>
      </c>
      <c r="AE31" s="138">
        <f>SUM(AE32:AE33)</f>
        <v>0</v>
      </c>
      <c r="AF31" s="138">
        <f t="shared" si="17"/>
        <v>157350</v>
      </c>
      <c r="AG31" s="138">
        <f>SUM(AG32:AG33)</f>
        <v>0</v>
      </c>
      <c r="AH31" s="138">
        <f t="shared" si="18"/>
        <v>157350</v>
      </c>
      <c r="AI31" s="138">
        <f>SUM(AI32:AI33)</f>
        <v>0</v>
      </c>
      <c r="AJ31" s="138">
        <f t="shared" si="21"/>
        <v>157350</v>
      </c>
    </row>
    <row r="32" spans="1:36" s="27" customFormat="1" ht="60">
      <c r="A32" s="75"/>
      <c r="B32" s="58"/>
      <c r="C32" s="136">
        <v>2010</v>
      </c>
      <c r="D32" s="137" t="s">
        <v>105</v>
      </c>
      <c r="E32" s="234">
        <v>144800</v>
      </c>
      <c r="F32" s="234"/>
      <c r="G32" s="234"/>
      <c r="H32" s="138">
        <f t="shared" si="4"/>
        <v>144800</v>
      </c>
      <c r="I32" s="234">
        <v>0</v>
      </c>
      <c r="J32" s="138">
        <f t="shared" si="5"/>
        <v>144800</v>
      </c>
      <c r="K32" s="234">
        <v>0</v>
      </c>
      <c r="L32" s="138">
        <f t="shared" si="7"/>
        <v>144800</v>
      </c>
      <c r="M32" s="234">
        <v>0</v>
      </c>
      <c r="N32" s="138">
        <f t="shared" si="8"/>
        <v>144800</v>
      </c>
      <c r="O32" s="234">
        <v>0</v>
      </c>
      <c r="P32" s="138">
        <f t="shared" si="9"/>
        <v>144800</v>
      </c>
      <c r="Q32" s="234">
        <v>0</v>
      </c>
      <c r="R32" s="138">
        <f t="shared" si="10"/>
        <v>144800</v>
      </c>
      <c r="S32" s="234">
        <v>0</v>
      </c>
      <c r="T32" s="138">
        <f t="shared" si="11"/>
        <v>144800</v>
      </c>
      <c r="U32" s="234">
        <v>0</v>
      </c>
      <c r="V32" s="138">
        <f t="shared" si="12"/>
        <v>144800</v>
      </c>
      <c r="W32" s="234">
        <v>0</v>
      </c>
      <c r="X32" s="138">
        <f t="shared" si="13"/>
        <v>144800</v>
      </c>
      <c r="Y32" s="234">
        <v>0</v>
      </c>
      <c r="Z32" s="138">
        <f t="shared" si="14"/>
        <v>144800</v>
      </c>
      <c r="AA32" s="234">
        <v>7300</v>
      </c>
      <c r="AB32" s="138">
        <f t="shared" si="15"/>
        <v>152100</v>
      </c>
      <c r="AC32" s="234">
        <v>0</v>
      </c>
      <c r="AD32" s="138">
        <f t="shared" si="16"/>
        <v>152100</v>
      </c>
      <c r="AE32" s="234">
        <v>0</v>
      </c>
      <c r="AF32" s="138">
        <f t="shared" si="17"/>
        <v>152100</v>
      </c>
      <c r="AG32" s="234">
        <v>0</v>
      </c>
      <c r="AH32" s="138">
        <f t="shared" si="18"/>
        <v>152100</v>
      </c>
      <c r="AI32" s="234">
        <v>0</v>
      </c>
      <c r="AJ32" s="138">
        <f t="shared" si="21"/>
        <v>152100</v>
      </c>
    </row>
    <row r="33" spans="1:36" s="27" customFormat="1" ht="48">
      <c r="A33" s="75"/>
      <c r="B33" s="58"/>
      <c r="C33" s="136">
        <v>2360</v>
      </c>
      <c r="D33" s="137" t="s">
        <v>466</v>
      </c>
      <c r="E33" s="138">
        <v>5250</v>
      </c>
      <c r="F33" s="138"/>
      <c r="G33" s="138"/>
      <c r="H33" s="138">
        <f t="shared" si="4"/>
        <v>5250</v>
      </c>
      <c r="I33" s="138">
        <v>0</v>
      </c>
      <c r="J33" s="138">
        <f t="shared" si="5"/>
        <v>5250</v>
      </c>
      <c r="K33" s="138">
        <v>0</v>
      </c>
      <c r="L33" s="138">
        <f t="shared" si="7"/>
        <v>5250</v>
      </c>
      <c r="M33" s="138">
        <v>0</v>
      </c>
      <c r="N33" s="138">
        <f t="shared" si="8"/>
        <v>5250</v>
      </c>
      <c r="O33" s="138">
        <v>0</v>
      </c>
      <c r="P33" s="138">
        <f t="shared" si="9"/>
        <v>5250</v>
      </c>
      <c r="Q33" s="138">
        <v>0</v>
      </c>
      <c r="R33" s="138">
        <f t="shared" si="10"/>
        <v>5250</v>
      </c>
      <c r="S33" s="138">
        <v>0</v>
      </c>
      <c r="T33" s="138">
        <f t="shared" si="11"/>
        <v>5250</v>
      </c>
      <c r="U33" s="138">
        <v>0</v>
      </c>
      <c r="V33" s="138">
        <f t="shared" si="12"/>
        <v>5250</v>
      </c>
      <c r="W33" s="138">
        <v>0</v>
      </c>
      <c r="X33" s="138">
        <f t="shared" si="13"/>
        <v>5250</v>
      </c>
      <c r="Y33" s="138">
        <v>0</v>
      </c>
      <c r="Z33" s="138">
        <f t="shared" si="14"/>
        <v>5250</v>
      </c>
      <c r="AA33" s="138">
        <v>0</v>
      </c>
      <c r="AB33" s="138">
        <f t="shared" si="15"/>
        <v>5250</v>
      </c>
      <c r="AC33" s="138">
        <v>0</v>
      </c>
      <c r="AD33" s="138">
        <f t="shared" si="16"/>
        <v>5250</v>
      </c>
      <c r="AE33" s="138">
        <v>0</v>
      </c>
      <c r="AF33" s="138">
        <f t="shared" si="17"/>
        <v>5250</v>
      </c>
      <c r="AG33" s="138">
        <v>0</v>
      </c>
      <c r="AH33" s="138">
        <f t="shared" si="18"/>
        <v>5250</v>
      </c>
      <c r="AI33" s="138">
        <v>0</v>
      </c>
      <c r="AJ33" s="138">
        <f t="shared" si="21"/>
        <v>5250</v>
      </c>
    </row>
    <row r="34" spans="1:36" s="27" customFormat="1" ht="23.25" customHeight="1">
      <c r="A34" s="82"/>
      <c r="B34" s="76" t="s">
        <v>272</v>
      </c>
      <c r="C34" s="228"/>
      <c r="D34" s="137" t="s">
        <v>273</v>
      </c>
      <c r="E34" s="138">
        <f>SUM(E35)</f>
        <v>30000</v>
      </c>
      <c r="F34" s="138">
        <f>SUM(F35)</f>
        <v>0</v>
      </c>
      <c r="G34" s="138">
        <f>SUM(G35)</f>
        <v>0</v>
      </c>
      <c r="H34" s="138">
        <f t="shared" si="4"/>
        <v>30000</v>
      </c>
      <c r="I34" s="138">
        <f>SUM(I35)</f>
        <v>0</v>
      </c>
      <c r="J34" s="138">
        <f t="shared" si="5"/>
        <v>30000</v>
      </c>
      <c r="K34" s="138">
        <f>SUM(K35)</f>
        <v>0</v>
      </c>
      <c r="L34" s="138">
        <f t="shared" si="7"/>
        <v>30000</v>
      </c>
      <c r="M34" s="138">
        <f>SUM(M35)</f>
        <v>0</v>
      </c>
      <c r="N34" s="138">
        <f t="shared" si="8"/>
        <v>30000</v>
      </c>
      <c r="O34" s="138">
        <f>SUM(O35)</f>
        <v>0</v>
      </c>
      <c r="P34" s="138">
        <f t="shared" si="9"/>
        <v>30000</v>
      </c>
      <c r="Q34" s="138">
        <f>SUM(Q35)</f>
        <v>0</v>
      </c>
      <c r="R34" s="138">
        <f t="shared" si="10"/>
        <v>30000</v>
      </c>
      <c r="S34" s="138">
        <f>SUM(S35)</f>
        <v>0</v>
      </c>
      <c r="T34" s="138">
        <f t="shared" si="11"/>
        <v>30000</v>
      </c>
      <c r="U34" s="138">
        <f>SUM(U35)</f>
        <v>0</v>
      </c>
      <c r="V34" s="138">
        <f t="shared" si="12"/>
        <v>30000</v>
      </c>
      <c r="W34" s="138">
        <f>SUM(W35)</f>
        <v>0</v>
      </c>
      <c r="X34" s="138">
        <f t="shared" si="13"/>
        <v>30000</v>
      </c>
      <c r="Y34" s="138">
        <f>SUM(Y35)</f>
        <v>0</v>
      </c>
      <c r="Z34" s="138">
        <f t="shared" si="14"/>
        <v>30000</v>
      </c>
      <c r="AA34" s="138">
        <f>SUM(AA35)</f>
        <v>0</v>
      </c>
      <c r="AB34" s="138">
        <f t="shared" si="15"/>
        <v>30000</v>
      </c>
      <c r="AC34" s="138">
        <f>SUM(AC35)</f>
        <v>0</v>
      </c>
      <c r="AD34" s="138">
        <f t="shared" si="16"/>
        <v>30000</v>
      </c>
      <c r="AE34" s="138">
        <f>SUM(AE35)</f>
        <v>0</v>
      </c>
      <c r="AF34" s="138">
        <f t="shared" si="17"/>
        <v>30000</v>
      </c>
      <c r="AG34" s="138">
        <f>SUM(AG35)</f>
        <v>0</v>
      </c>
      <c r="AH34" s="138">
        <f t="shared" si="18"/>
        <v>30000</v>
      </c>
      <c r="AI34" s="138">
        <f>SUM(AI35)</f>
        <v>0</v>
      </c>
      <c r="AJ34" s="138">
        <f t="shared" si="21"/>
        <v>30000</v>
      </c>
    </row>
    <row r="35" spans="1:36" s="27" customFormat="1" ht="21.75" customHeight="1">
      <c r="A35" s="82"/>
      <c r="B35" s="76"/>
      <c r="C35" s="233" t="s">
        <v>440</v>
      </c>
      <c r="D35" s="137" t="s">
        <v>265</v>
      </c>
      <c r="E35" s="138">
        <v>30000</v>
      </c>
      <c r="F35" s="138"/>
      <c r="G35" s="138"/>
      <c r="H35" s="138">
        <f t="shared" si="4"/>
        <v>30000</v>
      </c>
      <c r="I35" s="138">
        <v>0</v>
      </c>
      <c r="J35" s="138">
        <f t="shared" si="5"/>
        <v>30000</v>
      </c>
      <c r="K35" s="138">
        <v>0</v>
      </c>
      <c r="L35" s="138">
        <f t="shared" si="7"/>
        <v>30000</v>
      </c>
      <c r="M35" s="138">
        <v>0</v>
      </c>
      <c r="N35" s="138">
        <f t="shared" si="8"/>
        <v>30000</v>
      </c>
      <c r="O35" s="138">
        <v>0</v>
      </c>
      <c r="P35" s="138">
        <f t="shared" si="9"/>
        <v>30000</v>
      </c>
      <c r="Q35" s="138">
        <v>0</v>
      </c>
      <c r="R35" s="138">
        <f t="shared" si="10"/>
        <v>30000</v>
      </c>
      <c r="S35" s="138">
        <v>0</v>
      </c>
      <c r="T35" s="138">
        <f t="shared" si="11"/>
        <v>30000</v>
      </c>
      <c r="U35" s="138">
        <v>0</v>
      </c>
      <c r="V35" s="138">
        <f t="shared" si="12"/>
        <v>30000</v>
      </c>
      <c r="W35" s="138">
        <v>0</v>
      </c>
      <c r="X35" s="138">
        <f t="shared" si="13"/>
        <v>30000</v>
      </c>
      <c r="Y35" s="138">
        <v>0</v>
      </c>
      <c r="Z35" s="138">
        <f t="shared" si="14"/>
        <v>30000</v>
      </c>
      <c r="AA35" s="138">
        <v>0</v>
      </c>
      <c r="AB35" s="138">
        <f t="shared" si="15"/>
        <v>30000</v>
      </c>
      <c r="AC35" s="138">
        <v>0</v>
      </c>
      <c r="AD35" s="138">
        <f t="shared" si="16"/>
        <v>30000</v>
      </c>
      <c r="AE35" s="138">
        <v>0</v>
      </c>
      <c r="AF35" s="138">
        <f t="shared" si="17"/>
        <v>30000</v>
      </c>
      <c r="AG35" s="138">
        <v>0</v>
      </c>
      <c r="AH35" s="138">
        <f t="shared" si="18"/>
        <v>30000</v>
      </c>
      <c r="AI35" s="138">
        <v>0</v>
      </c>
      <c r="AJ35" s="138">
        <f t="shared" si="21"/>
        <v>30000</v>
      </c>
    </row>
    <row r="36" spans="1:36" s="7" customFormat="1" ht="36">
      <c r="A36" s="33">
        <v>751</v>
      </c>
      <c r="B36" s="5"/>
      <c r="C36" s="222"/>
      <c r="D36" s="236" t="s">
        <v>274</v>
      </c>
      <c r="E36" s="237">
        <f aca="true" t="shared" si="22" ref="E36:G37">SUM(E37)</f>
        <v>3809</v>
      </c>
      <c r="F36" s="237">
        <f t="shared" si="22"/>
        <v>0</v>
      </c>
      <c r="G36" s="237">
        <f t="shared" si="22"/>
        <v>0</v>
      </c>
      <c r="H36" s="237">
        <f t="shared" si="4"/>
        <v>3809</v>
      </c>
      <c r="I36" s="237">
        <f>SUM(I37)</f>
        <v>0</v>
      </c>
      <c r="J36" s="237">
        <f t="shared" si="5"/>
        <v>3809</v>
      </c>
      <c r="K36" s="237">
        <f>SUM(K37)</f>
        <v>0</v>
      </c>
      <c r="L36" s="237">
        <f t="shared" si="7"/>
        <v>3809</v>
      </c>
      <c r="M36" s="237">
        <f>SUM(M37)</f>
        <v>0</v>
      </c>
      <c r="N36" s="237">
        <f t="shared" si="8"/>
        <v>3809</v>
      </c>
      <c r="O36" s="237">
        <f>SUM(O37)</f>
        <v>0</v>
      </c>
      <c r="P36" s="237">
        <f t="shared" si="9"/>
        <v>3809</v>
      </c>
      <c r="Q36" s="237">
        <f>SUM(Q37)</f>
        <v>0</v>
      </c>
      <c r="R36" s="237">
        <f t="shared" si="10"/>
        <v>3809</v>
      </c>
      <c r="S36" s="237">
        <f>SUM(S37)</f>
        <v>0</v>
      </c>
      <c r="T36" s="237">
        <f t="shared" si="11"/>
        <v>3809</v>
      </c>
      <c r="U36" s="237">
        <f>SUM(U37)</f>
        <v>0</v>
      </c>
      <c r="V36" s="237">
        <f t="shared" si="12"/>
        <v>3809</v>
      </c>
      <c r="W36" s="237">
        <f>SUM(W37)</f>
        <v>0</v>
      </c>
      <c r="X36" s="237">
        <f aca="true" t="shared" si="23" ref="X36:AD36">SUM(X37,X39,)</f>
        <v>3809</v>
      </c>
      <c r="Y36" s="237">
        <f t="shared" si="23"/>
        <v>6644</v>
      </c>
      <c r="Z36" s="237">
        <f t="shared" si="23"/>
        <v>10453</v>
      </c>
      <c r="AA36" s="237">
        <f t="shared" si="23"/>
        <v>31767</v>
      </c>
      <c r="AB36" s="237">
        <f t="shared" si="23"/>
        <v>42220</v>
      </c>
      <c r="AC36" s="237">
        <f t="shared" si="23"/>
        <v>0</v>
      </c>
      <c r="AD36" s="237">
        <f t="shared" si="23"/>
        <v>42220</v>
      </c>
      <c r="AE36" s="237">
        <f aca="true" t="shared" si="24" ref="AE36:AJ36">SUM(AE37,AE39,)</f>
        <v>0</v>
      </c>
      <c r="AF36" s="237">
        <f t="shared" si="24"/>
        <v>42220</v>
      </c>
      <c r="AG36" s="237">
        <f t="shared" si="24"/>
        <v>0</v>
      </c>
      <c r="AH36" s="237">
        <f t="shared" si="24"/>
        <v>42220</v>
      </c>
      <c r="AI36" s="237">
        <f t="shared" si="24"/>
        <v>0</v>
      </c>
      <c r="AJ36" s="237">
        <f t="shared" si="24"/>
        <v>42220</v>
      </c>
    </row>
    <row r="37" spans="1:36" s="27" customFormat="1" ht="27.75" customHeight="1">
      <c r="A37" s="82"/>
      <c r="B37" s="76">
        <v>75101</v>
      </c>
      <c r="C37" s="228"/>
      <c r="D37" s="137" t="s">
        <v>275</v>
      </c>
      <c r="E37" s="138">
        <f t="shared" si="22"/>
        <v>3809</v>
      </c>
      <c r="F37" s="138">
        <f t="shared" si="22"/>
        <v>0</v>
      </c>
      <c r="G37" s="138">
        <f t="shared" si="22"/>
        <v>0</v>
      </c>
      <c r="H37" s="138">
        <f t="shared" si="4"/>
        <v>3809</v>
      </c>
      <c r="I37" s="138">
        <f>SUM(I38)</f>
        <v>0</v>
      </c>
      <c r="J37" s="138">
        <f t="shared" si="5"/>
        <v>3809</v>
      </c>
      <c r="K37" s="138">
        <f>SUM(K38)</f>
        <v>0</v>
      </c>
      <c r="L37" s="138">
        <f t="shared" si="7"/>
        <v>3809</v>
      </c>
      <c r="M37" s="138">
        <f>SUM(M38)</f>
        <v>0</v>
      </c>
      <c r="N37" s="138">
        <f t="shared" si="8"/>
        <v>3809</v>
      </c>
      <c r="O37" s="138">
        <f>SUM(O38)</f>
        <v>0</v>
      </c>
      <c r="P37" s="138">
        <f t="shared" si="9"/>
        <v>3809</v>
      </c>
      <c r="Q37" s="138">
        <f>SUM(Q38)</f>
        <v>0</v>
      </c>
      <c r="R37" s="138">
        <f t="shared" si="10"/>
        <v>3809</v>
      </c>
      <c r="S37" s="138">
        <f>SUM(S38)</f>
        <v>0</v>
      </c>
      <c r="T37" s="138">
        <f t="shared" si="11"/>
        <v>3809</v>
      </c>
      <c r="U37" s="138">
        <f>SUM(U38)</f>
        <v>0</v>
      </c>
      <c r="V37" s="138">
        <f t="shared" si="12"/>
        <v>3809</v>
      </c>
      <c r="W37" s="138">
        <f>SUM(W38)</f>
        <v>0</v>
      </c>
      <c r="X37" s="138">
        <f t="shared" si="13"/>
        <v>3809</v>
      </c>
      <c r="Y37" s="138">
        <f>SUM(Y38)</f>
        <v>0</v>
      </c>
      <c r="Z37" s="138">
        <f t="shared" si="14"/>
        <v>3809</v>
      </c>
      <c r="AA37" s="138">
        <f>SUM(AA38)</f>
        <v>0</v>
      </c>
      <c r="AB37" s="138">
        <f>SUM(Z37:AA37)</f>
        <v>3809</v>
      </c>
      <c r="AC37" s="138">
        <f>SUM(AC38)</f>
        <v>0</v>
      </c>
      <c r="AD37" s="138">
        <f>SUM(AB37:AC37)</f>
        <v>3809</v>
      </c>
      <c r="AE37" s="138">
        <f>SUM(AE38)</f>
        <v>0</v>
      </c>
      <c r="AF37" s="138">
        <f>SUM(AD37:AE37)</f>
        <v>3809</v>
      </c>
      <c r="AG37" s="138">
        <f>SUM(AG38)</f>
        <v>0</v>
      </c>
      <c r="AH37" s="138">
        <f>SUM(AF37:AG37)</f>
        <v>3809</v>
      </c>
      <c r="AI37" s="138">
        <f>SUM(AI38)</f>
        <v>0</v>
      </c>
      <c r="AJ37" s="138">
        <f>SUM(AH37:AI37)</f>
        <v>3809</v>
      </c>
    </row>
    <row r="38" spans="1:36" s="27" customFormat="1" ht="60">
      <c r="A38" s="82"/>
      <c r="B38" s="76"/>
      <c r="C38" s="228">
        <v>2010</v>
      </c>
      <c r="D38" s="137" t="s">
        <v>253</v>
      </c>
      <c r="E38" s="138">
        <v>3809</v>
      </c>
      <c r="F38" s="138"/>
      <c r="G38" s="138"/>
      <c r="H38" s="138">
        <f t="shared" si="4"/>
        <v>3809</v>
      </c>
      <c r="I38" s="138">
        <v>0</v>
      </c>
      <c r="J38" s="138">
        <f t="shared" si="5"/>
        <v>3809</v>
      </c>
      <c r="K38" s="138">
        <v>0</v>
      </c>
      <c r="L38" s="138">
        <f t="shared" si="7"/>
        <v>3809</v>
      </c>
      <c r="M38" s="138">
        <v>0</v>
      </c>
      <c r="N38" s="138">
        <f t="shared" si="8"/>
        <v>3809</v>
      </c>
      <c r="O38" s="138">
        <v>0</v>
      </c>
      <c r="P38" s="138">
        <f t="shared" si="9"/>
        <v>3809</v>
      </c>
      <c r="Q38" s="138">
        <v>0</v>
      </c>
      <c r="R38" s="138">
        <f t="shared" si="10"/>
        <v>3809</v>
      </c>
      <c r="S38" s="138">
        <v>0</v>
      </c>
      <c r="T38" s="138">
        <f t="shared" si="11"/>
        <v>3809</v>
      </c>
      <c r="U38" s="138">
        <v>0</v>
      </c>
      <c r="V38" s="138">
        <f t="shared" si="12"/>
        <v>3809</v>
      </c>
      <c r="W38" s="138">
        <v>0</v>
      </c>
      <c r="X38" s="138">
        <f t="shared" si="13"/>
        <v>3809</v>
      </c>
      <c r="Y38" s="138">
        <v>0</v>
      </c>
      <c r="Z38" s="138">
        <f t="shared" si="14"/>
        <v>3809</v>
      </c>
      <c r="AA38" s="138">
        <v>0</v>
      </c>
      <c r="AB38" s="138">
        <f>SUM(Z38:AA38)</f>
        <v>3809</v>
      </c>
      <c r="AC38" s="138">
        <v>0</v>
      </c>
      <c r="AD38" s="138">
        <f>SUM(AB38:AC38)</f>
        <v>3809</v>
      </c>
      <c r="AE38" s="138">
        <v>0</v>
      </c>
      <c r="AF38" s="138">
        <f>SUM(AD38:AE38)</f>
        <v>3809</v>
      </c>
      <c r="AG38" s="138">
        <v>0</v>
      </c>
      <c r="AH38" s="138">
        <f>SUM(AF38:AG38)</f>
        <v>3809</v>
      </c>
      <c r="AI38" s="138">
        <v>0</v>
      </c>
      <c r="AJ38" s="138">
        <f>SUM(AH38:AI38)</f>
        <v>3809</v>
      </c>
    </row>
    <row r="39" spans="1:36" s="27" customFormat="1" ht="24" customHeight="1">
      <c r="A39" s="82"/>
      <c r="B39" s="76">
        <v>75108</v>
      </c>
      <c r="C39" s="228"/>
      <c r="D39" s="137" t="s">
        <v>598</v>
      </c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>
        <f aca="true" t="shared" si="25" ref="X39:AJ39">SUM(X40)</f>
        <v>0</v>
      </c>
      <c r="Y39" s="138">
        <f t="shared" si="25"/>
        <v>6644</v>
      </c>
      <c r="Z39" s="138">
        <f t="shared" si="25"/>
        <v>6644</v>
      </c>
      <c r="AA39" s="138">
        <f t="shared" si="25"/>
        <v>31767</v>
      </c>
      <c r="AB39" s="138">
        <f t="shared" si="25"/>
        <v>38411</v>
      </c>
      <c r="AC39" s="138">
        <f t="shared" si="25"/>
        <v>0</v>
      </c>
      <c r="AD39" s="138">
        <f t="shared" si="25"/>
        <v>38411</v>
      </c>
      <c r="AE39" s="138">
        <f t="shared" si="25"/>
        <v>0</v>
      </c>
      <c r="AF39" s="138">
        <f t="shared" si="25"/>
        <v>38411</v>
      </c>
      <c r="AG39" s="138">
        <f t="shared" si="25"/>
        <v>0</v>
      </c>
      <c r="AH39" s="138">
        <f t="shared" si="25"/>
        <v>38411</v>
      </c>
      <c r="AI39" s="138">
        <f t="shared" si="25"/>
        <v>0</v>
      </c>
      <c r="AJ39" s="138">
        <f t="shared" si="25"/>
        <v>38411</v>
      </c>
    </row>
    <row r="40" spans="1:36" s="27" customFormat="1" ht="60">
      <c r="A40" s="82"/>
      <c r="B40" s="76"/>
      <c r="C40" s="228">
        <v>2010</v>
      </c>
      <c r="D40" s="137" t="s">
        <v>253</v>
      </c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>
        <v>0</v>
      </c>
      <c r="Y40" s="138">
        <v>6644</v>
      </c>
      <c r="Z40" s="138">
        <f>SUM(X40:Y40)</f>
        <v>6644</v>
      </c>
      <c r="AA40" s="138">
        <f>12642+19125</f>
        <v>31767</v>
      </c>
      <c r="AB40" s="138">
        <f>SUM(Z40:AA40)</f>
        <v>38411</v>
      </c>
      <c r="AC40" s="138">
        <v>0</v>
      </c>
      <c r="AD40" s="138">
        <f>SUM(AB40:AC40)</f>
        <v>38411</v>
      </c>
      <c r="AE40" s="138">
        <v>0</v>
      </c>
      <c r="AF40" s="138">
        <f>SUM(AD40:AE40)</f>
        <v>38411</v>
      </c>
      <c r="AG40" s="138">
        <v>0</v>
      </c>
      <c r="AH40" s="138">
        <f>SUM(AF40:AG40)</f>
        <v>38411</v>
      </c>
      <c r="AI40" s="138">
        <v>0</v>
      </c>
      <c r="AJ40" s="138">
        <f>SUM(AH40:AI40)</f>
        <v>38411</v>
      </c>
    </row>
    <row r="41" spans="1:36" s="7" customFormat="1" ht="24.75" customHeight="1">
      <c r="A41" s="33" t="s">
        <v>276</v>
      </c>
      <c r="B41" s="4"/>
      <c r="C41" s="238"/>
      <c r="D41" s="236" t="s">
        <v>277</v>
      </c>
      <c r="E41" s="237">
        <f>SUM(E44)</f>
        <v>3700</v>
      </c>
      <c r="F41" s="237">
        <f>SUM(F44)</f>
        <v>0</v>
      </c>
      <c r="G41" s="237">
        <f>SUM(G44)</f>
        <v>0</v>
      </c>
      <c r="H41" s="239">
        <f t="shared" si="4"/>
        <v>3700</v>
      </c>
      <c r="I41" s="237">
        <f>SUM(I44)</f>
        <v>0</v>
      </c>
      <c r="J41" s="237">
        <f t="shared" si="5"/>
        <v>3700</v>
      </c>
      <c r="K41" s="237">
        <f>SUM(K44)</f>
        <v>0</v>
      </c>
      <c r="L41" s="237">
        <f t="shared" si="7"/>
        <v>3700</v>
      </c>
      <c r="M41" s="237">
        <f>SUM(M44)</f>
        <v>0</v>
      </c>
      <c r="N41" s="237">
        <f t="shared" si="8"/>
        <v>3700</v>
      </c>
      <c r="O41" s="237">
        <f>SUM(O44)</f>
        <v>0</v>
      </c>
      <c r="P41" s="237">
        <f t="shared" si="9"/>
        <v>3700</v>
      </c>
      <c r="Q41" s="237">
        <f>SUM(Q44)</f>
        <v>0</v>
      </c>
      <c r="R41" s="237">
        <f t="shared" si="10"/>
        <v>3700</v>
      </c>
      <c r="S41" s="237">
        <f>SUM(S44)</f>
        <v>0</v>
      </c>
      <c r="T41" s="237">
        <f t="shared" si="11"/>
        <v>3700</v>
      </c>
      <c r="U41" s="237">
        <f>SUM(U44)</f>
        <v>0</v>
      </c>
      <c r="V41" s="237">
        <f t="shared" si="12"/>
        <v>3700</v>
      </c>
      <c r="W41" s="237">
        <f>SUM(W44)</f>
        <v>0</v>
      </c>
      <c r="X41" s="237">
        <f t="shared" si="13"/>
        <v>3700</v>
      </c>
      <c r="Y41" s="237">
        <f>SUM(Y44)</f>
        <v>0</v>
      </c>
      <c r="Z41" s="237">
        <f t="shared" si="14"/>
        <v>3700</v>
      </c>
      <c r="AA41" s="237">
        <f>SUM(AA44)</f>
        <v>0</v>
      </c>
      <c r="AB41" s="237">
        <f aca="true" t="shared" si="26" ref="AB41:AH41">SUM(AB42,AB44)</f>
        <v>3700</v>
      </c>
      <c r="AC41" s="237">
        <f t="shared" si="26"/>
        <v>1000</v>
      </c>
      <c r="AD41" s="237">
        <f t="shared" si="26"/>
        <v>4700</v>
      </c>
      <c r="AE41" s="237">
        <f t="shared" si="26"/>
        <v>0</v>
      </c>
      <c r="AF41" s="237">
        <f t="shared" si="26"/>
        <v>4700</v>
      </c>
      <c r="AG41" s="237">
        <f t="shared" si="26"/>
        <v>1670</v>
      </c>
      <c r="AH41" s="237">
        <f t="shared" si="26"/>
        <v>6370</v>
      </c>
      <c r="AI41" s="237">
        <f>SUM(AI42,AI44)</f>
        <v>0</v>
      </c>
      <c r="AJ41" s="237">
        <f>SUM(AJ42,AJ44)</f>
        <v>6370</v>
      </c>
    </row>
    <row r="42" spans="1:36" s="27" customFormat="1" ht="24.75" customHeight="1">
      <c r="A42" s="75"/>
      <c r="B42" s="75" t="s">
        <v>362</v>
      </c>
      <c r="C42" s="58"/>
      <c r="D42" s="14" t="s">
        <v>363</v>
      </c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>
        <f aca="true" t="shared" si="27" ref="AB42:AJ42">SUM(AB43)</f>
        <v>0</v>
      </c>
      <c r="AC42" s="138">
        <f t="shared" si="27"/>
        <v>1000</v>
      </c>
      <c r="AD42" s="138">
        <f t="shared" si="27"/>
        <v>1000</v>
      </c>
      <c r="AE42" s="138">
        <f t="shared" si="27"/>
        <v>0</v>
      </c>
      <c r="AF42" s="138">
        <f t="shared" si="27"/>
        <v>1000</v>
      </c>
      <c r="AG42" s="138">
        <f t="shared" si="27"/>
        <v>0</v>
      </c>
      <c r="AH42" s="138">
        <f t="shared" si="27"/>
        <v>1000</v>
      </c>
      <c r="AI42" s="138">
        <f t="shared" si="27"/>
        <v>0</v>
      </c>
      <c r="AJ42" s="138">
        <f t="shared" si="27"/>
        <v>1000</v>
      </c>
    </row>
    <row r="43" spans="1:36" s="27" customFormat="1" ht="48">
      <c r="A43" s="75"/>
      <c r="B43" s="58"/>
      <c r="C43" s="228">
        <v>2710</v>
      </c>
      <c r="D43" s="137" t="s">
        <v>498</v>
      </c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>
        <v>0</v>
      </c>
      <c r="AC43" s="138">
        <v>1000</v>
      </c>
      <c r="AD43" s="138">
        <f>SUM(AB43:AC43)</f>
        <v>1000</v>
      </c>
      <c r="AE43" s="138">
        <v>0</v>
      </c>
      <c r="AF43" s="138">
        <f>SUM(AD43:AE43)</f>
        <v>1000</v>
      </c>
      <c r="AG43" s="138">
        <v>0</v>
      </c>
      <c r="AH43" s="138">
        <f>SUM(AF43:AG43)</f>
        <v>1000</v>
      </c>
      <c r="AI43" s="138">
        <v>0</v>
      </c>
      <c r="AJ43" s="138">
        <f>SUM(AH43:AI43)</f>
        <v>1000</v>
      </c>
    </row>
    <row r="44" spans="1:36" s="27" customFormat="1" ht="21.75" customHeight="1">
      <c r="A44" s="82"/>
      <c r="B44" s="76" t="s">
        <v>278</v>
      </c>
      <c r="C44" s="228"/>
      <c r="D44" s="137" t="s">
        <v>279</v>
      </c>
      <c r="E44" s="138">
        <f>SUM(E45:E46)</f>
        <v>3700</v>
      </c>
      <c r="F44" s="138">
        <f>SUM(F45:F46)</f>
        <v>0</v>
      </c>
      <c r="G44" s="138">
        <f>SUM(G45:G46)</f>
        <v>0</v>
      </c>
      <c r="H44" s="138">
        <f t="shared" si="4"/>
        <v>3700</v>
      </c>
      <c r="I44" s="138">
        <f>SUM(I45:I46)</f>
        <v>0</v>
      </c>
      <c r="J44" s="138">
        <f t="shared" si="5"/>
        <v>3700</v>
      </c>
      <c r="K44" s="138">
        <f>SUM(K45:K46)</f>
        <v>0</v>
      </c>
      <c r="L44" s="138">
        <f t="shared" si="7"/>
        <v>3700</v>
      </c>
      <c r="M44" s="138">
        <f>SUM(M45:M46)</f>
        <v>0</v>
      </c>
      <c r="N44" s="138">
        <f t="shared" si="8"/>
        <v>3700</v>
      </c>
      <c r="O44" s="138">
        <f>SUM(O45:O46)</f>
        <v>0</v>
      </c>
      <c r="P44" s="138">
        <f t="shared" si="9"/>
        <v>3700</v>
      </c>
      <c r="Q44" s="138">
        <f>SUM(Q45:Q46)</f>
        <v>0</v>
      </c>
      <c r="R44" s="138">
        <f t="shared" si="10"/>
        <v>3700</v>
      </c>
      <c r="S44" s="138">
        <f>SUM(S45:S46)</f>
        <v>0</v>
      </c>
      <c r="T44" s="138">
        <f t="shared" si="11"/>
        <v>3700</v>
      </c>
      <c r="U44" s="138">
        <f>SUM(U45:U46)</f>
        <v>0</v>
      </c>
      <c r="V44" s="138">
        <f t="shared" si="12"/>
        <v>3700</v>
      </c>
      <c r="W44" s="138">
        <f>SUM(W45:W46)</f>
        <v>0</v>
      </c>
      <c r="X44" s="138">
        <f t="shared" si="13"/>
        <v>3700</v>
      </c>
      <c r="Y44" s="138">
        <f>SUM(Y45:Y46)</f>
        <v>0</v>
      </c>
      <c r="Z44" s="138">
        <f t="shared" si="14"/>
        <v>3700</v>
      </c>
      <c r="AA44" s="138">
        <f>SUM(AA45:AA46)</f>
        <v>0</v>
      </c>
      <c r="AB44" s="138">
        <f aca="true" t="shared" si="28" ref="AB44:AB89">SUM(Z44:AA44)</f>
        <v>3700</v>
      </c>
      <c r="AC44" s="138">
        <f>SUM(AC45:AC46)</f>
        <v>0</v>
      </c>
      <c r="AD44" s="138">
        <f aca="true" t="shared" si="29" ref="AD44:AD89">SUM(AB44:AC44)</f>
        <v>3700</v>
      </c>
      <c r="AE44" s="138">
        <f>SUM(AE45:AE46)</f>
        <v>0</v>
      </c>
      <c r="AF44" s="138">
        <f aca="true" t="shared" si="30" ref="AF44:AF89">SUM(AD44:AE44)</f>
        <v>3700</v>
      </c>
      <c r="AG44" s="138">
        <f>SUM(AG45:AG47)</f>
        <v>1670</v>
      </c>
      <c r="AH44" s="138">
        <f aca="true" t="shared" si="31" ref="AH44:AH89">SUM(AF44:AG44)</f>
        <v>5370</v>
      </c>
      <c r="AI44" s="138">
        <f>SUM(AI45:AI47)</f>
        <v>0</v>
      </c>
      <c r="AJ44" s="138">
        <f aca="true" t="shared" si="32" ref="AJ44:AJ89">SUM(AH44:AI44)</f>
        <v>5370</v>
      </c>
    </row>
    <row r="45" spans="1:36" s="27" customFormat="1" ht="24" customHeight="1">
      <c r="A45" s="82"/>
      <c r="B45" s="58"/>
      <c r="C45" s="136" t="s">
        <v>441</v>
      </c>
      <c r="D45" s="137" t="s">
        <v>280</v>
      </c>
      <c r="E45" s="138">
        <v>3500</v>
      </c>
      <c r="F45" s="138"/>
      <c r="G45" s="138"/>
      <c r="H45" s="138">
        <f t="shared" si="4"/>
        <v>3500</v>
      </c>
      <c r="I45" s="138">
        <v>0</v>
      </c>
      <c r="J45" s="138">
        <f t="shared" si="5"/>
        <v>3500</v>
      </c>
      <c r="K45" s="138">
        <v>0</v>
      </c>
      <c r="L45" s="138">
        <f t="shared" si="7"/>
        <v>3500</v>
      </c>
      <c r="M45" s="138">
        <v>0</v>
      </c>
      <c r="N45" s="138">
        <f t="shared" si="8"/>
        <v>3500</v>
      </c>
      <c r="O45" s="138">
        <v>0</v>
      </c>
      <c r="P45" s="138">
        <f t="shared" si="9"/>
        <v>3500</v>
      </c>
      <c r="Q45" s="138">
        <v>0</v>
      </c>
      <c r="R45" s="138">
        <f t="shared" si="10"/>
        <v>3500</v>
      </c>
      <c r="S45" s="138">
        <v>0</v>
      </c>
      <c r="T45" s="138">
        <f t="shared" si="11"/>
        <v>3500</v>
      </c>
      <c r="U45" s="138">
        <v>0</v>
      </c>
      <c r="V45" s="138">
        <f t="shared" si="12"/>
        <v>3500</v>
      </c>
      <c r="W45" s="138">
        <v>0</v>
      </c>
      <c r="X45" s="138">
        <f t="shared" si="13"/>
        <v>3500</v>
      </c>
      <c r="Y45" s="138">
        <v>0</v>
      </c>
      <c r="Z45" s="138">
        <f t="shared" si="14"/>
        <v>3500</v>
      </c>
      <c r="AA45" s="138">
        <v>0</v>
      </c>
      <c r="AB45" s="138">
        <f t="shared" si="28"/>
        <v>3500</v>
      </c>
      <c r="AC45" s="138">
        <v>0</v>
      </c>
      <c r="AD45" s="138">
        <f t="shared" si="29"/>
        <v>3500</v>
      </c>
      <c r="AE45" s="138">
        <v>0</v>
      </c>
      <c r="AF45" s="138">
        <f t="shared" si="30"/>
        <v>3500</v>
      </c>
      <c r="AG45" s="138">
        <v>1500</v>
      </c>
      <c r="AH45" s="138">
        <f t="shared" si="31"/>
        <v>5000</v>
      </c>
      <c r="AI45" s="138">
        <v>0</v>
      </c>
      <c r="AJ45" s="138">
        <f t="shared" si="32"/>
        <v>5000</v>
      </c>
    </row>
    <row r="46" spans="1:36" s="27" customFormat="1" ht="21.75" customHeight="1">
      <c r="A46" s="82"/>
      <c r="B46" s="58"/>
      <c r="C46" s="136" t="s">
        <v>439</v>
      </c>
      <c r="D46" s="137" t="s">
        <v>264</v>
      </c>
      <c r="E46" s="138">
        <v>200</v>
      </c>
      <c r="F46" s="138"/>
      <c r="G46" s="138"/>
      <c r="H46" s="138">
        <f t="shared" si="4"/>
        <v>200</v>
      </c>
      <c r="I46" s="138">
        <v>0</v>
      </c>
      <c r="J46" s="138">
        <f t="shared" si="5"/>
        <v>200</v>
      </c>
      <c r="K46" s="138">
        <v>0</v>
      </c>
      <c r="L46" s="138">
        <f t="shared" si="7"/>
        <v>200</v>
      </c>
      <c r="M46" s="138">
        <v>0</v>
      </c>
      <c r="N46" s="138">
        <f t="shared" si="8"/>
        <v>200</v>
      </c>
      <c r="O46" s="138">
        <v>0</v>
      </c>
      <c r="P46" s="138">
        <f t="shared" si="9"/>
        <v>200</v>
      </c>
      <c r="Q46" s="138">
        <v>0</v>
      </c>
      <c r="R46" s="138">
        <f t="shared" si="10"/>
        <v>200</v>
      </c>
      <c r="S46" s="138">
        <v>0</v>
      </c>
      <c r="T46" s="138">
        <f t="shared" si="11"/>
        <v>200</v>
      </c>
      <c r="U46" s="138">
        <v>0</v>
      </c>
      <c r="V46" s="138">
        <f t="shared" si="12"/>
        <v>200</v>
      </c>
      <c r="W46" s="138">
        <v>0</v>
      </c>
      <c r="X46" s="138">
        <f t="shared" si="13"/>
        <v>200</v>
      </c>
      <c r="Y46" s="138">
        <v>0</v>
      </c>
      <c r="Z46" s="138">
        <f t="shared" si="14"/>
        <v>200</v>
      </c>
      <c r="AA46" s="138">
        <v>0</v>
      </c>
      <c r="AB46" s="138">
        <f t="shared" si="28"/>
        <v>200</v>
      </c>
      <c r="AC46" s="138">
        <v>0</v>
      </c>
      <c r="AD46" s="138">
        <f t="shared" si="29"/>
        <v>200</v>
      </c>
      <c r="AE46" s="138">
        <v>0</v>
      </c>
      <c r="AF46" s="138">
        <f t="shared" si="30"/>
        <v>200</v>
      </c>
      <c r="AG46" s="138">
        <v>0</v>
      </c>
      <c r="AH46" s="138">
        <f t="shared" si="31"/>
        <v>200</v>
      </c>
      <c r="AI46" s="138">
        <v>0</v>
      </c>
      <c r="AJ46" s="138">
        <f t="shared" si="32"/>
        <v>200</v>
      </c>
    </row>
    <row r="47" spans="1:36" s="27" customFormat="1" ht="21.75" customHeight="1">
      <c r="A47" s="82"/>
      <c r="B47" s="58"/>
      <c r="C47" s="136" t="s">
        <v>440</v>
      </c>
      <c r="D47" s="137" t="s">
        <v>265</v>
      </c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>
        <v>0</v>
      </c>
      <c r="AG47" s="138">
        <v>170</v>
      </c>
      <c r="AH47" s="138">
        <f t="shared" si="31"/>
        <v>170</v>
      </c>
      <c r="AI47" s="138">
        <v>0</v>
      </c>
      <c r="AJ47" s="138">
        <f t="shared" si="32"/>
        <v>170</v>
      </c>
    </row>
    <row r="48" spans="1:36" s="7" customFormat="1" ht="60">
      <c r="A48" s="33" t="s">
        <v>281</v>
      </c>
      <c r="B48" s="4"/>
      <c r="C48" s="238"/>
      <c r="D48" s="236" t="s">
        <v>430</v>
      </c>
      <c r="E48" s="237">
        <f>SUM(E49,E52,E60,E73,E79,)</f>
        <v>19302834</v>
      </c>
      <c r="F48" s="237">
        <f>SUM(F49,F52,F60,F73,F79,)</f>
        <v>228717</v>
      </c>
      <c r="G48" s="237">
        <f>SUM(G49,G52,G60,G73,G79,)</f>
        <v>228717</v>
      </c>
      <c r="H48" s="237">
        <f t="shared" si="4"/>
        <v>19302834</v>
      </c>
      <c r="I48" s="237">
        <f>SUM(I49,I52,I60,I73,I79,)</f>
        <v>-98931</v>
      </c>
      <c r="J48" s="237">
        <f t="shared" si="5"/>
        <v>19203903</v>
      </c>
      <c r="K48" s="237">
        <f>SUM(K49,K52,K60,K73,K79,)</f>
        <v>0</v>
      </c>
      <c r="L48" s="237">
        <f t="shared" si="7"/>
        <v>19203903</v>
      </c>
      <c r="M48" s="237">
        <f>SUM(M49,M52,M60,M73,M79,)</f>
        <v>0</v>
      </c>
      <c r="N48" s="237">
        <f t="shared" si="8"/>
        <v>19203903</v>
      </c>
      <c r="O48" s="237">
        <f>SUM(O49,O52,O60,O73,O79,)</f>
        <v>0</v>
      </c>
      <c r="P48" s="237">
        <f t="shared" si="9"/>
        <v>19203903</v>
      </c>
      <c r="Q48" s="237">
        <f>SUM(Q49,Q52,Q60,Q73,Q79,)</f>
        <v>0</v>
      </c>
      <c r="R48" s="237">
        <f t="shared" si="10"/>
        <v>19203903</v>
      </c>
      <c r="S48" s="237">
        <f>SUM(S49,S52,S60,S73,S79,)</f>
        <v>21000</v>
      </c>
      <c r="T48" s="237">
        <f t="shared" si="11"/>
        <v>19224903</v>
      </c>
      <c r="U48" s="237">
        <f>SUM(U49,U52,U60,U73,U79,)</f>
        <v>0</v>
      </c>
      <c r="V48" s="237">
        <f t="shared" si="12"/>
        <v>19224903</v>
      </c>
      <c r="W48" s="237">
        <f>SUM(W49,W52,W60,W73,W79,)</f>
        <v>0</v>
      </c>
      <c r="X48" s="237">
        <f t="shared" si="13"/>
        <v>19224903</v>
      </c>
      <c r="Y48" s="237">
        <f>SUM(Y49,Y52,Y60,Y73,Y79,)</f>
        <v>49000</v>
      </c>
      <c r="Z48" s="237">
        <f t="shared" si="14"/>
        <v>19273903</v>
      </c>
      <c r="AA48" s="237">
        <f>SUM(AA49,AA52,AA60,AA73,AA79,)</f>
        <v>0</v>
      </c>
      <c r="AB48" s="237">
        <f t="shared" si="28"/>
        <v>19273903</v>
      </c>
      <c r="AC48" s="237">
        <f>SUM(AC49,AC52,AC60,AC73,AC79,)</f>
        <v>6146</v>
      </c>
      <c r="AD48" s="237">
        <f t="shared" si="29"/>
        <v>19280049</v>
      </c>
      <c r="AE48" s="237">
        <f>SUM(AE49,AE52,AE60,AE73,AE79,)</f>
        <v>0</v>
      </c>
      <c r="AF48" s="237">
        <f t="shared" si="30"/>
        <v>19280049</v>
      </c>
      <c r="AG48" s="237">
        <f>SUM(AG49,AG52,AG60,AG73,AG79,)</f>
        <v>169453</v>
      </c>
      <c r="AH48" s="237">
        <f t="shared" si="31"/>
        <v>19449502</v>
      </c>
      <c r="AI48" s="237">
        <f>SUM(AI49,AI52,AI60,AI73,AI79,)</f>
        <v>405088</v>
      </c>
      <c r="AJ48" s="237">
        <f t="shared" si="32"/>
        <v>19854590</v>
      </c>
    </row>
    <row r="49" spans="1:36" s="27" customFormat="1" ht="24">
      <c r="A49" s="75"/>
      <c r="B49" s="58">
        <v>75601</v>
      </c>
      <c r="C49" s="228"/>
      <c r="D49" s="137" t="s">
        <v>283</v>
      </c>
      <c r="E49" s="138">
        <f>SUM(E50:E51)</f>
        <v>40426</v>
      </c>
      <c r="F49" s="138">
        <f>SUM(F50:F51)</f>
        <v>0</v>
      </c>
      <c r="G49" s="138">
        <f>SUM(G50:G51)</f>
        <v>0</v>
      </c>
      <c r="H49" s="138">
        <f t="shared" si="4"/>
        <v>40426</v>
      </c>
      <c r="I49" s="138">
        <f>SUM(I50:I51)</f>
        <v>0</v>
      </c>
      <c r="J49" s="138">
        <f t="shared" si="5"/>
        <v>40426</v>
      </c>
      <c r="K49" s="138">
        <f>SUM(K50:K51)</f>
        <v>0</v>
      </c>
      <c r="L49" s="138">
        <f t="shared" si="7"/>
        <v>40426</v>
      </c>
      <c r="M49" s="138">
        <f>SUM(M50:M51)</f>
        <v>0</v>
      </c>
      <c r="N49" s="138">
        <f t="shared" si="8"/>
        <v>40426</v>
      </c>
      <c r="O49" s="138">
        <f>SUM(O50:O51)</f>
        <v>0</v>
      </c>
      <c r="P49" s="138">
        <f t="shared" si="9"/>
        <v>40426</v>
      </c>
      <c r="Q49" s="138">
        <f>SUM(Q50:Q51)</f>
        <v>0</v>
      </c>
      <c r="R49" s="138">
        <f t="shared" si="10"/>
        <v>40426</v>
      </c>
      <c r="S49" s="138">
        <f>SUM(S50:S51)</f>
        <v>0</v>
      </c>
      <c r="T49" s="138">
        <f t="shared" si="11"/>
        <v>40426</v>
      </c>
      <c r="U49" s="138">
        <f>SUM(U50:U51)</f>
        <v>0</v>
      </c>
      <c r="V49" s="138">
        <f t="shared" si="12"/>
        <v>40426</v>
      </c>
      <c r="W49" s="138">
        <f>SUM(W50:W51)</f>
        <v>0</v>
      </c>
      <c r="X49" s="138">
        <f t="shared" si="13"/>
        <v>40426</v>
      </c>
      <c r="Y49" s="138">
        <f>SUM(Y50:Y51)</f>
        <v>0</v>
      </c>
      <c r="Z49" s="138">
        <f t="shared" si="14"/>
        <v>40426</v>
      </c>
      <c r="AA49" s="138">
        <f>SUM(AA50:AA51)</f>
        <v>0</v>
      </c>
      <c r="AB49" s="138">
        <f t="shared" si="28"/>
        <v>40426</v>
      </c>
      <c r="AC49" s="138">
        <f>SUM(AC50:AC51)</f>
        <v>6146</v>
      </c>
      <c r="AD49" s="138">
        <f t="shared" si="29"/>
        <v>46572</v>
      </c>
      <c r="AE49" s="138">
        <f>SUM(AE50:AE51)</f>
        <v>0</v>
      </c>
      <c r="AF49" s="138">
        <f t="shared" si="30"/>
        <v>46572</v>
      </c>
      <c r="AG49" s="138">
        <f>SUM(AG50:AG51)</f>
        <v>0</v>
      </c>
      <c r="AH49" s="138">
        <f t="shared" si="31"/>
        <v>46572</v>
      </c>
      <c r="AI49" s="138">
        <f>SUM(AI50:AI51)</f>
        <v>9438</v>
      </c>
      <c r="AJ49" s="138">
        <f t="shared" si="32"/>
        <v>56010</v>
      </c>
    </row>
    <row r="50" spans="1:36" s="27" customFormat="1" ht="36">
      <c r="A50" s="75"/>
      <c r="B50" s="58"/>
      <c r="C50" s="233" t="s">
        <v>442</v>
      </c>
      <c r="D50" s="137" t="s">
        <v>284</v>
      </c>
      <c r="E50" s="138">
        <v>40000</v>
      </c>
      <c r="F50" s="138"/>
      <c r="G50" s="138"/>
      <c r="H50" s="138">
        <f t="shared" si="4"/>
        <v>40000</v>
      </c>
      <c r="I50" s="138">
        <v>0</v>
      </c>
      <c r="J50" s="138">
        <f t="shared" si="5"/>
        <v>40000</v>
      </c>
      <c r="K50" s="138">
        <v>0</v>
      </c>
      <c r="L50" s="138">
        <f t="shared" si="7"/>
        <v>40000</v>
      </c>
      <c r="M50" s="138">
        <v>0</v>
      </c>
      <c r="N50" s="138">
        <f t="shared" si="8"/>
        <v>40000</v>
      </c>
      <c r="O50" s="138">
        <v>0</v>
      </c>
      <c r="P50" s="138">
        <f t="shared" si="9"/>
        <v>40000</v>
      </c>
      <c r="Q50" s="138">
        <v>0</v>
      </c>
      <c r="R50" s="138">
        <f t="shared" si="10"/>
        <v>40000</v>
      </c>
      <c r="S50" s="138">
        <v>0</v>
      </c>
      <c r="T50" s="138">
        <f t="shared" si="11"/>
        <v>40000</v>
      </c>
      <c r="U50" s="138">
        <v>0</v>
      </c>
      <c r="V50" s="138">
        <f t="shared" si="12"/>
        <v>40000</v>
      </c>
      <c r="W50" s="138">
        <v>0</v>
      </c>
      <c r="X50" s="138">
        <f t="shared" si="13"/>
        <v>40000</v>
      </c>
      <c r="Y50" s="138">
        <v>0</v>
      </c>
      <c r="Z50" s="138">
        <f t="shared" si="14"/>
        <v>40000</v>
      </c>
      <c r="AA50" s="138">
        <v>0</v>
      </c>
      <c r="AB50" s="138">
        <f t="shared" si="28"/>
        <v>40000</v>
      </c>
      <c r="AC50" s="138">
        <v>5346</v>
      </c>
      <c r="AD50" s="138">
        <f t="shared" si="29"/>
        <v>45346</v>
      </c>
      <c r="AE50" s="138">
        <v>0</v>
      </c>
      <c r="AF50" s="138">
        <f t="shared" si="30"/>
        <v>45346</v>
      </c>
      <c r="AG50" s="138">
        <v>0</v>
      </c>
      <c r="AH50" s="138">
        <f t="shared" si="31"/>
        <v>45346</v>
      </c>
      <c r="AI50" s="138">
        <v>9034</v>
      </c>
      <c r="AJ50" s="138">
        <f t="shared" si="32"/>
        <v>54380</v>
      </c>
    </row>
    <row r="51" spans="1:36" s="27" customFormat="1" ht="24">
      <c r="A51" s="75"/>
      <c r="B51" s="58"/>
      <c r="C51" s="233" t="s">
        <v>443</v>
      </c>
      <c r="D51" s="137" t="s">
        <v>251</v>
      </c>
      <c r="E51" s="138">
        <v>426</v>
      </c>
      <c r="F51" s="138"/>
      <c r="G51" s="138"/>
      <c r="H51" s="138">
        <f t="shared" si="4"/>
        <v>426</v>
      </c>
      <c r="I51" s="138">
        <v>0</v>
      </c>
      <c r="J51" s="138">
        <f t="shared" si="5"/>
        <v>426</v>
      </c>
      <c r="K51" s="138">
        <v>0</v>
      </c>
      <c r="L51" s="138">
        <f t="shared" si="7"/>
        <v>426</v>
      </c>
      <c r="M51" s="138">
        <v>0</v>
      </c>
      <c r="N51" s="138">
        <f t="shared" si="8"/>
        <v>426</v>
      </c>
      <c r="O51" s="138">
        <v>0</v>
      </c>
      <c r="P51" s="138">
        <f t="shared" si="9"/>
        <v>426</v>
      </c>
      <c r="Q51" s="138">
        <v>0</v>
      </c>
      <c r="R51" s="138">
        <f t="shared" si="10"/>
        <v>426</v>
      </c>
      <c r="S51" s="138">
        <v>0</v>
      </c>
      <c r="T51" s="138">
        <f t="shared" si="11"/>
        <v>426</v>
      </c>
      <c r="U51" s="138">
        <v>0</v>
      </c>
      <c r="V51" s="138">
        <f t="shared" si="12"/>
        <v>426</v>
      </c>
      <c r="W51" s="138">
        <v>0</v>
      </c>
      <c r="X51" s="138">
        <f t="shared" si="13"/>
        <v>426</v>
      </c>
      <c r="Y51" s="138">
        <v>0</v>
      </c>
      <c r="Z51" s="138">
        <f t="shared" si="14"/>
        <v>426</v>
      </c>
      <c r="AA51" s="138">
        <v>0</v>
      </c>
      <c r="AB51" s="138">
        <f t="shared" si="28"/>
        <v>426</v>
      </c>
      <c r="AC51" s="138">
        <v>800</v>
      </c>
      <c r="AD51" s="138">
        <f t="shared" si="29"/>
        <v>1226</v>
      </c>
      <c r="AE51" s="138">
        <v>0</v>
      </c>
      <c r="AF51" s="138">
        <f t="shared" si="30"/>
        <v>1226</v>
      </c>
      <c r="AG51" s="138">
        <v>0</v>
      </c>
      <c r="AH51" s="138">
        <f t="shared" si="31"/>
        <v>1226</v>
      </c>
      <c r="AI51" s="138">
        <v>404</v>
      </c>
      <c r="AJ51" s="138">
        <f t="shared" si="32"/>
        <v>1630</v>
      </c>
    </row>
    <row r="52" spans="1:36" s="27" customFormat="1" ht="48">
      <c r="A52" s="75"/>
      <c r="B52" s="76" t="s">
        <v>285</v>
      </c>
      <c r="C52" s="228"/>
      <c r="D52" s="137" t="s">
        <v>476</v>
      </c>
      <c r="E52" s="138">
        <f>SUM(E53:E59)</f>
        <v>6978961</v>
      </c>
      <c r="F52" s="138">
        <f>SUM(F53:F59)</f>
        <v>228717</v>
      </c>
      <c r="G52" s="138">
        <f>SUM(G53:G59)</f>
        <v>228717</v>
      </c>
      <c r="H52" s="138">
        <f t="shared" si="4"/>
        <v>6978961</v>
      </c>
      <c r="I52" s="138">
        <f>SUM(I53:I59)</f>
        <v>0</v>
      </c>
      <c r="J52" s="138">
        <f t="shared" si="5"/>
        <v>6978961</v>
      </c>
      <c r="K52" s="138">
        <f>SUM(K53:K59)</f>
        <v>0</v>
      </c>
      <c r="L52" s="138">
        <f t="shared" si="7"/>
        <v>6978961</v>
      </c>
      <c r="M52" s="138">
        <f>SUM(M53:M59)</f>
        <v>0</v>
      </c>
      <c r="N52" s="138">
        <f t="shared" si="8"/>
        <v>6978961</v>
      </c>
      <c r="O52" s="138">
        <f>SUM(O53:O59)</f>
        <v>0</v>
      </c>
      <c r="P52" s="138">
        <f t="shared" si="9"/>
        <v>6978961</v>
      </c>
      <c r="Q52" s="138">
        <f>SUM(Q53:Q59)</f>
        <v>0</v>
      </c>
      <c r="R52" s="138">
        <f t="shared" si="10"/>
        <v>6978961</v>
      </c>
      <c r="S52" s="138">
        <f>SUM(S53:S59)</f>
        <v>7000</v>
      </c>
      <c r="T52" s="138">
        <f t="shared" si="11"/>
        <v>6985961</v>
      </c>
      <c r="U52" s="138">
        <f>SUM(U53:U59)</f>
        <v>0</v>
      </c>
      <c r="V52" s="138">
        <f t="shared" si="12"/>
        <v>6985961</v>
      </c>
      <c r="W52" s="138">
        <f>SUM(W53:W59)</f>
        <v>0</v>
      </c>
      <c r="X52" s="138">
        <f t="shared" si="13"/>
        <v>6985961</v>
      </c>
      <c r="Y52" s="138">
        <f>SUM(Y53:Y59)</f>
        <v>20000</v>
      </c>
      <c r="Z52" s="138">
        <f t="shared" si="14"/>
        <v>7005961</v>
      </c>
      <c r="AA52" s="138">
        <f>SUM(AA53:AA59)</f>
        <v>0</v>
      </c>
      <c r="AB52" s="138">
        <f t="shared" si="28"/>
        <v>7005961</v>
      </c>
      <c r="AC52" s="138">
        <f>SUM(AC53:AC59)</f>
        <v>0</v>
      </c>
      <c r="AD52" s="138">
        <f t="shared" si="29"/>
        <v>7005961</v>
      </c>
      <c r="AE52" s="138">
        <f>SUM(AE53:AE59)</f>
        <v>0</v>
      </c>
      <c r="AF52" s="138">
        <f t="shared" si="30"/>
        <v>7005961</v>
      </c>
      <c r="AG52" s="138">
        <f>SUM(AG53:AG59)</f>
        <v>1663</v>
      </c>
      <c r="AH52" s="138">
        <f t="shared" si="31"/>
        <v>7007624</v>
      </c>
      <c r="AI52" s="138">
        <f>SUM(AI53:AI59)</f>
        <v>375650</v>
      </c>
      <c r="AJ52" s="138">
        <f t="shared" si="32"/>
        <v>7383274</v>
      </c>
    </row>
    <row r="53" spans="1:36" s="27" customFormat="1" ht="21.75" customHeight="1">
      <c r="A53" s="75"/>
      <c r="B53" s="76"/>
      <c r="C53" s="136" t="s">
        <v>444</v>
      </c>
      <c r="D53" s="137" t="s">
        <v>286</v>
      </c>
      <c r="E53" s="138">
        <v>6371350</v>
      </c>
      <c r="F53" s="138"/>
      <c r="G53" s="138"/>
      <c r="H53" s="138">
        <f t="shared" si="4"/>
        <v>6371350</v>
      </c>
      <c r="I53" s="138">
        <v>0</v>
      </c>
      <c r="J53" s="138">
        <f t="shared" si="5"/>
        <v>6371350</v>
      </c>
      <c r="K53" s="138">
        <v>0</v>
      </c>
      <c r="L53" s="138">
        <f t="shared" si="7"/>
        <v>6371350</v>
      </c>
      <c r="M53" s="138">
        <v>0</v>
      </c>
      <c r="N53" s="138">
        <f t="shared" si="8"/>
        <v>6371350</v>
      </c>
      <c r="O53" s="138">
        <v>0</v>
      </c>
      <c r="P53" s="138">
        <f t="shared" si="9"/>
        <v>6371350</v>
      </c>
      <c r="Q53" s="138">
        <v>0</v>
      </c>
      <c r="R53" s="138">
        <f t="shared" si="10"/>
        <v>6371350</v>
      </c>
      <c r="S53" s="138">
        <v>0</v>
      </c>
      <c r="T53" s="138">
        <f t="shared" si="11"/>
        <v>6371350</v>
      </c>
      <c r="U53" s="138">
        <v>0</v>
      </c>
      <c r="V53" s="138">
        <f t="shared" si="12"/>
        <v>6371350</v>
      </c>
      <c r="W53" s="138">
        <v>0</v>
      </c>
      <c r="X53" s="138">
        <f t="shared" si="13"/>
        <v>6371350</v>
      </c>
      <c r="Y53" s="138">
        <v>0</v>
      </c>
      <c r="Z53" s="138">
        <f t="shared" si="14"/>
        <v>6371350</v>
      </c>
      <c r="AA53" s="138">
        <v>0</v>
      </c>
      <c r="AB53" s="138">
        <f t="shared" si="28"/>
        <v>6371350</v>
      </c>
      <c r="AC53" s="138">
        <v>0</v>
      </c>
      <c r="AD53" s="138">
        <f t="shared" si="29"/>
        <v>6371350</v>
      </c>
      <c r="AE53" s="138">
        <v>0</v>
      </c>
      <c r="AF53" s="138">
        <f t="shared" si="30"/>
        <v>6371350</v>
      </c>
      <c r="AG53" s="138">
        <v>0</v>
      </c>
      <c r="AH53" s="138">
        <f t="shared" si="31"/>
        <v>6371350</v>
      </c>
      <c r="AI53" s="138">
        <v>365650</v>
      </c>
      <c r="AJ53" s="138">
        <f t="shared" si="32"/>
        <v>6737000</v>
      </c>
    </row>
    <row r="54" spans="1:36" s="27" customFormat="1" ht="21.75" customHeight="1">
      <c r="A54" s="75"/>
      <c r="B54" s="76"/>
      <c r="C54" s="136" t="s">
        <v>445</v>
      </c>
      <c r="D54" s="137" t="s">
        <v>287</v>
      </c>
      <c r="E54" s="138">
        <v>27402</v>
      </c>
      <c r="F54" s="138"/>
      <c r="G54" s="138"/>
      <c r="H54" s="138">
        <f aca="true" t="shared" si="33" ref="H54:H87">E54+F54-G54</f>
        <v>27402</v>
      </c>
      <c r="I54" s="138">
        <v>0</v>
      </c>
      <c r="J54" s="138">
        <f t="shared" si="5"/>
        <v>27402</v>
      </c>
      <c r="K54" s="138">
        <v>0</v>
      </c>
      <c r="L54" s="138">
        <f t="shared" si="7"/>
        <v>27402</v>
      </c>
      <c r="M54" s="138">
        <v>0</v>
      </c>
      <c r="N54" s="138">
        <f t="shared" si="8"/>
        <v>27402</v>
      </c>
      <c r="O54" s="138">
        <v>0</v>
      </c>
      <c r="P54" s="138">
        <f t="shared" si="9"/>
        <v>27402</v>
      </c>
      <c r="Q54" s="138">
        <v>0</v>
      </c>
      <c r="R54" s="138">
        <f t="shared" si="10"/>
        <v>27402</v>
      </c>
      <c r="S54" s="138">
        <v>0</v>
      </c>
      <c r="T54" s="138">
        <f t="shared" si="11"/>
        <v>27402</v>
      </c>
      <c r="U54" s="138">
        <v>0</v>
      </c>
      <c r="V54" s="138">
        <f t="shared" si="12"/>
        <v>27402</v>
      </c>
      <c r="W54" s="138">
        <v>0</v>
      </c>
      <c r="X54" s="138">
        <f t="shared" si="13"/>
        <v>27402</v>
      </c>
      <c r="Y54" s="138">
        <v>0</v>
      </c>
      <c r="Z54" s="138">
        <f t="shared" si="14"/>
        <v>27402</v>
      </c>
      <c r="AA54" s="138">
        <v>0</v>
      </c>
      <c r="AB54" s="138">
        <f t="shared" si="28"/>
        <v>27402</v>
      </c>
      <c r="AC54" s="138">
        <v>0</v>
      </c>
      <c r="AD54" s="138">
        <f t="shared" si="29"/>
        <v>27402</v>
      </c>
      <c r="AE54" s="138">
        <v>0</v>
      </c>
      <c r="AF54" s="138">
        <f t="shared" si="30"/>
        <v>27402</v>
      </c>
      <c r="AG54" s="138">
        <v>0</v>
      </c>
      <c r="AH54" s="138">
        <f t="shared" si="31"/>
        <v>27402</v>
      </c>
      <c r="AI54" s="138">
        <v>0</v>
      </c>
      <c r="AJ54" s="138">
        <f t="shared" si="32"/>
        <v>27402</v>
      </c>
    </row>
    <row r="55" spans="1:36" s="27" customFormat="1" ht="21.75" customHeight="1">
      <c r="A55" s="75"/>
      <c r="B55" s="76"/>
      <c r="C55" s="136" t="s">
        <v>446</v>
      </c>
      <c r="D55" s="137" t="s">
        <v>288</v>
      </c>
      <c r="E55" s="138">
        <v>306492</v>
      </c>
      <c r="F55" s="138"/>
      <c r="G55" s="138"/>
      <c r="H55" s="138">
        <f t="shared" si="33"/>
        <v>306492</v>
      </c>
      <c r="I55" s="138">
        <v>0</v>
      </c>
      <c r="J55" s="138">
        <f t="shared" si="5"/>
        <v>306492</v>
      </c>
      <c r="K55" s="138">
        <v>0</v>
      </c>
      <c r="L55" s="138">
        <f t="shared" si="7"/>
        <v>306492</v>
      </c>
      <c r="M55" s="138">
        <v>0</v>
      </c>
      <c r="N55" s="138">
        <f t="shared" si="8"/>
        <v>306492</v>
      </c>
      <c r="O55" s="138">
        <v>0</v>
      </c>
      <c r="P55" s="138">
        <f t="shared" si="9"/>
        <v>306492</v>
      </c>
      <c r="Q55" s="138">
        <v>0</v>
      </c>
      <c r="R55" s="138">
        <f t="shared" si="10"/>
        <v>306492</v>
      </c>
      <c r="S55" s="138">
        <v>0</v>
      </c>
      <c r="T55" s="138">
        <f t="shared" si="11"/>
        <v>306492</v>
      </c>
      <c r="U55" s="138">
        <v>0</v>
      </c>
      <c r="V55" s="138">
        <f t="shared" si="12"/>
        <v>306492</v>
      </c>
      <c r="W55" s="138">
        <v>0</v>
      </c>
      <c r="X55" s="138">
        <f t="shared" si="13"/>
        <v>306492</v>
      </c>
      <c r="Y55" s="138">
        <v>0</v>
      </c>
      <c r="Z55" s="138">
        <f t="shared" si="14"/>
        <v>306492</v>
      </c>
      <c r="AA55" s="138">
        <v>0</v>
      </c>
      <c r="AB55" s="138">
        <f t="shared" si="28"/>
        <v>306492</v>
      </c>
      <c r="AC55" s="138">
        <v>0</v>
      </c>
      <c r="AD55" s="138">
        <f t="shared" si="29"/>
        <v>306492</v>
      </c>
      <c r="AE55" s="138">
        <v>0</v>
      </c>
      <c r="AF55" s="138">
        <f t="shared" si="30"/>
        <v>306492</v>
      </c>
      <c r="AG55" s="138">
        <v>0</v>
      </c>
      <c r="AH55" s="138">
        <f t="shared" si="31"/>
        <v>306492</v>
      </c>
      <c r="AI55" s="138">
        <v>0</v>
      </c>
      <c r="AJ55" s="138">
        <f t="shared" si="32"/>
        <v>306492</v>
      </c>
    </row>
    <row r="56" spans="1:36" s="27" customFormat="1" ht="21.75" customHeight="1">
      <c r="A56" s="75"/>
      <c r="B56" s="76"/>
      <c r="C56" s="136" t="s">
        <v>447</v>
      </c>
      <c r="D56" s="137" t="s">
        <v>289</v>
      </c>
      <c r="E56" s="138">
        <v>38000</v>
      </c>
      <c r="F56" s="138"/>
      <c r="G56" s="138"/>
      <c r="H56" s="138">
        <f t="shared" si="33"/>
        <v>38000</v>
      </c>
      <c r="I56" s="138">
        <v>0</v>
      </c>
      <c r="J56" s="138">
        <f t="shared" si="5"/>
        <v>38000</v>
      </c>
      <c r="K56" s="138">
        <v>0</v>
      </c>
      <c r="L56" s="138">
        <f t="shared" si="7"/>
        <v>38000</v>
      </c>
      <c r="M56" s="138">
        <v>0</v>
      </c>
      <c r="N56" s="138">
        <f t="shared" si="8"/>
        <v>38000</v>
      </c>
      <c r="O56" s="138">
        <v>0</v>
      </c>
      <c r="P56" s="138">
        <f t="shared" si="9"/>
        <v>38000</v>
      </c>
      <c r="Q56" s="138">
        <v>0</v>
      </c>
      <c r="R56" s="138">
        <f t="shared" si="10"/>
        <v>38000</v>
      </c>
      <c r="S56" s="138">
        <v>0</v>
      </c>
      <c r="T56" s="138">
        <f t="shared" si="11"/>
        <v>38000</v>
      </c>
      <c r="U56" s="138">
        <v>0</v>
      </c>
      <c r="V56" s="138">
        <f t="shared" si="12"/>
        <v>38000</v>
      </c>
      <c r="W56" s="138">
        <v>0</v>
      </c>
      <c r="X56" s="138">
        <f t="shared" si="13"/>
        <v>38000</v>
      </c>
      <c r="Y56" s="138">
        <v>0</v>
      </c>
      <c r="Z56" s="138">
        <f t="shared" si="14"/>
        <v>38000</v>
      </c>
      <c r="AA56" s="138">
        <v>0</v>
      </c>
      <c r="AB56" s="138">
        <f t="shared" si="28"/>
        <v>38000</v>
      </c>
      <c r="AC56" s="138">
        <v>0</v>
      </c>
      <c r="AD56" s="138">
        <f t="shared" si="29"/>
        <v>38000</v>
      </c>
      <c r="AE56" s="138">
        <v>0</v>
      </c>
      <c r="AF56" s="138">
        <f t="shared" si="30"/>
        <v>38000</v>
      </c>
      <c r="AG56" s="138">
        <v>0</v>
      </c>
      <c r="AH56" s="138">
        <f t="shared" si="31"/>
        <v>38000</v>
      </c>
      <c r="AI56" s="138">
        <v>10000</v>
      </c>
      <c r="AJ56" s="138">
        <f t="shared" si="32"/>
        <v>48000</v>
      </c>
    </row>
    <row r="57" spans="1:36" s="27" customFormat="1" ht="21.75" customHeight="1">
      <c r="A57" s="75"/>
      <c r="B57" s="76"/>
      <c r="C57" s="136" t="s">
        <v>443</v>
      </c>
      <c r="D57" s="137" t="s">
        <v>515</v>
      </c>
      <c r="E57" s="138">
        <v>7000</v>
      </c>
      <c r="F57" s="138"/>
      <c r="G57" s="138"/>
      <c r="H57" s="138">
        <f t="shared" si="33"/>
        <v>7000</v>
      </c>
      <c r="I57" s="138">
        <v>0</v>
      </c>
      <c r="J57" s="138">
        <f t="shared" si="5"/>
        <v>7000</v>
      </c>
      <c r="K57" s="138">
        <v>0</v>
      </c>
      <c r="L57" s="138">
        <f t="shared" si="7"/>
        <v>7000</v>
      </c>
      <c r="M57" s="138">
        <v>0</v>
      </c>
      <c r="N57" s="138">
        <f t="shared" si="8"/>
        <v>7000</v>
      </c>
      <c r="O57" s="138">
        <v>0</v>
      </c>
      <c r="P57" s="138">
        <f t="shared" si="9"/>
        <v>7000</v>
      </c>
      <c r="Q57" s="138">
        <v>0</v>
      </c>
      <c r="R57" s="138">
        <f t="shared" si="10"/>
        <v>7000</v>
      </c>
      <c r="S57" s="138">
        <v>7000</v>
      </c>
      <c r="T57" s="138">
        <f t="shared" si="11"/>
        <v>14000</v>
      </c>
      <c r="U57" s="138">
        <v>0</v>
      </c>
      <c r="V57" s="138">
        <f t="shared" si="12"/>
        <v>14000</v>
      </c>
      <c r="W57" s="138">
        <v>0</v>
      </c>
      <c r="X57" s="138">
        <f t="shared" si="13"/>
        <v>14000</v>
      </c>
      <c r="Y57" s="138">
        <v>20000</v>
      </c>
      <c r="Z57" s="138">
        <f t="shared" si="14"/>
        <v>34000</v>
      </c>
      <c r="AA57" s="138">
        <v>0</v>
      </c>
      <c r="AB57" s="138">
        <f t="shared" si="28"/>
        <v>34000</v>
      </c>
      <c r="AC57" s="138">
        <v>0</v>
      </c>
      <c r="AD57" s="138">
        <f t="shared" si="29"/>
        <v>34000</v>
      </c>
      <c r="AE57" s="138">
        <v>0</v>
      </c>
      <c r="AF57" s="138">
        <f t="shared" si="30"/>
        <v>34000</v>
      </c>
      <c r="AG57" s="138">
        <v>0</v>
      </c>
      <c r="AH57" s="138">
        <f t="shared" si="31"/>
        <v>34000</v>
      </c>
      <c r="AI57" s="138">
        <v>0</v>
      </c>
      <c r="AJ57" s="138">
        <f t="shared" si="32"/>
        <v>34000</v>
      </c>
    </row>
    <row r="58" spans="1:36" s="27" customFormat="1" ht="33.75" hidden="1">
      <c r="A58" s="75"/>
      <c r="B58" s="76"/>
      <c r="C58" s="136">
        <v>2440</v>
      </c>
      <c r="D58" s="137" t="s">
        <v>467</v>
      </c>
      <c r="E58" s="138">
        <v>228717</v>
      </c>
      <c r="F58" s="138"/>
      <c r="G58" s="138">
        <v>228717</v>
      </c>
      <c r="H58" s="138">
        <f t="shared" si="33"/>
        <v>0</v>
      </c>
      <c r="I58" s="138"/>
      <c r="J58" s="138">
        <f t="shared" si="5"/>
        <v>0</v>
      </c>
      <c r="K58" s="138"/>
      <c r="L58" s="138">
        <f t="shared" si="7"/>
        <v>0</v>
      </c>
      <c r="M58" s="138"/>
      <c r="N58" s="138">
        <f t="shared" si="8"/>
        <v>0</v>
      </c>
      <c r="O58" s="138"/>
      <c r="P58" s="138">
        <f t="shared" si="9"/>
        <v>0</v>
      </c>
      <c r="Q58" s="138"/>
      <c r="R58" s="138">
        <f t="shared" si="10"/>
        <v>0</v>
      </c>
      <c r="S58" s="138"/>
      <c r="T58" s="138">
        <f t="shared" si="11"/>
        <v>0</v>
      </c>
      <c r="U58" s="138"/>
      <c r="V58" s="138">
        <f t="shared" si="12"/>
        <v>0</v>
      </c>
      <c r="W58" s="138"/>
      <c r="X58" s="138">
        <f t="shared" si="13"/>
        <v>0</v>
      </c>
      <c r="Y58" s="138"/>
      <c r="Z58" s="138">
        <f t="shared" si="14"/>
        <v>0</v>
      </c>
      <c r="AA58" s="138"/>
      <c r="AB58" s="138">
        <f t="shared" si="28"/>
        <v>0</v>
      </c>
      <c r="AC58" s="138"/>
      <c r="AD58" s="138">
        <f t="shared" si="29"/>
        <v>0</v>
      </c>
      <c r="AE58" s="138"/>
      <c r="AF58" s="138">
        <f t="shared" si="30"/>
        <v>0</v>
      </c>
      <c r="AG58" s="138"/>
      <c r="AH58" s="138">
        <f t="shared" si="31"/>
        <v>0</v>
      </c>
      <c r="AI58" s="138"/>
      <c r="AJ58" s="138">
        <f t="shared" si="32"/>
        <v>0</v>
      </c>
    </row>
    <row r="59" spans="1:36" s="27" customFormat="1" ht="24">
      <c r="A59" s="75"/>
      <c r="B59" s="76"/>
      <c r="C59" s="136">
        <v>2680</v>
      </c>
      <c r="D59" s="137" t="s">
        <v>252</v>
      </c>
      <c r="E59" s="138">
        <v>0</v>
      </c>
      <c r="F59" s="138">
        <v>228717</v>
      </c>
      <c r="G59" s="138"/>
      <c r="H59" s="138">
        <f t="shared" si="33"/>
        <v>228717</v>
      </c>
      <c r="I59" s="138">
        <v>0</v>
      </c>
      <c r="J59" s="138">
        <f t="shared" si="5"/>
        <v>228717</v>
      </c>
      <c r="K59" s="138">
        <v>0</v>
      </c>
      <c r="L59" s="138">
        <f t="shared" si="7"/>
        <v>228717</v>
      </c>
      <c r="M59" s="138">
        <v>0</v>
      </c>
      <c r="N59" s="138">
        <f t="shared" si="8"/>
        <v>228717</v>
      </c>
      <c r="O59" s="138">
        <v>0</v>
      </c>
      <c r="P59" s="138">
        <f t="shared" si="9"/>
        <v>228717</v>
      </c>
      <c r="Q59" s="138">
        <v>0</v>
      </c>
      <c r="R59" s="138">
        <f t="shared" si="10"/>
        <v>228717</v>
      </c>
      <c r="S59" s="138">
        <v>0</v>
      </c>
      <c r="T59" s="138">
        <f t="shared" si="11"/>
        <v>228717</v>
      </c>
      <c r="U59" s="138">
        <v>0</v>
      </c>
      <c r="V59" s="138">
        <f t="shared" si="12"/>
        <v>228717</v>
      </c>
      <c r="W59" s="138">
        <v>0</v>
      </c>
      <c r="X59" s="138">
        <f t="shared" si="13"/>
        <v>228717</v>
      </c>
      <c r="Y59" s="138">
        <v>0</v>
      </c>
      <c r="Z59" s="138">
        <f t="shared" si="14"/>
        <v>228717</v>
      </c>
      <c r="AA59" s="138">
        <v>0</v>
      </c>
      <c r="AB59" s="138">
        <f t="shared" si="28"/>
        <v>228717</v>
      </c>
      <c r="AC59" s="138">
        <v>0</v>
      </c>
      <c r="AD59" s="138">
        <f t="shared" si="29"/>
        <v>228717</v>
      </c>
      <c r="AE59" s="138">
        <v>0</v>
      </c>
      <c r="AF59" s="138">
        <f t="shared" si="30"/>
        <v>228717</v>
      </c>
      <c r="AG59" s="138">
        <v>1663</v>
      </c>
      <c r="AH59" s="138">
        <f t="shared" si="31"/>
        <v>230380</v>
      </c>
      <c r="AI59" s="138">
        <v>0</v>
      </c>
      <c r="AJ59" s="138">
        <f t="shared" si="32"/>
        <v>230380</v>
      </c>
    </row>
    <row r="60" spans="1:36" s="27" customFormat="1" ht="60">
      <c r="A60" s="75"/>
      <c r="B60" s="76">
        <v>75616</v>
      </c>
      <c r="C60" s="136"/>
      <c r="D60" s="137" t="s">
        <v>477</v>
      </c>
      <c r="E60" s="138">
        <f>SUM(E61:E72)</f>
        <v>3276006</v>
      </c>
      <c r="F60" s="138">
        <f>SUM(F61:F72)</f>
        <v>0</v>
      </c>
      <c r="G60" s="138">
        <f>SUM(G61:G72)</f>
        <v>0</v>
      </c>
      <c r="H60" s="138">
        <f t="shared" si="33"/>
        <v>3276006</v>
      </c>
      <c r="I60" s="138">
        <f>SUM(I61:I72)</f>
        <v>-2000</v>
      </c>
      <c r="J60" s="138">
        <f t="shared" si="5"/>
        <v>3274006</v>
      </c>
      <c r="K60" s="138">
        <f>SUM(K61:K72)</f>
        <v>0</v>
      </c>
      <c r="L60" s="138">
        <f t="shared" si="7"/>
        <v>3274006</v>
      </c>
      <c r="M60" s="138">
        <f>SUM(M61:M72)</f>
        <v>0</v>
      </c>
      <c r="N60" s="138">
        <f t="shared" si="8"/>
        <v>3274006</v>
      </c>
      <c r="O60" s="138">
        <f>SUM(O61:O72)</f>
        <v>0</v>
      </c>
      <c r="P60" s="138">
        <f t="shared" si="9"/>
        <v>3274006</v>
      </c>
      <c r="Q60" s="138">
        <f>SUM(Q61:Q72)</f>
        <v>0</v>
      </c>
      <c r="R60" s="138">
        <f t="shared" si="10"/>
        <v>3274006</v>
      </c>
      <c r="S60" s="138">
        <f>SUM(S61:S72)</f>
        <v>14000</v>
      </c>
      <c r="T60" s="138">
        <f t="shared" si="11"/>
        <v>3288006</v>
      </c>
      <c r="U60" s="138">
        <f>SUM(U61:U72)</f>
        <v>0</v>
      </c>
      <c r="V60" s="138">
        <f t="shared" si="12"/>
        <v>3288006</v>
      </c>
      <c r="W60" s="138">
        <f>SUM(W61:W72)</f>
        <v>0</v>
      </c>
      <c r="X60" s="138">
        <f t="shared" si="13"/>
        <v>3288006</v>
      </c>
      <c r="Y60" s="138">
        <f>SUM(Y61:Y72)</f>
        <v>23000</v>
      </c>
      <c r="Z60" s="138">
        <f t="shared" si="14"/>
        <v>3311006</v>
      </c>
      <c r="AA60" s="138">
        <f>SUM(AA61:AA72)</f>
        <v>0</v>
      </c>
      <c r="AB60" s="138">
        <f t="shared" si="28"/>
        <v>3311006</v>
      </c>
      <c r="AC60" s="138">
        <f>SUM(AC61:AC72)</f>
        <v>0</v>
      </c>
      <c r="AD60" s="138">
        <f t="shared" si="29"/>
        <v>3311006</v>
      </c>
      <c r="AE60" s="138">
        <f>SUM(AE61:AE72)</f>
        <v>0</v>
      </c>
      <c r="AF60" s="138">
        <f t="shared" si="30"/>
        <v>3311006</v>
      </c>
      <c r="AG60" s="138">
        <f>SUM(AG61:AG72)</f>
        <v>142000</v>
      </c>
      <c r="AH60" s="138">
        <f t="shared" si="31"/>
        <v>3453006</v>
      </c>
      <c r="AI60" s="138">
        <f>SUM(AI61:AI72)</f>
        <v>105000</v>
      </c>
      <c r="AJ60" s="138">
        <f t="shared" si="32"/>
        <v>3558006</v>
      </c>
    </row>
    <row r="61" spans="1:36" s="27" customFormat="1" ht="21.75" customHeight="1">
      <c r="A61" s="75"/>
      <c r="B61" s="76"/>
      <c r="C61" s="136" t="s">
        <v>444</v>
      </c>
      <c r="D61" s="137" t="s">
        <v>286</v>
      </c>
      <c r="E61" s="138">
        <v>2188575</v>
      </c>
      <c r="F61" s="138"/>
      <c r="G61" s="138"/>
      <c r="H61" s="138">
        <f t="shared" si="33"/>
        <v>2188575</v>
      </c>
      <c r="I61" s="138">
        <v>0</v>
      </c>
      <c r="J61" s="138">
        <f t="shared" si="5"/>
        <v>2188575</v>
      </c>
      <c r="K61" s="138">
        <v>0</v>
      </c>
      <c r="L61" s="138">
        <f t="shared" si="7"/>
        <v>2188575</v>
      </c>
      <c r="M61" s="138">
        <v>0</v>
      </c>
      <c r="N61" s="138">
        <f t="shared" si="8"/>
        <v>2188575</v>
      </c>
      <c r="O61" s="138">
        <v>0</v>
      </c>
      <c r="P61" s="138">
        <f t="shared" si="9"/>
        <v>2188575</v>
      </c>
      <c r="Q61" s="138">
        <v>0</v>
      </c>
      <c r="R61" s="138">
        <f t="shared" si="10"/>
        <v>2188575</v>
      </c>
      <c r="S61" s="138">
        <v>0</v>
      </c>
      <c r="T61" s="138">
        <f t="shared" si="11"/>
        <v>2188575</v>
      </c>
      <c r="U61" s="138">
        <v>0</v>
      </c>
      <c r="V61" s="138">
        <f t="shared" si="12"/>
        <v>2188575</v>
      </c>
      <c r="W61" s="138">
        <v>0</v>
      </c>
      <c r="X61" s="138">
        <f t="shared" si="13"/>
        <v>2188575</v>
      </c>
      <c r="Y61" s="138">
        <v>0</v>
      </c>
      <c r="Z61" s="138">
        <f t="shared" si="14"/>
        <v>2188575</v>
      </c>
      <c r="AA61" s="138">
        <v>0</v>
      </c>
      <c r="AB61" s="138">
        <f t="shared" si="28"/>
        <v>2188575</v>
      </c>
      <c r="AC61" s="138">
        <v>0</v>
      </c>
      <c r="AD61" s="138">
        <f t="shared" si="29"/>
        <v>2188575</v>
      </c>
      <c r="AE61" s="138">
        <v>0</v>
      </c>
      <c r="AF61" s="138">
        <f t="shared" si="30"/>
        <v>2188575</v>
      </c>
      <c r="AG61" s="138">
        <v>0</v>
      </c>
      <c r="AH61" s="138">
        <f t="shared" si="31"/>
        <v>2188575</v>
      </c>
      <c r="AI61" s="138">
        <v>0</v>
      </c>
      <c r="AJ61" s="138">
        <f t="shared" si="32"/>
        <v>2188575</v>
      </c>
    </row>
    <row r="62" spans="1:36" s="27" customFormat="1" ht="21.75" customHeight="1">
      <c r="A62" s="75"/>
      <c r="B62" s="76"/>
      <c r="C62" s="136" t="s">
        <v>445</v>
      </c>
      <c r="D62" s="137" t="s">
        <v>287</v>
      </c>
      <c r="E62" s="138">
        <v>366931</v>
      </c>
      <c r="F62" s="138"/>
      <c r="G62" s="138"/>
      <c r="H62" s="138">
        <f t="shared" si="33"/>
        <v>366931</v>
      </c>
      <c r="I62" s="138">
        <v>0</v>
      </c>
      <c r="J62" s="138">
        <f t="shared" si="5"/>
        <v>366931</v>
      </c>
      <c r="K62" s="138">
        <v>0</v>
      </c>
      <c r="L62" s="138">
        <f t="shared" si="7"/>
        <v>366931</v>
      </c>
      <c r="M62" s="138">
        <v>0</v>
      </c>
      <c r="N62" s="138">
        <f t="shared" si="8"/>
        <v>366931</v>
      </c>
      <c r="O62" s="138">
        <v>0</v>
      </c>
      <c r="P62" s="138">
        <f t="shared" si="9"/>
        <v>366931</v>
      </c>
      <c r="Q62" s="138">
        <v>0</v>
      </c>
      <c r="R62" s="138">
        <f t="shared" si="10"/>
        <v>366931</v>
      </c>
      <c r="S62" s="138">
        <v>0</v>
      </c>
      <c r="T62" s="138">
        <f t="shared" si="11"/>
        <v>366931</v>
      </c>
      <c r="U62" s="138">
        <v>0</v>
      </c>
      <c r="V62" s="138">
        <f t="shared" si="12"/>
        <v>366931</v>
      </c>
      <c r="W62" s="138">
        <v>0</v>
      </c>
      <c r="X62" s="138">
        <f t="shared" si="13"/>
        <v>366931</v>
      </c>
      <c r="Y62" s="138">
        <v>0</v>
      </c>
      <c r="Z62" s="138">
        <f t="shared" si="14"/>
        <v>366931</v>
      </c>
      <c r="AA62" s="138">
        <v>0</v>
      </c>
      <c r="AB62" s="138">
        <f t="shared" si="28"/>
        <v>366931</v>
      </c>
      <c r="AC62" s="138">
        <v>0</v>
      </c>
      <c r="AD62" s="138">
        <f t="shared" si="29"/>
        <v>366931</v>
      </c>
      <c r="AE62" s="138">
        <v>0</v>
      </c>
      <c r="AF62" s="138">
        <f t="shared" si="30"/>
        <v>366931</v>
      </c>
      <c r="AG62" s="138">
        <v>0</v>
      </c>
      <c r="AH62" s="138">
        <f t="shared" si="31"/>
        <v>366931</v>
      </c>
      <c r="AI62" s="138">
        <v>0</v>
      </c>
      <c r="AJ62" s="138">
        <f t="shared" si="32"/>
        <v>366931</v>
      </c>
    </row>
    <row r="63" spans="1:36" s="27" customFormat="1" ht="21.75" customHeight="1">
      <c r="A63" s="75"/>
      <c r="B63" s="76"/>
      <c r="C63" s="136" t="s">
        <v>446</v>
      </c>
      <c r="D63" s="137" t="s">
        <v>288</v>
      </c>
      <c r="E63" s="138">
        <v>7200</v>
      </c>
      <c r="F63" s="138"/>
      <c r="G63" s="138"/>
      <c r="H63" s="138">
        <f t="shared" si="33"/>
        <v>7200</v>
      </c>
      <c r="I63" s="138">
        <v>0</v>
      </c>
      <c r="J63" s="138">
        <f t="shared" si="5"/>
        <v>7200</v>
      </c>
      <c r="K63" s="138">
        <v>0</v>
      </c>
      <c r="L63" s="138">
        <f t="shared" si="7"/>
        <v>7200</v>
      </c>
      <c r="M63" s="138">
        <v>0</v>
      </c>
      <c r="N63" s="138">
        <f t="shared" si="8"/>
        <v>7200</v>
      </c>
      <c r="O63" s="138">
        <v>0</v>
      </c>
      <c r="P63" s="138">
        <f t="shared" si="9"/>
        <v>7200</v>
      </c>
      <c r="Q63" s="138">
        <v>0</v>
      </c>
      <c r="R63" s="138">
        <f t="shared" si="10"/>
        <v>7200</v>
      </c>
      <c r="S63" s="138">
        <v>0</v>
      </c>
      <c r="T63" s="138">
        <f t="shared" si="11"/>
        <v>7200</v>
      </c>
      <c r="U63" s="138">
        <v>0</v>
      </c>
      <c r="V63" s="138">
        <f t="shared" si="12"/>
        <v>7200</v>
      </c>
      <c r="W63" s="138">
        <v>0</v>
      </c>
      <c r="X63" s="138">
        <f t="shared" si="13"/>
        <v>7200</v>
      </c>
      <c r="Y63" s="138">
        <v>0</v>
      </c>
      <c r="Z63" s="138">
        <f t="shared" si="14"/>
        <v>7200</v>
      </c>
      <c r="AA63" s="138">
        <v>0</v>
      </c>
      <c r="AB63" s="138">
        <f t="shared" si="28"/>
        <v>7200</v>
      </c>
      <c r="AC63" s="138">
        <v>0</v>
      </c>
      <c r="AD63" s="138">
        <f t="shared" si="29"/>
        <v>7200</v>
      </c>
      <c r="AE63" s="138">
        <v>0</v>
      </c>
      <c r="AF63" s="138">
        <f t="shared" si="30"/>
        <v>7200</v>
      </c>
      <c r="AG63" s="138">
        <v>0</v>
      </c>
      <c r="AH63" s="138">
        <f t="shared" si="31"/>
        <v>7200</v>
      </c>
      <c r="AI63" s="138">
        <v>0</v>
      </c>
      <c r="AJ63" s="138">
        <f t="shared" si="32"/>
        <v>7200</v>
      </c>
    </row>
    <row r="64" spans="1:36" s="27" customFormat="1" ht="21" customHeight="1">
      <c r="A64" s="75"/>
      <c r="B64" s="76"/>
      <c r="C64" s="136" t="s">
        <v>447</v>
      </c>
      <c r="D64" s="137" t="s">
        <v>289</v>
      </c>
      <c r="E64" s="138">
        <v>195000</v>
      </c>
      <c r="F64" s="138"/>
      <c r="G64" s="138"/>
      <c r="H64" s="138">
        <f t="shared" si="33"/>
        <v>195000</v>
      </c>
      <c r="I64" s="138">
        <v>0</v>
      </c>
      <c r="J64" s="138">
        <f t="shared" si="5"/>
        <v>195000</v>
      </c>
      <c r="K64" s="138">
        <v>0</v>
      </c>
      <c r="L64" s="138">
        <f t="shared" si="7"/>
        <v>195000</v>
      </c>
      <c r="M64" s="138">
        <v>0</v>
      </c>
      <c r="N64" s="138">
        <f t="shared" si="8"/>
        <v>195000</v>
      </c>
      <c r="O64" s="138">
        <v>0</v>
      </c>
      <c r="P64" s="138">
        <f t="shared" si="9"/>
        <v>195000</v>
      </c>
      <c r="Q64" s="138">
        <v>0</v>
      </c>
      <c r="R64" s="138">
        <f t="shared" si="10"/>
        <v>195000</v>
      </c>
      <c r="S64" s="138">
        <v>0</v>
      </c>
      <c r="T64" s="138">
        <f t="shared" si="11"/>
        <v>195000</v>
      </c>
      <c r="U64" s="138">
        <v>0</v>
      </c>
      <c r="V64" s="138">
        <f t="shared" si="12"/>
        <v>195000</v>
      </c>
      <c r="W64" s="138">
        <v>0</v>
      </c>
      <c r="X64" s="138">
        <f t="shared" si="13"/>
        <v>195000</v>
      </c>
      <c r="Y64" s="138">
        <v>0</v>
      </c>
      <c r="Z64" s="138">
        <f t="shared" si="14"/>
        <v>195000</v>
      </c>
      <c r="AA64" s="138">
        <v>0</v>
      </c>
      <c r="AB64" s="138">
        <f t="shared" si="28"/>
        <v>195000</v>
      </c>
      <c r="AC64" s="138">
        <v>0</v>
      </c>
      <c r="AD64" s="138">
        <f t="shared" si="29"/>
        <v>195000</v>
      </c>
      <c r="AE64" s="138">
        <v>0</v>
      </c>
      <c r="AF64" s="138">
        <f t="shared" si="30"/>
        <v>195000</v>
      </c>
      <c r="AG64" s="138">
        <v>0</v>
      </c>
      <c r="AH64" s="138">
        <f t="shared" si="31"/>
        <v>195000</v>
      </c>
      <c r="AI64" s="138">
        <v>25000</v>
      </c>
      <c r="AJ64" s="138">
        <f t="shared" si="32"/>
        <v>220000</v>
      </c>
    </row>
    <row r="65" spans="1:36" s="27" customFormat="1" ht="11.25" hidden="1">
      <c r="A65" s="75"/>
      <c r="B65" s="76"/>
      <c r="C65" s="136" t="s">
        <v>448</v>
      </c>
      <c r="D65" s="137" t="s">
        <v>291</v>
      </c>
      <c r="E65" s="138"/>
      <c r="F65" s="138"/>
      <c r="G65" s="138"/>
      <c r="H65" s="138">
        <f t="shared" si="33"/>
        <v>0</v>
      </c>
      <c r="I65" s="138"/>
      <c r="J65" s="138">
        <f t="shared" si="5"/>
        <v>0</v>
      </c>
      <c r="K65" s="138"/>
      <c r="L65" s="138">
        <f t="shared" si="7"/>
        <v>0</v>
      </c>
      <c r="M65" s="138"/>
      <c r="N65" s="138">
        <f t="shared" si="8"/>
        <v>0</v>
      </c>
      <c r="O65" s="138"/>
      <c r="P65" s="138">
        <f t="shared" si="9"/>
        <v>0</v>
      </c>
      <c r="Q65" s="138"/>
      <c r="R65" s="138">
        <f t="shared" si="10"/>
        <v>0</v>
      </c>
      <c r="S65" s="138"/>
      <c r="T65" s="138">
        <f t="shared" si="11"/>
        <v>0</v>
      </c>
      <c r="U65" s="138"/>
      <c r="V65" s="138">
        <f t="shared" si="12"/>
        <v>0</v>
      </c>
      <c r="W65" s="138"/>
      <c r="X65" s="138">
        <f t="shared" si="13"/>
        <v>0</v>
      </c>
      <c r="Y65" s="138"/>
      <c r="Z65" s="138">
        <f t="shared" si="14"/>
        <v>0</v>
      </c>
      <c r="AA65" s="138"/>
      <c r="AB65" s="138">
        <f t="shared" si="28"/>
        <v>0</v>
      </c>
      <c r="AC65" s="138"/>
      <c r="AD65" s="138">
        <f t="shared" si="29"/>
        <v>0</v>
      </c>
      <c r="AE65" s="138"/>
      <c r="AF65" s="138">
        <f t="shared" si="30"/>
        <v>0</v>
      </c>
      <c r="AG65" s="138"/>
      <c r="AH65" s="138">
        <f t="shared" si="31"/>
        <v>0</v>
      </c>
      <c r="AI65" s="138"/>
      <c r="AJ65" s="138">
        <f t="shared" si="32"/>
        <v>0</v>
      </c>
    </row>
    <row r="66" spans="1:36" s="27" customFormat="1" ht="21.75" customHeight="1">
      <c r="A66" s="75"/>
      <c r="B66" s="76"/>
      <c r="C66" s="136" t="s">
        <v>448</v>
      </c>
      <c r="D66" s="137" t="s">
        <v>291</v>
      </c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>
        <v>0</v>
      </c>
      <c r="S66" s="138">
        <v>14000</v>
      </c>
      <c r="T66" s="138">
        <f t="shared" si="11"/>
        <v>14000</v>
      </c>
      <c r="U66" s="138">
        <v>0</v>
      </c>
      <c r="V66" s="138">
        <f t="shared" si="12"/>
        <v>14000</v>
      </c>
      <c r="W66" s="138">
        <v>0</v>
      </c>
      <c r="X66" s="138">
        <f t="shared" si="13"/>
        <v>14000</v>
      </c>
      <c r="Y66" s="138">
        <v>6000</v>
      </c>
      <c r="Z66" s="138">
        <f t="shared" si="14"/>
        <v>20000</v>
      </c>
      <c r="AA66" s="138">
        <v>0</v>
      </c>
      <c r="AB66" s="138">
        <f t="shared" si="28"/>
        <v>20000</v>
      </c>
      <c r="AC66" s="138">
        <v>0</v>
      </c>
      <c r="AD66" s="138">
        <f t="shared" si="29"/>
        <v>20000</v>
      </c>
      <c r="AE66" s="138">
        <v>0</v>
      </c>
      <c r="AF66" s="138">
        <f t="shared" si="30"/>
        <v>20000</v>
      </c>
      <c r="AG66" s="138">
        <v>16000</v>
      </c>
      <c r="AH66" s="138">
        <f t="shared" si="31"/>
        <v>36000</v>
      </c>
      <c r="AI66" s="138">
        <v>0</v>
      </c>
      <c r="AJ66" s="138">
        <f t="shared" si="32"/>
        <v>36000</v>
      </c>
    </row>
    <row r="67" spans="1:36" s="27" customFormat="1" ht="21.75" customHeight="1">
      <c r="A67" s="75"/>
      <c r="B67" s="76"/>
      <c r="C67" s="136" t="s">
        <v>449</v>
      </c>
      <c r="D67" s="137" t="s">
        <v>292</v>
      </c>
      <c r="E67" s="138">
        <v>6000</v>
      </c>
      <c r="F67" s="138"/>
      <c r="G67" s="138"/>
      <c r="H67" s="138">
        <f t="shared" si="33"/>
        <v>6000</v>
      </c>
      <c r="I67" s="138">
        <v>0</v>
      </c>
      <c r="J67" s="138">
        <f t="shared" si="5"/>
        <v>6000</v>
      </c>
      <c r="K67" s="138">
        <v>0</v>
      </c>
      <c r="L67" s="138">
        <f t="shared" si="7"/>
        <v>6000</v>
      </c>
      <c r="M67" s="138">
        <v>0</v>
      </c>
      <c r="N67" s="138">
        <f t="shared" si="8"/>
        <v>6000</v>
      </c>
      <c r="O67" s="138">
        <v>0</v>
      </c>
      <c r="P67" s="138">
        <f t="shared" si="9"/>
        <v>6000</v>
      </c>
      <c r="Q67" s="138">
        <v>0</v>
      </c>
      <c r="R67" s="138">
        <f t="shared" si="10"/>
        <v>6000</v>
      </c>
      <c r="S67" s="138">
        <v>0</v>
      </c>
      <c r="T67" s="138">
        <f t="shared" si="11"/>
        <v>6000</v>
      </c>
      <c r="U67" s="138">
        <v>0</v>
      </c>
      <c r="V67" s="138">
        <f t="shared" si="12"/>
        <v>6000</v>
      </c>
      <c r="W67" s="138">
        <v>0</v>
      </c>
      <c r="X67" s="138">
        <f t="shared" si="13"/>
        <v>6000</v>
      </c>
      <c r="Y67" s="138">
        <v>0</v>
      </c>
      <c r="Z67" s="138">
        <f t="shared" si="14"/>
        <v>6000</v>
      </c>
      <c r="AA67" s="138">
        <v>0</v>
      </c>
      <c r="AB67" s="138">
        <f t="shared" si="28"/>
        <v>6000</v>
      </c>
      <c r="AC67" s="138">
        <v>0</v>
      </c>
      <c r="AD67" s="138">
        <f t="shared" si="29"/>
        <v>6000</v>
      </c>
      <c r="AE67" s="138">
        <v>0</v>
      </c>
      <c r="AF67" s="138">
        <f t="shared" si="30"/>
        <v>6000</v>
      </c>
      <c r="AG67" s="138">
        <v>0</v>
      </c>
      <c r="AH67" s="138">
        <f t="shared" si="31"/>
        <v>6000</v>
      </c>
      <c r="AI67" s="138">
        <v>0</v>
      </c>
      <c r="AJ67" s="138">
        <f t="shared" si="32"/>
        <v>6000</v>
      </c>
    </row>
    <row r="68" spans="1:36" s="27" customFormat="1" ht="21.75" customHeight="1">
      <c r="A68" s="75"/>
      <c r="B68" s="76"/>
      <c r="C68" s="136" t="s">
        <v>450</v>
      </c>
      <c r="D68" s="137" t="s">
        <v>293</v>
      </c>
      <c r="E68" s="138">
        <v>70000</v>
      </c>
      <c r="F68" s="138"/>
      <c r="G68" s="138"/>
      <c r="H68" s="138">
        <f t="shared" si="33"/>
        <v>70000</v>
      </c>
      <c r="I68" s="138">
        <v>0</v>
      </c>
      <c r="J68" s="138">
        <f t="shared" si="5"/>
        <v>70000</v>
      </c>
      <c r="K68" s="138">
        <v>0</v>
      </c>
      <c r="L68" s="138">
        <f t="shared" si="7"/>
        <v>70000</v>
      </c>
      <c r="M68" s="138">
        <v>0</v>
      </c>
      <c r="N68" s="138">
        <f t="shared" si="8"/>
        <v>70000</v>
      </c>
      <c r="O68" s="138">
        <v>0</v>
      </c>
      <c r="P68" s="138">
        <f t="shared" si="9"/>
        <v>70000</v>
      </c>
      <c r="Q68" s="138">
        <v>0</v>
      </c>
      <c r="R68" s="138">
        <f t="shared" si="10"/>
        <v>70000</v>
      </c>
      <c r="S68" s="138">
        <v>0</v>
      </c>
      <c r="T68" s="138">
        <f t="shared" si="11"/>
        <v>70000</v>
      </c>
      <c r="U68" s="138">
        <v>0</v>
      </c>
      <c r="V68" s="138">
        <f t="shared" si="12"/>
        <v>70000</v>
      </c>
      <c r="W68" s="138">
        <v>0</v>
      </c>
      <c r="X68" s="138">
        <f t="shared" si="13"/>
        <v>70000</v>
      </c>
      <c r="Y68" s="138">
        <v>0</v>
      </c>
      <c r="Z68" s="138">
        <f t="shared" si="14"/>
        <v>70000</v>
      </c>
      <c r="AA68" s="138">
        <v>0</v>
      </c>
      <c r="AB68" s="138">
        <f t="shared" si="28"/>
        <v>70000</v>
      </c>
      <c r="AC68" s="138">
        <v>0</v>
      </c>
      <c r="AD68" s="138">
        <f t="shared" si="29"/>
        <v>70000</v>
      </c>
      <c r="AE68" s="138">
        <v>0</v>
      </c>
      <c r="AF68" s="138">
        <f t="shared" si="30"/>
        <v>70000</v>
      </c>
      <c r="AG68" s="138">
        <v>0</v>
      </c>
      <c r="AH68" s="138">
        <f t="shared" si="31"/>
        <v>70000</v>
      </c>
      <c r="AI68" s="138">
        <v>0</v>
      </c>
      <c r="AJ68" s="138">
        <f t="shared" si="32"/>
        <v>70000</v>
      </c>
    </row>
    <row r="69" spans="1:36" s="27" customFormat="1" ht="21.75" customHeight="1">
      <c r="A69" s="75"/>
      <c r="B69" s="76"/>
      <c r="C69" s="136" t="s">
        <v>451</v>
      </c>
      <c r="D69" s="137" t="s">
        <v>294</v>
      </c>
      <c r="E69" s="138">
        <v>300</v>
      </c>
      <c r="F69" s="138"/>
      <c r="G69" s="138"/>
      <c r="H69" s="138">
        <f t="shared" si="33"/>
        <v>300</v>
      </c>
      <c r="I69" s="138">
        <v>0</v>
      </c>
      <c r="J69" s="138">
        <f t="shared" si="5"/>
        <v>300</v>
      </c>
      <c r="K69" s="138">
        <v>0</v>
      </c>
      <c r="L69" s="138">
        <f t="shared" si="7"/>
        <v>300</v>
      </c>
      <c r="M69" s="138">
        <v>0</v>
      </c>
      <c r="N69" s="138">
        <f t="shared" si="8"/>
        <v>300</v>
      </c>
      <c r="O69" s="138">
        <v>0</v>
      </c>
      <c r="P69" s="138">
        <f t="shared" si="9"/>
        <v>300</v>
      </c>
      <c r="Q69" s="138">
        <v>0</v>
      </c>
      <c r="R69" s="138">
        <f t="shared" si="10"/>
        <v>300</v>
      </c>
      <c r="S69" s="138">
        <v>0</v>
      </c>
      <c r="T69" s="138">
        <f t="shared" si="11"/>
        <v>300</v>
      </c>
      <c r="U69" s="138">
        <v>0</v>
      </c>
      <c r="V69" s="138">
        <f t="shared" si="12"/>
        <v>300</v>
      </c>
      <c r="W69" s="138">
        <v>0</v>
      </c>
      <c r="X69" s="138">
        <f t="shared" si="13"/>
        <v>300</v>
      </c>
      <c r="Y69" s="138">
        <v>0</v>
      </c>
      <c r="Z69" s="138">
        <f t="shared" si="14"/>
        <v>300</v>
      </c>
      <c r="AA69" s="138">
        <v>0</v>
      </c>
      <c r="AB69" s="138">
        <f t="shared" si="28"/>
        <v>300</v>
      </c>
      <c r="AC69" s="138">
        <v>0</v>
      </c>
      <c r="AD69" s="138">
        <f t="shared" si="29"/>
        <v>300</v>
      </c>
      <c r="AE69" s="138">
        <v>0</v>
      </c>
      <c r="AF69" s="138">
        <f t="shared" si="30"/>
        <v>300</v>
      </c>
      <c r="AG69" s="138">
        <v>0</v>
      </c>
      <c r="AH69" s="138">
        <f t="shared" si="31"/>
        <v>300</v>
      </c>
      <c r="AI69" s="138">
        <v>0</v>
      </c>
      <c r="AJ69" s="138">
        <f t="shared" si="32"/>
        <v>300</v>
      </c>
    </row>
    <row r="70" spans="1:36" s="27" customFormat="1" ht="24">
      <c r="A70" s="75"/>
      <c r="B70" s="76"/>
      <c r="C70" s="136" t="s">
        <v>452</v>
      </c>
      <c r="D70" s="137" t="s">
        <v>295</v>
      </c>
      <c r="E70" s="138">
        <v>2000</v>
      </c>
      <c r="F70" s="138"/>
      <c r="G70" s="138"/>
      <c r="H70" s="138">
        <f t="shared" si="33"/>
        <v>2000</v>
      </c>
      <c r="I70" s="138">
        <v>-2000</v>
      </c>
      <c r="J70" s="138">
        <f t="shared" si="5"/>
        <v>0</v>
      </c>
      <c r="K70" s="138"/>
      <c r="L70" s="138">
        <f t="shared" si="7"/>
        <v>0</v>
      </c>
      <c r="M70" s="138">
        <v>0</v>
      </c>
      <c r="N70" s="138">
        <f t="shared" si="8"/>
        <v>0</v>
      </c>
      <c r="O70" s="138">
        <v>0</v>
      </c>
      <c r="P70" s="138">
        <f t="shared" si="9"/>
        <v>0</v>
      </c>
      <c r="Q70" s="138">
        <v>0</v>
      </c>
      <c r="R70" s="138">
        <f t="shared" si="10"/>
        <v>0</v>
      </c>
      <c r="S70" s="138">
        <v>0</v>
      </c>
      <c r="T70" s="138">
        <f t="shared" si="11"/>
        <v>0</v>
      </c>
      <c r="U70" s="138">
        <v>0</v>
      </c>
      <c r="V70" s="138">
        <f t="shared" si="12"/>
        <v>0</v>
      </c>
      <c r="W70" s="138">
        <v>0</v>
      </c>
      <c r="X70" s="138">
        <f t="shared" si="13"/>
        <v>0</v>
      </c>
      <c r="Y70" s="138">
        <v>0</v>
      </c>
      <c r="Z70" s="138">
        <f t="shared" si="14"/>
        <v>0</v>
      </c>
      <c r="AA70" s="138">
        <v>0</v>
      </c>
      <c r="AB70" s="138">
        <f t="shared" si="28"/>
        <v>0</v>
      </c>
      <c r="AC70" s="138">
        <v>0</v>
      </c>
      <c r="AD70" s="138">
        <f t="shared" si="29"/>
        <v>0</v>
      </c>
      <c r="AE70" s="138">
        <v>0</v>
      </c>
      <c r="AF70" s="138">
        <f t="shared" si="30"/>
        <v>0</v>
      </c>
      <c r="AG70" s="138">
        <v>0</v>
      </c>
      <c r="AH70" s="138">
        <f t="shared" si="31"/>
        <v>0</v>
      </c>
      <c r="AI70" s="138">
        <v>0</v>
      </c>
      <c r="AJ70" s="138">
        <f t="shared" si="32"/>
        <v>0</v>
      </c>
    </row>
    <row r="71" spans="1:36" s="27" customFormat="1" ht="21.75" customHeight="1">
      <c r="A71" s="75"/>
      <c r="B71" s="76"/>
      <c r="C71" s="136" t="s">
        <v>454</v>
      </c>
      <c r="D71" s="137" t="s">
        <v>296</v>
      </c>
      <c r="E71" s="138">
        <v>400000</v>
      </c>
      <c r="F71" s="138"/>
      <c r="G71" s="138"/>
      <c r="H71" s="138">
        <f t="shared" si="33"/>
        <v>400000</v>
      </c>
      <c r="I71" s="138">
        <v>0</v>
      </c>
      <c r="J71" s="138">
        <f t="shared" si="5"/>
        <v>400000</v>
      </c>
      <c r="K71" s="138">
        <v>0</v>
      </c>
      <c r="L71" s="138">
        <f t="shared" si="7"/>
        <v>400000</v>
      </c>
      <c r="M71" s="138">
        <v>0</v>
      </c>
      <c r="N71" s="138">
        <f t="shared" si="8"/>
        <v>400000</v>
      </c>
      <c r="O71" s="138">
        <v>0</v>
      </c>
      <c r="P71" s="138">
        <f t="shared" si="9"/>
        <v>400000</v>
      </c>
      <c r="Q71" s="138">
        <v>0</v>
      </c>
      <c r="R71" s="138">
        <f t="shared" si="10"/>
        <v>400000</v>
      </c>
      <c r="S71" s="138">
        <v>0</v>
      </c>
      <c r="T71" s="138">
        <f t="shared" si="11"/>
        <v>400000</v>
      </c>
      <c r="U71" s="138">
        <v>0</v>
      </c>
      <c r="V71" s="138">
        <f t="shared" si="12"/>
        <v>400000</v>
      </c>
      <c r="W71" s="138">
        <v>0</v>
      </c>
      <c r="X71" s="138">
        <f t="shared" si="13"/>
        <v>400000</v>
      </c>
      <c r="Y71" s="138">
        <v>0</v>
      </c>
      <c r="Z71" s="138">
        <f t="shared" si="14"/>
        <v>400000</v>
      </c>
      <c r="AA71" s="138">
        <v>0</v>
      </c>
      <c r="AB71" s="138">
        <f t="shared" si="28"/>
        <v>400000</v>
      </c>
      <c r="AC71" s="138">
        <v>0</v>
      </c>
      <c r="AD71" s="138">
        <f t="shared" si="29"/>
        <v>400000</v>
      </c>
      <c r="AE71" s="138">
        <v>0</v>
      </c>
      <c r="AF71" s="138">
        <f t="shared" si="30"/>
        <v>400000</v>
      </c>
      <c r="AG71" s="138">
        <v>126000</v>
      </c>
      <c r="AH71" s="138">
        <f t="shared" si="31"/>
        <v>526000</v>
      </c>
      <c r="AI71" s="138">
        <v>80000</v>
      </c>
      <c r="AJ71" s="138">
        <f t="shared" si="32"/>
        <v>606000</v>
      </c>
    </row>
    <row r="72" spans="1:36" s="27" customFormat="1" ht="21.75" customHeight="1">
      <c r="A72" s="75"/>
      <c r="B72" s="76"/>
      <c r="C72" s="136" t="s">
        <v>443</v>
      </c>
      <c r="D72" s="137" t="s">
        <v>515</v>
      </c>
      <c r="E72" s="138">
        <v>40000</v>
      </c>
      <c r="F72" s="138"/>
      <c r="G72" s="138"/>
      <c r="H72" s="138">
        <f t="shared" si="33"/>
        <v>40000</v>
      </c>
      <c r="I72" s="138">
        <v>0</v>
      </c>
      <c r="J72" s="138">
        <f t="shared" si="5"/>
        <v>40000</v>
      </c>
      <c r="K72" s="138">
        <v>0</v>
      </c>
      <c r="L72" s="138">
        <f t="shared" si="7"/>
        <v>40000</v>
      </c>
      <c r="M72" s="138">
        <v>0</v>
      </c>
      <c r="N72" s="138">
        <f t="shared" si="8"/>
        <v>40000</v>
      </c>
      <c r="O72" s="138">
        <v>0</v>
      </c>
      <c r="P72" s="138">
        <f t="shared" si="9"/>
        <v>40000</v>
      </c>
      <c r="Q72" s="138">
        <v>0</v>
      </c>
      <c r="R72" s="138">
        <f t="shared" si="10"/>
        <v>40000</v>
      </c>
      <c r="S72" s="138">
        <v>0</v>
      </c>
      <c r="T72" s="138">
        <f t="shared" si="11"/>
        <v>40000</v>
      </c>
      <c r="U72" s="138">
        <v>0</v>
      </c>
      <c r="V72" s="138">
        <f t="shared" si="12"/>
        <v>40000</v>
      </c>
      <c r="W72" s="138">
        <v>0</v>
      </c>
      <c r="X72" s="138">
        <f t="shared" si="13"/>
        <v>40000</v>
      </c>
      <c r="Y72" s="138">
        <v>17000</v>
      </c>
      <c r="Z72" s="138">
        <f t="shared" si="14"/>
        <v>57000</v>
      </c>
      <c r="AA72" s="138">
        <v>0</v>
      </c>
      <c r="AB72" s="138">
        <f t="shared" si="28"/>
        <v>57000</v>
      </c>
      <c r="AC72" s="138">
        <v>0</v>
      </c>
      <c r="AD72" s="138">
        <f t="shared" si="29"/>
        <v>57000</v>
      </c>
      <c r="AE72" s="138">
        <v>0</v>
      </c>
      <c r="AF72" s="138">
        <f t="shared" si="30"/>
        <v>57000</v>
      </c>
      <c r="AG72" s="138">
        <v>0</v>
      </c>
      <c r="AH72" s="138">
        <f t="shared" si="31"/>
        <v>57000</v>
      </c>
      <c r="AI72" s="138">
        <v>0</v>
      </c>
      <c r="AJ72" s="138">
        <f t="shared" si="32"/>
        <v>57000</v>
      </c>
    </row>
    <row r="73" spans="1:36" s="27" customFormat="1" ht="36">
      <c r="A73" s="75"/>
      <c r="B73" s="76" t="s">
        <v>297</v>
      </c>
      <c r="C73" s="228"/>
      <c r="D73" s="137" t="s">
        <v>298</v>
      </c>
      <c r="E73" s="138">
        <f>SUM(E74:E77)</f>
        <v>604000</v>
      </c>
      <c r="F73" s="138">
        <f>SUM(F74:F77)</f>
        <v>0</v>
      </c>
      <c r="G73" s="138">
        <f>SUM(G74:G77)</f>
        <v>0</v>
      </c>
      <c r="H73" s="138">
        <f t="shared" si="33"/>
        <v>604000</v>
      </c>
      <c r="I73" s="138">
        <f>SUM(I74:I77)</f>
        <v>2000</v>
      </c>
      <c r="J73" s="138">
        <f t="shared" si="5"/>
        <v>606000</v>
      </c>
      <c r="K73" s="138">
        <f>SUM(K74:K77)</f>
        <v>0</v>
      </c>
      <c r="L73" s="138">
        <f t="shared" si="7"/>
        <v>606000</v>
      </c>
      <c r="M73" s="138">
        <f>SUM(M74:M77)</f>
        <v>0</v>
      </c>
      <c r="N73" s="138">
        <f t="shared" si="8"/>
        <v>606000</v>
      </c>
      <c r="O73" s="138">
        <f>SUM(O74:O77)</f>
        <v>0</v>
      </c>
      <c r="P73" s="138">
        <f t="shared" si="9"/>
        <v>606000</v>
      </c>
      <c r="Q73" s="138">
        <f>SUM(Q74:Q77)</f>
        <v>0</v>
      </c>
      <c r="R73" s="138">
        <f t="shared" si="10"/>
        <v>606000</v>
      </c>
      <c r="S73" s="138">
        <f>SUM(S74:S77)</f>
        <v>0</v>
      </c>
      <c r="T73" s="138">
        <f t="shared" si="11"/>
        <v>606000</v>
      </c>
      <c r="U73" s="138">
        <f>SUM(U74:U77)</f>
        <v>0</v>
      </c>
      <c r="V73" s="138">
        <f t="shared" si="12"/>
        <v>606000</v>
      </c>
      <c r="W73" s="138">
        <f>SUM(W74:W77)</f>
        <v>0</v>
      </c>
      <c r="X73" s="138">
        <f t="shared" si="13"/>
        <v>606000</v>
      </c>
      <c r="Y73" s="138">
        <f>SUM(Y74:Y77)</f>
        <v>6000</v>
      </c>
      <c r="Z73" s="138">
        <f t="shared" si="14"/>
        <v>612000</v>
      </c>
      <c r="AA73" s="138">
        <f>SUM(AA74:AA77)</f>
        <v>0</v>
      </c>
      <c r="AB73" s="138">
        <f t="shared" si="28"/>
        <v>612000</v>
      </c>
      <c r="AC73" s="138">
        <f>SUM(AC74:AC77)</f>
        <v>0</v>
      </c>
      <c r="AD73" s="138">
        <f t="shared" si="29"/>
        <v>612000</v>
      </c>
      <c r="AE73" s="138">
        <f>SUM(AE74:AE77)</f>
        <v>0</v>
      </c>
      <c r="AF73" s="138">
        <f t="shared" si="30"/>
        <v>612000</v>
      </c>
      <c r="AG73" s="138">
        <f>SUM(AG74:AG78)</f>
        <v>25790</v>
      </c>
      <c r="AH73" s="138">
        <f t="shared" si="31"/>
        <v>637790</v>
      </c>
      <c r="AI73" s="138">
        <f>SUM(AI74:AI78)</f>
        <v>-135000</v>
      </c>
      <c r="AJ73" s="138">
        <f t="shared" si="32"/>
        <v>502790</v>
      </c>
    </row>
    <row r="74" spans="1:36" s="27" customFormat="1" ht="21.75" customHeight="1">
      <c r="A74" s="75"/>
      <c r="B74" s="76"/>
      <c r="C74" s="136" t="s">
        <v>455</v>
      </c>
      <c r="D74" s="137" t="s">
        <v>299</v>
      </c>
      <c r="E74" s="138">
        <v>200000</v>
      </c>
      <c r="F74" s="138"/>
      <c r="G74" s="138"/>
      <c r="H74" s="138">
        <f t="shared" si="33"/>
        <v>200000</v>
      </c>
      <c r="I74" s="138">
        <v>2000</v>
      </c>
      <c r="J74" s="138">
        <f t="shared" si="5"/>
        <v>202000</v>
      </c>
      <c r="K74" s="138"/>
      <c r="L74" s="138">
        <f t="shared" si="7"/>
        <v>202000</v>
      </c>
      <c r="M74" s="138">
        <v>0</v>
      </c>
      <c r="N74" s="138">
        <f t="shared" si="8"/>
        <v>202000</v>
      </c>
      <c r="O74" s="138">
        <v>0</v>
      </c>
      <c r="P74" s="138">
        <f t="shared" si="9"/>
        <v>202000</v>
      </c>
      <c r="Q74" s="138">
        <v>0</v>
      </c>
      <c r="R74" s="138">
        <f t="shared" si="10"/>
        <v>202000</v>
      </c>
      <c r="S74" s="138">
        <v>0</v>
      </c>
      <c r="T74" s="138">
        <f t="shared" si="11"/>
        <v>202000</v>
      </c>
      <c r="U74" s="138">
        <v>0</v>
      </c>
      <c r="V74" s="138">
        <f t="shared" si="12"/>
        <v>202000</v>
      </c>
      <c r="W74" s="138">
        <v>0</v>
      </c>
      <c r="X74" s="138">
        <f t="shared" si="13"/>
        <v>202000</v>
      </c>
      <c r="Y74" s="138">
        <v>0</v>
      </c>
      <c r="Z74" s="138">
        <f t="shared" si="14"/>
        <v>202000</v>
      </c>
      <c r="AA74" s="138">
        <v>0</v>
      </c>
      <c r="AB74" s="138">
        <f t="shared" si="28"/>
        <v>202000</v>
      </c>
      <c r="AC74" s="138">
        <v>0</v>
      </c>
      <c r="AD74" s="138">
        <f t="shared" si="29"/>
        <v>202000</v>
      </c>
      <c r="AE74" s="138">
        <v>0</v>
      </c>
      <c r="AF74" s="138">
        <f t="shared" si="30"/>
        <v>202000</v>
      </c>
      <c r="AG74" s="138">
        <v>0</v>
      </c>
      <c r="AH74" s="138">
        <f t="shared" si="31"/>
        <v>202000</v>
      </c>
      <c r="AI74" s="138">
        <v>-50000</v>
      </c>
      <c r="AJ74" s="138">
        <f t="shared" si="32"/>
        <v>152000</v>
      </c>
    </row>
    <row r="75" spans="1:36" s="27" customFormat="1" ht="21.75" customHeight="1">
      <c r="A75" s="75"/>
      <c r="B75" s="76"/>
      <c r="C75" s="136" t="s">
        <v>453</v>
      </c>
      <c r="D75" s="137" t="s">
        <v>290</v>
      </c>
      <c r="E75" s="138">
        <v>14000</v>
      </c>
      <c r="F75" s="138"/>
      <c r="G75" s="138"/>
      <c r="H75" s="138">
        <f t="shared" si="33"/>
        <v>14000</v>
      </c>
      <c r="I75" s="138">
        <v>0</v>
      </c>
      <c r="J75" s="138">
        <f t="shared" si="5"/>
        <v>14000</v>
      </c>
      <c r="K75" s="138">
        <v>0</v>
      </c>
      <c r="L75" s="138">
        <f t="shared" si="7"/>
        <v>14000</v>
      </c>
      <c r="M75" s="138">
        <v>0</v>
      </c>
      <c r="N75" s="138">
        <f t="shared" si="8"/>
        <v>14000</v>
      </c>
      <c r="O75" s="138">
        <v>0</v>
      </c>
      <c r="P75" s="138">
        <f t="shared" si="9"/>
        <v>14000</v>
      </c>
      <c r="Q75" s="138">
        <v>0</v>
      </c>
      <c r="R75" s="138">
        <f t="shared" si="10"/>
        <v>14000</v>
      </c>
      <c r="S75" s="138">
        <v>0</v>
      </c>
      <c r="T75" s="138">
        <f t="shared" si="11"/>
        <v>14000</v>
      </c>
      <c r="U75" s="138">
        <v>0</v>
      </c>
      <c r="V75" s="138">
        <f t="shared" si="12"/>
        <v>14000</v>
      </c>
      <c r="W75" s="138">
        <v>0</v>
      </c>
      <c r="X75" s="138">
        <f t="shared" si="13"/>
        <v>14000</v>
      </c>
      <c r="Y75" s="138">
        <v>6000</v>
      </c>
      <c r="Z75" s="138">
        <f t="shared" si="14"/>
        <v>20000</v>
      </c>
      <c r="AA75" s="138">
        <v>0</v>
      </c>
      <c r="AB75" s="138">
        <f t="shared" si="28"/>
        <v>20000</v>
      </c>
      <c r="AC75" s="138">
        <v>0</v>
      </c>
      <c r="AD75" s="138">
        <f t="shared" si="29"/>
        <v>20000</v>
      </c>
      <c r="AE75" s="138">
        <v>0</v>
      </c>
      <c r="AF75" s="138">
        <f t="shared" si="30"/>
        <v>20000</v>
      </c>
      <c r="AG75" s="138">
        <v>0</v>
      </c>
      <c r="AH75" s="138">
        <f t="shared" si="31"/>
        <v>20000</v>
      </c>
      <c r="AI75" s="138">
        <v>0</v>
      </c>
      <c r="AJ75" s="138">
        <f t="shared" si="32"/>
        <v>20000</v>
      </c>
    </row>
    <row r="76" spans="1:36" s="27" customFormat="1" ht="24">
      <c r="A76" s="75"/>
      <c r="B76" s="76"/>
      <c r="C76" s="136" t="s">
        <v>459</v>
      </c>
      <c r="D76" s="137" t="s">
        <v>561</v>
      </c>
      <c r="E76" s="138">
        <v>290000</v>
      </c>
      <c r="F76" s="138"/>
      <c r="G76" s="138"/>
      <c r="H76" s="138">
        <f t="shared" si="33"/>
        <v>290000</v>
      </c>
      <c r="I76" s="138">
        <v>0</v>
      </c>
      <c r="J76" s="138">
        <f t="shared" si="5"/>
        <v>290000</v>
      </c>
      <c r="K76" s="138">
        <v>0</v>
      </c>
      <c r="L76" s="138">
        <f t="shared" si="7"/>
        <v>290000</v>
      </c>
      <c r="M76" s="138">
        <v>0</v>
      </c>
      <c r="N76" s="138">
        <f t="shared" si="8"/>
        <v>290000</v>
      </c>
      <c r="O76" s="138">
        <v>0</v>
      </c>
      <c r="P76" s="138">
        <f t="shared" si="9"/>
        <v>290000</v>
      </c>
      <c r="Q76" s="138">
        <v>0</v>
      </c>
      <c r="R76" s="138">
        <f t="shared" si="10"/>
        <v>290000</v>
      </c>
      <c r="S76" s="138">
        <v>0</v>
      </c>
      <c r="T76" s="138">
        <f t="shared" si="11"/>
        <v>290000</v>
      </c>
      <c r="U76" s="138">
        <v>0</v>
      </c>
      <c r="V76" s="138">
        <f t="shared" si="12"/>
        <v>290000</v>
      </c>
      <c r="W76" s="138">
        <v>0</v>
      </c>
      <c r="X76" s="138">
        <f t="shared" si="13"/>
        <v>290000</v>
      </c>
      <c r="Y76" s="138">
        <v>0</v>
      </c>
      <c r="Z76" s="138">
        <f t="shared" si="14"/>
        <v>290000</v>
      </c>
      <c r="AA76" s="138">
        <v>0</v>
      </c>
      <c r="AB76" s="138">
        <f t="shared" si="28"/>
        <v>290000</v>
      </c>
      <c r="AC76" s="138">
        <v>0</v>
      </c>
      <c r="AD76" s="138">
        <f t="shared" si="29"/>
        <v>290000</v>
      </c>
      <c r="AE76" s="138">
        <v>0</v>
      </c>
      <c r="AF76" s="138">
        <f t="shared" si="30"/>
        <v>290000</v>
      </c>
      <c r="AG76" s="138">
        <v>25710</v>
      </c>
      <c r="AH76" s="138">
        <f t="shared" si="31"/>
        <v>315710</v>
      </c>
      <c r="AI76" s="138">
        <v>0</v>
      </c>
      <c r="AJ76" s="138">
        <f t="shared" si="32"/>
        <v>315710</v>
      </c>
    </row>
    <row r="77" spans="1:36" s="27" customFormat="1" ht="36">
      <c r="A77" s="75"/>
      <c r="B77" s="76"/>
      <c r="C77" s="136" t="s">
        <v>436</v>
      </c>
      <c r="D77" s="137" t="s">
        <v>257</v>
      </c>
      <c r="E77" s="138">
        <v>100000</v>
      </c>
      <c r="F77" s="138"/>
      <c r="G77" s="138"/>
      <c r="H77" s="138">
        <f t="shared" si="33"/>
        <v>100000</v>
      </c>
      <c r="I77" s="138">
        <v>0</v>
      </c>
      <c r="J77" s="138">
        <f t="shared" si="5"/>
        <v>100000</v>
      </c>
      <c r="K77" s="138">
        <v>0</v>
      </c>
      <c r="L77" s="138">
        <f t="shared" si="7"/>
        <v>100000</v>
      </c>
      <c r="M77" s="138">
        <v>0</v>
      </c>
      <c r="N77" s="138">
        <f t="shared" si="8"/>
        <v>100000</v>
      </c>
      <c r="O77" s="138">
        <v>0</v>
      </c>
      <c r="P77" s="138">
        <f t="shared" si="9"/>
        <v>100000</v>
      </c>
      <c r="Q77" s="138">
        <v>0</v>
      </c>
      <c r="R77" s="138">
        <f t="shared" si="10"/>
        <v>100000</v>
      </c>
      <c r="S77" s="138">
        <v>0</v>
      </c>
      <c r="T77" s="138">
        <f t="shared" si="11"/>
        <v>100000</v>
      </c>
      <c r="U77" s="138">
        <v>0</v>
      </c>
      <c r="V77" s="138">
        <f t="shared" si="12"/>
        <v>100000</v>
      </c>
      <c r="W77" s="138">
        <v>0</v>
      </c>
      <c r="X77" s="138">
        <f t="shared" si="13"/>
        <v>100000</v>
      </c>
      <c r="Y77" s="138">
        <v>0</v>
      </c>
      <c r="Z77" s="138">
        <f t="shared" si="14"/>
        <v>100000</v>
      </c>
      <c r="AA77" s="138">
        <v>0</v>
      </c>
      <c r="AB77" s="138">
        <f t="shared" si="28"/>
        <v>100000</v>
      </c>
      <c r="AC77" s="138">
        <v>0</v>
      </c>
      <c r="AD77" s="138">
        <f t="shared" si="29"/>
        <v>100000</v>
      </c>
      <c r="AE77" s="138">
        <v>0</v>
      </c>
      <c r="AF77" s="138">
        <f t="shared" si="30"/>
        <v>100000</v>
      </c>
      <c r="AG77" s="138">
        <v>0</v>
      </c>
      <c r="AH77" s="138">
        <f t="shared" si="31"/>
        <v>100000</v>
      </c>
      <c r="AI77" s="138">
        <v>-85000</v>
      </c>
      <c r="AJ77" s="138">
        <f t="shared" si="32"/>
        <v>15000</v>
      </c>
    </row>
    <row r="78" spans="1:36" s="27" customFormat="1" ht="24">
      <c r="A78" s="75"/>
      <c r="B78" s="76"/>
      <c r="C78" s="136" t="s">
        <v>443</v>
      </c>
      <c r="D78" s="137" t="s">
        <v>515</v>
      </c>
      <c r="E78" s="138"/>
      <c r="F78" s="138"/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8"/>
      <c r="X78" s="138"/>
      <c r="Y78" s="138"/>
      <c r="Z78" s="138"/>
      <c r="AA78" s="138"/>
      <c r="AB78" s="138"/>
      <c r="AC78" s="138"/>
      <c r="AD78" s="138"/>
      <c r="AE78" s="138"/>
      <c r="AF78" s="138">
        <v>0</v>
      </c>
      <c r="AG78" s="138">
        <v>80</v>
      </c>
      <c r="AH78" s="138">
        <f t="shared" si="31"/>
        <v>80</v>
      </c>
      <c r="AI78" s="138">
        <v>0</v>
      </c>
      <c r="AJ78" s="138">
        <f t="shared" si="32"/>
        <v>80</v>
      </c>
    </row>
    <row r="79" spans="1:36" s="27" customFormat="1" ht="24">
      <c r="A79" s="75"/>
      <c r="B79" s="76" t="s">
        <v>300</v>
      </c>
      <c r="C79" s="228"/>
      <c r="D79" s="137" t="s">
        <v>301</v>
      </c>
      <c r="E79" s="138">
        <f>SUM(E80:E81)</f>
        <v>8403441</v>
      </c>
      <c r="F79" s="138">
        <f>SUM(F80:F81)</f>
        <v>0</v>
      </c>
      <c r="G79" s="138">
        <f>SUM(G80:G81)</f>
        <v>0</v>
      </c>
      <c r="H79" s="138">
        <f t="shared" si="33"/>
        <v>8403441</v>
      </c>
      <c r="I79" s="138">
        <f>SUM(I80:I81)</f>
        <v>-98931</v>
      </c>
      <c r="J79" s="138">
        <f t="shared" si="5"/>
        <v>8304510</v>
      </c>
      <c r="K79" s="138">
        <f>SUM(K80:K81)</f>
        <v>0</v>
      </c>
      <c r="L79" s="138">
        <f t="shared" si="7"/>
        <v>8304510</v>
      </c>
      <c r="M79" s="138">
        <f>SUM(M80:M81)</f>
        <v>0</v>
      </c>
      <c r="N79" s="138">
        <f t="shared" si="8"/>
        <v>8304510</v>
      </c>
      <c r="O79" s="138">
        <f>SUM(O80:O81)</f>
        <v>0</v>
      </c>
      <c r="P79" s="138">
        <f t="shared" si="9"/>
        <v>8304510</v>
      </c>
      <c r="Q79" s="138">
        <f>SUM(Q80:Q81)</f>
        <v>0</v>
      </c>
      <c r="R79" s="138">
        <f t="shared" si="10"/>
        <v>8304510</v>
      </c>
      <c r="S79" s="138">
        <f>SUM(S80:S81)</f>
        <v>0</v>
      </c>
      <c r="T79" s="138">
        <f t="shared" si="11"/>
        <v>8304510</v>
      </c>
      <c r="U79" s="138">
        <f>SUM(U80:U81)</f>
        <v>0</v>
      </c>
      <c r="V79" s="138">
        <f t="shared" si="12"/>
        <v>8304510</v>
      </c>
      <c r="W79" s="138">
        <f>SUM(W80:W81)</f>
        <v>0</v>
      </c>
      <c r="X79" s="138">
        <f t="shared" si="13"/>
        <v>8304510</v>
      </c>
      <c r="Y79" s="138">
        <f>SUM(Y80:Y81)</f>
        <v>0</v>
      </c>
      <c r="Z79" s="138">
        <f t="shared" si="14"/>
        <v>8304510</v>
      </c>
      <c r="AA79" s="138">
        <f>SUM(AA80:AA81)</f>
        <v>0</v>
      </c>
      <c r="AB79" s="138">
        <f t="shared" si="28"/>
        <v>8304510</v>
      </c>
      <c r="AC79" s="138">
        <f>SUM(AC80:AC81)</f>
        <v>0</v>
      </c>
      <c r="AD79" s="138">
        <f t="shared" si="29"/>
        <v>8304510</v>
      </c>
      <c r="AE79" s="138">
        <f>SUM(AE80:AE81)</f>
        <v>0</v>
      </c>
      <c r="AF79" s="138">
        <f t="shared" si="30"/>
        <v>8304510</v>
      </c>
      <c r="AG79" s="138">
        <f>SUM(AG80:AG81)</f>
        <v>0</v>
      </c>
      <c r="AH79" s="138">
        <f t="shared" si="31"/>
        <v>8304510</v>
      </c>
      <c r="AI79" s="138">
        <f>SUM(AI80:AI81)</f>
        <v>50000</v>
      </c>
      <c r="AJ79" s="138">
        <f t="shared" si="32"/>
        <v>8354510</v>
      </c>
    </row>
    <row r="80" spans="1:36" s="27" customFormat="1" ht="21.75" customHeight="1">
      <c r="A80" s="75"/>
      <c r="B80" s="76"/>
      <c r="C80" s="136" t="s">
        <v>456</v>
      </c>
      <c r="D80" s="137" t="s">
        <v>302</v>
      </c>
      <c r="E80" s="138">
        <v>7728441</v>
      </c>
      <c r="F80" s="138"/>
      <c r="G80" s="138"/>
      <c r="H80" s="138">
        <f t="shared" si="33"/>
        <v>7728441</v>
      </c>
      <c r="I80" s="138">
        <v>-98931</v>
      </c>
      <c r="J80" s="138">
        <f t="shared" si="5"/>
        <v>7629510</v>
      </c>
      <c r="K80" s="138"/>
      <c r="L80" s="138">
        <f t="shared" si="7"/>
        <v>7629510</v>
      </c>
      <c r="M80" s="138"/>
      <c r="N80" s="138">
        <f t="shared" si="8"/>
        <v>7629510</v>
      </c>
      <c r="O80" s="138">
        <v>0</v>
      </c>
      <c r="P80" s="138">
        <f t="shared" si="9"/>
        <v>7629510</v>
      </c>
      <c r="Q80" s="138">
        <v>0</v>
      </c>
      <c r="R80" s="138">
        <f t="shared" si="10"/>
        <v>7629510</v>
      </c>
      <c r="S80" s="138">
        <v>0</v>
      </c>
      <c r="T80" s="138">
        <f t="shared" si="11"/>
        <v>7629510</v>
      </c>
      <c r="U80" s="138">
        <v>0</v>
      </c>
      <c r="V80" s="138">
        <f t="shared" si="12"/>
        <v>7629510</v>
      </c>
      <c r="W80" s="138">
        <v>0</v>
      </c>
      <c r="X80" s="138">
        <f t="shared" si="13"/>
        <v>7629510</v>
      </c>
      <c r="Y80" s="138">
        <v>0</v>
      </c>
      <c r="Z80" s="138">
        <f t="shared" si="14"/>
        <v>7629510</v>
      </c>
      <c r="AA80" s="138">
        <v>0</v>
      </c>
      <c r="AB80" s="138">
        <f t="shared" si="28"/>
        <v>7629510</v>
      </c>
      <c r="AC80" s="138">
        <v>0</v>
      </c>
      <c r="AD80" s="138">
        <f t="shared" si="29"/>
        <v>7629510</v>
      </c>
      <c r="AE80" s="138">
        <v>0</v>
      </c>
      <c r="AF80" s="138">
        <f t="shared" si="30"/>
        <v>7629510</v>
      </c>
      <c r="AG80" s="138">
        <v>0</v>
      </c>
      <c r="AH80" s="138">
        <f t="shared" si="31"/>
        <v>7629510</v>
      </c>
      <c r="AI80" s="138">
        <v>0</v>
      </c>
      <c r="AJ80" s="138">
        <f t="shared" si="32"/>
        <v>7629510</v>
      </c>
    </row>
    <row r="81" spans="1:36" s="27" customFormat="1" ht="21.75" customHeight="1">
      <c r="A81" s="75"/>
      <c r="B81" s="76"/>
      <c r="C81" s="136" t="s">
        <v>457</v>
      </c>
      <c r="D81" s="137" t="s">
        <v>303</v>
      </c>
      <c r="E81" s="138">
        <v>675000</v>
      </c>
      <c r="F81" s="138"/>
      <c r="G81" s="138"/>
      <c r="H81" s="138">
        <f t="shared" si="33"/>
        <v>675000</v>
      </c>
      <c r="I81" s="138">
        <v>0</v>
      </c>
      <c r="J81" s="138">
        <f t="shared" si="5"/>
        <v>675000</v>
      </c>
      <c r="K81" s="138">
        <v>0</v>
      </c>
      <c r="L81" s="138">
        <f t="shared" si="7"/>
        <v>675000</v>
      </c>
      <c r="M81" s="138">
        <v>0</v>
      </c>
      <c r="N81" s="138">
        <f t="shared" si="8"/>
        <v>675000</v>
      </c>
      <c r="O81" s="138">
        <v>0</v>
      </c>
      <c r="P81" s="138">
        <f t="shared" si="9"/>
        <v>675000</v>
      </c>
      <c r="Q81" s="138">
        <v>0</v>
      </c>
      <c r="R81" s="138">
        <f t="shared" si="10"/>
        <v>675000</v>
      </c>
      <c r="S81" s="138">
        <v>0</v>
      </c>
      <c r="T81" s="138">
        <f t="shared" si="11"/>
        <v>675000</v>
      </c>
      <c r="U81" s="138">
        <v>0</v>
      </c>
      <c r="V81" s="138">
        <f t="shared" si="12"/>
        <v>675000</v>
      </c>
      <c r="W81" s="138">
        <v>0</v>
      </c>
      <c r="X81" s="138">
        <f t="shared" si="13"/>
        <v>675000</v>
      </c>
      <c r="Y81" s="138">
        <v>0</v>
      </c>
      <c r="Z81" s="138">
        <f t="shared" si="14"/>
        <v>675000</v>
      </c>
      <c r="AA81" s="138">
        <v>0</v>
      </c>
      <c r="AB81" s="138">
        <f t="shared" si="28"/>
        <v>675000</v>
      </c>
      <c r="AC81" s="138">
        <v>0</v>
      </c>
      <c r="AD81" s="138">
        <f t="shared" si="29"/>
        <v>675000</v>
      </c>
      <c r="AE81" s="138">
        <v>0</v>
      </c>
      <c r="AF81" s="138">
        <f t="shared" si="30"/>
        <v>675000</v>
      </c>
      <c r="AG81" s="138">
        <v>0</v>
      </c>
      <c r="AH81" s="138">
        <f t="shared" si="31"/>
        <v>675000</v>
      </c>
      <c r="AI81" s="138">
        <v>50000</v>
      </c>
      <c r="AJ81" s="138">
        <f t="shared" si="32"/>
        <v>725000</v>
      </c>
    </row>
    <row r="82" spans="1:36" s="7" customFormat="1" ht="24.75" customHeight="1">
      <c r="A82" s="33" t="s">
        <v>304</v>
      </c>
      <c r="B82" s="4"/>
      <c r="C82" s="238"/>
      <c r="D82" s="236" t="s">
        <v>305</v>
      </c>
      <c r="E82" s="237">
        <f>SUM(E83,E85,E87,E89)</f>
        <v>15318162</v>
      </c>
      <c r="F82" s="237">
        <f>SUM(F83,F85,F87,F89)</f>
        <v>0</v>
      </c>
      <c r="G82" s="237">
        <f>SUM(G83,G85,G87,G89)</f>
        <v>0</v>
      </c>
      <c r="H82" s="237">
        <f t="shared" si="33"/>
        <v>15318162</v>
      </c>
      <c r="I82" s="237">
        <f>SUM(I83,I85,I87,I89)</f>
        <v>-340938</v>
      </c>
      <c r="J82" s="237">
        <f t="shared" si="5"/>
        <v>14977224</v>
      </c>
      <c r="K82" s="237">
        <f>SUM(K83,K85,K87,K89)</f>
        <v>0</v>
      </c>
      <c r="L82" s="237">
        <f t="shared" si="7"/>
        <v>14977224</v>
      </c>
      <c r="M82" s="237">
        <f>SUM(M83,M85,M87,M89)</f>
        <v>-25451</v>
      </c>
      <c r="N82" s="237">
        <f t="shared" si="8"/>
        <v>14951773</v>
      </c>
      <c r="O82" s="237">
        <f>SUM(O83,O85,O87,O89)</f>
        <v>0</v>
      </c>
      <c r="P82" s="237">
        <f t="shared" si="9"/>
        <v>14951773</v>
      </c>
      <c r="Q82" s="237">
        <f>SUM(Q83,Q85,Q87,Q89)</f>
        <v>0</v>
      </c>
      <c r="R82" s="237">
        <f t="shared" si="10"/>
        <v>14951773</v>
      </c>
      <c r="S82" s="237">
        <f>SUM(S83,S85,S87,S89)</f>
        <v>40000</v>
      </c>
      <c r="T82" s="237">
        <f t="shared" si="11"/>
        <v>14991773</v>
      </c>
      <c r="U82" s="237">
        <f>SUM(U83,U85,U87,U89)</f>
        <v>0</v>
      </c>
      <c r="V82" s="237">
        <f t="shared" si="12"/>
        <v>14991773</v>
      </c>
      <c r="W82" s="237">
        <f>SUM(W83,W85,W87,W89)</f>
        <v>0</v>
      </c>
      <c r="X82" s="237">
        <f t="shared" si="13"/>
        <v>14991773</v>
      </c>
      <c r="Y82" s="237">
        <f>SUM(Y83,Y85,Y87,Y89)</f>
        <v>21624</v>
      </c>
      <c r="Z82" s="237">
        <f t="shared" si="14"/>
        <v>15013397</v>
      </c>
      <c r="AA82" s="237">
        <f>SUM(AA83,AA85,AA87,AA89)</f>
        <v>0</v>
      </c>
      <c r="AB82" s="237">
        <f t="shared" si="28"/>
        <v>15013397</v>
      </c>
      <c r="AC82" s="237">
        <f>SUM(AC83,AC85,AC87,AC89)</f>
        <v>10000</v>
      </c>
      <c r="AD82" s="237">
        <f t="shared" si="29"/>
        <v>15023397</v>
      </c>
      <c r="AE82" s="237">
        <f>SUM(AE83,AE85,AE87,AE89)</f>
        <v>0</v>
      </c>
      <c r="AF82" s="237">
        <f t="shared" si="30"/>
        <v>15023397</v>
      </c>
      <c r="AG82" s="237">
        <f>SUM(AG83,AG85,AG87,AG89)</f>
        <v>0</v>
      </c>
      <c r="AH82" s="237">
        <f t="shared" si="31"/>
        <v>15023397</v>
      </c>
      <c r="AI82" s="237">
        <f>SUM(AI83,AI85,AI87,AI89)</f>
        <v>30000</v>
      </c>
      <c r="AJ82" s="237">
        <f t="shared" si="32"/>
        <v>15053397</v>
      </c>
    </row>
    <row r="83" spans="1:36" s="27" customFormat="1" ht="24">
      <c r="A83" s="75"/>
      <c r="B83" s="76" t="s">
        <v>306</v>
      </c>
      <c r="C83" s="228"/>
      <c r="D83" s="137" t="s">
        <v>307</v>
      </c>
      <c r="E83" s="138">
        <f>SUM(E84)</f>
        <v>12093870</v>
      </c>
      <c r="F83" s="138">
        <f>SUM(F84)</f>
        <v>0</v>
      </c>
      <c r="G83" s="138">
        <f>SUM(G84)</f>
        <v>0</v>
      </c>
      <c r="H83" s="138">
        <f t="shared" si="33"/>
        <v>12093870</v>
      </c>
      <c r="I83" s="138">
        <f>SUM(I84)</f>
        <v>-366389</v>
      </c>
      <c r="J83" s="138">
        <f t="shared" si="5"/>
        <v>11727481</v>
      </c>
      <c r="K83" s="138">
        <f>SUM(K84)</f>
        <v>0</v>
      </c>
      <c r="L83" s="138">
        <f t="shared" si="7"/>
        <v>11727481</v>
      </c>
      <c r="M83" s="138">
        <f>SUM(M84)</f>
        <v>0</v>
      </c>
      <c r="N83" s="138">
        <f t="shared" si="8"/>
        <v>11727481</v>
      </c>
      <c r="O83" s="138">
        <f>SUM(O84)</f>
        <v>0</v>
      </c>
      <c r="P83" s="138">
        <f t="shared" si="9"/>
        <v>11727481</v>
      </c>
      <c r="Q83" s="138">
        <f>SUM(Q84)</f>
        <v>0</v>
      </c>
      <c r="R83" s="138">
        <f t="shared" si="10"/>
        <v>11727481</v>
      </c>
      <c r="S83" s="138">
        <f>SUM(S84)</f>
        <v>0</v>
      </c>
      <c r="T83" s="138">
        <f t="shared" si="11"/>
        <v>11727481</v>
      </c>
      <c r="U83" s="138">
        <f>SUM(U84)</f>
        <v>0</v>
      </c>
      <c r="V83" s="138">
        <f t="shared" si="12"/>
        <v>11727481</v>
      </c>
      <c r="W83" s="138">
        <f>SUM(W84)</f>
        <v>0</v>
      </c>
      <c r="X83" s="138">
        <f t="shared" si="13"/>
        <v>11727481</v>
      </c>
      <c r="Y83" s="138">
        <f>SUM(Y84)</f>
        <v>21624</v>
      </c>
      <c r="Z83" s="138">
        <f t="shared" si="14"/>
        <v>11749105</v>
      </c>
      <c r="AA83" s="138">
        <f>SUM(AA84)</f>
        <v>0</v>
      </c>
      <c r="AB83" s="138">
        <f t="shared" si="28"/>
        <v>11749105</v>
      </c>
      <c r="AC83" s="138">
        <f>SUM(AC84)</f>
        <v>0</v>
      </c>
      <c r="AD83" s="138">
        <f t="shared" si="29"/>
        <v>11749105</v>
      </c>
      <c r="AE83" s="138">
        <f>SUM(AE84)</f>
        <v>0</v>
      </c>
      <c r="AF83" s="138">
        <f t="shared" si="30"/>
        <v>11749105</v>
      </c>
      <c r="AG83" s="138">
        <f>SUM(AG84)</f>
        <v>0</v>
      </c>
      <c r="AH83" s="138">
        <f t="shared" si="31"/>
        <v>11749105</v>
      </c>
      <c r="AI83" s="138">
        <f>SUM(AI84)</f>
        <v>0</v>
      </c>
      <c r="AJ83" s="138">
        <f t="shared" si="32"/>
        <v>11749105</v>
      </c>
    </row>
    <row r="84" spans="1:36" s="27" customFormat="1" ht="24" customHeight="1">
      <c r="A84" s="75"/>
      <c r="B84" s="76"/>
      <c r="C84" s="136">
        <v>2920</v>
      </c>
      <c r="D84" s="137" t="s">
        <v>308</v>
      </c>
      <c r="E84" s="138">
        <v>12093870</v>
      </c>
      <c r="F84" s="138"/>
      <c r="G84" s="138"/>
      <c r="H84" s="138">
        <f t="shared" si="33"/>
        <v>12093870</v>
      </c>
      <c r="I84" s="138">
        <v>-366389</v>
      </c>
      <c r="J84" s="138">
        <f t="shared" si="5"/>
        <v>11727481</v>
      </c>
      <c r="K84" s="138"/>
      <c r="L84" s="138">
        <f t="shared" si="7"/>
        <v>11727481</v>
      </c>
      <c r="M84" s="138">
        <v>0</v>
      </c>
      <c r="N84" s="138">
        <f t="shared" si="8"/>
        <v>11727481</v>
      </c>
      <c r="O84" s="138">
        <v>0</v>
      </c>
      <c r="P84" s="138">
        <f t="shared" si="9"/>
        <v>11727481</v>
      </c>
      <c r="Q84" s="138">
        <v>0</v>
      </c>
      <c r="R84" s="138">
        <f t="shared" si="10"/>
        <v>11727481</v>
      </c>
      <c r="S84" s="138">
        <v>0</v>
      </c>
      <c r="T84" s="138">
        <f t="shared" si="11"/>
        <v>11727481</v>
      </c>
      <c r="U84" s="138">
        <v>0</v>
      </c>
      <c r="V84" s="138">
        <f t="shared" si="12"/>
        <v>11727481</v>
      </c>
      <c r="W84" s="138">
        <v>0</v>
      </c>
      <c r="X84" s="138">
        <f t="shared" si="13"/>
        <v>11727481</v>
      </c>
      <c r="Y84" s="138">
        <v>21624</v>
      </c>
      <c r="Z84" s="138">
        <f t="shared" si="14"/>
        <v>11749105</v>
      </c>
      <c r="AA84" s="138">
        <v>0</v>
      </c>
      <c r="AB84" s="138">
        <f t="shared" si="28"/>
        <v>11749105</v>
      </c>
      <c r="AC84" s="138">
        <v>0</v>
      </c>
      <c r="AD84" s="138">
        <f t="shared" si="29"/>
        <v>11749105</v>
      </c>
      <c r="AE84" s="138">
        <v>0</v>
      </c>
      <c r="AF84" s="138">
        <f t="shared" si="30"/>
        <v>11749105</v>
      </c>
      <c r="AG84" s="138">
        <v>0</v>
      </c>
      <c r="AH84" s="138">
        <f t="shared" si="31"/>
        <v>11749105</v>
      </c>
      <c r="AI84" s="138">
        <v>0</v>
      </c>
      <c r="AJ84" s="138">
        <f t="shared" si="32"/>
        <v>11749105</v>
      </c>
    </row>
    <row r="85" spans="1:36" s="27" customFormat="1" ht="24">
      <c r="A85" s="75"/>
      <c r="B85" s="76" t="s">
        <v>469</v>
      </c>
      <c r="C85" s="228"/>
      <c r="D85" s="137" t="s">
        <v>468</v>
      </c>
      <c r="E85" s="138">
        <f>SUM(E86)</f>
        <v>2424673</v>
      </c>
      <c r="F85" s="138">
        <f>SUM(F86)</f>
        <v>0</v>
      </c>
      <c r="G85" s="138">
        <f>SUM(G86)</f>
        <v>0</v>
      </c>
      <c r="H85" s="138">
        <f t="shared" si="33"/>
        <v>2424673</v>
      </c>
      <c r="I85" s="138">
        <f>SUM(I86)</f>
        <v>0</v>
      </c>
      <c r="J85" s="138">
        <f t="shared" si="5"/>
        <v>2424673</v>
      </c>
      <c r="K85" s="138">
        <f>SUM(K86)</f>
        <v>0</v>
      </c>
      <c r="L85" s="138">
        <f t="shared" si="7"/>
        <v>2424673</v>
      </c>
      <c r="M85" s="138">
        <f>SUM(M86)</f>
        <v>0</v>
      </c>
      <c r="N85" s="138">
        <f t="shared" si="8"/>
        <v>2424673</v>
      </c>
      <c r="O85" s="138">
        <f>SUM(O86)</f>
        <v>0</v>
      </c>
      <c r="P85" s="138">
        <f t="shared" si="9"/>
        <v>2424673</v>
      </c>
      <c r="Q85" s="138">
        <f>SUM(Q86)</f>
        <v>0</v>
      </c>
      <c r="R85" s="138">
        <f t="shared" si="10"/>
        <v>2424673</v>
      </c>
      <c r="S85" s="138">
        <f>SUM(S86)</f>
        <v>0</v>
      </c>
      <c r="T85" s="138">
        <f t="shared" si="11"/>
        <v>2424673</v>
      </c>
      <c r="U85" s="138">
        <f>SUM(U86)</f>
        <v>0</v>
      </c>
      <c r="V85" s="138">
        <f t="shared" si="12"/>
        <v>2424673</v>
      </c>
      <c r="W85" s="138">
        <f>SUM(W86)</f>
        <v>0</v>
      </c>
      <c r="X85" s="138">
        <f t="shared" si="13"/>
        <v>2424673</v>
      </c>
      <c r="Y85" s="138">
        <f>SUM(Y86)</f>
        <v>0</v>
      </c>
      <c r="Z85" s="138">
        <f t="shared" si="14"/>
        <v>2424673</v>
      </c>
      <c r="AA85" s="138">
        <f>SUM(AA86)</f>
        <v>0</v>
      </c>
      <c r="AB85" s="138">
        <f t="shared" si="28"/>
        <v>2424673</v>
      </c>
      <c r="AC85" s="138">
        <f>SUM(AC86)</f>
        <v>0</v>
      </c>
      <c r="AD85" s="138">
        <f t="shared" si="29"/>
        <v>2424673</v>
      </c>
      <c r="AE85" s="138">
        <f>SUM(AE86)</f>
        <v>0</v>
      </c>
      <c r="AF85" s="138">
        <f t="shared" si="30"/>
        <v>2424673</v>
      </c>
      <c r="AG85" s="138">
        <f>SUM(AG86)</f>
        <v>0</v>
      </c>
      <c r="AH85" s="138">
        <f t="shared" si="31"/>
        <v>2424673</v>
      </c>
      <c r="AI85" s="138">
        <f>SUM(AI86)</f>
        <v>0</v>
      </c>
      <c r="AJ85" s="138">
        <f t="shared" si="32"/>
        <v>2424673</v>
      </c>
    </row>
    <row r="86" spans="1:36" s="27" customFormat="1" ht="21" customHeight="1">
      <c r="A86" s="75"/>
      <c r="B86" s="76"/>
      <c r="C86" s="136">
        <v>2920</v>
      </c>
      <c r="D86" s="137" t="s">
        <v>308</v>
      </c>
      <c r="E86" s="138">
        <v>2424673</v>
      </c>
      <c r="F86" s="138"/>
      <c r="G86" s="138"/>
      <c r="H86" s="138">
        <f t="shared" si="33"/>
        <v>2424673</v>
      </c>
      <c r="I86" s="138">
        <v>0</v>
      </c>
      <c r="J86" s="138">
        <f t="shared" si="5"/>
        <v>2424673</v>
      </c>
      <c r="K86" s="138">
        <v>0</v>
      </c>
      <c r="L86" s="138">
        <f t="shared" si="7"/>
        <v>2424673</v>
      </c>
      <c r="M86" s="138">
        <v>0</v>
      </c>
      <c r="N86" s="138">
        <f t="shared" si="8"/>
        <v>2424673</v>
      </c>
      <c r="O86" s="138">
        <v>0</v>
      </c>
      <c r="P86" s="138">
        <f t="shared" si="9"/>
        <v>2424673</v>
      </c>
      <c r="Q86" s="138">
        <v>0</v>
      </c>
      <c r="R86" s="138">
        <f t="shared" si="10"/>
        <v>2424673</v>
      </c>
      <c r="S86" s="138">
        <v>0</v>
      </c>
      <c r="T86" s="138">
        <f t="shared" si="11"/>
        <v>2424673</v>
      </c>
      <c r="U86" s="138">
        <v>0</v>
      </c>
      <c r="V86" s="138">
        <f t="shared" si="12"/>
        <v>2424673</v>
      </c>
      <c r="W86" s="138">
        <v>0</v>
      </c>
      <c r="X86" s="138">
        <f t="shared" si="13"/>
        <v>2424673</v>
      </c>
      <c r="Y86" s="138">
        <v>0</v>
      </c>
      <c r="Z86" s="138">
        <f t="shared" si="14"/>
        <v>2424673</v>
      </c>
      <c r="AA86" s="138">
        <v>0</v>
      </c>
      <c r="AB86" s="138">
        <f t="shared" si="28"/>
        <v>2424673</v>
      </c>
      <c r="AC86" s="138">
        <v>0</v>
      </c>
      <c r="AD86" s="138">
        <f t="shared" si="29"/>
        <v>2424673</v>
      </c>
      <c r="AE86" s="138">
        <v>0</v>
      </c>
      <c r="AF86" s="138">
        <f t="shared" si="30"/>
        <v>2424673</v>
      </c>
      <c r="AG86" s="138">
        <v>0</v>
      </c>
      <c r="AH86" s="138">
        <f t="shared" si="31"/>
        <v>2424673</v>
      </c>
      <c r="AI86" s="138">
        <v>0</v>
      </c>
      <c r="AJ86" s="138">
        <f t="shared" si="32"/>
        <v>2424673</v>
      </c>
    </row>
    <row r="87" spans="1:36" s="27" customFormat="1" ht="21" customHeight="1">
      <c r="A87" s="75"/>
      <c r="B87" s="76">
        <v>75814</v>
      </c>
      <c r="C87" s="228"/>
      <c r="D87" s="137" t="s">
        <v>309</v>
      </c>
      <c r="E87" s="138">
        <f>SUM(E88)</f>
        <v>10000</v>
      </c>
      <c r="F87" s="138">
        <f>SUM(F88)</f>
        <v>0</v>
      </c>
      <c r="G87" s="138">
        <f>SUM(G88)</f>
        <v>0</v>
      </c>
      <c r="H87" s="138">
        <f t="shared" si="33"/>
        <v>10000</v>
      </c>
      <c r="I87" s="138">
        <f>SUM(I88)</f>
        <v>0</v>
      </c>
      <c r="J87" s="138">
        <f t="shared" si="5"/>
        <v>10000</v>
      </c>
      <c r="K87" s="138">
        <f>SUM(K88)</f>
        <v>0</v>
      </c>
      <c r="L87" s="138">
        <f t="shared" si="7"/>
        <v>10000</v>
      </c>
      <c r="M87" s="138">
        <f>SUM(M88)</f>
        <v>0</v>
      </c>
      <c r="N87" s="138">
        <f t="shared" si="8"/>
        <v>10000</v>
      </c>
      <c r="O87" s="138">
        <f>SUM(O88)</f>
        <v>0</v>
      </c>
      <c r="P87" s="138">
        <f t="shared" si="9"/>
        <v>10000</v>
      </c>
      <c r="Q87" s="138">
        <f>SUM(Q88)</f>
        <v>0</v>
      </c>
      <c r="R87" s="138">
        <f t="shared" si="10"/>
        <v>10000</v>
      </c>
      <c r="S87" s="138">
        <f>SUM(S88)</f>
        <v>40000</v>
      </c>
      <c r="T87" s="138">
        <f t="shared" si="11"/>
        <v>50000</v>
      </c>
      <c r="U87" s="138">
        <f>SUM(U88)</f>
        <v>0</v>
      </c>
      <c r="V87" s="138">
        <f t="shared" si="12"/>
        <v>50000</v>
      </c>
      <c r="W87" s="138">
        <f>SUM(W88)</f>
        <v>0</v>
      </c>
      <c r="X87" s="138">
        <f t="shared" si="13"/>
        <v>50000</v>
      </c>
      <c r="Y87" s="138">
        <f>SUM(Y88)</f>
        <v>0</v>
      </c>
      <c r="Z87" s="138">
        <f t="shared" si="14"/>
        <v>50000</v>
      </c>
      <c r="AA87" s="138">
        <f>SUM(AA88)</f>
        <v>0</v>
      </c>
      <c r="AB87" s="138">
        <f t="shared" si="28"/>
        <v>50000</v>
      </c>
      <c r="AC87" s="138">
        <f>SUM(AC88)</f>
        <v>10000</v>
      </c>
      <c r="AD87" s="138">
        <f t="shared" si="29"/>
        <v>60000</v>
      </c>
      <c r="AE87" s="138">
        <f>SUM(AE88)</f>
        <v>0</v>
      </c>
      <c r="AF87" s="138">
        <f t="shared" si="30"/>
        <v>60000</v>
      </c>
      <c r="AG87" s="138">
        <f>SUM(AG88)</f>
        <v>0</v>
      </c>
      <c r="AH87" s="138">
        <f t="shared" si="31"/>
        <v>60000</v>
      </c>
      <c r="AI87" s="138">
        <f>SUM(AI88)</f>
        <v>30000</v>
      </c>
      <c r="AJ87" s="138">
        <f t="shared" si="32"/>
        <v>90000</v>
      </c>
    </row>
    <row r="88" spans="1:36" s="27" customFormat="1" ht="21.75" customHeight="1">
      <c r="A88" s="75"/>
      <c r="B88" s="76"/>
      <c r="C88" s="136" t="s">
        <v>439</v>
      </c>
      <c r="D88" s="137" t="s">
        <v>264</v>
      </c>
      <c r="E88" s="138">
        <v>10000</v>
      </c>
      <c r="F88" s="138"/>
      <c r="G88" s="138"/>
      <c r="H88" s="138">
        <f>E88+F88-G88</f>
        <v>10000</v>
      </c>
      <c r="I88" s="138">
        <v>0</v>
      </c>
      <c r="J88" s="138">
        <f t="shared" si="5"/>
        <v>10000</v>
      </c>
      <c r="K88" s="138">
        <v>0</v>
      </c>
      <c r="L88" s="138">
        <f t="shared" si="7"/>
        <v>10000</v>
      </c>
      <c r="M88" s="138">
        <v>0</v>
      </c>
      <c r="N88" s="138">
        <f t="shared" si="8"/>
        <v>10000</v>
      </c>
      <c r="O88" s="138">
        <v>0</v>
      </c>
      <c r="P88" s="138">
        <f t="shared" si="9"/>
        <v>10000</v>
      </c>
      <c r="Q88" s="138">
        <v>0</v>
      </c>
      <c r="R88" s="138">
        <f t="shared" si="10"/>
        <v>10000</v>
      </c>
      <c r="S88" s="138">
        <v>40000</v>
      </c>
      <c r="T88" s="138">
        <f t="shared" si="11"/>
        <v>50000</v>
      </c>
      <c r="U88" s="138">
        <v>0</v>
      </c>
      <c r="V88" s="138">
        <f t="shared" si="12"/>
        <v>50000</v>
      </c>
      <c r="W88" s="138">
        <v>0</v>
      </c>
      <c r="X88" s="138">
        <f t="shared" si="13"/>
        <v>50000</v>
      </c>
      <c r="Y88" s="138">
        <v>0</v>
      </c>
      <c r="Z88" s="138">
        <f t="shared" si="14"/>
        <v>50000</v>
      </c>
      <c r="AA88" s="138">
        <v>0</v>
      </c>
      <c r="AB88" s="138">
        <f t="shared" si="28"/>
        <v>50000</v>
      </c>
      <c r="AC88" s="138">
        <v>10000</v>
      </c>
      <c r="AD88" s="138">
        <f t="shared" si="29"/>
        <v>60000</v>
      </c>
      <c r="AE88" s="138">
        <v>0</v>
      </c>
      <c r="AF88" s="138">
        <f t="shared" si="30"/>
        <v>60000</v>
      </c>
      <c r="AG88" s="138">
        <v>0</v>
      </c>
      <c r="AH88" s="138">
        <f t="shared" si="31"/>
        <v>60000</v>
      </c>
      <c r="AI88" s="138">
        <v>30000</v>
      </c>
      <c r="AJ88" s="138">
        <f t="shared" si="32"/>
        <v>90000</v>
      </c>
    </row>
    <row r="89" spans="1:36" s="27" customFormat="1" ht="24">
      <c r="A89" s="75"/>
      <c r="B89" s="76" t="s">
        <v>544</v>
      </c>
      <c r="C89" s="228"/>
      <c r="D89" s="137" t="s">
        <v>545</v>
      </c>
      <c r="E89" s="138">
        <f>SUM(E90)</f>
        <v>789619</v>
      </c>
      <c r="F89" s="138">
        <f>SUM(F90)</f>
        <v>0</v>
      </c>
      <c r="G89" s="138">
        <f>SUM(G90)</f>
        <v>0</v>
      </c>
      <c r="H89" s="138">
        <f>E89+F89-G89</f>
        <v>789619</v>
      </c>
      <c r="I89" s="138">
        <f>SUM(I90)</f>
        <v>25451</v>
      </c>
      <c r="J89" s="138">
        <f aca="true" t="shared" si="34" ref="J89:J155">SUM(H89:I89)</f>
        <v>815070</v>
      </c>
      <c r="K89" s="138">
        <f>SUM(K90)</f>
        <v>0</v>
      </c>
      <c r="L89" s="138">
        <f aca="true" t="shared" si="35" ref="L89:L153">SUM(J89:K89)</f>
        <v>815070</v>
      </c>
      <c r="M89" s="138">
        <f>SUM(M90)</f>
        <v>-25451</v>
      </c>
      <c r="N89" s="138">
        <f aca="true" t="shared" si="36" ref="N89:N153">SUM(L89:M89)</f>
        <v>789619</v>
      </c>
      <c r="O89" s="138">
        <f>SUM(O90)</f>
        <v>0</v>
      </c>
      <c r="P89" s="138">
        <f t="shared" si="9"/>
        <v>789619</v>
      </c>
      <c r="Q89" s="138">
        <f>SUM(Q90)</f>
        <v>0</v>
      </c>
      <c r="R89" s="138">
        <f t="shared" si="10"/>
        <v>789619</v>
      </c>
      <c r="S89" s="138">
        <f>SUM(S90)</f>
        <v>0</v>
      </c>
      <c r="T89" s="138">
        <f t="shared" si="11"/>
        <v>789619</v>
      </c>
      <c r="U89" s="138">
        <f>SUM(U90)</f>
        <v>0</v>
      </c>
      <c r="V89" s="138">
        <f t="shared" si="12"/>
        <v>789619</v>
      </c>
      <c r="W89" s="138">
        <f>SUM(W90)</f>
        <v>0</v>
      </c>
      <c r="X89" s="138">
        <f t="shared" si="13"/>
        <v>789619</v>
      </c>
      <c r="Y89" s="138">
        <f>SUM(Y90)</f>
        <v>0</v>
      </c>
      <c r="Z89" s="138">
        <f t="shared" si="14"/>
        <v>789619</v>
      </c>
      <c r="AA89" s="138">
        <f>SUM(AA90)</f>
        <v>0</v>
      </c>
      <c r="AB89" s="138">
        <f t="shared" si="28"/>
        <v>789619</v>
      </c>
      <c r="AC89" s="138">
        <f>SUM(AC90)</f>
        <v>0</v>
      </c>
      <c r="AD89" s="138">
        <f t="shared" si="29"/>
        <v>789619</v>
      </c>
      <c r="AE89" s="138">
        <f>SUM(AE90)</f>
        <v>0</v>
      </c>
      <c r="AF89" s="138">
        <f t="shared" si="30"/>
        <v>789619</v>
      </c>
      <c r="AG89" s="138">
        <f>SUM(AG90)</f>
        <v>0</v>
      </c>
      <c r="AH89" s="138">
        <f t="shared" si="31"/>
        <v>789619</v>
      </c>
      <c r="AI89" s="138">
        <f>SUM(AI90)</f>
        <v>0</v>
      </c>
      <c r="AJ89" s="138">
        <f t="shared" si="32"/>
        <v>789619</v>
      </c>
    </row>
    <row r="90" spans="1:36" s="27" customFormat="1" ht="20.25" customHeight="1">
      <c r="A90" s="75"/>
      <c r="B90" s="76"/>
      <c r="C90" s="136">
        <v>2920</v>
      </c>
      <c r="D90" s="137" t="s">
        <v>308</v>
      </c>
      <c r="E90" s="138">
        <v>789619</v>
      </c>
      <c r="F90" s="138"/>
      <c r="G90" s="138"/>
      <c r="H90" s="138">
        <f>E90+F90-G90</f>
        <v>789619</v>
      </c>
      <c r="I90" s="138">
        <v>25451</v>
      </c>
      <c r="J90" s="138">
        <f t="shared" si="34"/>
        <v>815070</v>
      </c>
      <c r="K90" s="138">
        <v>0</v>
      </c>
      <c r="L90" s="138">
        <f t="shared" si="35"/>
        <v>815070</v>
      </c>
      <c r="M90" s="138">
        <v>-25451</v>
      </c>
      <c r="N90" s="138">
        <f t="shared" si="36"/>
        <v>789619</v>
      </c>
      <c r="O90" s="138">
        <v>0</v>
      </c>
      <c r="P90" s="138">
        <f>SUM(N90:O90)</f>
        <v>789619</v>
      </c>
      <c r="Q90" s="138">
        <v>0</v>
      </c>
      <c r="R90" s="138">
        <f>SUM(P90:Q90)</f>
        <v>789619</v>
      </c>
      <c r="S90" s="138">
        <v>0</v>
      </c>
      <c r="T90" s="138">
        <f>SUM(R90:S90)</f>
        <v>789619</v>
      </c>
      <c r="U90" s="138">
        <v>0</v>
      </c>
      <c r="V90" s="138">
        <f>SUM(T90:U90)</f>
        <v>789619</v>
      </c>
      <c r="W90" s="138">
        <v>0</v>
      </c>
      <c r="X90" s="138">
        <f>SUM(V90:W90)</f>
        <v>789619</v>
      </c>
      <c r="Y90" s="138">
        <v>0</v>
      </c>
      <c r="Z90" s="138">
        <f>SUM(X90:Y90)</f>
        <v>789619</v>
      </c>
      <c r="AA90" s="138">
        <v>0</v>
      </c>
      <c r="AB90" s="138">
        <f>SUM(Z90:AA90)</f>
        <v>789619</v>
      </c>
      <c r="AC90" s="138">
        <v>0</v>
      </c>
      <c r="AD90" s="138">
        <f>SUM(AB90:AC90)</f>
        <v>789619</v>
      </c>
      <c r="AE90" s="138">
        <v>0</v>
      </c>
      <c r="AF90" s="138">
        <f>SUM(AD90:AE90)</f>
        <v>789619</v>
      </c>
      <c r="AG90" s="138">
        <v>0</v>
      </c>
      <c r="AH90" s="138">
        <f>SUM(AF90:AG90)</f>
        <v>789619</v>
      </c>
      <c r="AI90" s="138">
        <v>0</v>
      </c>
      <c r="AJ90" s="138">
        <f>SUM(AH90:AI90)</f>
        <v>789619</v>
      </c>
    </row>
    <row r="91" spans="1:36" s="27" customFormat="1" ht="21" customHeight="1">
      <c r="A91" s="36" t="s">
        <v>373</v>
      </c>
      <c r="B91" s="6"/>
      <c r="C91" s="284"/>
      <c r="D91" s="285" t="s">
        <v>374</v>
      </c>
      <c r="E91" s="237">
        <f>SUM(E92,E99,E104,)</f>
        <v>56073</v>
      </c>
      <c r="F91" s="237">
        <f>SUM(F92,F99,F104,)</f>
        <v>0</v>
      </c>
      <c r="G91" s="237">
        <f>SUM(G92,G99,G104,)</f>
        <v>0</v>
      </c>
      <c r="H91" s="237">
        <f>SUM(H92,H99,H104,)</f>
        <v>56073</v>
      </c>
      <c r="I91" s="237">
        <f>SUM(I92,I99,I104,)</f>
        <v>1600</v>
      </c>
      <c r="J91" s="237">
        <f t="shared" si="34"/>
        <v>57673</v>
      </c>
      <c r="K91" s="237">
        <f>SUM(K92,K99,K104,)</f>
        <v>0</v>
      </c>
      <c r="L91" s="237">
        <f t="shared" si="35"/>
        <v>57673</v>
      </c>
      <c r="M91" s="237">
        <f>SUM(M92,M99,M104,)</f>
        <v>17495</v>
      </c>
      <c r="N91" s="237">
        <f t="shared" si="36"/>
        <v>75168</v>
      </c>
      <c r="O91" s="237">
        <f>SUM(O92,O99,O104,)</f>
        <v>33110</v>
      </c>
      <c r="P91" s="237">
        <f>SUM(N91:O91)</f>
        <v>108278</v>
      </c>
      <c r="Q91" s="237">
        <f>SUM(Q92,Q99,Q104,)</f>
        <v>0</v>
      </c>
      <c r="R91" s="237">
        <f>SUM(P91:Q91)</f>
        <v>108278</v>
      </c>
      <c r="S91" s="237">
        <f>SUM(S92,S99,S104,)</f>
        <v>85239</v>
      </c>
      <c r="T91" s="237">
        <f>SUM(R91:S91)</f>
        <v>193517</v>
      </c>
      <c r="U91" s="237">
        <f>SUM(U92,U99,U104,U109)</f>
        <v>40107</v>
      </c>
      <c r="V91" s="237">
        <f>SUM(T91:U91)</f>
        <v>233624</v>
      </c>
      <c r="W91" s="237">
        <f>SUM(W92,W99,W104,W109)</f>
        <v>0</v>
      </c>
      <c r="X91" s="237">
        <f>SUM(V91:W91)</f>
        <v>233624</v>
      </c>
      <c r="Y91" s="237">
        <f>SUM(Y92,Y99,Y104,Y109)</f>
        <v>35088</v>
      </c>
      <c r="Z91" s="237">
        <f>SUM(X91:Y91)</f>
        <v>268712</v>
      </c>
      <c r="AA91" s="237">
        <f>SUM(AA92,AA99,AA104,AA109)</f>
        <v>45146</v>
      </c>
      <c r="AB91" s="237">
        <f>SUM(Z91:AA91)</f>
        <v>313858</v>
      </c>
      <c r="AC91" s="237">
        <f>SUM(AC92,AC99,AC104,AC109)</f>
        <v>0</v>
      </c>
      <c r="AD91" s="237">
        <f>SUM(AB91:AC91)</f>
        <v>313858</v>
      </c>
      <c r="AE91" s="237">
        <f>SUM(AE92,AE99,AE104,AE109)</f>
        <v>42289</v>
      </c>
      <c r="AF91" s="237">
        <f>SUM(AD91:AE91)</f>
        <v>356147</v>
      </c>
      <c r="AG91" s="237">
        <f>SUM(AG92,AG99,AG104,AG109)</f>
        <v>13791</v>
      </c>
      <c r="AH91" s="237">
        <f>SUM(AF91:AG91)</f>
        <v>369938</v>
      </c>
      <c r="AI91" s="237">
        <f>SUM(AI92,AI99,AI104,AI109)</f>
        <v>6501</v>
      </c>
      <c r="AJ91" s="237">
        <f>SUM(AH91:AI91)</f>
        <v>376439</v>
      </c>
    </row>
    <row r="92" spans="1:36" s="27" customFormat="1" ht="21" customHeight="1">
      <c r="A92" s="76"/>
      <c r="B92" s="75" t="s">
        <v>375</v>
      </c>
      <c r="C92" s="263"/>
      <c r="D92" s="264" t="s">
        <v>310</v>
      </c>
      <c r="E92" s="138">
        <f>SUM(E93:E96)</f>
        <v>41675</v>
      </c>
      <c r="F92" s="138">
        <f>SUM(F93:F96)</f>
        <v>0</v>
      </c>
      <c r="G92" s="138">
        <f>SUM(G93:G96)</f>
        <v>0</v>
      </c>
      <c r="H92" s="138">
        <f>SUM(H93:H97)</f>
        <v>41675</v>
      </c>
      <c r="I92" s="138">
        <f>SUM(I93:I97)</f>
        <v>1000</v>
      </c>
      <c r="J92" s="138">
        <f t="shared" si="34"/>
        <v>42675</v>
      </c>
      <c r="K92" s="138">
        <f>SUM(K93:K97)</f>
        <v>0</v>
      </c>
      <c r="L92" s="138">
        <f aca="true" t="shared" si="37" ref="L92:R92">SUM(L93:L98)</f>
        <v>42675</v>
      </c>
      <c r="M92" s="138">
        <f t="shared" si="37"/>
        <v>11277</v>
      </c>
      <c r="N92" s="138">
        <f t="shared" si="37"/>
        <v>53952</v>
      </c>
      <c r="O92" s="138">
        <f t="shared" si="37"/>
        <v>33110</v>
      </c>
      <c r="P92" s="138">
        <f t="shared" si="37"/>
        <v>87062</v>
      </c>
      <c r="Q92" s="138">
        <f t="shared" si="37"/>
        <v>0</v>
      </c>
      <c r="R92" s="138">
        <f t="shared" si="37"/>
        <v>87062</v>
      </c>
      <c r="S92" s="138">
        <f aca="true" t="shared" si="38" ref="S92:X92">SUM(S93:S98)</f>
        <v>-1000</v>
      </c>
      <c r="T92" s="138">
        <f t="shared" si="38"/>
        <v>86062</v>
      </c>
      <c r="U92" s="138">
        <f t="shared" si="38"/>
        <v>0</v>
      </c>
      <c r="V92" s="138">
        <f t="shared" si="38"/>
        <v>86062</v>
      </c>
      <c r="W92" s="138">
        <f t="shared" si="38"/>
        <v>0</v>
      </c>
      <c r="X92" s="138">
        <f t="shared" si="38"/>
        <v>86062</v>
      </c>
      <c r="Y92" s="138">
        <f aca="true" t="shared" si="39" ref="Y92:AD92">SUM(Y93:Y98)</f>
        <v>35088</v>
      </c>
      <c r="Z92" s="138">
        <f t="shared" si="39"/>
        <v>121150</v>
      </c>
      <c r="AA92" s="138">
        <f t="shared" si="39"/>
        <v>0</v>
      </c>
      <c r="AB92" s="138">
        <f t="shared" si="39"/>
        <v>121150</v>
      </c>
      <c r="AC92" s="138">
        <f t="shared" si="39"/>
        <v>0</v>
      </c>
      <c r="AD92" s="138">
        <f t="shared" si="39"/>
        <v>121150</v>
      </c>
      <c r="AE92" s="138">
        <f aca="true" t="shared" si="40" ref="AE92:AJ92">SUM(AE93:AE98)</f>
        <v>0</v>
      </c>
      <c r="AF92" s="138">
        <f t="shared" si="40"/>
        <v>121150</v>
      </c>
      <c r="AG92" s="138">
        <f t="shared" si="40"/>
        <v>12762</v>
      </c>
      <c r="AH92" s="138">
        <f t="shared" si="40"/>
        <v>133912</v>
      </c>
      <c r="AI92" s="138">
        <f t="shared" si="40"/>
        <v>5000</v>
      </c>
      <c r="AJ92" s="138">
        <f t="shared" si="40"/>
        <v>138912</v>
      </c>
    </row>
    <row r="93" spans="1:36" s="27" customFormat="1" ht="72">
      <c r="A93" s="75"/>
      <c r="B93" s="76"/>
      <c r="C93" s="286" t="s">
        <v>438</v>
      </c>
      <c r="D93" s="264" t="s">
        <v>316</v>
      </c>
      <c r="E93" s="138">
        <v>38735</v>
      </c>
      <c r="F93" s="138"/>
      <c r="G93" s="138"/>
      <c r="H93" s="138">
        <f>E93+F93-G93</f>
        <v>38735</v>
      </c>
      <c r="I93" s="138">
        <v>0</v>
      </c>
      <c r="J93" s="138">
        <f t="shared" si="34"/>
        <v>38735</v>
      </c>
      <c r="K93" s="138">
        <v>0</v>
      </c>
      <c r="L93" s="138">
        <f t="shared" si="35"/>
        <v>38735</v>
      </c>
      <c r="M93" s="138">
        <v>0</v>
      </c>
      <c r="N93" s="138">
        <f t="shared" si="36"/>
        <v>38735</v>
      </c>
      <c r="O93" s="138">
        <v>0</v>
      </c>
      <c r="P93" s="138">
        <f aca="true" t="shared" si="41" ref="P93:P100">SUM(N93:O93)</f>
        <v>38735</v>
      </c>
      <c r="Q93" s="138">
        <v>0</v>
      </c>
      <c r="R93" s="138">
        <f aca="true" t="shared" si="42" ref="R93:R100">SUM(P93:Q93)</f>
        <v>38735</v>
      </c>
      <c r="S93" s="138">
        <v>0</v>
      </c>
      <c r="T93" s="138">
        <f aca="true" t="shared" si="43" ref="T93:T103">SUM(R93:S93)</f>
        <v>38735</v>
      </c>
      <c r="U93" s="138">
        <v>0</v>
      </c>
      <c r="V93" s="138">
        <f>SUM(T93:U93)</f>
        <v>38735</v>
      </c>
      <c r="W93" s="138">
        <v>0</v>
      </c>
      <c r="X93" s="138">
        <f>SUM(V93:W93)</f>
        <v>38735</v>
      </c>
      <c r="Y93" s="138">
        <v>0</v>
      </c>
      <c r="Z93" s="138">
        <f>SUM(X93:Y93)</f>
        <v>38735</v>
      </c>
      <c r="AA93" s="138">
        <v>0</v>
      </c>
      <c r="AB93" s="138">
        <f>SUM(Z93:AA93)</f>
        <v>38735</v>
      </c>
      <c r="AC93" s="138">
        <v>0</v>
      </c>
      <c r="AD93" s="138">
        <f>SUM(AB93:AC93)</f>
        <v>38735</v>
      </c>
      <c r="AE93" s="138">
        <v>0</v>
      </c>
      <c r="AF93" s="138">
        <f>SUM(AD93:AE93)</f>
        <v>38735</v>
      </c>
      <c r="AG93" s="138">
        <v>0</v>
      </c>
      <c r="AH93" s="138">
        <f aca="true" t="shared" si="44" ref="AH93:AH98">SUM(AF93:AG93)</f>
        <v>38735</v>
      </c>
      <c r="AI93" s="138">
        <v>5000</v>
      </c>
      <c r="AJ93" s="138">
        <f aca="true" t="shared" si="45" ref="AJ93:AJ98">SUM(AH93:AI93)</f>
        <v>43735</v>
      </c>
    </row>
    <row r="94" spans="1:36" s="27" customFormat="1" ht="24.75" customHeight="1">
      <c r="A94" s="75"/>
      <c r="B94" s="76"/>
      <c r="C94" s="233" t="s">
        <v>440</v>
      </c>
      <c r="D94" s="137" t="s">
        <v>265</v>
      </c>
      <c r="E94" s="138"/>
      <c r="F94" s="138"/>
      <c r="G94" s="138"/>
      <c r="H94" s="138"/>
      <c r="I94" s="138"/>
      <c r="J94" s="138"/>
      <c r="K94" s="138"/>
      <c r="L94" s="138"/>
      <c r="M94" s="138"/>
      <c r="N94" s="138"/>
      <c r="O94" s="138"/>
      <c r="P94" s="138"/>
      <c r="Q94" s="138"/>
      <c r="R94" s="138"/>
      <c r="S94" s="138"/>
      <c r="T94" s="138"/>
      <c r="U94" s="138"/>
      <c r="V94" s="138"/>
      <c r="W94" s="138"/>
      <c r="X94" s="138"/>
      <c r="Y94" s="138"/>
      <c r="Z94" s="138"/>
      <c r="AA94" s="138"/>
      <c r="AB94" s="138"/>
      <c r="AC94" s="138"/>
      <c r="AD94" s="138"/>
      <c r="AE94" s="138"/>
      <c r="AF94" s="138">
        <v>0</v>
      </c>
      <c r="AG94" s="138">
        <v>12762</v>
      </c>
      <c r="AH94" s="138">
        <f t="shared" si="44"/>
        <v>12762</v>
      </c>
      <c r="AI94" s="138">
        <v>0</v>
      </c>
      <c r="AJ94" s="138">
        <f t="shared" si="45"/>
        <v>12762</v>
      </c>
    </row>
    <row r="95" spans="1:36" s="27" customFormat="1" ht="36">
      <c r="A95" s="75"/>
      <c r="B95" s="76"/>
      <c r="C95" s="233">
        <v>2030</v>
      </c>
      <c r="D95" s="137" t="s">
        <v>517</v>
      </c>
      <c r="E95" s="138"/>
      <c r="F95" s="138"/>
      <c r="G95" s="138"/>
      <c r="H95" s="138"/>
      <c r="I95" s="138"/>
      <c r="J95" s="138"/>
      <c r="K95" s="138"/>
      <c r="L95" s="138"/>
      <c r="M95" s="138"/>
      <c r="N95" s="138">
        <v>0</v>
      </c>
      <c r="O95" s="138">
        <v>33110</v>
      </c>
      <c r="P95" s="138">
        <f t="shared" si="41"/>
        <v>33110</v>
      </c>
      <c r="Q95" s="138">
        <v>0</v>
      </c>
      <c r="R95" s="138">
        <f t="shared" si="42"/>
        <v>33110</v>
      </c>
      <c r="S95" s="138">
        <v>0</v>
      </c>
      <c r="T95" s="138">
        <f t="shared" si="43"/>
        <v>33110</v>
      </c>
      <c r="U95" s="138">
        <v>0</v>
      </c>
      <c r="V95" s="138">
        <f>SUM(T95:U95)</f>
        <v>33110</v>
      </c>
      <c r="W95" s="138">
        <v>0</v>
      </c>
      <c r="X95" s="138">
        <f>SUM(V95:W95)</f>
        <v>33110</v>
      </c>
      <c r="Y95" s="138">
        <v>35088</v>
      </c>
      <c r="Z95" s="138">
        <f>SUM(X95:Y95)</f>
        <v>68198</v>
      </c>
      <c r="AA95" s="138">
        <v>0</v>
      </c>
      <c r="AB95" s="138">
        <f>SUM(Z95:AA95)</f>
        <v>68198</v>
      </c>
      <c r="AC95" s="138">
        <v>0</v>
      </c>
      <c r="AD95" s="138">
        <f>SUM(AB95:AC95)</f>
        <v>68198</v>
      </c>
      <c r="AE95" s="138">
        <v>0</v>
      </c>
      <c r="AF95" s="138">
        <f>SUM(AD95:AE95)</f>
        <v>68198</v>
      </c>
      <c r="AG95" s="138">
        <v>0</v>
      </c>
      <c r="AH95" s="138">
        <f t="shared" si="44"/>
        <v>68198</v>
      </c>
      <c r="AI95" s="138">
        <v>0</v>
      </c>
      <c r="AJ95" s="138">
        <f t="shared" si="45"/>
        <v>68198</v>
      </c>
    </row>
    <row r="96" spans="1:36" s="27" customFormat="1" ht="48">
      <c r="A96" s="75"/>
      <c r="B96" s="76"/>
      <c r="C96" s="233">
        <v>2310</v>
      </c>
      <c r="D96" s="264" t="s">
        <v>106</v>
      </c>
      <c r="E96" s="138">
        <v>2940</v>
      </c>
      <c r="F96" s="138"/>
      <c r="G96" s="138"/>
      <c r="H96" s="138">
        <f>E96+F96-G96</f>
        <v>2940</v>
      </c>
      <c r="I96" s="138">
        <v>0</v>
      </c>
      <c r="J96" s="138">
        <f t="shared" si="34"/>
        <v>2940</v>
      </c>
      <c r="K96" s="138">
        <v>0</v>
      </c>
      <c r="L96" s="138">
        <f t="shared" si="35"/>
        <v>2940</v>
      </c>
      <c r="M96" s="138">
        <v>0</v>
      </c>
      <c r="N96" s="138">
        <f t="shared" si="36"/>
        <v>2940</v>
      </c>
      <c r="O96" s="138">
        <v>0</v>
      </c>
      <c r="P96" s="138">
        <f t="shared" si="41"/>
        <v>2940</v>
      </c>
      <c r="Q96" s="138">
        <v>0</v>
      </c>
      <c r="R96" s="138">
        <f t="shared" si="42"/>
        <v>2940</v>
      </c>
      <c r="S96" s="138">
        <v>0</v>
      </c>
      <c r="T96" s="138">
        <f t="shared" si="43"/>
        <v>2940</v>
      </c>
      <c r="U96" s="138">
        <v>0</v>
      </c>
      <c r="V96" s="138">
        <f>SUM(T96:U96)</f>
        <v>2940</v>
      </c>
      <c r="W96" s="138">
        <v>0</v>
      </c>
      <c r="X96" s="138">
        <f>SUM(V96:W96)</f>
        <v>2940</v>
      </c>
      <c r="Y96" s="138">
        <v>0</v>
      </c>
      <c r="Z96" s="138">
        <f>SUM(X96:Y96)</f>
        <v>2940</v>
      </c>
      <c r="AA96" s="138">
        <v>0</v>
      </c>
      <c r="AB96" s="138">
        <f>SUM(Z96:AA96)</f>
        <v>2940</v>
      </c>
      <c r="AC96" s="138">
        <v>0</v>
      </c>
      <c r="AD96" s="138">
        <f>SUM(AB96:AC96)</f>
        <v>2940</v>
      </c>
      <c r="AE96" s="138">
        <v>0</v>
      </c>
      <c r="AF96" s="138">
        <f>SUM(AD96:AE96)</f>
        <v>2940</v>
      </c>
      <c r="AG96" s="138">
        <v>0</v>
      </c>
      <c r="AH96" s="138">
        <f t="shared" si="44"/>
        <v>2940</v>
      </c>
      <c r="AI96" s="138">
        <v>0</v>
      </c>
      <c r="AJ96" s="138">
        <f t="shared" si="45"/>
        <v>2940</v>
      </c>
    </row>
    <row r="97" spans="1:36" s="27" customFormat="1" ht="56.25" hidden="1">
      <c r="A97" s="75"/>
      <c r="B97" s="76"/>
      <c r="C97" s="233">
        <v>2320</v>
      </c>
      <c r="D97" s="137" t="s">
        <v>114</v>
      </c>
      <c r="E97" s="138"/>
      <c r="F97" s="138"/>
      <c r="G97" s="138"/>
      <c r="H97" s="138">
        <v>0</v>
      </c>
      <c r="I97" s="138">
        <f>300+300+200+200</f>
        <v>1000</v>
      </c>
      <c r="J97" s="138">
        <f t="shared" si="34"/>
        <v>1000</v>
      </c>
      <c r="K97" s="138"/>
      <c r="L97" s="138">
        <f t="shared" si="35"/>
        <v>1000</v>
      </c>
      <c r="M97" s="138">
        <v>0</v>
      </c>
      <c r="N97" s="138">
        <f t="shared" si="36"/>
        <v>1000</v>
      </c>
      <c r="O97" s="138">
        <v>0</v>
      </c>
      <c r="P97" s="138">
        <f t="shared" si="41"/>
        <v>1000</v>
      </c>
      <c r="Q97" s="138">
        <v>0</v>
      </c>
      <c r="R97" s="138">
        <f t="shared" si="42"/>
        <v>1000</v>
      </c>
      <c r="S97" s="138">
        <f>-300-300-200-200</f>
        <v>-1000</v>
      </c>
      <c r="T97" s="138">
        <f t="shared" si="43"/>
        <v>0</v>
      </c>
      <c r="U97" s="138">
        <v>0</v>
      </c>
      <c r="V97" s="138">
        <f>SUM(T97:U97)</f>
        <v>0</v>
      </c>
      <c r="W97" s="138">
        <v>0</v>
      </c>
      <c r="X97" s="138">
        <f>SUM(V97:W97)</f>
        <v>0</v>
      </c>
      <c r="Y97" s="138">
        <v>0</v>
      </c>
      <c r="Z97" s="138">
        <f>SUM(X97:Y97)</f>
        <v>0</v>
      </c>
      <c r="AA97" s="138">
        <v>0</v>
      </c>
      <c r="AB97" s="138">
        <f>SUM(Z97:AA97)</f>
        <v>0</v>
      </c>
      <c r="AC97" s="138">
        <v>0</v>
      </c>
      <c r="AD97" s="138">
        <f>SUM(AB97:AC97)</f>
        <v>0</v>
      </c>
      <c r="AE97" s="138">
        <v>0</v>
      </c>
      <c r="AF97" s="138">
        <f>SUM(AD97:AE97)</f>
        <v>0</v>
      </c>
      <c r="AG97" s="138">
        <v>0</v>
      </c>
      <c r="AH97" s="138">
        <f t="shared" si="44"/>
        <v>0</v>
      </c>
      <c r="AI97" s="138">
        <v>0</v>
      </c>
      <c r="AJ97" s="138">
        <f t="shared" si="45"/>
        <v>0</v>
      </c>
    </row>
    <row r="98" spans="1:36" s="27" customFormat="1" ht="24">
      <c r="A98" s="75"/>
      <c r="B98" s="76"/>
      <c r="C98" s="233">
        <v>2400</v>
      </c>
      <c r="D98" s="137" t="s">
        <v>115</v>
      </c>
      <c r="E98" s="138"/>
      <c r="F98" s="138"/>
      <c r="G98" s="138"/>
      <c r="H98" s="138"/>
      <c r="I98" s="138"/>
      <c r="J98" s="138"/>
      <c r="K98" s="138"/>
      <c r="L98" s="138">
        <v>0</v>
      </c>
      <c r="M98" s="138">
        <v>11277</v>
      </c>
      <c r="N98" s="138">
        <f t="shared" si="36"/>
        <v>11277</v>
      </c>
      <c r="O98" s="138">
        <v>0</v>
      </c>
      <c r="P98" s="138">
        <f t="shared" si="41"/>
        <v>11277</v>
      </c>
      <c r="Q98" s="138">
        <v>0</v>
      </c>
      <c r="R98" s="138">
        <f t="shared" si="42"/>
        <v>11277</v>
      </c>
      <c r="S98" s="138">
        <v>0</v>
      </c>
      <c r="T98" s="138">
        <f t="shared" si="43"/>
        <v>11277</v>
      </c>
      <c r="U98" s="138">
        <v>0</v>
      </c>
      <c r="V98" s="138">
        <f>SUM(T98:U98)</f>
        <v>11277</v>
      </c>
      <c r="W98" s="138">
        <v>0</v>
      </c>
      <c r="X98" s="138">
        <f>SUM(V98:W98)</f>
        <v>11277</v>
      </c>
      <c r="Y98" s="138">
        <v>0</v>
      </c>
      <c r="Z98" s="138">
        <f>SUM(X98:Y98)</f>
        <v>11277</v>
      </c>
      <c r="AA98" s="138">
        <v>0</v>
      </c>
      <c r="AB98" s="138">
        <f>SUM(Z98:AA98)</f>
        <v>11277</v>
      </c>
      <c r="AC98" s="138">
        <v>0</v>
      </c>
      <c r="AD98" s="138">
        <f>SUM(AB98:AC98)</f>
        <v>11277</v>
      </c>
      <c r="AE98" s="138">
        <v>0</v>
      </c>
      <c r="AF98" s="138">
        <f>SUM(AD98:AE98)</f>
        <v>11277</v>
      </c>
      <c r="AG98" s="138">
        <v>0</v>
      </c>
      <c r="AH98" s="138">
        <f t="shared" si="44"/>
        <v>11277</v>
      </c>
      <c r="AI98" s="138">
        <v>0</v>
      </c>
      <c r="AJ98" s="138">
        <f t="shared" si="45"/>
        <v>11277</v>
      </c>
    </row>
    <row r="99" spans="1:36" s="27" customFormat="1" ht="21" customHeight="1">
      <c r="A99" s="75"/>
      <c r="B99" s="76">
        <v>80104</v>
      </c>
      <c r="C99" s="136"/>
      <c r="D99" s="264" t="s">
        <v>388</v>
      </c>
      <c r="E99" s="138">
        <f>SUM(E100)</f>
        <v>6569</v>
      </c>
      <c r="F99" s="138">
        <f>SUM(F100)</f>
        <v>0</v>
      </c>
      <c r="G99" s="138">
        <f>SUM(G100)</f>
        <v>0</v>
      </c>
      <c r="H99" s="138">
        <f>E99+F99-G99</f>
        <v>6569</v>
      </c>
      <c r="I99" s="138">
        <f>SUM(I100)</f>
        <v>0</v>
      </c>
      <c r="J99" s="138">
        <f t="shared" si="34"/>
        <v>6569</v>
      </c>
      <c r="K99" s="138">
        <f>SUM(K100)</f>
        <v>0</v>
      </c>
      <c r="L99" s="138">
        <f t="shared" si="35"/>
        <v>6569</v>
      </c>
      <c r="M99" s="138">
        <f>SUM(M100)</f>
        <v>0</v>
      </c>
      <c r="N99" s="138">
        <f t="shared" si="36"/>
        <v>6569</v>
      </c>
      <c r="O99" s="138">
        <f>SUM(O100)</f>
        <v>0</v>
      </c>
      <c r="P99" s="138">
        <f t="shared" si="41"/>
        <v>6569</v>
      </c>
      <c r="Q99" s="138">
        <f>SUM(Q100)</f>
        <v>0</v>
      </c>
      <c r="R99" s="138">
        <f aca="true" t="shared" si="46" ref="R99:X99">SUM(R100:R103)</f>
        <v>6569</v>
      </c>
      <c r="S99" s="138">
        <f t="shared" si="46"/>
        <v>86839</v>
      </c>
      <c r="T99" s="138">
        <f t="shared" si="46"/>
        <v>93408</v>
      </c>
      <c r="U99" s="138">
        <f t="shared" si="46"/>
        <v>0</v>
      </c>
      <c r="V99" s="138">
        <f t="shared" si="46"/>
        <v>93408</v>
      </c>
      <c r="W99" s="138">
        <f t="shared" si="46"/>
        <v>0</v>
      </c>
      <c r="X99" s="138">
        <f t="shared" si="46"/>
        <v>93408</v>
      </c>
      <c r="Y99" s="138">
        <f aca="true" t="shared" si="47" ref="Y99:AD99">SUM(Y100:Y103)</f>
        <v>0</v>
      </c>
      <c r="Z99" s="138">
        <f t="shared" si="47"/>
        <v>93408</v>
      </c>
      <c r="AA99" s="138">
        <f t="shared" si="47"/>
        <v>0</v>
      </c>
      <c r="AB99" s="138">
        <f t="shared" si="47"/>
        <v>93408</v>
      </c>
      <c r="AC99" s="138">
        <f t="shared" si="47"/>
        <v>0</v>
      </c>
      <c r="AD99" s="138">
        <f t="shared" si="47"/>
        <v>93408</v>
      </c>
      <c r="AE99" s="138">
        <f aca="true" t="shared" si="48" ref="AE99:AJ99">SUM(AE100:AE103)</f>
        <v>0</v>
      </c>
      <c r="AF99" s="138">
        <f t="shared" si="48"/>
        <v>93408</v>
      </c>
      <c r="AG99" s="138">
        <f t="shared" si="48"/>
        <v>500</v>
      </c>
      <c r="AH99" s="138">
        <f t="shared" si="48"/>
        <v>93908</v>
      </c>
      <c r="AI99" s="138">
        <f t="shared" si="48"/>
        <v>0</v>
      </c>
      <c r="AJ99" s="138">
        <f t="shared" si="48"/>
        <v>93908</v>
      </c>
    </row>
    <row r="100" spans="1:36" s="27" customFormat="1" ht="72">
      <c r="A100" s="75"/>
      <c r="B100" s="76"/>
      <c r="C100" s="136" t="s">
        <v>438</v>
      </c>
      <c r="D100" s="264" t="s">
        <v>316</v>
      </c>
      <c r="E100" s="138">
        <v>6569</v>
      </c>
      <c r="F100" s="138"/>
      <c r="G100" s="138"/>
      <c r="H100" s="138">
        <f>E100+F100-G100</f>
        <v>6569</v>
      </c>
      <c r="I100" s="138">
        <v>0</v>
      </c>
      <c r="J100" s="138">
        <f t="shared" si="34"/>
        <v>6569</v>
      </c>
      <c r="K100" s="138">
        <v>0</v>
      </c>
      <c r="L100" s="138">
        <f t="shared" si="35"/>
        <v>6569</v>
      </c>
      <c r="M100" s="138">
        <v>0</v>
      </c>
      <c r="N100" s="138">
        <f t="shared" si="36"/>
        <v>6569</v>
      </c>
      <c r="O100" s="138">
        <v>0</v>
      </c>
      <c r="P100" s="138">
        <f t="shared" si="41"/>
        <v>6569</v>
      </c>
      <c r="Q100" s="138">
        <v>0</v>
      </c>
      <c r="R100" s="138">
        <f t="shared" si="42"/>
        <v>6569</v>
      </c>
      <c r="S100" s="138">
        <v>0</v>
      </c>
      <c r="T100" s="138">
        <f t="shared" si="43"/>
        <v>6569</v>
      </c>
      <c r="U100" s="138">
        <v>0</v>
      </c>
      <c r="V100" s="138">
        <f>SUM(T100:U100)</f>
        <v>6569</v>
      </c>
      <c r="W100" s="138">
        <v>0</v>
      </c>
      <c r="X100" s="138">
        <f>SUM(V100:W100)</f>
        <v>6569</v>
      </c>
      <c r="Y100" s="138">
        <v>0</v>
      </c>
      <c r="Z100" s="138">
        <f>SUM(X100:Y100)</f>
        <v>6569</v>
      </c>
      <c r="AA100" s="138">
        <v>0</v>
      </c>
      <c r="AB100" s="138">
        <f>SUM(Z100:AA100)</f>
        <v>6569</v>
      </c>
      <c r="AC100" s="138">
        <v>0</v>
      </c>
      <c r="AD100" s="138">
        <f>SUM(AB100:AC100)</f>
        <v>6569</v>
      </c>
      <c r="AE100" s="138">
        <v>0</v>
      </c>
      <c r="AF100" s="138">
        <f>SUM(AD100:AE100)</f>
        <v>6569</v>
      </c>
      <c r="AG100" s="138">
        <v>0</v>
      </c>
      <c r="AH100" s="138">
        <f>SUM(AF100:AG100)</f>
        <v>6569</v>
      </c>
      <c r="AI100" s="138">
        <v>0</v>
      </c>
      <c r="AJ100" s="138">
        <f>SUM(AH100:AI100)</f>
        <v>6569</v>
      </c>
    </row>
    <row r="101" spans="1:36" s="27" customFormat="1" ht="26.25" customHeight="1">
      <c r="A101" s="75"/>
      <c r="B101" s="76"/>
      <c r="C101" s="233" t="s">
        <v>440</v>
      </c>
      <c r="D101" s="137" t="s">
        <v>265</v>
      </c>
      <c r="E101" s="138"/>
      <c r="F101" s="138"/>
      <c r="G101" s="138"/>
      <c r="H101" s="138"/>
      <c r="I101" s="138"/>
      <c r="J101" s="138"/>
      <c r="K101" s="138"/>
      <c r="L101" s="138"/>
      <c r="M101" s="138"/>
      <c r="N101" s="138"/>
      <c r="O101" s="138"/>
      <c r="P101" s="138"/>
      <c r="Q101" s="138"/>
      <c r="R101" s="138"/>
      <c r="S101" s="138"/>
      <c r="T101" s="138"/>
      <c r="U101" s="138"/>
      <c r="V101" s="138"/>
      <c r="W101" s="138"/>
      <c r="X101" s="138"/>
      <c r="Y101" s="138"/>
      <c r="Z101" s="138"/>
      <c r="AA101" s="138"/>
      <c r="AB101" s="138"/>
      <c r="AC101" s="138"/>
      <c r="AD101" s="138"/>
      <c r="AE101" s="138"/>
      <c r="AF101" s="138">
        <v>0</v>
      </c>
      <c r="AG101" s="138">
        <v>500</v>
      </c>
      <c r="AH101" s="138">
        <f>SUM(AF101:AG101)</f>
        <v>500</v>
      </c>
      <c r="AI101" s="138">
        <v>0</v>
      </c>
      <c r="AJ101" s="138">
        <f>SUM(AH101:AI101)</f>
        <v>500</v>
      </c>
    </row>
    <row r="102" spans="1:36" s="27" customFormat="1" ht="27.75" customHeight="1">
      <c r="A102" s="75"/>
      <c r="B102" s="76"/>
      <c r="C102" s="136">
        <v>2370</v>
      </c>
      <c r="D102" s="137" t="s">
        <v>486</v>
      </c>
      <c r="E102" s="138"/>
      <c r="F102" s="138"/>
      <c r="G102" s="138"/>
      <c r="H102" s="138"/>
      <c r="I102" s="138"/>
      <c r="J102" s="138"/>
      <c r="K102" s="138"/>
      <c r="L102" s="138"/>
      <c r="M102" s="138"/>
      <c r="N102" s="138"/>
      <c r="O102" s="138"/>
      <c r="P102" s="138"/>
      <c r="Q102" s="138"/>
      <c r="R102" s="138"/>
      <c r="S102" s="138"/>
      <c r="T102" s="138"/>
      <c r="U102" s="138"/>
      <c r="V102" s="138"/>
      <c r="W102" s="138"/>
      <c r="X102" s="138">
        <v>0</v>
      </c>
      <c r="Y102" s="138">
        <v>86839</v>
      </c>
      <c r="Z102" s="138">
        <f>SUM(X102:Y102)</f>
        <v>86839</v>
      </c>
      <c r="AA102" s="138">
        <v>0</v>
      </c>
      <c r="AB102" s="138">
        <f>SUM(Z102:AA102)</f>
        <v>86839</v>
      </c>
      <c r="AC102" s="138">
        <v>0</v>
      </c>
      <c r="AD102" s="138">
        <f>SUM(AB102:AC102)</f>
        <v>86839</v>
      </c>
      <c r="AE102" s="138">
        <v>0</v>
      </c>
      <c r="AF102" s="138">
        <f>SUM(AD102:AE102)</f>
        <v>86839</v>
      </c>
      <c r="AG102" s="138">
        <v>0</v>
      </c>
      <c r="AH102" s="138">
        <f>SUM(AF102:AG102)</f>
        <v>86839</v>
      </c>
      <c r="AI102" s="138">
        <v>0</v>
      </c>
      <c r="AJ102" s="138">
        <f>SUM(AH102:AI102)</f>
        <v>86839</v>
      </c>
    </row>
    <row r="103" spans="1:36" s="27" customFormat="1" ht="26.25" customHeight="1">
      <c r="A103" s="75"/>
      <c r="B103" s="76"/>
      <c r="C103" s="136">
        <v>2400</v>
      </c>
      <c r="D103" s="137" t="s">
        <v>115</v>
      </c>
      <c r="E103" s="138"/>
      <c r="F103" s="138"/>
      <c r="G103" s="138"/>
      <c r="H103" s="138"/>
      <c r="I103" s="138"/>
      <c r="J103" s="138"/>
      <c r="K103" s="138"/>
      <c r="L103" s="138"/>
      <c r="M103" s="138"/>
      <c r="N103" s="138"/>
      <c r="O103" s="138"/>
      <c r="P103" s="138"/>
      <c r="Q103" s="138"/>
      <c r="R103" s="138">
        <v>0</v>
      </c>
      <c r="S103" s="138">
        <v>86839</v>
      </c>
      <c r="T103" s="138">
        <f t="shared" si="43"/>
        <v>86839</v>
      </c>
      <c r="U103" s="138">
        <v>0</v>
      </c>
      <c r="V103" s="138">
        <f>SUM(T103:U103)</f>
        <v>86839</v>
      </c>
      <c r="W103" s="138">
        <v>0</v>
      </c>
      <c r="X103" s="138">
        <f>SUM(V103:W103)</f>
        <v>86839</v>
      </c>
      <c r="Y103" s="138">
        <v>-86839</v>
      </c>
      <c r="Z103" s="138">
        <f>SUM(X103:Y103)</f>
        <v>0</v>
      </c>
      <c r="AA103" s="138">
        <v>0</v>
      </c>
      <c r="AB103" s="138">
        <f>SUM(Z103:AA103)</f>
        <v>0</v>
      </c>
      <c r="AC103" s="138">
        <v>0</v>
      </c>
      <c r="AD103" s="138">
        <f>SUM(AB103:AC103)</f>
        <v>0</v>
      </c>
      <c r="AE103" s="138">
        <v>0</v>
      </c>
      <c r="AF103" s="138">
        <f>SUM(AD103:AE103)</f>
        <v>0</v>
      </c>
      <c r="AG103" s="138">
        <v>0</v>
      </c>
      <c r="AH103" s="138">
        <f>SUM(AF103:AG103)</f>
        <v>0</v>
      </c>
      <c r="AI103" s="138">
        <v>0</v>
      </c>
      <c r="AJ103" s="138">
        <f>SUM(AH103:AI103)</f>
        <v>0</v>
      </c>
    </row>
    <row r="104" spans="1:36" s="27" customFormat="1" ht="21" customHeight="1">
      <c r="A104" s="75"/>
      <c r="B104" s="76">
        <v>80110</v>
      </c>
      <c r="C104" s="136"/>
      <c r="D104" s="264" t="s">
        <v>311</v>
      </c>
      <c r="E104" s="138">
        <f>SUM(E105)</f>
        <v>7829</v>
      </c>
      <c r="F104" s="138">
        <f>SUM(F105)</f>
        <v>0</v>
      </c>
      <c r="G104" s="138">
        <f>SUM(G105)</f>
        <v>0</v>
      </c>
      <c r="H104" s="138">
        <f>SUM(H105:H106)</f>
        <v>7829</v>
      </c>
      <c r="I104" s="138">
        <f>SUM(I105:I106)</f>
        <v>600</v>
      </c>
      <c r="J104" s="138">
        <f t="shared" si="34"/>
        <v>8429</v>
      </c>
      <c r="K104" s="138">
        <f>SUM(K105:K106)</f>
        <v>0</v>
      </c>
      <c r="L104" s="138">
        <f aca="true" t="shared" si="49" ref="L104:R104">SUM(L105:L108)</f>
        <v>8429</v>
      </c>
      <c r="M104" s="138">
        <f t="shared" si="49"/>
        <v>6218</v>
      </c>
      <c r="N104" s="138">
        <f t="shared" si="49"/>
        <v>14647</v>
      </c>
      <c r="O104" s="138">
        <f t="shared" si="49"/>
        <v>0</v>
      </c>
      <c r="P104" s="138">
        <f t="shared" si="49"/>
        <v>14647</v>
      </c>
      <c r="Q104" s="138">
        <f t="shared" si="49"/>
        <v>0</v>
      </c>
      <c r="R104" s="138">
        <f t="shared" si="49"/>
        <v>14647</v>
      </c>
      <c r="S104" s="138">
        <f aca="true" t="shared" si="50" ref="S104:X104">SUM(S105:S108)</f>
        <v>-600</v>
      </c>
      <c r="T104" s="138">
        <f t="shared" si="50"/>
        <v>14047</v>
      </c>
      <c r="U104" s="138">
        <f t="shared" si="50"/>
        <v>0</v>
      </c>
      <c r="V104" s="138">
        <f t="shared" si="50"/>
        <v>14047</v>
      </c>
      <c r="W104" s="138">
        <f t="shared" si="50"/>
        <v>0</v>
      </c>
      <c r="X104" s="138">
        <f t="shared" si="50"/>
        <v>14047</v>
      </c>
      <c r="Y104" s="138">
        <f aca="true" t="shared" si="51" ref="Y104:AD104">SUM(Y105:Y108)</f>
        <v>0</v>
      </c>
      <c r="Z104" s="138">
        <f t="shared" si="51"/>
        <v>14047</v>
      </c>
      <c r="AA104" s="138">
        <f t="shared" si="51"/>
        <v>0</v>
      </c>
      <c r="AB104" s="138">
        <f t="shared" si="51"/>
        <v>14047</v>
      </c>
      <c r="AC104" s="138">
        <f t="shared" si="51"/>
        <v>0</v>
      </c>
      <c r="AD104" s="138">
        <f t="shared" si="51"/>
        <v>14047</v>
      </c>
      <c r="AE104" s="138">
        <f aca="true" t="shared" si="52" ref="AE104:AJ104">SUM(AE105:AE108)</f>
        <v>0</v>
      </c>
      <c r="AF104" s="138">
        <f t="shared" si="52"/>
        <v>14047</v>
      </c>
      <c r="AG104" s="138">
        <f t="shared" si="52"/>
        <v>529</v>
      </c>
      <c r="AH104" s="138">
        <f t="shared" si="52"/>
        <v>14576</v>
      </c>
      <c r="AI104" s="138">
        <f t="shared" si="52"/>
        <v>1501</v>
      </c>
      <c r="AJ104" s="138">
        <f t="shared" si="52"/>
        <v>16077</v>
      </c>
    </row>
    <row r="105" spans="1:36" s="27" customFormat="1" ht="72">
      <c r="A105" s="75"/>
      <c r="B105" s="76"/>
      <c r="C105" s="136" t="s">
        <v>438</v>
      </c>
      <c r="D105" s="264" t="s">
        <v>316</v>
      </c>
      <c r="E105" s="138">
        <v>7829</v>
      </c>
      <c r="F105" s="138"/>
      <c r="G105" s="138"/>
      <c r="H105" s="138">
        <f>E105+F105-G105</f>
        <v>7829</v>
      </c>
      <c r="I105" s="138">
        <v>0</v>
      </c>
      <c r="J105" s="138">
        <f t="shared" si="34"/>
        <v>7829</v>
      </c>
      <c r="K105" s="138">
        <v>0</v>
      </c>
      <c r="L105" s="138">
        <f t="shared" si="35"/>
        <v>7829</v>
      </c>
      <c r="M105" s="138">
        <v>0</v>
      </c>
      <c r="N105" s="138">
        <f t="shared" si="36"/>
        <v>7829</v>
      </c>
      <c r="O105" s="138">
        <v>0</v>
      </c>
      <c r="P105" s="138">
        <f aca="true" t="shared" si="53" ref="P105:P113">SUM(N105:O105)</f>
        <v>7829</v>
      </c>
      <c r="Q105" s="138">
        <v>0</v>
      </c>
      <c r="R105" s="138">
        <f aca="true" t="shared" si="54" ref="R105:R113">SUM(P105:Q105)</f>
        <v>7829</v>
      </c>
      <c r="S105" s="138">
        <v>0</v>
      </c>
      <c r="T105" s="138">
        <f aca="true" t="shared" si="55" ref="T105:T113">SUM(R105:S105)</f>
        <v>7829</v>
      </c>
      <c r="U105" s="138">
        <v>0</v>
      </c>
      <c r="V105" s="138">
        <f aca="true" t="shared" si="56" ref="V105:V113">SUM(T105:U105)</f>
        <v>7829</v>
      </c>
      <c r="W105" s="138">
        <v>0</v>
      </c>
      <c r="X105" s="138">
        <f aca="true" t="shared" si="57" ref="X105:X113">SUM(V105:W105)</f>
        <v>7829</v>
      </c>
      <c r="Y105" s="138">
        <v>0</v>
      </c>
      <c r="Z105" s="138">
        <f aca="true" t="shared" si="58" ref="Z105:Z113">SUM(X105:Y105)</f>
        <v>7829</v>
      </c>
      <c r="AA105" s="138">
        <v>0</v>
      </c>
      <c r="AB105" s="138">
        <f aca="true" t="shared" si="59" ref="AB105:AB113">SUM(Z105:AA105)</f>
        <v>7829</v>
      </c>
      <c r="AC105" s="138">
        <v>0</v>
      </c>
      <c r="AD105" s="138">
        <f aca="true" t="shared" si="60" ref="AD105:AD113">SUM(AB105:AC105)</f>
        <v>7829</v>
      </c>
      <c r="AE105" s="138">
        <v>0</v>
      </c>
      <c r="AF105" s="138">
        <f aca="true" t="shared" si="61" ref="AF105:AF113">SUM(AD105:AE105)</f>
        <v>7829</v>
      </c>
      <c r="AG105" s="138">
        <v>0</v>
      </c>
      <c r="AH105" s="138">
        <f aca="true" t="shared" si="62" ref="AH105:AH113">SUM(AF105:AG105)</f>
        <v>7829</v>
      </c>
      <c r="AI105" s="138">
        <v>0</v>
      </c>
      <c r="AJ105" s="138">
        <f aca="true" t="shared" si="63" ref="AJ105:AJ113">SUM(AH105:AI105)</f>
        <v>7829</v>
      </c>
    </row>
    <row r="106" spans="1:36" s="27" customFormat="1" ht="45" hidden="1">
      <c r="A106" s="75"/>
      <c r="B106" s="76"/>
      <c r="C106" s="136">
        <v>2320</v>
      </c>
      <c r="D106" s="137" t="s">
        <v>543</v>
      </c>
      <c r="E106" s="138"/>
      <c r="F106" s="138"/>
      <c r="G106" s="138"/>
      <c r="H106" s="138">
        <v>0</v>
      </c>
      <c r="I106" s="138">
        <f>300+300</f>
        <v>600</v>
      </c>
      <c r="J106" s="138">
        <f t="shared" si="34"/>
        <v>600</v>
      </c>
      <c r="K106" s="138"/>
      <c r="L106" s="138">
        <f t="shared" si="35"/>
        <v>600</v>
      </c>
      <c r="M106" s="138">
        <v>0</v>
      </c>
      <c r="N106" s="138">
        <f t="shared" si="36"/>
        <v>600</v>
      </c>
      <c r="O106" s="138">
        <v>0</v>
      </c>
      <c r="P106" s="138">
        <f t="shared" si="53"/>
        <v>600</v>
      </c>
      <c r="Q106" s="138">
        <v>0</v>
      </c>
      <c r="R106" s="138">
        <f t="shared" si="54"/>
        <v>600</v>
      </c>
      <c r="S106" s="138">
        <f>-300-300</f>
        <v>-600</v>
      </c>
      <c r="T106" s="138">
        <f t="shared" si="55"/>
        <v>0</v>
      </c>
      <c r="U106" s="138">
        <v>0</v>
      </c>
      <c r="V106" s="138">
        <f t="shared" si="56"/>
        <v>0</v>
      </c>
      <c r="W106" s="138">
        <v>0</v>
      </c>
      <c r="X106" s="138">
        <f t="shared" si="57"/>
        <v>0</v>
      </c>
      <c r="Y106" s="138">
        <v>0</v>
      </c>
      <c r="Z106" s="138">
        <f t="shared" si="58"/>
        <v>0</v>
      </c>
      <c r="AA106" s="138">
        <v>0</v>
      </c>
      <c r="AB106" s="138">
        <f t="shared" si="59"/>
        <v>0</v>
      </c>
      <c r="AC106" s="138">
        <v>0</v>
      </c>
      <c r="AD106" s="138">
        <f t="shared" si="60"/>
        <v>0</v>
      </c>
      <c r="AE106" s="138">
        <v>0</v>
      </c>
      <c r="AF106" s="138">
        <f t="shared" si="61"/>
        <v>0</v>
      </c>
      <c r="AG106" s="138">
        <v>0</v>
      </c>
      <c r="AH106" s="138">
        <f t="shared" si="62"/>
        <v>0</v>
      </c>
      <c r="AI106" s="138">
        <v>0</v>
      </c>
      <c r="AJ106" s="138">
        <f t="shared" si="63"/>
        <v>0</v>
      </c>
    </row>
    <row r="107" spans="1:36" s="27" customFormat="1" ht="24.75" customHeight="1">
      <c r="A107" s="75"/>
      <c r="B107" s="76"/>
      <c r="C107" s="233" t="s">
        <v>440</v>
      </c>
      <c r="D107" s="137" t="s">
        <v>265</v>
      </c>
      <c r="E107" s="138"/>
      <c r="F107" s="138"/>
      <c r="G107" s="138"/>
      <c r="H107" s="138"/>
      <c r="I107" s="138"/>
      <c r="J107" s="138"/>
      <c r="K107" s="138"/>
      <c r="L107" s="138"/>
      <c r="M107" s="138"/>
      <c r="N107" s="138"/>
      <c r="O107" s="138"/>
      <c r="P107" s="138"/>
      <c r="Q107" s="138"/>
      <c r="R107" s="138"/>
      <c r="S107" s="138"/>
      <c r="T107" s="138"/>
      <c r="U107" s="138"/>
      <c r="V107" s="138"/>
      <c r="W107" s="138"/>
      <c r="X107" s="138"/>
      <c r="Y107" s="138"/>
      <c r="Z107" s="138"/>
      <c r="AA107" s="138"/>
      <c r="AB107" s="138"/>
      <c r="AC107" s="138"/>
      <c r="AD107" s="138"/>
      <c r="AE107" s="138"/>
      <c r="AF107" s="138">
        <v>0</v>
      </c>
      <c r="AG107" s="138">
        <v>529</v>
      </c>
      <c r="AH107" s="138">
        <f t="shared" si="62"/>
        <v>529</v>
      </c>
      <c r="AI107" s="74">
        <v>1501</v>
      </c>
      <c r="AJ107" s="138">
        <f t="shared" si="63"/>
        <v>2030</v>
      </c>
    </row>
    <row r="108" spans="1:36" s="27" customFormat="1" ht="24">
      <c r="A108" s="75"/>
      <c r="B108" s="76"/>
      <c r="C108" s="136">
        <v>2400</v>
      </c>
      <c r="D108" s="137" t="s">
        <v>87</v>
      </c>
      <c r="E108" s="138"/>
      <c r="F108" s="138"/>
      <c r="G108" s="138"/>
      <c r="H108" s="138"/>
      <c r="I108" s="138"/>
      <c r="J108" s="138"/>
      <c r="K108" s="138"/>
      <c r="L108" s="138">
        <v>0</v>
      </c>
      <c r="M108" s="138">
        <v>6218</v>
      </c>
      <c r="N108" s="138">
        <f t="shared" si="36"/>
        <v>6218</v>
      </c>
      <c r="O108" s="138">
        <v>0</v>
      </c>
      <c r="P108" s="138">
        <f t="shared" si="53"/>
        <v>6218</v>
      </c>
      <c r="Q108" s="138">
        <v>0</v>
      </c>
      <c r="R108" s="138">
        <f t="shared" si="54"/>
        <v>6218</v>
      </c>
      <c r="S108" s="138">
        <v>0</v>
      </c>
      <c r="T108" s="138">
        <f t="shared" si="55"/>
        <v>6218</v>
      </c>
      <c r="U108" s="138">
        <v>0</v>
      </c>
      <c r="V108" s="138">
        <f t="shared" si="56"/>
        <v>6218</v>
      </c>
      <c r="W108" s="138">
        <v>0</v>
      </c>
      <c r="X108" s="138">
        <f t="shared" si="57"/>
        <v>6218</v>
      </c>
      <c r="Y108" s="138">
        <v>0</v>
      </c>
      <c r="Z108" s="138">
        <f t="shared" si="58"/>
        <v>6218</v>
      </c>
      <c r="AA108" s="138">
        <v>0</v>
      </c>
      <c r="AB108" s="138">
        <f t="shared" si="59"/>
        <v>6218</v>
      </c>
      <c r="AC108" s="138">
        <v>0</v>
      </c>
      <c r="AD108" s="138">
        <f t="shared" si="60"/>
        <v>6218</v>
      </c>
      <c r="AE108" s="138">
        <v>0</v>
      </c>
      <c r="AF108" s="138">
        <f t="shared" si="61"/>
        <v>6218</v>
      </c>
      <c r="AG108" s="138">
        <v>0</v>
      </c>
      <c r="AH108" s="138">
        <f t="shared" si="62"/>
        <v>6218</v>
      </c>
      <c r="AI108" s="138">
        <v>0</v>
      </c>
      <c r="AJ108" s="138">
        <f t="shared" si="63"/>
        <v>6218</v>
      </c>
    </row>
    <row r="109" spans="1:36" s="27" customFormat="1" ht="19.5" customHeight="1">
      <c r="A109" s="75"/>
      <c r="B109" s="76">
        <v>80195</v>
      </c>
      <c r="C109" s="136"/>
      <c r="D109" s="137" t="s">
        <v>250</v>
      </c>
      <c r="E109" s="138"/>
      <c r="F109" s="138"/>
      <c r="G109" s="138"/>
      <c r="H109" s="138"/>
      <c r="I109" s="138"/>
      <c r="J109" s="138"/>
      <c r="K109" s="138"/>
      <c r="L109" s="138"/>
      <c r="M109" s="138"/>
      <c r="N109" s="138"/>
      <c r="O109" s="138"/>
      <c r="P109" s="138"/>
      <c r="Q109" s="138"/>
      <c r="R109" s="138"/>
      <c r="S109" s="138"/>
      <c r="T109" s="138">
        <f>SUM(T110)</f>
        <v>0</v>
      </c>
      <c r="U109" s="138">
        <f>SUM(U110)</f>
        <v>40107</v>
      </c>
      <c r="V109" s="138">
        <f t="shared" si="56"/>
        <v>40107</v>
      </c>
      <c r="W109" s="138">
        <f>SUM(W110)</f>
        <v>0</v>
      </c>
      <c r="X109" s="138">
        <f t="shared" si="57"/>
        <v>40107</v>
      </c>
      <c r="Y109" s="138">
        <f>SUM(Y110)</f>
        <v>0</v>
      </c>
      <c r="Z109" s="138">
        <f t="shared" si="58"/>
        <v>40107</v>
      </c>
      <c r="AA109" s="138">
        <f>SUM(AA110)</f>
        <v>45146</v>
      </c>
      <c r="AB109" s="138">
        <f t="shared" si="59"/>
        <v>85253</v>
      </c>
      <c r="AC109" s="138">
        <f>SUM(AC110)</f>
        <v>0</v>
      </c>
      <c r="AD109" s="138">
        <f t="shared" si="60"/>
        <v>85253</v>
      </c>
      <c r="AE109" s="138">
        <f>SUM(AE110)</f>
        <v>42289</v>
      </c>
      <c r="AF109" s="138">
        <f t="shared" si="61"/>
        <v>127542</v>
      </c>
      <c r="AG109" s="138">
        <f>SUM(AG110)</f>
        <v>0</v>
      </c>
      <c r="AH109" s="138">
        <f t="shared" si="62"/>
        <v>127542</v>
      </c>
      <c r="AI109" s="138">
        <f>SUM(AI110)</f>
        <v>0</v>
      </c>
      <c r="AJ109" s="138">
        <f t="shared" si="63"/>
        <v>127542</v>
      </c>
    </row>
    <row r="110" spans="1:36" s="27" customFormat="1" ht="36">
      <c r="A110" s="75"/>
      <c r="B110" s="76"/>
      <c r="C110" s="136">
        <v>2030</v>
      </c>
      <c r="D110" s="137" t="s">
        <v>517</v>
      </c>
      <c r="E110" s="138"/>
      <c r="F110" s="138"/>
      <c r="G110" s="138"/>
      <c r="H110" s="138"/>
      <c r="I110" s="138"/>
      <c r="J110" s="138"/>
      <c r="K110" s="138"/>
      <c r="L110" s="138"/>
      <c r="M110" s="138"/>
      <c r="N110" s="138"/>
      <c r="O110" s="138"/>
      <c r="P110" s="138"/>
      <c r="Q110" s="138"/>
      <c r="R110" s="138"/>
      <c r="S110" s="138"/>
      <c r="T110" s="138">
        <v>0</v>
      </c>
      <c r="U110" s="138">
        <v>40107</v>
      </c>
      <c r="V110" s="138">
        <f t="shared" si="56"/>
        <v>40107</v>
      </c>
      <c r="W110" s="138"/>
      <c r="X110" s="138">
        <f t="shared" si="57"/>
        <v>40107</v>
      </c>
      <c r="Y110" s="138"/>
      <c r="Z110" s="138">
        <f t="shared" si="58"/>
        <v>40107</v>
      </c>
      <c r="AA110" s="138">
        <f>40000+5146</f>
        <v>45146</v>
      </c>
      <c r="AB110" s="138">
        <f t="shared" si="59"/>
        <v>85253</v>
      </c>
      <c r="AC110" s="138">
        <v>0</v>
      </c>
      <c r="AD110" s="138">
        <f t="shared" si="60"/>
        <v>85253</v>
      </c>
      <c r="AE110" s="138">
        <f>41809+480</f>
        <v>42289</v>
      </c>
      <c r="AF110" s="138">
        <f t="shared" si="61"/>
        <v>127542</v>
      </c>
      <c r="AG110" s="138">
        <v>0</v>
      </c>
      <c r="AH110" s="138">
        <f t="shared" si="62"/>
        <v>127542</v>
      </c>
      <c r="AI110" s="138">
        <v>0</v>
      </c>
      <c r="AJ110" s="138">
        <f t="shared" si="63"/>
        <v>127542</v>
      </c>
    </row>
    <row r="111" spans="1:36" s="7" customFormat="1" ht="24.75" customHeight="1">
      <c r="A111" s="33" t="s">
        <v>431</v>
      </c>
      <c r="B111" s="4"/>
      <c r="C111" s="238"/>
      <c r="D111" s="236" t="s">
        <v>471</v>
      </c>
      <c r="E111" s="237">
        <f>SUM(E114,E118,E120,E124,E129,)</f>
        <v>9752400</v>
      </c>
      <c r="F111" s="237">
        <f>SUM(F114,F118,F120,F124,F129,)</f>
        <v>0</v>
      </c>
      <c r="G111" s="237">
        <f>SUM(G114,G118,G120,G124,G129,)</f>
        <v>0</v>
      </c>
      <c r="H111" s="237">
        <f aca="true" t="shared" si="64" ref="H111:H141">E111+F111-G111</f>
        <v>9752400</v>
      </c>
      <c r="I111" s="237">
        <f>SUM(I114,I118,I120,I124,I129,)</f>
        <v>-22000</v>
      </c>
      <c r="J111" s="237">
        <f t="shared" si="34"/>
        <v>9730400</v>
      </c>
      <c r="K111" s="237">
        <f>SUM(K114,K118,K120,K124,K129,)</f>
        <v>0</v>
      </c>
      <c r="L111" s="237">
        <f t="shared" si="35"/>
        <v>9730400</v>
      </c>
      <c r="M111" s="237">
        <f>SUM(M114,M118,M120,M124,M129,)</f>
        <v>0</v>
      </c>
      <c r="N111" s="237">
        <f t="shared" si="36"/>
        <v>9730400</v>
      </c>
      <c r="O111" s="237">
        <f>SUM(O114,O118,O120,O124,O129,)</f>
        <v>234778</v>
      </c>
      <c r="P111" s="237">
        <f t="shared" si="53"/>
        <v>9965178</v>
      </c>
      <c r="Q111" s="237">
        <f>SUM(Q114,Q118,Q120,Q124,Q129,)</f>
        <v>0</v>
      </c>
      <c r="R111" s="237">
        <f t="shared" si="54"/>
        <v>9965178</v>
      </c>
      <c r="S111" s="237">
        <f>SUM(S114,S118,S120,S124,S129,)</f>
        <v>40648</v>
      </c>
      <c r="T111" s="237">
        <f t="shared" si="55"/>
        <v>10005826</v>
      </c>
      <c r="U111" s="237">
        <f>SUM(U114,U118,U120,U124,U129,)</f>
        <v>0</v>
      </c>
      <c r="V111" s="237">
        <f t="shared" si="56"/>
        <v>10005826</v>
      </c>
      <c r="W111" s="237">
        <f>SUM(W114,W118,W120,W124,W129,)</f>
        <v>-42479</v>
      </c>
      <c r="X111" s="237">
        <f t="shared" si="57"/>
        <v>9963347</v>
      </c>
      <c r="Y111" s="237">
        <f>SUM(Y114,Y118,Y120,Y124,Y129,)</f>
        <v>7901</v>
      </c>
      <c r="Z111" s="237">
        <f t="shared" si="58"/>
        <v>9971248</v>
      </c>
      <c r="AA111" s="237">
        <f>SUM(AA114,AA118,AA120,AA124,AA129,)</f>
        <v>-234000</v>
      </c>
      <c r="AB111" s="237">
        <f t="shared" si="59"/>
        <v>9737248</v>
      </c>
      <c r="AC111" s="237">
        <f>SUM(AC114,AC118,AC120,AC124,AC129,)</f>
        <v>225925</v>
      </c>
      <c r="AD111" s="237">
        <f t="shared" si="60"/>
        <v>9963173</v>
      </c>
      <c r="AE111" s="237">
        <f>SUM(AE114,AE118,AE120,AE124,AE129,)</f>
        <v>0</v>
      </c>
      <c r="AF111" s="237">
        <f t="shared" si="61"/>
        <v>9963173</v>
      </c>
      <c r="AG111" s="237">
        <f>SUM(AG114,AG118,AG120,AG124,AG129,)</f>
        <v>69045</v>
      </c>
      <c r="AH111" s="237">
        <f t="shared" si="62"/>
        <v>10032218</v>
      </c>
      <c r="AI111" s="237">
        <f>SUM(AI114,AI118,AI120,AI124,AI129,)</f>
        <v>0</v>
      </c>
      <c r="AJ111" s="237">
        <f t="shared" si="63"/>
        <v>10032218</v>
      </c>
    </row>
    <row r="112" spans="1:36" s="27" customFormat="1" ht="33.75" hidden="1">
      <c r="A112" s="75"/>
      <c r="B112" s="58">
        <v>85212</v>
      </c>
      <c r="C112" s="233"/>
      <c r="D112" s="137" t="s">
        <v>511</v>
      </c>
      <c r="E112" s="138">
        <f>SUM(E113)</f>
        <v>5507000</v>
      </c>
      <c r="F112" s="138">
        <f>SUM(F113)</f>
        <v>5507000</v>
      </c>
      <c r="G112" s="138">
        <f>SUM(G113)</f>
        <v>5507000</v>
      </c>
      <c r="H112" s="138">
        <f t="shared" si="64"/>
        <v>5507000</v>
      </c>
      <c r="I112" s="138">
        <f>SUM(I113)</f>
        <v>5507000</v>
      </c>
      <c r="J112" s="240">
        <f t="shared" si="34"/>
        <v>11014000</v>
      </c>
      <c r="K112" s="138">
        <f>SUM(K113)</f>
        <v>5507000</v>
      </c>
      <c r="L112" s="240">
        <f t="shared" si="35"/>
        <v>16521000</v>
      </c>
      <c r="M112" s="138">
        <f>SUM(M113)</f>
        <v>5507000</v>
      </c>
      <c r="N112" s="240">
        <f t="shared" si="36"/>
        <v>22028000</v>
      </c>
      <c r="O112" s="138">
        <f>SUM(O113)</f>
        <v>5507000</v>
      </c>
      <c r="P112" s="240">
        <f t="shared" si="53"/>
        <v>27535000</v>
      </c>
      <c r="Q112" s="138">
        <f>SUM(Q113)</f>
        <v>5507000</v>
      </c>
      <c r="R112" s="240">
        <f t="shared" si="54"/>
        <v>33042000</v>
      </c>
      <c r="S112" s="138">
        <f>SUM(S113)</f>
        <v>5507000</v>
      </c>
      <c r="T112" s="240">
        <f t="shared" si="55"/>
        <v>38549000</v>
      </c>
      <c r="U112" s="138">
        <f>SUM(U113)</f>
        <v>5507000</v>
      </c>
      <c r="V112" s="240">
        <f t="shared" si="56"/>
        <v>44056000</v>
      </c>
      <c r="W112" s="138">
        <f>SUM(W113)</f>
        <v>5507000</v>
      </c>
      <c r="X112" s="240">
        <f t="shared" si="57"/>
        <v>49563000</v>
      </c>
      <c r="Y112" s="138">
        <f>SUM(Y113)</f>
        <v>5507000</v>
      </c>
      <c r="Z112" s="240">
        <f t="shared" si="58"/>
        <v>55070000</v>
      </c>
      <c r="AA112" s="138">
        <f>SUM(AA113)</f>
        <v>5507000</v>
      </c>
      <c r="AB112" s="240">
        <f t="shared" si="59"/>
        <v>60577000</v>
      </c>
      <c r="AC112" s="138">
        <f>SUM(AC113)</f>
        <v>5507000</v>
      </c>
      <c r="AD112" s="240">
        <f t="shared" si="60"/>
        <v>66084000</v>
      </c>
      <c r="AE112" s="138">
        <f>SUM(AE113)</f>
        <v>5507000</v>
      </c>
      <c r="AF112" s="240">
        <f t="shared" si="61"/>
        <v>71591000</v>
      </c>
      <c r="AG112" s="138">
        <f>SUM(AG113)</f>
        <v>5507000</v>
      </c>
      <c r="AH112" s="240">
        <f t="shared" si="62"/>
        <v>77098000</v>
      </c>
      <c r="AI112" s="138">
        <f>SUM(AI113)</f>
        <v>5507000</v>
      </c>
      <c r="AJ112" s="240">
        <f t="shared" si="63"/>
        <v>82605000</v>
      </c>
    </row>
    <row r="113" spans="1:36" s="27" customFormat="1" ht="56.25" hidden="1">
      <c r="A113" s="75"/>
      <c r="B113" s="58"/>
      <c r="C113" s="233">
        <v>2010</v>
      </c>
      <c r="D113" s="137" t="s">
        <v>535</v>
      </c>
      <c r="E113" s="138">
        <v>5507000</v>
      </c>
      <c r="F113" s="138">
        <v>5507000</v>
      </c>
      <c r="G113" s="138">
        <v>5507000</v>
      </c>
      <c r="H113" s="138">
        <f t="shared" si="64"/>
        <v>5507000</v>
      </c>
      <c r="I113" s="138">
        <v>5507000</v>
      </c>
      <c r="J113" s="240">
        <f t="shared" si="34"/>
        <v>11014000</v>
      </c>
      <c r="K113" s="138">
        <v>5507000</v>
      </c>
      <c r="L113" s="240">
        <f t="shared" si="35"/>
        <v>16521000</v>
      </c>
      <c r="M113" s="138">
        <v>5507000</v>
      </c>
      <c r="N113" s="240">
        <f t="shared" si="36"/>
        <v>22028000</v>
      </c>
      <c r="O113" s="138">
        <v>5507000</v>
      </c>
      <c r="P113" s="240">
        <f t="shared" si="53"/>
        <v>27535000</v>
      </c>
      <c r="Q113" s="138">
        <v>5507000</v>
      </c>
      <c r="R113" s="240">
        <f t="shared" si="54"/>
        <v>33042000</v>
      </c>
      <c r="S113" s="138">
        <v>5507000</v>
      </c>
      <c r="T113" s="240">
        <f t="shared" si="55"/>
        <v>38549000</v>
      </c>
      <c r="U113" s="138">
        <v>5507000</v>
      </c>
      <c r="V113" s="240">
        <f t="shared" si="56"/>
        <v>44056000</v>
      </c>
      <c r="W113" s="138">
        <v>5507000</v>
      </c>
      <c r="X113" s="240">
        <f t="shared" si="57"/>
        <v>49563000</v>
      </c>
      <c r="Y113" s="138">
        <v>5507000</v>
      </c>
      <c r="Z113" s="240">
        <f t="shared" si="58"/>
        <v>55070000</v>
      </c>
      <c r="AA113" s="138">
        <v>5507000</v>
      </c>
      <c r="AB113" s="240">
        <f t="shared" si="59"/>
        <v>60577000</v>
      </c>
      <c r="AC113" s="138">
        <v>5507000</v>
      </c>
      <c r="AD113" s="240">
        <f t="shared" si="60"/>
        <v>66084000</v>
      </c>
      <c r="AE113" s="138">
        <v>5507000</v>
      </c>
      <c r="AF113" s="240">
        <f t="shared" si="61"/>
        <v>71591000</v>
      </c>
      <c r="AG113" s="138">
        <v>5507000</v>
      </c>
      <c r="AH113" s="240">
        <f t="shared" si="62"/>
        <v>77098000</v>
      </c>
      <c r="AI113" s="138">
        <v>5507000</v>
      </c>
      <c r="AJ113" s="240">
        <f t="shared" si="63"/>
        <v>82605000</v>
      </c>
    </row>
    <row r="114" spans="1:36" s="27" customFormat="1" ht="48">
      <c r="A114" s="75"/>
      <c r="B114" s="58">
        <v>85212</v>
      </c>
      <c r="C114" s="233"/>
      <c r="D114" s="137" t="s">
        <v>256</v>
      </c>
      <c r="E114" s="138">
        <f>SUM(E115:E116)</f>
        <v>7819800</v>
      </c>
      <c r="F114" s="138">
        <f>SUM(F115:F116)</f>
        <v>0</v>
      </c>
      <c r="G114" s="138">
        <f>SUM(G115:G116)</f>
        <v>0</v>
      </c>
      <c r="H114" s="138">
        <f t="shared" si="64"/>
        <v>7819800</v>
      </c>
      <c r="I114" s="138">
        <f>SUM(I115:I116)</f>
        <v>7900</v>
      </c>
      <c r="J114" s="138">
        <f t="shared" si="34"/>
        <v>7827700</v>
      </c>
      <c r="K114" s="138">
        <f>SUM(K115:K116)</f>
        <v>0</v>
      </c>
      <c r="L114" s="138">
        <f aca="true" t="shared" si="65" ref="L114:R114">SUM(L115:L117)</f>
        <v>7827700</v>
      </c>
      <c r="M114" s="138">
        <f t="shared" si="65"/>
        <v>0</v>
      </c>
      <c r="N114" s="138">
        <f t="shared" si="65"/>
        <v>7827700</v>
      </c>
      <c r="O114" s="138">
        <f t="shared" si="65"/>
        <v>0</v>
      </c>
      <c r="P114" s="138">
        <f t="shared" si="65"/>
        <v>7827700</v>
      </c>
      <c r="Q114" s="138">
        <f t="shared" si="65"/>
        <v>0</v>
      </c>
      <c r="R114" s="138">
        <f t="shared" si="65"/>
        <v>7827700</v>
      </c>
      <c r="S114" s="138">
        <f aca="true" t="shared" si="66" ref="S114:X114">SUM(S115:S117)</f>
        <v>0</v>
      </c>
      <c r="T114" s="138">
        <f t="shared" si="66"/>
        <v>7827700</v>
      </c>
      <c r="U114" s="138">
        <f t="shared" si="66"/>
        <v>0</v>
      </c>
      <c r="V114" s="138">
        <f t="shared" si="66"/>
        <v>7827700</v>
      </c>
      <c r="W114" s="138">
        <f t="shared" si="66"/>
        <v>-200000</v>
      </c>
      <c r="X114" s="138">
        <f t="shared" si="66"/>
        <v>7627700</v>
      </c>
      <c r="Y114" s="138">
        <f aca="true" t="shared" si="67" ref="Y114:AD114">SUM(Y115:Y117)</f>
        <v>-50000</v>
      </c>
      <c r="Z114" s="138">
        <f t="shared" si="67"/>
        <v>7577700</v>
      </c>
      <c r="AA114" s="138">
        <f t="shared" si="67"/>
        <v>-250000</v>
      </c>
      <c r="AB114" s="138">
        <f t="shared" si="67"/>
        <v>7327700</v>
      </c>
      <c r="AC114" s="138">
        <f t="shared" si="67"/>
        <v>0</v>
      </c>
      <c r="AD114" s="138">
        <f t="shared" si="67"/>
        <v>7327700</v>
      </c>
      <c r="AE114" s="138">
        <f aca="true" t="shared" si="68" ref="AE114:AJ114">SUM(AE115:AE117)</f>
        <v>0</v>
      </c>
      <c r="AF114" s="138">
        <f t="shared" si="68"/>
        <v>7327700</v>
      </c>
      <c r="AG114" s="138">
        <f t="shared" si="68"/>
        <v>0</v>
      </c>
      <c r="AH114" s="138">
        <f t="shared" si="68"/>
        <v>7327700</v>
      </c>
      <c r="AI114" s="138">
        <f t="shared" si="68"/>
        <v>0</v>
      </c>
      <c r="AJ114" s="138">
        <f t="shared" si="68"/>
        <v>7327700</v>
      </c>
    </row>
    <row r="115" spans="1:36" s="27" customFormat="1" ht="11.25" hidden="1">
      <c r="A115" s="75"/>
      <c r="B115" s="58"/>
      <c r="C115" s="233" t="s">
        <v>440</v>
      </c>
      <c r="D115" s="137" t="s">
        <v>265</v>
      </c>
      <c r="E115" s="138">
        <v>15000</v>
      </c>
      <c r="F115" s="138"/>
      <c r="G115" s="138"/>
      <c r="H115" s="138">
        <f t="shared" si="64"/>
        <v>15000</v>
      </c>
      <c r="I115" s="138">
        <v>0</v>
      </c>
      <c r="J115" s="138">
        <f t="shared" si="34"/>
        <v>15000</v>
      </c>
      <c r="K115" s="138">
        <v>0</v>
      </c>
      <c r="L115" s="138">
        <f t="shared" si="35"/>
        <v>15000</v>
      </c>
      <c r="M115" s="138">
        <v>-15000</v>
      </c>
      <c r="N115" s="138">
        <f t="shared" si="36"/>
        <v>0</v>
      </c>
      <c r="O115" s="138">
        <v>0</v>
      </c>
      <c r="P115" s="138">
        <f aca="true" t="shared" si="69" ref="P115:P130">SUM(N115:O115)</f>
        <v>0</v>
      </c>
      <c r="Q115" s="138">
        <v>0</v>
      </c>
      <c r="R115" s="138">
        <f aca="true" t="shared" si="70" ref="R115:R130">SUM(P115:Q115)</f>
        <v>0</v>
      </c>
      <c r="S115" s="138">
        <v>0</v>
      </c>
      <c r="T115" s="138">
        <f aca="true" t="shared" si="71" ref="T115:T130">SUM(R115:S115)</f>
        <v>0</v>
      </c>
      <c r="U115" s="138">
        <v>0</v>
      </c>
      <c r="V115" s="138">
        <f aca="true" t="shared" si="72" ref="V115:V130">SUM(T115:U115)</f>
        <v>0</v>
      </c>
      <c r="W115" s="138">
        <v>0</v>
      </c>
      <c r="X115" s="138">
        <f aca="true" t="shared" si="73" ref="X115:X130">SUM(V115:W115)</f>
        <v>0</v>
      </c>
      <c r="Y115" s="138">
        <v>0</v>
      </c>
      <c r="Z115" s="138">
        <f aca="true" t="shared" si="74" ref="Z115:Z130">SUM(X115:Y115)</f>
        <v>0</v>
      </c>
      <c r="AA115" s="138">
        <v>0</v>
      </c>
      <c r="AB115" s="138">
        <f>SUM(Z115:AA115)</f>
        <v>0</v>
      </c>
      <c r="AC115" s="138">
        <v>0</v>
      </c>
      <c r="AD115" s="138">
        <f>SUM(AB115:AC115)</f>
        <v>0</v>
      </c>
      <c r="AE115" s="138">
        <v>0</v>
      </c>
      <c r="AF115" s="138">
        <f>SUM(AD115:AE115)</f>
        <v>0</v>
      </c>
      <c r="AG115" s="138">
        <v>0</v>
      </c>
      <c r="AH115" s="138">
        <f>SUM(AF115:AG115)</f>
        <v>0</v>
      </c>
      <c r="AI115" s="138">
        <v>0</v>
      </c>
      <c r="AJ115" s="138">
        <f>SUM(AH115:AI115)</f>
        <v>0</v>
      </c>
    </row>
    <row r="116" spans="1:36" s="27" customFormat="1" ht="60">
      <c r="A116" s="75"/>
      <c r="B116" s="58"/>
      <c r="C116" s="233">
        <v>2010</v>
      </c>
      <c r="D116" s="137" t="s">
        <v>253</v>
      </c>
      <c r="E116" s="138">
        <v>7804800</v>
      </c>
      <c r="F116" s="138"/>
      <c r="G116" s="138"/>
      <c r="H116" s="138">
        <f t="shared" si="64"/>
        <v>7804800</v>
      </c>
      <c r="I116" s="138">
        <v>7900</v>
      </c>
      <c r="J116" s="138">
        <f t="shared" si="34"/>
        <v>7812700</v>
      </c>
      <c r="K116" s="138"/>
      <c r="L116" s="138">
        <f t="shared" si="35"/>
        <v>7812700</v>
      </c>
      <c r="M116" s="138"/>
      <c r="N116" s="138">
        <f t="shared" si="36"/>
        <v>7812700</v>
      </c>
      <c r="O116" s="138">
        <v>0</v>
      </c>
      <c r="P116" s="138">
        <f t="shared" si="69"/>
        <v>7812700</v>
      </c>
      <c r="Q116" s="138">
        <v>0</v>
      </c>
      <c r="R116" s="138">
        <f t="shared" si="70"/>
        <v>7812700</v>
      </c>
      <c r="S116" s="138">
        <v>0</v>
      </c>
      <c r="T116" s="138">
        <f t="shared" si="71"/>
        <v>7812700</v>
      </c>
      <c r="U116" s="138">
        <v>0</v>
      </c>
      <c r="V116" s="138">
        <f t="shared" si="72"/>
        <v>7812700</v>
      </c>
      <c r="W116" s="138">
        <v>-200000</v>
      </c>
      <c r="X116" s="138">
        <f t="shared" si="73"/>
        <v>7612700</v>
      </c>
      <c r="Y116" s="138">
        <v>-50000</v>
      </c>
      <c r="Z116" s="138">
        <f t="shared" si="74"/>
        <v>7562700</v>
      </c>
      <c r="AA116" s="138">
        <v>-250000</v>
      </c>
      <c r="AB116" s="138">
        <f>SUM(Z116:AA116)</f>
        <v>7312700</v>
      </c>
      <c r="AC116" s="138">
        <v>0</v>
      </c>
      <c r="AD116" s="138">
        <f>SUM(AB116:AC116)</f>
        <v>7312700</v>
      </c>
      <c r="AE116" s="138">
        <v>0</v>
      </c>
      <c r="AF116" s="138">
        <f>SUM(AD116:AE116)</f>
        <v>7312700</v>
      </c>
      <c r="AG116" s="138">
        <v>0</v>
      </c>
      <c r="AH116" s="138">
        <f>SUM(AF116:AG116)</f>
        <v>7312700</v>
      </c>
      <c r="AI116" s="138">
        <v>0</v>
      </c>
      <c r="AJ116" s="138">
        <f>SUM(AH116:AI116)</f>
        <v>7312700</v>
      </c>
    </row>
    <row r="117" spans="1:36" s="27" customFormat="1" ht="48">
      <c r="A117" s="75"/>
      <c r="B117" s="58"/>
      <c r="C117" s="233">
        <v>2360</v>
      </c>
      <c r="D117" s="137" t="s">
        <v>466</v>
      </c>
      <c r="E117" s="138"/>
      <c r="F117" s="138"/>
      <c r="G117" s="138"/>
      <c r="H117" s="138"/>
      <c r="I117" s="138"/>
      <c r="J117" s="138"/>
      <c r="K117" s="138"/>
      <c r="L117" s="138">
        <v>0</v>
      </c>
      <c r="M117" s="138">
        <v>15000</v>
      </c>
      <c r="N117" s="138">
        <f t="shared" si="36"/>
        <v>15000</v>
      </c>
      <c r="O117" s="138">
        <v>0</v>
      </c>
      <c r="P117" s="138">
        <f t="shared" si="69"/>
        <v>15000</v>
      </c>
      <c r="Q117" s="138">
        <v>0</v>
      </c>
      <c r="R117" s="138">
        <f t="shared" si="70"/>
        <v>15000</v>
      </c>
      <c r="S117" s="138">
        <v>0</v>
      </c>
      <c r="T117" s="138">
        <f t="shared" si="71"/>
        <v>15000</v>
      </c>
      <c r="U117" s="138">
        <v>0</v>
      </c>
      <c r="V117" s="138">
        <f t="shared" si="72"/>
        <v>15000</v>
      </c>
      <c r="W117" s="138">
        <v>0</v>
      </c>
      <c r="X117" s="138">
        <f t="shared" si="73"/>
        <v>15000</v>
      </c>
      <c r="Y117" s="138">
        <v>0</v>
      </c>
      <c r="Z117" s="138">
        <f t="shared" si="74"/>
        <v>15000</v>
      </c>
      <c r="AA117" s="138">
        <v>0</v>
      </c>
      <c r="AB117" s="138">
        <f>SUM(Z117:AA117)</f>
        <v>15000</v>
      </c>
      <c r="AC117" s="138">
        <v>0</v>
      </c>
      <c r="AD117" s="138">
        <f>SUM(AB117:AC117)</f>
        <v>15000</v>
      </c>
      <c r="AE117" s="138">
        <v>0</v>
      </c>
      <c r="AF117" s="138">
        <f>SUM(AD117:AE117)</f>
        <v>15000</v>
      </c>
      <c r="AG117" s="138">
        <v>0</v>
      </c>
      <c r="AH117" s="138">
        <f>SUM(AF117:AG117)</f>
        <v>15000</v>
      </c>
      <c r="AI117" s="138">
        <v>0</v>
      </c>
      <c r="AJ117" s="138">
        <f>SUM(AH117:AI117)</f>
        <v>15000</v>
      </c>
    </row>
    <row r="118" spans="1:36" s="27" customFormat="1" ht="60">
      <c r="A118" s="75"/>
      <c r="B118" s="58">
        <v>85213</v>
      </c>
      <c r="C118" s="228"/>
      <c r="D118" s="137" t="s">
        <v>516</v>
      </c>
      <c r="E118" s="138">
        <f>SUM(E119)</f>
        <v>99900</v>
      </c>
      <c r="F118" s="138">
        <f>SUM(F119)</f>
        <v>0</v>
      </c>
      <c r="G118" s="138">
        <f>SUM(G119)</f>
        <v>0</v>
      </c>
      <c r="H118" s="138">
        <f t="shared" si="64"/>
        <v>99900</v>
      </c>
      <c r="I118" s="138">
        <f>SUM(I119)</f>
        <v>-21500</v>
      </c>
      <c r="J118" s="138">
        <f t="shared" si="34"/>
        <v>78400</v>
      </c>
      <c r="K118" s="138">
        <f>SUM(K119)</f>
        <v>0</v>
      </c>
      <c r="L118" s="138">
        <f t="shared" si="35"/>
        <v>78400</v>
      </c>
      <c r="M118" s="138">
        <f>SUM(M119)</f>
        <v>0</v>
      </c>
      <c r="N118" s="138">
        <f t="shared" si="36"/>
        <v>78400</v>
      </c>
      <c r="O118" s="138">
        <f>SUM(O119)</f>
        <v>0</v>
      </c>
      <c r="P118" s="138">
        <f t="shared" si="69"/>
        <v>78400</v>
      </c>
      <c r="Q118" s="138">
        <f>SUM(Q119)</f>
        <v>0</v>
      </c>
      <c r="R118" s="138">
        <f t="shared" si="70"/>
        <v>78400</v>
      </c>
      <c r="S118" s="138">
        <f>SUM(S119)</f>
        <v>0</v>
      </c>
      <c r="T118" s="138">
        <f t="shared" si="71"/>
        <v>78400</v>
      </c>
      <c r="U118" s="138">
        <f>SUM(U119)</f>
        <v>0</v>
      </c>
      <c r="V118" s="138">
        <f t="shared" si="72"/>
        <v>78400</v>
      </c>
      <c r="W118" s="138">
        <f>SUM(W119)</f>
        <v>0</v>
      </c>
      <c r="X118" s="138">
        <f t="shared" si="73"/>
        <v>78400</v>
      </c>
      <c r="Y118" s="138">
        <f>SUM(Y119)</f>
        <v>0</v>
      </c>
      <c r="Z118" s="138">
        <f t="shared" si="74"/>
        <v>78400</v>
      </c>
      <c r="AA118" s="138">
        <f>SUM(AA119)</f>
        <v>0</v>
      </c>
      <c r="AB118" s="138">
        <f>SUM(Z118:AA118)</f>
        <v>78400</v>
      </c>
      <c r="AC118" s="138">
        <f>SUM(AC119)</f>
        <v>0</v>
      </c>
      <c r="AD118" s="138">
        <f>SUM(AB118:AC118)</f>
        <v>78400</v>
      </c>
      <c r="AE118" s="138">
        <f>SUM(AE119)</f>
        <v>0</v>
      </c>
      <c r="AF118" s="138">
        <f>SUM(AD118:AE118)</f>
        <v>78400</v>
      </c>
      <c r="AG118" s="138">
        <f>SUM(AG119)</f>
        <v>0</v>
      </c>
      <c r="AH118" s="138">
        <f>SUM(AF118:AG118)</f>
        <v>78400</v>
      </c>
      <c r="AI118" s="138">
        <f>SUM(AI119)</f>
        <v>0</v>
      </c>
      <c r="AJ118" s="138">
        <f>SUM(AH118:AI118)</f>
        <v>78400</v>
      </c>
    </row>
    <row r="119" spans="1:36" s="27" customFormat="1" ht="60">
      <c r="A119" s="75"/>
      <c r="B119" s="58"/>
      <c r="C119" s="228">
        <v>2010</v>
      </c>
      <c r="D119" s="137" t="s">
        <v>253</v>
      </c>
      <c r="E119" s="138">
        <v>99900</v>
      </c>
      <c r="F119" s="138"/>
      <c r="G119" s="138"/>
      <c r="H119" s="138">
        <f t="shared" si="64"/>
        <v>99900</v>
      </c>
      <c r="I119" s="138">
        <v>-21500</v>
      </c>
      <c r="J119" s="138">
        <f t="shared" si="34"/>
        <v>78400</v>
      </c>
      <c r="K119" s="138"/>
      <c r="L119" s="138">
        <f t="shared" si="35"/>
        <v>78400</v>
      </c>
      <c r="M119" s="138">
        <v>0</v>
      </c>
      <c r="N119" s="138">
        <f t="shared" si="36"/>
        <v>78400</v>
      </c>
      <c r="O119" s="138">
        <v>0</v>
      </c>
      <c r="P119" s="138">
        <f t="shared" si="69"/>
        <v>78400</v>
      </c>
      <c r="Q119" s="138">
        <v>0</v>
      </c>
      <c r="R119" s="138">
        <f t="shared" si="70"/>
        <v>78400</v>
      </c>
      <c r="S119" s="138">
        <v>0</v>
      </c>
      <c r="T119" s="138">
        <f t="shared" si="71"/>
        <v>78400</v>
      </c>
      <c r="U119" s="138">
        <v>0</v>
      </c>
      <c r="V119" s="138">
        <f t="shared" si="72"/>
        <v>78400</v>
      </c>
      <c r="W119" s="138">
        <v>0</v>
      </c>
      <c r="X119" s="138">
        <f t="shared" si="73"/>
        <v>78400</v>
      </c>
      <c r="Y119" s="138">
        <v>0</v>
      </c>
      <c r="Z119" s="138">
        <f t="shared" si="74"/>
        <v>78400</v>
      </c>
      <c r="AA119" s="138">
        <v>0</v>
      </c>
      <c r="AB119" s="138">
        <f>SUM(Z119:AA119)</f>
        <v>78400</v>
      </c>
      <c r="AC119" s="138">
        <v>0</v>
      </c>
      <c r="AD119" s="138">
        <f>SUM(AB119:AC119)</f>
        <v>78400</v>
      </c>
      <c r="AE119" s="138">
        <v>0</v>
      </c>
      <c r="AF119" s="138">
        <f>SUM(AD119:AE119)</f>
        <v>78400</v>
      </c>
      <c r="AG119" s="138">
        <v>0</v>
      </c>
      <c r="AH119" s="138">
        <f>SUM(AF119:AG119)</f>
        <v>78400</v>
      </c>
      <c r="AI119" s="138">
        <v>0</v>
      </c>
      <c r="AJ119" s="138">
        <f>SUM(AH119:AI119)</f>
        <v>78400</v>
      </c>
    </row>
    <row r="120" spans="1:36" s="27" customFormat="1" ht="22.5">
      <c r="A120" s="75"/>
      <c r="B120" s="76" t="s">
        <v>432</v>
      </c>
      <c r="C120" s="228"/>
      <c r="D120" s="137" t="s">
        <v>317</v>
      </c>
      <c r="E120" s="138">
        <f>SUM(E122:E123)</f>
        <v>1011100</v>
      </c>
      <c r="F120" s="138">
        <f>SUM(F122:F123)</f>
        <v>0</v>
      </c>
      <c r="G120" s="138">
        <f>SUM(G122:G123)</f>
        <v>0</v>
      </c>
      <c r="H120" s="138">
        <f t="shared" si="64"/>
        <v>1011100</v>
      </c>
      <c r="I120" s="138">
        <f>SUM(I122:I123)</f>
        <v>-8400</v>
      </c>
      <c r="J120" s="138">
        <f t="shared" si="34"/>
        <v>1002700</v>
      </c>
      <c r="K120" s="138">
        <f>SUM(K122:K123)</f>
        <v>0</v>
      </c>
      <c r="L120" s="138">
        <f t="shared" si="35"/>
        <v>1002700</v>
      </c>
      <c r="M120" s="138">
        <f>SUM(M122:M123)</f>
        <v>0</v>
      </c>
      <c r="N120" s="138">
        <f t="shared" si="36"/>
        <v>1002700</v>
      </c>
      <c r="O120" s="138">
        <f>SUM(O122:O123)</f>
        <v>0</v>
      </c>
      <c r="P120" s="138">
        <f t="shared" si="69"/>
        <v>1002700</v>
      </c>
      <c r="Q120" s="138">
        <f>SUM(Q122:Q123)</f>
        <v>0</v>
      </c>
      <c r="R120" s="138">
        <f t="shared" si="70"/>
        <v>1002700</v>
      </c>
      <c r="S120" s="138">
        <f>SUM(S122:S123)</f>
        <v>40648</v>
      </c>
      <c r="T120" s="138">
        <f t="shared" si="71"/>
        <v>1043348</v>
      </c>
      <c r="U120" s="138">
        <f>SUM(U122:U123)</f>
        <v>0</v>
      </c>
      <c r="V120" s="138">
        <f t="shared" si="72"/>
        <v>1043348</v>
      </c>
      <c r="W120" s="138">
        <f>SUM(W122:W123)</f>
        <v>-3000</v>
      </c>
      <c r="X120" s="138">
        <f aca="true" t="shared" si="75" ref="X120:AD120">SUM(X121:X123)</f>
        <v>1040348</v>
      </c>
      <c r="Y120" s="138">
        <f t="shared" si="75"/>
        <v>10901</v>
      </c>
      <c r="Z120" s="138">
        <f t="shared" si="75"/>
        <v>1051249</v>
      </c>
      <c r="AA120" s="138">
        <f t="shared" si="75"/>
        <v>16000</v>
      </c>
      <c r="AB120" s="138">
        <f t="shared" si="75"/>
        <v>1067249</v>
      </c>
      <c r="AC120" s="138">
        <f t="shared" si="75"/>
        <v>0</v>
      </c>
      <c r="AD120" s="138">
        <f t="shared" si="75"/>
        <v>1067249</v>
      </c>
      <c r="AE120" s="138">
        <f aca="true" t="shared" si="76" ref="AE120:AJ120">SUM(AE121:AE123)</f>
        <v>0</v>
      </c>
      <c r="AF120" s="138">
        <f t="shared" si="76"/>
        <v>1067249</v>
      </c>
      <c r="AG120" s="138">
        <f t="shared" si="76"/>
        <v>5941</v>
      </c>
      <c r="AH120" s="138">
        <f t="shared" si="76"/>
        <v>1073190</v>
      </c>
      <c r="AI120" s="138">
        <f t="shared" si="76"/>
        <v>0</v>
      </c>
      <c r="AJ120" s="138">
        <f t="shared" si="76"/>
        <v>1073190</v>
      </c>
    </row>
    <row r="121" spans="1:36" s="27" customFormat="1" ht="21.75" customHeight="1">
      <c r="A121" s="75"/>
      <c r="B121" s="76"/>
      <c r="C121" s="233" t="s">
        <v>488</v>
      </c>
      <c r="D121" s="137" t="s">
        <v>489</v>
      </c>
      <c r="E121" s="138"/>
      <c r="F121" s="138"/>
      <c r="G121" s="138"/>
      <c r="H121" s="138"/>
      <c r="I121" s="138"/>
      <c r="J121" s="138"/>
      <c r="K121" s="138"/>
      <c r="L121" s="138"/>
      <c r="M121" s="138"/>
      <c r="N121" s="138"/>
      <c r="O121" s="138"/>
      <c r="P121" s="138"/>
      <c r="Q121" s="138"/>
      <c r="R121" s="138"/>
      <c r="S121" s="138"/>
      <c r="T121" s="138"/>
      <c r="U121" s="138"/>
      <c r="V121" s="138"/>
      <c r="W121" s="138"/>
      <c r="X121" s="138">
        <v>0</v>
      </c>
      <c r="Y121" s="138">
        <v>10901</v>
      </c>
      <c r="Z121" s="138">
        <f t="shared" si="74"/>
        <v>10901</v>
      </c>
      <c r="AA121" s="138">
        <v>0</v>
      </c>
      <c r="AB121" s="138">
        <f aca="true" t="shared" si="77" ref="AB121:AB130">SUM(Z121:AA121)</f>
        <v>10901</v>
      </c>
      <c r="AC121" s="138">
        <v>0</v>
      </c>
      <c r="AD121" s="138">
        <f aca="true" t="shared" si="78" ref="AD121:AD130">SUM(AB121:AC121)</f>
        <v>10901</v>
      </c>
      <c r="AE121" s="138">
        <v>0</v>
      </c>
      <c r="AF121" s="138">
        <f aca="true" t="shared" si="79" ref="AF121:AF130">SUM(AD121:AE121)</f>
        <v>10901</v>
      </c>
      <c r="AG121" s="138">
        <v>0</v>
      </c>
      <c r="AH121" s="138">
        <f aca="true" t="shared" si="80" ref="AH121:AH130">SUM(AF121:AG121)</f>
        <v>10901</v>
      </c>
      <c r="AI121" s="138">
        <v>0</v>
      </c>
      <c r="AJ121" s="138">
        <f aca="true" t="shared" si="81" ref="AJ121:AJ130">SUM(AH121:AI121)</f>
        <v>10901</v>
      </c>
    </row>
    <row r="122" spans="1:36" s="27" customFormat="1" ht="56.25">
      <c r="A122" s="75"/>
      <c r="B122" s="76"/>
      <c r="C122" s="136">
        <v>2010</v>
      </c>
      <c r="D122" s="137" t="s">
        <v>253</v>
      </c>
      <c r="E122" s="138">
        <v>439200</v>
      </c>
      <c r="F122" s="138"/>
      <c r="G122" s="138"/>
      <c r="H122" s="138">
        <f t="shared" si="64"/>
        <v>439200</v>
      </c>
      <c r="I122" s="138">
        <v>-2200</v>
      </c>
      <c r="J122" s="138">
        <f t="shared" si="34"/>
        <v>437000</v>
      </c>
      <c r="K122" s="138"/>
      <c r="L122" s="138">
        <f t="shared" si="35"/>
        <v>437000</v>
      </c>
      <c r="M122" s="138">
        <v>0</v>
      </c>
      <c r="N122" s="138">
        <f t="shared" si="36"/>
        <v>437000</v>
      </c>
      <c r="O122" s="138">
        <v>0</v>
      </c>
      <c r="P122" s="138">
        <f t="shared" si="69"/>
        <v>437000</v>
      </c>
      <c r="Q122" s="138">
        <v>0</v>
      </c>
      <c r="R122" s="138">
        <f t="shared" si="70"/>
        <v>437000</v>
      </c>
      <c r="S122" s="138">
        <v>0</v>
      </c>
      <c r="T122" s="138">
        <f t="shared" si="71"/>
        <v>437000</v>
      </c>
      <c r="U122" s="138">
        <v>0</v>
      </c>
      <c r="V122" s="138">
        <f t="shared" si="72"/>
        <v>437000</v>
      </c>
      <c r="W122" s="138">
        <v>-3000</v>
      </c>
      <c r="X122" s="138">
        <f t="shared" si="73"/>
        <v>434000</v>
      </c>
      <c r="Y122" s="138"/>
      <c r="Z122" s="138">
        <f t="shared" si="74"/>
        <v>434000</v>
      </c>
      <c r="AA122" s="138">
        <v>16000</v>
      </c>
      <c r="AB122" s="138">
        <f t="shared" si="77"/>
        <v>450000</v>
      </c>
      <c r="AC122" s="138">
        <v>0</v>
      </c>
      <c r="AD122" s="138">
        <f t="shared" si="78"/>
        <v>450000</v>
      </c>
      <c r="AE122" s="138">
        <v>0</v>
      </c>
      <c r="AF122" s="138">
        <f t="shared" si="79"/>
        <v>450000</v>
      </c>
      <c r="AG122" s="138">
        <v>5941</v>
      </c>
      <c r="AH122" s="138">
        <f t="shared" si="80"/>
        <v>455941</v>
      </c>
      <c r="AI122" s="138">
        <v>0</v>
      </c>
      <c r="AJ122" s="138">
        <f t="shared" si="81"/>
        <v>455941</v>
      </c>
    </row>
    <row r="123" spans="1:36" s="27" customFormat="1" ht="33.75">
      <c r="A123" s="75"/>
      <c r="B123" s="76"/>
      <c r="C123" s="136">
        <v>2030</v>
      </c>
      <c r="D123" s="137" t="s">
        <v>542</v>
      </c>
      <c r="E123" s="138">
        <v>571900</v>
      </c>
      <c r="F123" s="138"/>
      <c r="G123" s="138"/>
      <c r="H123" s="138">
        <f t="shared" si="64"/>
        <v>571900</v>
      </c>
      <c r="I123" s="138">
        <v>-6200</v>
      </c>
      <c r="J123" s="138">
        <f t="shared" si="34"/>
        <v>565700</v>
      </c>
      <c r="K123" s="138"/>
      <c r="L123" s="138">
        <f t="shared" si="35"/>
        <v>565700</v>
      </c>
      <c r="M123" s="138">
        <v>0</v>
      </c>
      <c r="N123" s="138">
        <f t="shared" si="36"/>
        <v>565700</v>
      </c>
      <c r="O123" s="138">
        <v>0</v>
      </c>
      <c r="P123" s="138">
        <f t="shared" si="69"/>
        <v>565700</v>
      </c>
      <c r="Q123" s="138">
        <v>0</v>
      </c>
      <c r="R123" s="138">
        <f t="shared" si="70"/>
        <v>565700</v>
      </c>
      <c r="S123" s="138">
        <v>40648</v>
      </c>
      <c r="T123" s="138">
        <f t="shared" si="71"/>
        <v>606348</v>
      </c>
      <c r="U123" s="138">
        <v>0</v>
      </c>
      <c r="V123" s="138">
        <f t="shared" si="72"/>
        <v>606348</v>
      </c>
      <c r="W123" s="138">
        <v>0</v>
      </c>
      <c r="X123" s="138">
        <f t="shared" si="73"/>
        <v>606348</v>
      </c>
      <c r="Y123" s="138">
        <v>0</v>
      </c>
      <c r="Z123" s="138">
        <f t="shared" si="74"/>
        <v>606348</v>
      </c>
      <c r="AA123" s="138">
        <v>0</v>
      </c>
      <c r="AB123" s="138">
        <f t="shared" si="77"/>
        <v>606348</v>
      </c>
      <c r="AC123" s="138">
        <v>0</v>
      </c>
      <c r="AD123" s="138">
        <f t="shared" si="78"/>
        <v>606348</v>
      </c>
      <c r="AE123" s="138">
        <v>0</v>
      </c>
      <c r="AF123" s="138">
        <f t="shared" si="79"/>
        <v>606348</v>
      </c>
      <c r="AG123" s="138">
        <v>0</v>
      </c>
      <c r="AH123" s="138">
        <f t="shared" si="80"/>
        <v>606348</v>
      </c>
      <c r="AI123" s="138">
        <v>0</v>
      </c>
      <c r="AJ123" s="138">
        <f t="shared" si="81"/>
        <v>606348</v>
      </c>
    </row>
    <row r="124" spans="1:36" s="27" customFormat="1" ht="21" customHeight="1">
      <c r="A124" s="75"/>
      <c r="B124" s="76" t="s">
        <v>433</v>
      </c>
      <c r="C124" s="228"/>
      <c r="D124" s="137" t="s">
        <v>319</v>
      </c>
      <c r="E124" s="138">
        <f>SUM(E125:E128)</f>
        <v>493400</v>
      </c>
      <c r="F124" s="138">
        <f>SUM(F125:F128)</f>
        <v>0</v>
      </c>
      <c r="G124" s="138">
        <f>SUM(G125:G128)</f>
        <v>0</v>
      </c>
      <c r="H124" s="138">
        <f t="shared" si="64"/>
        <v>493400</v>
      </c>
      <c r="I124" s="138">
        <f>SUM(I125:I128)</f>
        <v>0</v>
      </c>
      <c r="J124" s="138">
        <f t="shared" si="34"/>
        <v>493400</v>
      </c>
      <c r="K124" s="138">
        <f>SUM(K125:K128)</f>
        <v>0</v>
      </c>
      <c r="L124" s="138">
        <f t="shared" si="35"/>
        <v>493400</v>
      </c>
      <c r="M124" s="138">
        <f>SUM(M125:M128)</f>
        <v>0</v>
      </c>
      <c r="N124" s="138">
        <f t="shared" si="36"/>
        <v>493400</v>
      </c>
      <c r="O124" s="138">
        <f>SUM(O125:O128)</f>
        <v>0</v>
      </c>
      <c r="P124" s="138">
        <f t="shared" si="69"/>
        <v>493400</v>
      </c>
      <c r="Q124" s="138">
        <f>SUM(Q125:Q128)</f>
        <v>0</v>
      </c>
      <c r="R124" s="138">
        <f t="shared" si="70"/>
        <v>493400</v>
      </c>
      <c r="S124" s="138">
        <f>SUM(S125:S128)</f>
        <v>0</v>
      </c>
      <c r="T124" s="138">
        <f t="shared" si="71"/>
        <v>493400</v>
      </c>
      <c r="U124" s="138">
        <f>SUM(U125:U128)</f>
        <v>0</v>
      </c>
      <c r="V124" s="138">
        <f t="shared" si="72"/>
        <v>493400</v>
      </c>
      <c r="W124" s="138">
        <f>SUM(W125:W128)</f>
        <v>0</v>
      </c>
      <c r="X124" s="138">
        <f t="shared" si="73"/>
        <v>493400</v>
      </c>
      <c r="Y124" s="138">
        <f>SUM(Y125:Y128)</f>
        <v>47000</v>
      </c>
      <c r="Z124" s="138">
        <f t="shared" si="74"/>
        <v>540400</v>
      </c>
      <c r="AA124" s="138">
        <f>SUM(AA125:AA128)</f>
        <v>0</v>
      </c>
      <c r="AB124" s="138">
        <f t="shared" si="77"/>
        <v>540400</v>
      </c>
      <c r="AC124" s="138">
        <f>SUM(AC125:AC128)</f>
        <v>0</v>
      </c>
      <c r="AD124" s="138">
        <f t="shared" si="78"/>
        <v>540400</v>
      </c>
      <c r="AE124" s="138">
        <f>SUM(AE125:AE128)</f>
        <v>0</v>
      </c>
      <c r="AF124" s="138">
        <f t="shared" si="79"/>
        <v>540400</v>
      </c>
      <c r="AG124" s="138">
        <f>SUM(AG125:AG128)</f>
        <v>63104</v>
      </c>
      <c r="AH124" s="138">
        <f t="shared" si="80"/>
        <v>603504</v>
      </c>
      <c r="AI124" s="138">
        <f>SUM(AI125:AI128)</f>
        <v>0</v>
      </c>
      <c r="AJ124" s="138">
        <f t="shared" si="81"/>
        <v>603504</v>
      </c>
    </row>
    <row r="125" spans="1:36" s="27" customFormat="1" ht="67.5">
      <c r="A125" s="75"/>
      <c r="B125" s="76"/>
      <c r="C125" s="233" t="s">
        <v>438</v>
      </c>
      <c r="D125" s="137" t="s">
        <v>316</v>
      </c>
      <c r="E125" s="138">
        <v>2000</v>
      </c>
      <c r="F125" s="138"/>
      <c r="G125" s="138"/>
      <c r="H125" s="138">
        <f t="shared" si="64"/>
        <v>2000</v>
      </c>
      <c r="I125" s="138">
        <v>0</v>
      </c>
      <c r="J125" s="138">
        <f t="shared" si="34"/>
        <v>2000</v>
      </c>
      <c r="K125" s="138">
        <v>0</v>
      </c>
      <c r="L125" s="138">
        <f t="shared" si="35"/>
        <v>2000</v>
      </c>
      <c r="M125" s="138">
        <v>0</v>
      </c>
      <c r="N125" s="138">
        <f t="shared" si="36"/>
        <v>2000</v>
      </c>
      <c r="O125" s="138">
        <v>0</v>
      </c>
      <c r="P125" s="138">
        <f t="shared" si="69"/>
        <v>2000</v>
      </c>
      <c r="Q125" s="138">
        <v>0</v>
      </c>
      <c r="R125" s="138">
        <f t="shared" si="70"/>
        <v>2000</v>
      </c>
      <c r="S125" s="138">
        <v>0</v>
      </c>
      <c r="T125" s="138">
        <f t="shared" si="71"/>
        <v>2000</v>
      </c>
      <c r="U125" s="138">
        <v>0</v>
      </c>
      <c r="V125" s="138">
        <f t="shared" si="72"/>
        <v>2000</v>
      </c>
      <c r="W125" s="138">
        <v>0</v>
      </c>
      <c r="X125" s="138">
        <f t="shared" si="73"/>
        <v>2000</v>
      </c>
      <c r="Y125" s="138">
        <v>0</v>
      </c>
      <c r="Z125" s="138">
        <f t="shared" si="74"/>
        <v>2000</v>
      </c>
      <c r="AA125" s="138">
        <v>0</v>
      </c>
      <c r="AB125" s="138">
        <f t="shared" si="77"/>
        <v>2000</v>
      </c>
      <c r="AC125" s="138">
        <v>0</v>
      </c>
      <c r="AD125" s="138">
        <f t="shared" si="78"/>
        <v>2000</v>
      </c>
      <c r="AE125" s="138">
        <v>0</v>
      </c>
      <c r="AF125" s="138">
        <f t="shared" si="79"/>
        <v>2000</v>
      </c>
      <c r="AG125" s="138">
        <v>784</v>
      </c>
      <c r="AH125" s="138">
        <f t="shared" si="80"/>
        <v>2784</v>
      </c>
      <c r="AI125" s="138">
        <v>0</v>
      </c>
      <c r="AJ125" s="138">
        <f t="shared" si="81"/>
        <v>2784</v>
      </c>
    </row>
    <row r="126" spans="1:36" s="27" customFormat="1" ht="22.5" customHeight="1">
      <c r="A126" s="75"/>
      <c r="B126" s="76"/>
      <c r="C126" s="233" t="s">
        <v>488</v>
      </c>
      <c r="D126" s="137" t="s">
        <v>489</v>
      </c>
      <c r="E126" s="138">
        <v>153000</v>
      </c>
      <c r="F126" s="138"/>
      <c r="G126" s="138"/>
      <c r="H126" s="138">
        <f t="shared" si="64"/>
        <v>153000</v>
      </c>
      <c r="I126" s="138">
        <v>0</v>
      </c>
      <c r="J126" s="138">
        <f t="shared" si="34"/>
        <v>153000</v>
      </c>
      <c r="K126" s="138">
        <v>0</v>
      </c>
      <c r="L126" s="138">
        <f t="shared" si="35"/>
        <v>153000</v>
      </c>
      <c r="M126" s="138">
        <v>0</v>
      </c>
      <c r="N126" s="138">
        <f t="shared" si="36"/>
        <v>153000</v>
      </c>
      <c r="O126" s="138">
        <v>0</v>
      </c>
      <c r="P126" s="138">
        <f t="shared" si="69"/>
        <v>153000</v>
      </c>
      <c r="Q126" s="138">
        <v>0</v>
      </c>
      <c r="R126" s="138">
        <f t="shared" si="70"/>
        <v>153000</v>
      </c>
      <c r="S126" s="138">
        <v>0</v>
      </c>
      <c r="T126" s="138">
        <f t="shared" si="71"/>
        <v>153000</v>
      </c>
      <c r="U126" s="138">
        <v>0</v>
      </c>
      <c r="V126" s="138">
        <f t="shared" si="72"/>
        <v>153000</v>
      </c>
      <c r="W126" s="138">
        <v>0</v>
      </c>
      <c r="X126" s="138">
        <f t="shared" si="73"/>
        <v>153000</v>
      </c>
      <c r="Y126" s="138">
        <v>47000</v>
      </c>
      <c r="Z126" s="138">
        <f t="shared" si="74"/>
        <v>200000</v>
      </c>
      <c r="AA126" s="138">
        <v>0</v>
      </c>
      <c r="AB126" s="138">
        <f t="shared" si="77"/>
        <v>200000</v>
      </c>
      <c r="AC126" s="138">
        <v>0</v>
      </c>
      <c r="AD126" s="138">
        <f t="shared" si="78"/>
        <v>200000</v>
      </c>
      <c r="AE126" s="138">
        <v>0</v>
      </c>
      <c r="AF126" s="138">
        <f t="shared" si="79"/>
        <v>200000</v>
      </c>
      <c r="AG126" s="138">
        <v>61000</v>
      </c>
      <c r="AH126" s="138">
        <f t="shared" si="80"/>
        <v>261000</v>
      </c>
      <c r="AI126" s="138">
        <v>0</v>
      </c>
      <c r="AJ126" s="138">
        <f t="shared" si="81"/>
        <v>261000</v>
      </c>
    </row>
    <row r="127" spans="1:36" s="27" customFormat="1" ht="22.5" customHeight="1">
      <c r="A127" s="75"/>
      <c r="B127" s="76"/>
      <c r="C127" s="233" t="s">
        <v>440</v>
      </c>
      <c r="D127" s="137" t="s">
        <v>265</v>
      </c>
      <c r="E127" s="138"/>
      <c r="F127" s="138"/>
      <c r="G127" s="138"/>
      <c r="H127" s="138"/>
      <c r="I127" s="138"/>
      <c r="J127" s="138"/>
      <c r="K127" s="138"/>
      <c r="L127" s="138"/>
      <c r="M127" s="138"/>
      <c r="N127" s="138"/>
      <c r="O127" s="138"/>
      <c r="P127" s="138"/>
      <c r="Q127" s="138"/>
      <c r="R127" s="138"/>
      <c r="S127" s="138"/>
      <c r="T127" s="138"/>
      <c r="U127" s="138"/>
      <c r="V127" s="138"/>
      <c r="W127" s="138"/>
      <c r="X127" s="138"/>
      <c r="Y127" s="138"/>
      <c r="Z127" s="138"/>
      <c r="AA127" s="138"/>
      <c r="AB127" s="138"/>
      <c r="AC127" s="138"/>
      <c r="AD127" s="138"/>
      <c r="AE127" s="138"/>
      <c r="AF127" s="138">
        <v>0</v>
      </c>
      <c r="AG127" s="138">
        <v>1320</v>
      </c>
      <c r="AH127" s="138">
        <f t="shared" si="80"/>
        <v>1320</v>
      </c>
      <c r="AI127" s="138">
        <v>0</v>
      </c>
      <c r="AJ127" s="138">
        <f t="shared" si="81"/>
        <v>1320</v>
      </c>
    </row>
    <row r="128" spans="1:36" s="27" customFormat="1" ht="33.75">
      <c r="A128" s="75"/>
      <c r="B128" s="76"/>
      <c r="C128" s="136">
        <v>2030</v>
      </c>
      <c r="D128" s="137" t="s">
        <v>542</v>
      </c>
      <c r="E128" s="138">
        <v>338400</v>
      </c>
      <c r="F128" s="138"/>
      <c r="G128" s="138"/>
      <c r="H128" s="138">
        <f t="shared" si="64"/>
        <v>338400</v>
      </c>
      <c r="I128" s="138">
        <v>0</v>
      </c>
      <c r="J128" s="138">
        <f t="shared" si="34"/>
        <v>338400</v>
      </c>
      <c r="K128" s="138">
        <v>0</v>
      </c>
      <c r="L128" s="138">
        <f t="shared" si="35"/>
        <v>338400</v>
      </c>
      <c r="M128" s="138">
        <v>0</v>
      </c>
      <c r="N128" s="138">
        <f t="shared" si="36"/>
        <v>338400</v>
      </c>
      <c r="O128" s="138">
        <v>0</v>
      </c>
      <c r="P128" s="138">
        <f t="shared" si="69"/>
        <v>338400</v>
      </c>
      <c r="Q128" s="138">
        <v>0</v>
      </c>
      <c r="R128" s="138">
        <f t="shared" si="70"/>
        <v>338400</v>
      </c>
      <c r="S128" s="138">
        <v>0</v>
      </c>
      <c r="T128" s="138">
        <f t="shared" si="71"/>
        <v>338400</v>
      </c>
      <c r="U128" s="138">
        <v>0</v>
      </c>
      <c r="V128" s="138">
        <f t="shared" si="72"/>
        <v>338400</v>
      </c>
      <c r="W128" s="138">
        <v>0</v>
      </c>
      <c r="X128" s="138">
        <f t="shared" si="73"/>
        <v>338400</v>
      </c>
      <c r="Y128" s="138">
        <v>0</v>
      </c>
      <c r="Z128" s="138">
        <f t="shared" si="74"/>
        <v>338400</v>
      </c>
      <c r="AA128" s="138">
        <v>0</v>
      </c>
      <c r="AB128" s="138">
        <f t="shared" si="77"/>
        <v>338400</v>
      </c>
      <c r="AC128" s="138">
        <v>0</v>
      </c>
      <c r="AD128" s="138">
        <f t="shared" si="78"/>
        <v>338400</v>
      </c>
      <c r="AE128" s="138">
        <v>0</v>
      </c>
      <c r="AF128" s="138">
        <f t="shared" si="79"/>
        <v>338400</v>
      </c>
      <c r="AG128" s="138">
        <v>0</v>
      </c>
      <c r="AH128" s="138">
        <f t="shared" si="80"/>
        <v>338400</v>
      </c>
      <c r="AI128" s="138">
        <v>0</v>
      </c>
      <c r="AJ128" s="138">
        <f t="shared" si="81"/>
        <v>338400</v>
      </c>
    </row>
    <row r="129" spans="1:36" s="27" customFormat="1" ht="24" customHeight="1">
      <c r="A129" s="75"/>
      <c r="B129" s="76">
        <v>85295</v>
      </c>
      <c r="C129" s="136"/>
      <c r="D129" s="137" t="s">
        <v>518</v>
      </c>
      <c r="E129" s="138">
        <f>SUM(E130)</f>
        <v>328200</v>
      </c>
      <c r="F129" s="138">
        <f>SUM(F130)</f>
        <v>0</v>
      </c>
      <c r="G129" s="138">
        <f>SUM(G130)</f>
        <v>0</v>
      </c>
      <c r="H129" s="138">
        <f t="shared" si="64"/>
        <v>328200</v>
      </c>
      <c r="I129" s="138">
        <f>SUM(I130)</f>
        <v>0</v>
      </c>
      <c r="J129" s="138">
        <f t="shared" si="34"/>
        <v>328200</v>
      </c>
      <c r="K129" s="138">
        <f>SUM(K130)</f>
        <v>0</v>
      </c>
      <c r="L129" s="138">
        <f t="shared" si="35"/>
        <v>328200</v>
      </c>
      <c r="M129" s="138">
        <f>SUM(M130)</f>
        <v>0</v>
      </c>
      <c r="N129" s="138">
        <f t="shared" si="36"/>
        <v>328200</v>
      </c>
      <c r="O129" s="138">
        <f>SUM(O130)</f>
        <v>234778</v>
      </c>
      <c r="P129" s="138">
        <f t="shared" si="69"/>
        <v>562978</v>
      </c>
      <c r="Q129" s="138">
        <f>SUM(Q130)</f>
        <v>0</v>
      </c>
      <c r="R129" s="138">
        <f t="shared" si="70"/>
        <v>562978</v>
      </c>
      <c r="S129" s="138">
        <f>SUM(S130)</f>
        <v>0</v>
      </c>
      <c r="T129" s="138">
        <f t="shared" si="71"/>
        <v>562978</v>
      </c>
      <c r="U129" s="138">
        <f>SUM(U130)</f>
        <v>0</v>
      </c>
      <c r="V129" s="138">
        <f t="shared" si="72"/>
        <v>562978</v>
      </c>
      <c r="W129" s="138">
        <f>SUM(W130)</f>
        <v>160521</v>
      </c>
      <c r="X129" s="138">
        <f t="shared" si="73"/>
        <v>723499</v>
      </c>
      <c r="Y129" s="138">
        <f>SUM(Y130)</f>
        <v>0</v>
      </c>
      <c r="Z129" s="138">
        <f t="shared" si="74"/>
        <v>723499</v>
      </c>
      <c r="AA129" s="138">
        <f>SUM(AA130)</f>
        <v>0</v>
      </c>
      <c r="AB129" s="138">
        <f t="shared" si="77"/>
        <v>723499</v>
      </c>
      <c r="AC129" s="138">
        <f>SUM(AC130)</f>
        <v>225925</v>
      </c>
      <c r="AD129" s="138">
        <f t="shared" si="78"/>
        <v>949424</v>
      </c>
      <c r="AE129" s="138">
        <f>SUM(AE130)</f>
        <v>0</v>
      </c>
      <c r="AF129" s="138">
        <f t="shared" si="79"/>
        <v>949424</v>
      </c>
      <c r="AG129" s="138">
        <f>SUM(AG130)</f>
        <v>0</v>
      </c>
      <c r="AH129" s="138">
        <f t="shared" si="80"/>
        <v>949424</v>
      </c>
      <c r="AI129" s="138">
        <f>SUM(AI130)</f>
        <v>0</v>
      </c>
      <c r="AJ129" s="138">
        <f t="shared" si="81"/>
        <v>949424</v>
      </c>
    </row>
    <row r="130" spans="1:36" s="27" customFormat="1" ht="33.75">
      <c r="A130" s="75"/>
      <c r="B130" s="76"/>
      <c r="C130" s="136">
        <v>2030</v>
      </c>
      <c r="D130" s="137" t="s">
        <v>542</v>
      </c>
      <c r="E130" s="138">
        <v>328200</v>
      </c>
      <c r="F130" s="138"/>
      <c r="G130" s="138"/>
      <c r="H130" s="138">
        <f t="shared" si="64"/>
        <v>328200</v>
      </c>
      <c r="I130" s="138">
        <v>0</v>
      </c>
      <c r="J130" s="138">
        <f t="shared" si="34"/>
        <v>328200</v>
      </c>
      <c r="K130" s="138">
        <v>0</v>
      </c>
      <c r="L130" s="138">
        <f t="shared" si="35"/>
        <v>328200</v>
      </c>
      <c r="M130" s="138">
        <v>0</v>
      </c>
      <c r="N130" s="138">
        <f t="shared" si="36"/>
        <v>328200</v>
      </c>
      <c r="O130" s="138">
        <v>234778</v>
      </c>
      <c r="P130" s="138">
        <f t="shared" si="69"/>
        <v>562978</v>
      </c>
      <c r="Q130" s="138">
        <v>0</v>
      </c>
      <c r="R130" s="138">
        <f t="shared" si="70"/>
        <v>562978</v>
      </c>
      <c r="S130" s="138">
        <v>0</v>
      </c>
      <c r="T130" s="138">
        <f t="shared" si="71"/>
        <v>562978</v>
      </c>
      <c r="U130" s="138">
        <v>0</v>
      </c>
      <c r="V130" s="138">
        <f t="shared" si="72"/>
        <v>562978</v>
      </c>
      <c r="W130" s="138">
        <v>160521</v>
      </c>
      <c r="X130" s="138">
        <f t="shared" si="73"/>
        <v>723499</v>
      </c>
      <c r="Y130" s="138">
        <v>0</v>
      </c>
      <c r="Z130" s="138">
        <f t="shared" si="74"/>
        <v>723499</v>
      </c>
      <c r="AA130" s="138">
        <v>0</v>
      </c>
      <c r="AB130" s="138">
        <f t="shared" si="77"/>
        <v>723499</v>
      </c>
      <c r="AC130" s="138">
        <v>225925</v>
      </c>
      <c r="AD130" s="138">
        <f t="shared" si="78"/>
        <v>949424</v>
      </c>
      <c r="AE130" s="138">
        <v>0</v>
      </c>
      <c r="AF130" s="138">
        <f t="shared" si="79"/>
        <v>949424</v>
      </c>
      <c r="AG130" s="138">
        <v>0</v>
      </c>
      <c r="AH130" s="138">
        <f t="shared" si="80"/>
        <v>949424</v>
      </c>
      <c r="AI130" s="138">
        <v>0</v>
      </c>
      <c r="AJ130" s="138">
        <f t="shared" si="81"/>
        <v>949424</v>
      </c>
    </row>
    <row r="131" spans="1:36" s="43" customFormat="1" ht="21.75" customHeight="1">
      <c r="A131" s="33">
        <v>854</v>
      </c>
      <c r="B131" s="36"/>
      <c r="C131" s="241"/>
      <c r="D131" s="236" t="s">
        <v>320</v>
      </c>
      <c r="E131" s="237"/>
      <c r="F131" s="237"/>
      <c r="G131" s="237"/>
      <c r="H131" s="237"/>
      <c r="I131" s="237"/>
      <c r="J131" s="237"/>
      <c r="K131" s="237"/>
      <c r="L131" s="237">
        <f aca="true" t="shared" si="82" ref="L131:AI132">SUM(L132)</f>
        <v>0</v>
      </c>
      <c r="M131" s="237">
        <f t="shared" si="82"/>
        <v>252197</v>
      </c>
      <c r="N131" s="237">
        <f t="shared" si="82"/>
        <v>252197</v>
      </c>
      <c r="O131" s="237">
        <f t="shared" si="82"/>
        <v>0</v>
      </c>
      <c r="P131" s="237">
        <f t="shared" si="82"/>
        <v>252197</v>
      </c>
      <c r="Q131" s="237">
        <f t="shared" si="82"/>
        <v>0</v>
      </c>
      <c r="R131" s="237">
        <f t="shared" si="82"/>
        <v>252197</v>
      </c>
      <c r="S131" s="237">
        <f t="shared" si="82"/>
        <v>0</v>
      </c>
      <c r="T131" s="237">
        <f t="shared" si="82"/>
        <v>252197</v>
      </c>
      <c r="U131" s="237">
        <f t="shared" si="82"/>
        <v>0</v>
      </c>
      <c r="V131" s="237">
        <f t="shared" si="82"/>
        <v>252197</v>
      </c>
      <c r="W131" s="237">
        <f t="shared" si="82"/>
        <v>56396</v>
      </c>
      <c r="X131" s="237">
        <f t="shared" si="82"/>
        <v>308593</v>
      </c>
      <c r="Y131" s="237">
        <f t="shared" si="82"/>
        <v>21980</v>
      </c>
      <c r="Z131" s="237">
        <f t="shared" si="82"/>
        <v>330573</v>
      </c>
      <c r="AA131" s="237">
        <f t="shared" si="82"/>
        <v>0</v>
      </c>
      <c r="AB131" s="237">
        <f>SUM(AB132)</f>
        <v>330573</v>
      </c>
      <c r="AC131" s="237">
        <f t="shared" si="82"/>
        <v>146977</v>
      </c>
      <c r="AD131" s="237">
        <f>SUM(AD132)</f>
        <v>477550</v>
      </c>
      <c r="AE131" s="237">
        <f t="shared" si="82"/>
        <v>31088</v>
      </c>
      <c r="AF131" s="237">
        <f>SUM(AF132)</f>
        <v>508638</v>
      </c>
      <c r="AG131" s="237">
        <f t="shared" si="82"/>
        <v>0</v>
      </c>
      <c r="AH131" s="237">
        <f>SUM(AH132)</f>
        <v>508638</v>
      </c>
      <c r="AI131" s="237">
        <f t="shared" si="82"/>
        <v>0</v>
      </c>
      <c r="AJ131" s="237">
        <f>SUM(AJ132)</f>
        <v>508638</v>
      </c>
    </row>
    <row r="132" spans="1:36" s="27" customFormat="1" ht="20.25" customHeight="1">
      <c r="A132" s="75"/>
      <c r="B132" s="76">
        <v>85415</v>
      </c>
      <c r="C132" s="136"/>
      <c r="D132" s="137" t="s">
        <v>99</v>
      </c>
      <c r="E132" s="138"/>
      <c r="F132" s="138"/>
      <c r="G132" s="138"/>
      <c r="H132" s="138"/>
      <c r="I132" s="138"/>
      <c r="J132" s="138"/>
      <c r="K132" s="138"/>
      <c r="L132" s="138">
        <f t="shared" si="82"/>
        <v>0</v>
      </c>
      <c r="M132" s="138">
        <f t="shared" si="82"/>
        <v>252197</v>
      </c>
      <c r="N132" s="138">
        <f t="shared" si="82"/>
        <v>252197</v>
      </c>
      <c r="O132" s="138">
        <f t="shared" si="82"/>
        <v>0</v>
      </c>
      <c r="P132" s="138">
        <f t="shared" si="82"/>
        <v>252197</v>
      </c>
      <c r="Q132" s="138">
        <f t="shared" si="82"/>
        <v>0</v>
      </c>
      <c r="R132" s="138">
        <f t="shared" si="82"/>
        <v>252197</v>
      </c>
      <c r="S132" s="138">
        <f t="shared" si="82"/>
        <v>0</v>
      </c>
      <c r="T132" s="138">
        <f t="shared" si="82"/>
        <v>252197</v>
      </c>
      <c r="U132" s="138">
        <f t="shared" si="82"/>
        <v>0</v>
      </c>
      <c r="V132" s="138">
        <f t="shared" si="82"/>
        <v>252197</v>
      </c>
      <c r="W132" s="138">
        <f t="shared" si="82"/>
        <v>56396</v>
      </c>
      <c r="X132" s="138">
        <f t="shared" si="82"/>
        <v>308593</v>
      </c>
      <c r="Y132" s="138">
        <f t="shared" si="82"/>
        <v>21980</v>
      </c>
      <c r="Z132" s="138">
        <f t="shared" si="82"/>
        <v>330573</v>
      </c>
      <c r="AA132" s="138">
        <f>SUM(AA133)</f>
        <v>0</v>
      </c>
      <c r="AB132" s="138">
        <f>SUM(AB133)</f>
        <v>330573</v>
      </c>
      <c r="AC132" s="138">
        <f>SUM(AC133)</f>
        <v>146977</v>
      </c>
      <c r="AD132" s="138">
        <f>SUM(AD133)</f>
        <v>477550</v>
      </c>
      <c r="AE132" s="138">
        <f>SUM(AE133)</f>
        <v>31088</v>
      </c>
      <c r="AF132" s="138">
        <f>SUM(AF133)</f>
        <v>508638</v>
      </c>
      <c r="AG132" s="138">
        <f>SUM(AG133)</f>
        <v>0</v>
      </c>
      <c r="AH132" s="138">
        <f>SUM(AH133)</f>
        <v>508638</v>
      </c>
      <c r="AI132" s="138">
        <f>SUM(AI133)</f>
        <v>0</v>
      </c>
      <c r="AJ132" s="138">
        <f>SUM(AJ133)</f>
        <v>508638</v>
      </c>
    </row>
    <row r="133" spans="1:36" s="27" customFormat="1" ht="54" customHeight="1">
      <c r="A133" s="75"/>
      <c r="B133" s="76"/>
      <c r="C133" s="136">
        <v>2030</v>
      </c>
      <c r="D133" s="137" t="s">
        <v>517</v>
      </c>
      <c r="E133" s="138"/>
      <c r="F133" s="138"/>
      <c r="G133" s="138"/>
      <c r="H133" s="138"/>
      <c r="I133" s="138"/>
      <c r="J133" s="138"/>
      <c r="K133" s="138"/>
      <c r="L133" s="138">
        <v>0</v>
      </c>
      <c r="M133" s="138">
        <v>252197</v>
      </c>
      <c r="N133" s="138">
        <f>SUM(L133:M133)</f>
        <v>252197</v>
      </c>
      <c r="O133" s="138">
        <v>0</v>
      </c>
      <c r="P133" s="138">
        <f>SUM(N133:O133)</f>
        <v>252197</v>
      </c>
      <c r="Q133" s="138">
        <v>0</v>
      </c>
      <c r="R133" s="138">
        <f>SUM(P133:Q133)</f>
        <v>252197</v>
      </c>
      <c r="S133" s="138">
        <v>0</v>
      </c>
      <c r="T133" s="138">
        <f>SUM(R133:S133)</f>
        <v>252197</v>
      </c>
      <c r="U133" s="138">
        <v>0</v>
      </c>
      <c r="V133" s="138">
        <f>SUM(T133:U133)</f>
        <v>252197</v>
      </c>
      <c r="W133" s="138">
        <v>56396</v>
      </c>
      <c r="X133" s="138">
        <f>SUM(V133:W133)</f>
        <v>308593</v>
      </c>
      <c r="Y133" s="138">
        <v>21980</v>
      </c>
      <c r="Z133" s="138">
        <f>SUM(X133:Y133)</f>
        <v>330573</v>
      </c>
      <c r="AA133" s="138">
        <v>0</v>
      </c>
      <c r="AB133" s="138">
        <f>SUM(Z133:AA133)</f>
        <v>330573</v>
      </c>
      <c r="AC133" s="138">
        <f>3444+143533</f>
        <v>146977</v>
      </c>
      <c r="AD133" s="138">
        <f>SUM(AB133:AC133)</f>
        <v>477550</v>
      </c>
      <c r="AE133" s="138">
        <v>31088</v>
      </c>
      <c r="AF133" s="138">
        <f>SUM(AD133:AE133)</f>
        <v>508638</v>
      </c>
      <c r="AG133" s="138">
        <v>0</v>
      </c>
      <c r="AH133" s="138">
        <f>SUM(AF133:AG133)</f>
        <v>508638</v>
      </c>
      <c r="AI133" s="138">
        <v>0</v>
      </c>
      <c r="AJ133" s="138">
        <f>SUM(AH133:AI133)</f>
        <v>508638</v>
      </c>
    </row>
    <row r="134" spans="1:36" s="8" customFormat="1" ht="24.75" customHeight="1">
      <c r="A134" s="33">
        <v>900</v>
      </c>
      <c r="B134" s="36"/>
      <c r="C134" s="241"/>
      <c r="D134" s="236" t="s">
        <v>322</v>
      </c>
      <c r="E134" s="237">
        <f>SUM(E140)</f>
        <v>6000</v>
      </c>
      <c r="F134" s="237">
        <f>SUM(F140)</f>
        <v>0</v>
      </c>
      <c r="G134" s="237">
        <f>SUM(G140)</f>
        <v>0</v>
      </c>
      <c r="H134" s="237">
        <f t="shared" si="64"/>
        <v>6000</v>
      </c>
      <c r="I134" s="237">
        <f>SUM(I140)</f>
        <v>0</v>
      </c>
      <c r="J134" s="237">
        <f t="shared" si="34"/>
        <v>6000</v>
      </c>
      <c r="K134" s="237">
        <f aca="true" t="shared" si="83" ref="K134:Q134">SUM(K140)</f>
        <v>0</v>
      </c>
      <c r="L134" s="237">
        <f t="shared" si="83"/>
        <v>6000</v>
      </c>
      <c r="M134" s="237">
        <f t="shared" si="83"/>
        <v>0</v>
      </c>
      <c r="N134" s="237">
        <f t="shared" si="83"/>
        <v>6000</v>
      </c>
      <c r="O134" s="237">
        <f t="shared" si="83"/>
        <v>0</v>
      </c>
      <c r="P134" s="237">
        <f t="shared" si="83"/>
        <v>6000</v>
      </c>
      <c r="Q134" s="237">
        <f t="shared" si="83"/>
        <v>0</v>
      </c>
      <c r="R134" s="237">
        <f aca="true" t="shared" si="84" ref="R134:X134">SUM(R140,R135,R138)</f>
        <v>6000</v>
      </c>
      <c r="S134" s="237">
        <f t="shared" si="84"/>
        <v>1602188</v>
      </c>
      <c r="T134" s="237">
        <f t="shared" si="84"/>
        <v>1608188</v>
      </c>
      <c r="U134" s="237">
        <f t="shared" si="84"/>
        <v>0</v>
      </c>
      <c r="V134" s="237">
        <f t="shared" si="84"/>
        <v>1608188</v>
      </c>
      <c r="W134" s="237">
        <f t="shared" si="84"/>
        <v>0</v>
      </c>
      <c r="X134" s="237">
        <f t="shared" si="84"/>
        <v>1608188</v>
      </c>
      <c r="Y134" s="237">
        <f aca="true" t="shared" si="85" ref="Y134:AD134">SUM(Y140,Y135,Y138)</f>
        <v>3000</v>
      </c>
      <c r="Z134" s="237">
        <f t="shared" si="85"/>
        <v>1611188</v>
      </c>
      <c r="AA134" s="237">
        <f t="shared" si="85"/>
        <v>0</v>
      </c>
      <c r="AB134" s="237">
        <f t="shared" si="85"/>
        <v>1611188</v>
      </c>
      <c r="AC134" s="237">
        <f t="shared" si="85"/>
        <v>0</v>
      </c>
      <c r="AD134" s="237">
        <f t="shared" si="85"/>
        <v>1611188</v>
      </c>
      <c r="AE134" s="237">
        <f aca="true" t="shared" si="86" ref="AE134:AJ134">SUM(AE140,AE135,AE138)</f>
        <v>0</v>
      </c>
      <c r="AF134" s="237">
        <f t="shared" si="86"/>
        <v>1611188</v>
      </c>
      <c r="AG134" s="237">
        <f t="shared" si="86"/>
        <v>0</v>
      </c>
      <c r="AH134" s="237">
        <f t="shared" si="86"/>
        <v>1611188</v>
      </c>
      <c r="AI134" s="237">
        <f t="shared" si="86"/>
        <v>4865</v>
      </c>
      <c r="AJ134" s="237">
        <f t="shared" si="86"/>
        <v>1616053</v>
      </c>
    </row>
    <row r="135" spans="1:36" s="27" customFormat="1" ht="24.75" customHeight="1">
      <c r="A135" s="75"/>
      <c r="B135" s="76">
        <v>90001</v>
      </c>
      <c r="C135" s="136"/>
      <c r="D135" s="137" t="s">
        <v>323</v>
      </c>
      <c r="E135" s="138"/>
      <c r="F135" s="138"/>
      <c r="G135" s="138"/>
      <c r="H135" s="138"/>
      <c r="I135" s="138"/>
      <c r="J135" s="138"/>
      <c r="K135" s="138"/>
      <c r="L135" s="138"/>
      <c r="M135" s="138"/>
      <c r="N135" s="138"/>
      <c r="O135" s="138"/>
      <c r="P135" s="138"/>
      <c r="Q135" s="138"/>
      <c r="R135" s="138">
        <f>SUM(R137)</f>
        <v>0</v>
      </c>
      <c r="S135" s="138">
        <f>SUM(S137)</f>
        <v>1598781</v>
      </c>
      <c r="T135" s="138">
        <f>SUM(R135:S135)</f>
        <v>1598781</v>
      </c>
      <c r="U135" s="138">
        <f>SUM(U137)</f>
        <v>0</v>
      </c>
      <c r="V135" s="138">
        <f>SUM(T135:U135)</f>
        <v>1598781</v>
      </c>
      <c r="W135" s="138">
        <f>SUM(W137)</f>
        <v>0</v>
      </c>
      <c r="X135" s="138">
        <f aca="true" t="shared" si="87" ref="X135:AD135">SUM(X136:X137)</f>
        <v>1598781</v>
      </c>
      <c r="Y135" s="138">
        <f t="shared" si="87"/>
        <v>3000</v>
      </c>
      <c r="Z135" s="138">
        <f t="shared" si="87"/>
        <v>1601781</v>
      </c>
      <c r="AA135" s="138">
        <f t="shared" si="87"/>
        <v>0</v>
      </c>
      <c r="AB135" s="138">
        <f t="shared" si="87"/>
        <v>1601781</v>
      </c>
      <c r="AC135" s="138">
        <f t="shared" si="87"/>
        <v>0</v>
      </c>
      <c r="AD135" s="138">
        <f t="shared" si="87"/>
        <v>1601781</v>
      </c>
      <c r="AE135" s="138">
        <f aca="true" t="shared" si="88" ref="AE135:AJ135">SUM(AE136:AE137)</f>
        <v>0</v>
      </c>
      <c r="AF135" s="138">
        <f t="shared" si="88"/>
        <v>1601781</v>
      </c>
      <c r="AG135" s="138">
        <f t="shared" si="88"/>
        <v>0</v>
      </c>
      <c r="AH135" s="138">
        <f t="shared" si="88"/>
        <v>1601781</v>
      </c>
      <c r="AI135" s="138">
        <f t="shared" si="88"/>
        <v>1500</v>
      </c>
      <c r="AJ135" s="138">
        <f t="shared" si="88"/>
        <v>1603281</v>
      </c>
    </row>
    <row r="136" spans="1:36" s="27" customFormat="1" ht="24.75" customHeight="1">
      <c r="A136" s="75"/>
      <c r="B136" s="76"/>
      <c r="C136" s="136" t="s">
        <v>440</v>
      </c>
      <c r="D136" s="137" t="s">
        <v>265</v>
      </c>
      <c r="E136" s="138"/>
      <c r="F136" s="138"/>
      <c r="G136" s="138"/>
      <c r="H136" s="138"/>
      <c r="I136" s="138"/>
      <c r="J136" s="138"/>
      <c r="K136" s="138"/>
      <c r="L136" s="138"/>
      <c r="M136" s="138"/>
      <c r="N136" s="138"/>
      <c r="O136" s="138"/>
      <c r="P136" s="138"/>
      <c r="Q136" s="138"/>
      <c r="R136" s="138"/>
      <c r="S136" s="138"/>
      <c r="T136" s="138"/>
      <c r="U136" s="138"/>
      <c r="V136" s="138"/>
      <c r="W136" s="138"/>
      <c r="X136" s="138">
        <v>0</v>
      </c>
      <c r="Y136" s="138">
        <v>3000</v>
      </c>
      <c r="Z136" s="138">
        <f>SUM(X136:Y136)</f>
        <v>3000</v>
      </c>
      <c r="AA136" s="138">
        <v>0</v>
      </c>
      <c r="AB136" s="138">
        <f>SUM(Z136:AA136)</f>
        <v>3000</v>
      </c>
      <c r="AC136" s="138">
        <v>0</v>
      </c>
      <c r="AD136" s="138">
        <f>SUM(AB136:AC136)</f>
        <v>3000</v>
      </c>
      <c r="AE136" s="138">
        <v>0</v>
      </c>
      <c r="AF136" s="138">
        <f>SUM(AD136:AE136)</f>
        <v>3000</v>
      </c>
      <c r="AG136" s="138">
        <v>0</v>
      </c>
      <c r="AH136" s="138">
        <f>SUM(AF136:AG136)</f>
        <v>3000</v>
      </c>
      <c r="AI136" s="138">
        <v>1500</v>
      </c>
      <c r="AJ136" s="138">
        <f>SUM(AH136:AI136)</f>
        <v>4500</v>
      </c>
    </row>
    <row r="137" spans="1:36" s="27" customFormat="1" ht="56.25">
      <c r="A137" s="75"/>
      <c r="B137" s="76"/>
      <c r="C137" s="136">
        <v>6298</v>
      </c>
      <c r="D137" s="137" t="s">
        <v>254</v>
      </c>
      <c r="E137" s="138"/>
      <c r="F137" s="138"/>
      <c r="G137" s="138"/>
      <c r="H137" s="138"/>
      <c r="I137" s="138"/>
      <c r="J137" s="138"/>
      <c r="K137" s="138"/>
      <c r="L137" s="138"/>
      <c r="M137" s="138"/>
      <c r="N137" s="138"/>
      <c r="O137" s="138"/>
      <c r="P137" s="138"/>
      <c r="Q137" s="138"/>
      <c r="R137" s="138">
        <v>0</v>
      </c>
      <c r="S137" s="138">
        <v>1598781</v>
      </c>
      <c r="T137" s="138">
        <f>SUM(R137:S137)</f>
        <v>1598781</v>
      </c>
      <c r="U137" s="138">
        <v>0</v>
      </c>
      <c r="V137" s="138">
        <f>SUM(T137:U137)</f>
        <v>1598781</v>
      </c>
      <c r="W137" s="138">
        <v>0</v>
      </c>
      <c r="X137" s="138">
        <f>SUM(V137:W137)</f>
        <v>1598781</v>
      </c>
      <c r="Y137" s="138">
        <v>0</v>
      </c>
      <c r="Z137" s="138">
        <f>SUM(X137:Y137)</f>
        <v>1598781</v>
      </c>
      <c r="AA137" s="138">
        <v>0</v>
      </c>
      <c r="AB137" s="138">
        <f>SUM(Z137:AA137)</f>
        <v>1598781</v>
      </c>
      <c r="AC137" s="138">
        <v>0</v>
      </c>
      <c r="AD137" s="138">
        <f>SUM(AB137:AC137)</f>
        <v>1598781</v>
      </c>
      <c r="AE137" s="138">
        <v>0</v>
      </c>
      <c r="AF137" s="138">
        <f>SUM(AD137:AE137)</f>
        <v>1598781</v>
      </c>
      <c r="AG137" s="138">
        <v>0</v>
      </c>
      <c r="AH137" s="138">
        <f>SUM(AF137:AG137)</f>
        <v>1598781</v>
      </c>
      <c r="AI137" s="138">
        <v>0</v>
      </c>
      <c r="AJ137" s="138">
        <f>SUM(AH137:AI137)</f>
        <v>1598781</v>
      </c>
    </row>
    <row r="138" spans="1:36" s="27" customFormat="1" ht="33.75">
      <c r="A138" s="75"/>
      <c r="B138" s="76">
        <v>90020</v>
      </c>
      <c r="C138" s="136"/>
      <c r="D138" s="137" t="s">
        <v>255</v>
      </c>
      <c r="E138" s="138"/>
      <c r="F138" s="138"/>
      <c r="G138" s="138"/>
      <c r="H138" s="138"/>
      <c r="I138" s="138"/>
      <c r="J138" s="138"/>
      <c r="K138" s="138"/>
      <c r="L138" s="138"/>
      <c r="M138" s="138"/>
      <c r="N138" s="138"/>
      <c r="O138" s="138"/>
      <c r="P138" s="138"/>
      <c r="Q138" s="138"/>
      <c r="R138" s="138">
        <f aca="true" t="shared" si="89" ref="R138:AJ138">SUM(R139)</f>
        <v>0</v>
      </c>
      <c r="S138" s="138">
        <f t="shared" si="89"/>
        <v>3407</v>
      </c>
      <c r="T138" s="138">
        <f t="shared" si="89"/>
        <v>3407</v>
      </c>
      <c r="U138" s="138">
        <f t="shared" si="89"/>
        <v>0</v>
      </c>
      <c r="V138" s="138">
        <f t="shared" si="89"/>
        <v>3407</v>
      </c>
      <c r="W138" s="138">
        <f t="shared" si="89"/>
        <v>0</v>
      </c>
      <c r="X138" s="138">
        <f t="shared" si="89"/>
        <v>3407</v>
      </c>
      <c r="Y138" s="138">
        <f t="shared" si="89"/>
        <v>0</v>
      </c>
      <c r="Z138" s="138">
        <f t="shared" si="89"/>
        <v>3407</v>
      </c>
      <c r="AA138" s="138">
        <f t="shared" si="89"/>
        <v>0</v>
      </c>
      <c r="AB138" s="138">
        <f t="shared" si="89"/>
        <v>3407</v>
      </c>
      <c r="AC138" s="138">
        <f t="shared" si="89"/>
        <v>0</v>
      </c>
      <c r="AD138" s="138">
        <f t="shared" si="89"/>
        <v>3407</v>
      </c>
      <c r="AE138" s="138">
        <f t="shared" si="89"/>
        <v>0</v>
      </c>
      <c r="AF138" s="138">
        <f t="shared" si="89"/>
        <v>3407</v>
      </c>
      <c r="AG138" s="138">
        <f t="shared" si="89"/>
        <v>0</v>
      </c>
      <c r="AH138" s="138">
        <f t="shared" si="89"/>
        <v>3407</v>
      </c>
      <c r="AI138" s="138">
        <f t="shared" si="89"/>
        <v>3365</v>
      </c>
      <c r="AJ138" s="138">
        <f t="shared" si="89"/>
        <v>6772</v>
      </c>
    </row>
    <row r="139" spans="1:36" s="27" customFormat="1" ht="19.5" customHeight="1">
      <c r="A139" s="75"/>
      <c r="B139" s="76"/>
      <c r="C139" s="136" t="s">
        <v>191</v>
      </c>
      <c r="D139" s="137" t="s">
        <v>192</v>
      </c>
      <c r="E139" s="138"/>
      <c r="F139" s="138"/>
      <c r="G139" s="138"/>
      <c r="H139" s="138"/>
      <c r="I139" s="138"/>
      <c r="J139" s="138"/>
      <c r="K139" s="138"/>
      <c r="L139" s="138"/>
      <c r="M139" s="138"/>
      <c r="N139" s="138"/>
      <c r="O139" s="138"/>
      <c r="P139" s="138"/>
      <c r="Q139" s="138"/>
      <c r="R139" s="138">
        <v>0</v>
      </c>
      <c r="S139" s="138">
        <v>3407</v>
      </c>
      <c r="T139" s="138">
        <f>SUM(R139:S139)</f>
        <v>3407</v>
      </c>
      <c r="U139" s="138">
        <v>0</v>
      </c>
      <c r="V139" s="138">
        <f>SUM(T139:U139)</f>
        <v>3407</v>
      </c>
      <c r="W139" s="138">
        <v>0</v>
      </c>
      <c r="X139" s="138">
        <f>SUM(V139:W139)</f>
        <v>3407</v>
      </c>
      <c r="Y139" s="138">
        <v>0</v>
      </c>
      <c r="Z139" s="138">
        <f>SUM(X139:Y139)</f>
        <v>3407</v>
      </c>
      <c r="AA139" s="138">
        <v>0</v>
      </c>
      <c r="AB139" s="138">
        <f>SUM(Z139:AA139)</f>
        <v>3407</v>
      </c>
      <c r="AC139" s="138">
        <v>0</v>
      </c>
      <c r="AD139" s="138">
        <f>SUM(AB139:AC139)</f>
        <v>3407</v>
      </c>
      <c r="AE139" s="138">
        <v>0</v>
      </c>
      <c r="AF139" s="138">
        <f>SUM(AD139:AE139)</f>
        <v>3407</v>
      </c>
      <c r="AG139" s="138">
        <v>0</v>
      </c>
      <c r="AH139" s="138">
        <f>SUM(AF139:AG139)</f>
        <v>3407</v>
      </c>
      <c r="AI139" s="138">
        <v>3365</v>
      </c>
      <c r="AJ139" s="138">
        <f>SUM(AH139:AI139)</f>
        <v>6772</v>
      </c>
    </row>
    <row r="140" spans="1:36" s="27" customFormat="1" ht="21.75" customHeight="1">
      <c r="A140" s="75"/>
      <c r="B140" s="76">
        <v>90095</v>
      </c>
      <c r="C140" s="136"/>
      <c r="D140" s="137" t="s">
        <v>250</v>
      </c>
      <c r="E140" s="138">
        <f>SUM(E141)</f>
        <v>6000</v>
      </c>
      <c r="F140" s="138">
        <f>SUM(F141)</f>
        <v>0</v>
      </c>
      <c r="G140" s="138">
        <f>SUM(G141)</f>
        <v>0</v>
      </c>
      <c r="H140" s="138">
        <f t="shared" si="64"/>
        <v>6000</v>
      </c>
      <c r="I140" s="138">
        <f>SUM(I141)</f>
        <v>0</v>
      </c>
      <c r="J140" s="138">
        <f t="shared" si="34"/>
        <v>6000</v>
      </c>
      <c r="K140" s="138">
        <f>SUM(K141)</f>
        <v>0</v>
      </c>
      <c r="L140" s="138">
        <f aca="true" t="shared" si="90" ref="L140:AI140">SUM(L141:L141)</f>
        <v>6000</v>
      </c>
      <c r="M140" s="138">
        <f t="shared" si="90"/>
        <v>0</v>
      </c>
      <c r="N140" s="138">
        <f t="shared" si="90"/>
        <v>6000</v>
      </c>
      <c r="O140" s="138">
        <f t="shared" si="90"/>
        <v>0</v>
      </c>
      <c r="P140" s="138">
        <f t="shared" si="90"/>
        <v>6000</v>
      </c>
      <c r="Q140" s="138">
        <f t="shared" si="90"/>
        <v>0</v>
      </c>
      <c r="R140" s="138">
        <f t="shared" si="90"/>
        <v>6000</v>
      </c>
      <c r="S140" s="138">
        <f t="shared" si="90"/>
        <v>0</v>
      </c>
      <c r="T140" s="138">
        <f>SUM(R140:S140)</f>
        <v>6000</v>
      </c>
      <c r="U140" s="138">
        <f t="shared" si="90"/>
        <v>0</v>
      </c>
      <c r="V140" s="138">
        <f>SUM(T140:U140)</f>
        <v>6000</v>
      </c>
      <c r="W140" s="138">
        <f t="shared" si="90"/>
        <v>0</v>
      </c>
      <c r="X140" s="138">
        <f>SUM(V140:W140)</f>
        <v>6000</v>
      </c>
      <c r="Y140" s="138">
        <f t="shared" si="90"/>
        <v>0</v>
      </c>
      <c r="Z140" s="138">
        <f>SUM(X140:Y140)</f>
        <v>6000</v>
      </c>
      <c r="AA140" s="138">
        <f t="shared" si="90"/>
        <v>0</v>
      </c>
      <c r="AB140" s="138">
        <f>SUM(Z140:AA140)</f>
        <v>6000</v>
      </c>
      <c r="AC140" s="138">
        <f t="shared" si="90"/>
        <v>0</v>
      </c>
      <c r="AD140" s="138">
        <f>SUM(AB140:AC140)</f>
        <v>6000</v>
      </c>
      <c r="AE140" s="138">
        <f t="shared" si="90"/>
        <v>0</v>
      </c>
      <c r="AF140" s="138">
        <f>SUM(AD140:AE140)</f>
        <v>6000</v>
      </c>
      <c r="AG140" s="138">
        <f t="shared" si="90"/>
        <v>0</v>
      </c>
      <c r="AH140" s="138">
        <f>SUM(AF140:AG140)</f>
        <v>6000</v>
      </c>
      <c r="AI140" s="138">
        <f t="shared" si="90"/>
        <v>0</v>
      </c>
      <c r="AJ140" s="138">
        <f>SUM(AH140:AI140)</f>
        <v>6000</v>
      </c>
    </row>
    <row r="141" spans="1:36" s="27" customFormat="1" ht="23.25" customHeight="1">
      <c r="A141" s="75"/>
      <c r="B141" s="76"/>
      <c r="C141" s="136" t="s">
        <v>458</v>
      </c>
      <c r="D141" s="137" t="s">
        <v>75</v>
      </c>
      <c r="E141" s="138">
        <v>6000</v>
      </c>
      <c r="F141" s="138"/>
      <c r="G141" s="138"/>
      <c r="H141" s="138">
        <f t="shared" si="64"/>
        <v>6000</v>
      </c>
      <c r="I141" s="138">
        <v>0</v>
      </c>
      <c r="J141" s="138">
        <f t="shared" si="34"/>
        <v>6000</v>
      </c>
      <c r="K141" s="138">
        <v>0</v>
      </c>
      <c r="L141" s="138">
        <f t="shared" si="35"/>
        <v>6000</v>
      </c>
      <c r="M141" s="138">
        <v>0</v>
      </c>
      <c r="N141" s="138">
        <f t="shared" si="36"/>
        <v>6000</v>
      </c>
      <c r="O141" s="138">
        <v>0</v>
      </c>
      <c r="P141" s="138">
        <f aca="true" t="shared" si="91" ref="P141:P153">SUM(N141:O141)</f>
        <v>6000</v>
      </c>
      <c r="Q141" s="138">
        <v>0</v>
      </c>
      <c r="R141" s="138">
        <f aca="true" t="shared" si="92" ref="R141:R154">SUM(P141:Q141)</f>
        <v>6000</v>
      </c>
      <c r="S141" s="138">
        <v>0</v>
      </c>
      <c r="T141" s="138">
        <f>SUM(R141:S141)</f>
        <v>6000</v>
      </c>
      <c r="U141" s="138">
        <v>0</v>
      </c>
      <c r="V141" s="138">
        <f>SUM(T141:U141)</f>
        <v>6000</v>
      </c>
      <c r="W141" s="138">
        <v>0</v>
      </c>
      <c r="X141" s="138">
        <f>SUM(V141:W141)</f>
        <v>6000</v>
      </c>
      <c r="Y141" s="138">
        <v>0</v>
      </c>
      <c r="Z141" s="138">
        <f>SUM(X141:Y141)</f>
        <v>6000</v>
      </c>
      <c r="AA141" s="138">
        <v>0</v>
      </c>
      <c r="AB141" s="138">
        <f>SUM(Z141:AA141)</f>
        <v>6000</v>
      </c>
      <c r="AC141" s="138">
        <v>0</v>
      </c>
      <c r="AD141" s="138">
        <f>SUM(AB141:AC141)</f>
        <v>6000</v>
      </c>
      <c r="AE141" s="138">
        <v>0</v>
      </c>
      <c r="AF141" s="138">
        <f>SUM(AD141:AE141)</f>
        <v>6000</v>
      </c>
      <c r="AG141" s="138">
        <v>0</v>
      </c>
      <c r="AH141" s="138">
        <f>SUM(AF141:AG141)</f>
        <v>6000</v>
      </c>
      <c r="AI141" s="138">
        <v>0</v>
      </c>
      <c r="AJ141" s="138">
        <f>SUM(AH141:AI141)</f>
        <v>6000</v>
      </c>
    </row>
    <row r="142" spans="1:36" s="8" customFormat="1" ht="24">
      <c r="A142" s="33" t="s">
        <v>324</v>
      </c>
      <c r="B142" s="4"/>
      <c r="C142" s="238"/>
      <c r="D142" s="236" t="s">
        <v>330</v>
      </c>
      <c r="E142" s="237">
        <f>SUM(E147)</f>
        <v>45000</v>
      </c>
      <c r="F142" s="237">
        <f>SUM(F147)</f>
        <v>900</v>
      </c>
      <c r="G142" s="237">
        <f>SUM(G147)</f>
        <v>0</v>
      </c>
      <c r="H142" s="237">
        <f>SUM(H145,H147,H149,)</f>
        <v>45900</v>
      </c>
      <c r="I142" s="237">
        <f>SUM(I145,I147,I149,)</f>
        <v>11500</v>
      </c>
      <c r="J142" s="237">
        <f t="shared" si="34"/>
        <v>57400</v>
      </c>
      <c r="K142" s="237">
        <f>SUM(K145,K147,K149,)</f>
        <v>0</v>
      </c>
      <c r="L142" s="237">
        <f t="shared" si="35"/>
        <v>57400</v>
      </c>
      <c r="M142" s="237">
        <f>SUM(M145,M147,M149,)</f>
        <v>0</v>
      </c>
      <c r="N142" s="237">
        <f t="shared" si="36"/>
        <v>57400</v>
      </c>
      <c r="O142" s="237">
        <f>SUM(O145,O147,O149,)</f>
        <v>0</v>
      </c>
      <c r="P142" s="237">
        <f t="shared" si="91"/>
        <v>57400</v>
      </c>
      <c r="Q142" s="237">
        <f>SUM(Q145,Q147,Q149,)</f>
        <v>0</v>
      </c>
      <c r="R142" s="237">
        <f t="shared" si="92"/>
        <v>57400</v>
      </c>
      <c r="S142" s="237">
        <f>SUM(S145,S147,S149,S143)</f>
        <v>-2800</v>
      </c>
      <c r="T142" s="237">
        <f aca="true" t="shared" si="93" ref="T142:T151">SUM(R142:S142)</f>
        <v>54600</v>
      </c>
      <c r="U142" s="237">
        <f>SUM(U145,U147,U149,U143)</f>
        <v>0</v>
      </c>
      <c r="V142" s="237">
        <f aca="true" t="shared" si="94" ref="V142:V151">SUM(T142:U142)</f>
        <v>54600</v>
      </c>
      <c r="W142" s="237">
        <f>SUM(W145,W147,W149,W143)</f>
        <v>0</v>
      </c>
      <c r="X142" s="237">
        <f aca="true" t="shared" si="95" ref="X142:X151">SUM(V142:W142)</f>
        <v>54600</v>
      </c>
      <c r="Y142" s="237">
        <f>SUM(Y145,Y147,Y149,Y143)</f>
        <v>0</v>
      </c>
      <c r="Z142" s="237">
        <f aca="true" t="shared" si="96" ref="Z142:Z151">SUM(X142:Y142)</f>
        <v>54600</v>
      </c>
      <c r="AA142" s="237">
        <f>SUM(AA145,AA147,AA149,AA143)</f>
        <v>0</v>
      </c>
      <c r="AB142" s="237">
        <f aca="true" t="shared" si="97" ref="AB142:AB151">SUM(Z142:AA142)</f>
        <v>54600</v>
      </c>
      <c r="AC142" s="237">
        <f>SUM(AC145,AC147,AC149,AC143)</f>
        <v>0</v>
      </c>
      <c r="AD142" s="237">
        <f aca="true" t="shared" si="98" ref="AD142:AD151">SUM(AB142:AC142)</f>
        <v>54600</v>
      </c>
      <c r="AE142" s="237">
        <f>SUM(AE145,AE147,AE149,AE143)</f>
        <v>0</v>
      </c>
      <c r="AF142" s="237">
        <f aca="true" t="shared" si="99" ref="AF142:AF151">SUM(AD142:AE142)</f>
        <v>54600</v>
      </c>
      <c r="AG142" s="237">
        <f>SUM(AG145,AG147,AG149,AG143)</f>
        <v>0</v>
      </c>
      <c r="AH142" s="237">
        <f aca="true" t="shared" si="100" ref="AH142:AH151">SUM(AF142:AG142)</f>
        <v>54600</v>
      </c>
      <c r="AI142" s="237">
        <f>SUM(AI145,AI147,AI149,AI143)</f>
        <v>0</v>
      </c>
      <c r="AJ142" s="237">
        <f aca="true" t="shared" si="101" ref="AJ142:AJ151">SUM(AH142:AI142)</f>
        <v>54600</v>
      </c>
    </row>
    <row r="143" spans="1:36" s="8" customFormat="1" ht="25.5" customHeight="1">
      <c r="A143" s="33"/>
      <c r="B143" s="58">
        <v>92105</v>
      </c>
      <c r="C143" s="228"/>
      <c r="D143" s="137" t="s">
        <v>152</v>
      </c>
      <c r="E143" s="237"/>
      <c r="F143" s="237"/>
      <c r="G143" s="237"/>
      <c r="H143" s="237"/>
      <c r="I143" s="237"/>
      <c r="J143" s="237"/>
      <c r="K143" s="237"/>
      <c r="L143" s="237"/>
      <c r="M143" s="237"/>
      <c r="N143" s="237"/>
      <c r="O143" s="237"/>
      <c r="P143" s="237"/>
      <c r="Q143" s="237"/>
      <c r="R143" s="240">
        <f>SUM(R144)</f>
        <v>0</v>
      </c>
      <c r="S143" s="240">
        <f>SUM(S144)</f>
        <v>8700</v>
      </c>
      <c r="T143" s="138">
        <f t="shared" si="93"/>
        <v>8700</v>
      </c>
      <c r="U143" s="240">
        <f>SUM(U144)</f>
        <v>0</v>
      </c>
      <c r="V143" s="138">
        <f t="shared" si="94"/>
        <v>8700</v>
      </c>
      <c r="W143" s="240">
        <f>SUM(W144)</f>
        <v>0</v>
      </c>
      <c r="X143" s="138">
        <f t="shared" si="95"/>
        <v>8700</v>
      </c>
      <c r="Y143" s="240">
        <f>SUM(Y144)</f>
        <v>0</v>
      </c>
      <c r="Z143" s="138">
        <f t="shared" si="96"/>
        <v>8700</v>
      </c>
      <c r="AA143" s="240">
        <f>SUM(AA144)</f>
        <v>0</v>
      </c>
      <c r="AB143" s="138">
        <f t="shared" si="97"/>
        <v>8700</v>
      </c>
      <c r="AC143" s="240">
        <f>SUM(AC144)</f>
        <v>0</v>
      </c>
      <c r="AD143" s="138">
        <f t="shared" si="98"/>
        <v>8700</v>
      </c>
      <c r="AE143" s="240">
        <f>SUM(AE144)</f>
        <v>0</v>
      </c>
      <c r="AF143" s="138">
        <f t="shared" si="99"/>
        <v>8700</v>
      </c>
      <c r="AG143" s="240">
        <f>SUM(AG144)</f>
        <v>0</v>
      </c>
      <c r="AH143" s="138">
        <f t="shared" si="100"/>
        <v>8700</v>
      </c>
      <c r="AI143" s="240">
        <f>SUM(AI144)</f>
        <v>0</v>
      </c>
      <c r="AJ143" s="138">
        <f t="shared" si="101"/>
        <v>8700</v>
      </c>
    </row>
    <row r="144" spans="1:36" s="8" customFormat="1" ht="56.25">
      <c r="A144" s="33"/>
      <c r="B144" s="58"/>
      <c r="C144" s="228">
        <v>2320</v>
      </c>
      <c r="D144" s="137" t="s">
        <v>114</v>
      </c>
      <c r="E144" s="237"/>
      <c r="F144" s="237"/>
      <c r="G144" s="237"/>
      <c r="H144" s="237"/>
      <c r="I144" s="237"/>
      <c r="J144" s="237"/>
      <c r="K144" s="237"/>
      <c r="L144" s="237"/>
      <c r="M144" s="237"/>
      <c r="N144" s="237"/>
      <c r="O144" s="237"/>
      <c r="P144" s="237"/>
      <c r="Q144" s="237"/>
      <c r="R144" s="240">
        <v>0</v>
      </c>
      <c r="S144" s="240">
        <f>300+300+300+300+500+1000+500+3500+500+1500</f>
        <v>8700</v>
      </c>
      <c r="T144" s="138">
        <f t="shared" si="93"/>
        <v>8700</v>
      </c>
      <c r="U144" s="240">
        <v>0</v>
      </c>
      <c r="V144" s="138">
        <f t="shared" si="94"/>
        <v>8700</v>
      </c>
      <c r="W144" s="240">
        <v>0</v>
      </c>
      <c r="X144" s="138">
        <f t="shared" si="95"/>
        <v>8700</v>
      </c>
      <c r="Y144" s="240">
        <v>0</v>
      </c>
      <c r="Z144" s="138">
        <f t="shared" si="96"/>
        <v>8700</v>
      </c>
      <c r="AA144" s="240">
        <v>0</v>
      </c>
      <c r="AB144" s="138">
        <f t="shared" si="97"/>
        <v>8700</v>
      </c>
      <c r="AC144" s="240">
        <v>0</v>
      </c>
      <c r="AD144" s="138">
        <f t="shared" si="98"/>
        <v>8700</v>
      </c>
      <c r="AE144" s="240">
        <v>0</v>
      </c>
      <c r="AF144" s="138">
        <f t="shared" si="99"/>
        <v>8700</v>
      </c>
      <c r="AG144" s="240">
        <v>0</v>
      </c>
      <c r="AH144" s="138">
        <f t="shared" si="100"/>
        <v>8700</v>
      </c>
      <c r="AI144" s="240">
        <v>0</v>
      </c>
      <c r="AJ144" s="138">
        <f t="shared" si="101"/>
        <v>8700</v>
      </c>
    </row>
    <row r="145" spans="1:36" s="27" customFormat="1" ht="22.5" hidden="1">
      <c r="A145" s="75"/>
      <c r="B145" s="58">
        <v>92109</v>
      </c>
      <c r="C145" s="228"/>
      <c r="D145" s="137" t="s">
        <v>116</v>
      </c>
      <c r="E145" s="138"/>
      <c r="F145" s="138"/>
      <c r="G145" s="138"/>
      <c r="H145" s="138">
        <f>SUM(H146)</f>
        <v>0</v>
      </c>
      <c r="I145" s="138">
        <f>SUM(I146)</f>
        <v>9500</v>
      </c>
      <c r="J145" s="138">
        <f t="shared" si="34"/>
        <v>9500</v>
      </c>
      <c r="K145" s="138">
        <f>SUM(K146)</f>
        <v>0</v>
      </c>
      <c r="L145" s="138">
        <f t="shared" si="35"/>
        <v>9500</v>
      </c>
      <c r="M145" s="138">
        <f>SUM(M146)</f>
        <v>0</v>
      </c>
      <c r="N145" s="138">
        <f t="shared" si="36"/>
        <v>9500</v>
      </c>
      <c r="O145" s="138">
        <f>SUM(O146)</f>
        <v>0</v>
      </c>
      <c r="P145" s="138">
        <f t="shared" si="91"/>
        <v>9500</v>
      </c>
      <c r="Q145" s="138">
        <f>SUM(Q146)</f>
        <v>0</v>
      </c>
      <c r="R145" s="138">
        <f t="shared" si="92"/>
        <v>9500</v>
      </c>
      <c r="S145" s="138">
        <f>SUM(S146)</f>
        <v>-9500</v>
      </c>
      <c r="T145" s="138">
        <f t="shared" si="93"/>
        <v>0</v>
      </c>
      <c r="U145" s="138">
        <f>SUM(U146)</f>
        <v>0</v>
      </c>
      <c r="V145" s="138">
        <f t="shared" si="94"/>
        <v>0</v>
      </c>
      <c r="W145" s="138">
        <f>SUM(W146)</f>
        <v>0</v>
      </c>
      <c r="X145" s="138">
        <f t="shared" si="95"/>
        <v>0</v>
      </c>
      <c r="Y145" s="138">
        <f>SUM(Y146)</f>
        <v>0</v>
      </c>
      <c r="Z145" s="138">
        <f t="shared" si="96"/>
        <v>0</v>
      </c>
      <c r="AA145" s="138">
        <f>SUM(AA146)</f>
        <v>0</v>
      </c>
      <c r="AB145" s="138">
        <f t="shared" si="97"/>
        <v>0</v>
      </c>
      <c r="AC145" s="138">
        <f>SUM(AC146)</f>
        <v>0</v>
      </c>
      <c r="AD145" s="138">
        <f t="shared" si="98"/>
        <v>0</v>
      </c>
      <c r="AE145" s="138">
        <f>SUM(AE146)</f>
        <v>0</v>
      </c>
      <c r="AF145" s="138">
        <f t="shared" si="99"/>
        <v>0</v>
      </c>
      <c r="AG145" s="138">
        <f>SUM(AG146)</f>
        <v>0</v>
      </c>
      <c r="AH145" s="138">
        <f t="shared" si="100"/>
        <v>0</v>
      </c>
      <c r="AI145" s="138">
        <f>SUM(AI146)</f>
        <v>0</v>
      </c>
      <c r="AJ145" s="138">
        <f t="shared" si="101"/>
        <v>0</v>
      </c>
    </row>
    <row r="146" spans="1:36" s="8" customFormat="1" ht="56.25" hidden="1">
      <c r="A146" s="157"/>
      <c r="B146" s="4"/>
      <c r="C146" s="228">
        <v>2320</v>
      </c>
      <c r="D146" s="137" t="s">
        <v>114</v>
      </c>
      <c r="E146" s="240"/>
      <c r="F146" s="240"/>
      <c r="G146" s="240"/>
      <c r="H146" s="240">
        <v>0</v>
      </c>
      <c r="I146" s="138">
        <f>1500+500+3500+1500+1000+1500</f>
        <v>9500</v>
      </c>
      <c r="J146" s="138">
        <f t="shared" si="34"/>
        <v>9500</v>
      </c>
      <c r="K146" s="138"/>
      <c r="L146" s="138">
        <f t="shared" si="35"/>
        <v>9500</v>
      </c>
      <c r="M146" s="138">
        <v>0</v>
      </c>
      <c r="N146" s="138">
        <f t="shared" si="36"/>
        <v>9500</v>
      </c>
      <c r="O146" s="138">
        <v>0</v>
      </c>
      <c r="P146" s="138">
        <f t="shared" si="91"/>
        <v>9500</v>
      </c>
      <c r="Q146" s="138">
        <v>0</v>
      </c>
      <c r="R146" s="138">
        <f t="shared" si="92"/>
        <v>9500</v>
      </c>
      <c r="S146" s="138">
        <f>-1500-500-3500-1500-1000-1500</f>
        <v>-9500</v>
      </c>
      <c r="T146" s="138">
        <f t="shared" si="93"/>
        <v>0</v>
      </c>
      <c r="U146" s="138">
        <v>0</v>
      </c>
      <c r="V146" s="138">
        <f t="shared" si="94"/>
        <v>0</v>
      </c>
      <c r="W146" s="138">
        <v>0</v>
      </c>
      <c r="X146" s="138">
        <f t="shared" si="95"/>
        <v>0</v>
      </c>
      <c r="Y146" s="138">
        <v>0</v>
      </c>
      <c r="Z146" s="138">
        <f t="shared" si="96"/>
        <v>0</v>
      </c>
      <c r="AA146" s="138">
        <v>0</v>
      </c>
      <c r="AB146" s="138">
        <f t="shared" si="97"/>
        <v>0</v>
      </c>
      <c r="AC146" s="138">
        <v>0</v>
      </c>
      <c r="AD146" s="138">
        <f t="shared" si="98"/>
        <v>0</v>
      </c>
      <c r="AE146" s="138">
        <v>0</v>
      </c>
      <c r="AF146" s="138">
        <f t="shared" si="99"/>
        <v>0</v>
      </c>
      <c r="AG146" s="138">
        <v>0</v>
      </c>
      <c r="AH146" s="138">
        <f t="shared" si="100"/>
        <v>0</v>
      </c>
      <c r="AI146" s="138">
        <v>0</v>
      </c>
      <c r="AJ146" s="138">
        <f t="shared" si="101"/>
        <v>0</v>
      </c>
    </row>
    <row r="147" spans="1:36" s="27" customFormat="1" ht="21.75" customHeight="1">
      <c r="A147" s="75"/>
      <c r="B147" s="76" t="s">
        <v>325</v>
      </c>
      <c r="C147" s="228"/>
      <c r="D147" s="137" t="s">
        <v>326</v>
      </c>
      <c r="E147" s="138">
        <f>SUM(E148)</f>
        <v>45000</v>
      </c>
      <c r="F147" s="138">
        <f>SUM(F148)</f>
        <v>900</v>
      </c>
      <c r="G147" s="138">
        <f>SUM(G148)</f>
        <v>0</v>
      </c>
      <c r="H147" s="138">
        <f>E147+F147-G147</f>
        <v>45900</v>
      </c>
      <c r="I147" s="138">
        <f>SUM(I148)</f>
        <v>0</v>
      </c>
      <c r="J147" s="138">
        <f t="shared" si="34"/>
        <v>45900</v>
      </c>
      <c r="K147" s="138">
        <f>SUM(K148)</f>
        <v>0</v>
      </c>
      <c r="L147" s="138">
        <f t="shared" si="35"/>
        <v>45900</v>
      </c>
      <c r="M147" s="138">
        <f>SUM(M148)</f>
        <v>0</v>
      </c>
      <c r="N147" s="138">
        <f t="shared" si="36"/>
        <v>45900</v>
      </c>
      <c r="O147" s="138">
        <f>SUM(O148)</f>
        <v>0</v>
      </c>
      <c r="P147" s="138">
        <f t="shared" si="91"/>
        <v>45900</v>
      </c>
      <c r="Q147" s="138">
        <f>SUM(Q148)</f>
        <v>0</v>
      </c>
      <c r="R147" s="138">
        <f t="shared" si="92"/>
        <v>45900</v>
      </c>
      <c r="S147" s="138">
        <f>SUM(S148)</f>
        <v>0</v>
      </c>
      <c r="T147" s="138">
        <f t="shared" si="93"/>
        <v>45900</v>
      </c>
      <c r="U147" s="138">
        <f>SUM(U148)</f>
        <v>0</v>
      </c>
      <c r="V147" s="138">
        <f t="shared" si="94"/>
        <v>45900</v>
      </c>
      <c r="W147" s="138">
        <f>SUM(W148)</f>
        <v>0</v>
      </c>
      <c r="X147" s="138">
        <f t="shared" si="95"/>
        <v>45900</v>
      </c>
      <c r="Y147" s="138">
        <f>SUM(Y148)</f>
        <v>0</v>
      </c>
      <c r="Z147" s="138">
        <f t="shared" si="96"/>
        <v>45900</v>
      </c>
      <c r="AA147" s="138">
        <f>SUM(AA148)</f>
        <v>0</v>
      </c>
      <c r="AB147" s="138">
        <f t="shared" si="97"/>
        <v>45900</v>
      </c>
      <c r="AC147" s="138">
        <f>SUM(AC148)</f>
        <v>0</v>
      </c>
      <c r="AD147" s="138">
        <f t="shared" si="98"/>
        <v>45900</v>
      </c>
      <c r="AE147" s="138">
        <f>SUM(AE148)</f>
        <v>0</v>
      </c>
      <c r="AF147" s="138">
        <f t="shared" si="99"/>
        <v>45900</v>
      </c>
      <c r="AG147" s="138">
        <f>SUM(AG148)</f>
        <v>0</v>
      </c>
      <c r="AH147" s="138">
        <f t="shared" si="100"/>
        <v>45900</v>
      </c>
      <c r="AI147" s="138">
        <f>SUM(AI148)</f>
        <v>0</v>
      </c>
      <c r="AJ147" s="138">
        <f t="shared" si="101"/>
        <v>45900</v>
      </c>
    </row>
    <row r="148" spans="1:36" s="27" customFormat="1" ht="56.25">
      <c r="A148" s="76"/>
      <c r="B148" s="76"/>
      <c r="C148" s="136">
        <v>2320</v>
      </c>
      <c r="D148" s="137" t="s">
        <v>114</v>
      </c>
      <c r="E148" s="138">
        <v>45000</v>
      </c>
      <c r="F148" s="138">
        <v>900</v>
      </c>
      <c r="G148" s="138"/>
      <c r="H148" s="138">
        <f>E148+F148-G148</f>
        <v>45900</v>
      </c>
      <c r="I148" s="138">
        <v>0</v>
      </c>
      <c r="J148" s="138">
        <f t="shared" si="34"/>
        <v>45900</v>
      </c>
      <c r="K148" s="138">
        <v>0</v>
      </c>
      <c r="L148" s="138">
        <f t="shared" si="35"/>
        <v>45900</v>
      </c>
      <c r="M148" s="138">
        <v>0</v>
      </c>
      <c r="N148" s="138">
        <f t="shared" si="36"/>
        <v>45900</v>
      </c>
      <c r="O148" s="138">
        <v>0</v>
      </c>
      <c r="P148" s="138">
        <f t="shared" si="91"/>
        <v>45900</v>
      </c>
      <c r="Q148" s="138">
        <v>0</v>
      </c>
      <c r="R148" s="138">
        <f t="shared" si="92"/>
        <v>45900</v>
      </c>
      <c r="S148" s="138">
        <v>0</v>
      </c>
      <c r="T148" s="138">
        <f t="shared" si="93"/>
        <v>45900</v>
      </c>
      <c r="U148" s="138">
        <v>0</v>
      </c>
      <c r="V148" s="138">
        <f t="shared" si="94"/>
        <v>45900</v>
      </c>
      <c r="W148" s="138">
        <v>0</v>
      </c>
      <c r="X148" s="138">
        <f t="shared" si="95"/>
        <v>45900</v>
      </c>
      <c r="Y148" s="138">
        <v>0</v>
      </c>
      <c r="Z148" s="138">
        <f t="shared" si="96"/>
        <v>45900</v>
      </c>
      <c r="AA148" s="138">
        <v>0</v>
      </c>
      <c r="AB148" s="138">
        <f t="shared" si="97"/>
        <v>45900</v>
      </c>
      <c r="AC148" s="138">
        <v>0</v>
      </c>
      <c r="AD148" s="138">
        <f t="shared" si="98"/>
        <v>45900</v>
      </c>
      <c r="AE148" s="138">
        <v>0</v>
      </c>
      <c r="AF148" s="138">
        <f t="shared" si="99"/>
        <v>45900</v>
      </c>
      <c r="AG148" s="138">
        <v>0</v>
      </c>
      <c r="AH148" s="138">
        <f t="shared" si="100"/>
        <v>45900</v>
      </c>
      <c r="AI148" s="138">
        <v>0</v>
      </c>
      <c r="AJ148" s="138">
        <f t="shared" si="101"/>
        <v>45900</v>
      </c>
    </row>
    <row r="149" spans="1:36" s="27" customFormat="1" ht="19.5" customHeight="1" hidden="1">
      <c r="A149" s="76"/>
      <c r="B149" s="76">
        <v>92118</v>
      </c>
      <c r="C149" s="136"/>
      <c r="D149" s="137" t="s">
        <v>410</v>
      </c>
      <c r="E149" s="138"/>
      <c r="F149" s="138"/>
      <c r="G149" s="138"/>
      <c r="H149" s="138">
        <f>SUM(H150)</f>
        <v>0</v>
      </c>
      <c r="I149" s="138">
        <f>SUM(I150)</f>
        <v>2000</v>
      </c>
      <c r="J149" s="138">
        <f t="shared" si="34"/>
        <v>2000</v>
      </c>
      <c r="K149" s="138">
        <f>SUM(K150)</f>
        <v>0</v>
      </c>
      <c r="L149" s="138">
        <f t="shared" si="35"/>
        <v>2000</v>
      </c>
      <c r="M149" s="138">
        <f>SUM(M150)</f>
        <v>0</v>
      </c>
      <c r="N149" s="138">
        <f t="shared" si="36"/>
        <v>2000</v>
      </c>
      <c r="O149" s="138">
        <f>SUM(O150)</f>
        <v>0</v>
      </c>
      <c r="P149" s="138">
        <f t="shared" si="91"/>
        <v>2000</v>
      </c>
      <c r="Q149" s="138">
        <f>SUM(Q150)</f>
        <v>0</v>
      </c>
      <c r="R149" s="138">
        <f t="shared" si="92"/>
        <v>2000</v>
      </c>
      <c r="S149" s="138">
        <f>SUM(S150)</f>
        <v>-2000</v>
      </c>
      <c r="T149" s="138">
        <f t="shared" si="93"/>
        <v>0</v>
      </c>
      <c r="U149" s="138">
        <f>SUM(U150)</f>
        <v>0</v>
      </c>
      <c r="V149" s="138">
        <f t="shared" si="94"/>
        <v>0</v>
      </c>
      <c r="W149" s="138">
        <f>SUM(W150)</f>
        <v>0</v>
      </c>
      <c r="X149" s="138">
        <f t="shared" si="95"/>
        <v>0</v>
      </c>
      <c r="Y149" s="138">
        <f>SUM(Y150)</f>
        <v>0</v>
      </c>
      <c r="Z149" s="138">
        <f t="shared" si="96"/>
        <v>0</v>
      </c>
      <c r="AA149" s="138">
        <f>SUM(AA150)</f>
        <v>0</v>
      </c>
      <c r="AB149" s="138">
        <f t="shared" si="97"/>
        <v>0</v>
      </c>
      <c r="AC149" s="138">
        <f>SUM(AC150)</f>
        <v>0</v>
      </c>
      <c r="AD149" s="138">
        <f t="shared" si="98"/>
        <v>0</v>
      </c>
      <c r="AE149" s="138">
        <f>SUM(AE150)</f>
        <v>0</v>
      </c>
      <c r="AF149" s="138">
        <f t="shared" si="99"/>
        <v>0</v>
      </c>
      <c r="AG149" s="138">
        <f>SUM(AG150)</f>
        <v>0</v>
      </c>
      <c r="AH149" s="138">
        <f t="shared" si="100"/>
        <v>0</v>
      </c>
      <c r="AI149" s="138">
        <f>SUM(AI150)</f>
        <v>0</v>
      </c>
      <c r="AJ149" s="138">
        <f t="shared" si="101"/>
        <v>0</v>
      </c>
    </row>
    <row r="150" spans="1:36" s="27" customFormat="1" ht="56.25" hidden="1">
      <c r="A150" s="76"/>
      <c r="B150" s="76"/>
      <c r="C150" s="136">
        <v>2320</v>
      </c>
      <c r="D150" s="137" t="s">
        <v>114</v>
      </c>
      <c r="E150" s="138"/>
      <c r="F150" s="138"/>
      <c r="G150" s="138"/>
      <c r="H150" s="138">
        <v>0</v>
      </c>
      <c r="I150" s="138">
        <f>500+1000+500</f>
        <v>2000</v>
      </c>
      <c r="J150" s="138">
        <f t="shared" si="34"/>
        <v>2000</v>
      </c>
      <c r="K150" s="138"/>
      <c r="L150" s="138">
        <f t="shared" si="35"/>
        <v>2000</v>
      </c>
      <c r="M150" s="138"/>
      <c r="N150" s="138">
        <f t="shared" si="36"/>
        <v>2000</v>
      </c>
      <c r="O150" s="138">
        <v>0</v>
      </c>
      <c r="P150" s="138">
        <f t="shared" si="91"/>
        <v>2000</v>
      </c>
      <c r="Q150" s="138">
        <v>0</v>
      </c>
      <c r="R150" s="138">
        <f t="shared" si="92"/>
        <v>2000</v>
      </c>
      <c r="S150" s="138">
        <f>-500-1000-500</f>
        <v>-2000</v>
      </c>
      <c r="T150" s="138">
        <f t="shared" si="93"/>
        <v>0</v>
      </c>
      <c r="U150" s="138">
        <v>0</v>
      </c>
      <c r="V150" s="138">
        <f t="shared" si="94"/>
        <v>0</v>
      </c>
      <c r="W150" s="138">
        <v>0</v>
      </c>
      <c r="X150" s="138">
        <f t="shared" si="95"/>
        <v>0</v>
      </c>
      <c r="Y150" s="138">
        <v>0</v>
      </c>
      <c r="Z150" s="138">
        <f t="shared" si="96"/>
        <v>0</v>
      </c>
      <c r="AA150" s="138">
        <v>0</v>
      </c>
      <c r="AB150" s="138">
        <f t="shared" si="97"/>
        <v>0</v>
      </c>
      <c r="AC150" s="138">
        <v>0</v>
      </c>
      <c r="AD150" s="138">
        <f t="shared" si="98"/>
        <v>0</v>
      </c>
      <c r="AE150" s="138">
        <v>0</v>
      </c>
      <c r="AF150" s="138">
        <f t="shared" si="99"/>
        <v>0</v>
      </c>
      <c r="AG150" s="138">
        <v>0</v>
      </c>
      <c r="AH150" s="138">
        <f t="shared" si="100"/>
        <v>0</v>
      </c>
      <c r="AI150" s="138">
        <v>0</v>
      </c>
      <c r="AJ150" s="138">
        <f t="shared" si="101"/>
        <v>0</v>
      </c>
    </row>
    <row r="151" spans="1:36" s="43" customFormat="1" ht="24.75" customHeight="1">
      <c r="A151" s="36">
        <v>926</v>
      </c>
      <c r="B151" s="36"/>
      <c r="C151" s="242"/>
      <c r="D151" s="236" t="s">
        <v>327</v>
      </c>
      <c r="E151" s="237"/>
      <c r="F151" s="237"/>
      <c r="G151" s="237"/>
      <c r="H151" s="237">
        <f>SUM(H152)</f>
        <v>0</v>
      </c>
      <c r="I151" s="237">
        <f>SUM(I152)</f>
        <v>600</v>
      </c>
      <c r="J151" s="237">
        <f t="shared" si="34"/>
        <v>600</v>
      </c>
      <c r="K151" s="237">
        <f>SUM(K152)</f>
        <v>0</v>
      </c>
      <c r="L151" s="237">
        <f t="shared" si="35"/>
        <v>600</v>
      </c>
      <c r="M151" s="237">
        <f>SUM(M152)</f>
        <v>0</v>
      </c>
      <c r="N151" s="237">
        <f t="shared" si="36"/>
        <v>600</v>
      </c>
      <c r="O151" s="237">
        <f>SUM(O152)</f>
        <v>0</v>
      </c>
      <c r="P151" s="237">
        <f t="shared" si="91"/>
        <v>600</v>
      </c>
      <c r="Q151" s="237">
        <f>SUM(Q152)</f>
        <v>30000</v>
      </c>
      <c r="R151" s="237">
        <f t="shared" si="92"/>
        <v>30600</v>
      </c>
      <c r="S151" s="237">
        <f>SUM(S152)</f>
        <v>4400</v>
      </c>
      <c r="T151" s="237">
        <f t="shared" si="93"/>
        <v>35000</v>
      </c>
      <c r="U151" s="237">
        <f>SUM(U152)</f>
        <v>0</v>
      </c>
      <c r="V151" s="237">
        <f t="shared" si="94"/>
        <v>35000</v>
      </c>
      <c r="W151" s="237">
        <f>SUM(W152)</f>
        <v>0</v>
      </c>
      <c r="X151" s="237">
        <f t="shared" si="95"/>
        <v>35000</v>
      </c>
      <c r="Y151" s="237">
        <f>SUM(Y152)</f>
        <v>0</v>
      </c>
      <c r="Z151" s="237">
        <f t="shared" si="96"/>
        <v>35000</v>
      </c>
      <c r="AA151" s="237">
        <f>SUM(AA152)</f>
        <v>0</v>
      </c>
      <c r="AB151" s="237">
        <f t="shared" si="97"/>
        <v>35000</v>
      </c>
      <c r="AC151" s="237">
        <f>SUM(AC152)</f>
        <v>0</v>
      </c>
      <c r="AD151" s="237">
        <f t="shared" si="98"/>
        <v>35000</v>
      </c>
      <c r="AE151" s="237">
        <f>SUM(AE152)</f>
        <v>0</v>
      </c>
      <c r="AF151" s="237">
        <f t="shared" si="99"/>
        <v>35000</v>
      </c>
      <c r="AG151" s="237">
        <f>SUM(AG152)</f>
        <v>0</v>
      </c>
      <c r="AH151" s="237">
        <f t="shared" si="100"/>
        <v>35000</v>
      </c>
      <c r="AI151" s="237">
        <f>SUM(AI152)</f>
        <v>0</v>
      </c>
      <c r="AJ151" s="237">
        <f t="shared" si="101"/>
        <v>35000</v>
      </c>
    </row>
    <row r="152" spans="1:36" s="27" customFormat="1" ht="22.5">
      <c r="A152" s="76"/>
      <c r="B152" s="76">
        <v>92605</v>
      </c>
      <c r="C152" s="243"/>
      <c r="D152" s="137" t="s">
        <v>328</v>
      </c>
      <c r="E152" s="138"/>
      <c r="F152" s="138"/>
      <c r="G152" s="138"/>
      <c r="H152" s="138">
        <f>SUM(H153)</f>
        <v>0</v>
      </c>
      <c r="I152" s="138">
        <f>SUM(I153)</f>
        <v>600</v>
      </c>
      <c r="J152" s="138">
        <f t="shared" si="34"/>
        <v>600</v>
      </c>
      <c r="K152" s="138">
        <f>SUM(K153)</f>
        <v>0</v>
      </c>
      <c r="L152" s="138">
        <f t="shared" si="35"/>
        <v>600</v>
      </c>
      <c r="M152" s="138">
        <f>SUM(M153)</f>
        <v>0</v>
      </c>
      <c r="N152" s="138">
        <f t="shared" si="36"/>
        <v>600</v>
      </c>
      <c r="O152" s="138">
        <f>SUM(O153)</f>
        <v>0</v>
      </c>
      <c r="P152" s="138">
        <f aca="true" t="shared" si="102" ref="P152:V152">SUM(P153:P154)</f>
        <v>600</v>
      </c>
      <c r="Q152" s="138">
        <f t="shared" si="102"/>
        <v>30000</v>
      </c>
      <c r="R152" s="138">
        <f t="shared" si="102"/>
        <v>30600</v>
      </c>
      <c r="S152" s="138">
        <f t="shared" si="102"/>
        <v>4400</v>
      </c>
      <c r="T152" s="138">
        <f t="shared" si="102"/>
        <v>35000</v>
      </c>
      <c r="U152" s="138">
        <f t="shared" si="102"/>
        <v>0</v>
      </c>
      <c r="V152" s="138">
        <f t="shared" si="102"/>
        <v>35000</v>
      </c>
      <c r="W152" s="138">
        <f aca="true" t="shared" si="103" ref="W152:AB152">SUM(W153:W154)</f>
        <v>0</v>
      </c>
      <c r="X152" s="138">
        <f t="shared" si="103"/>
        <v>35000</v>
      </c>
      <c r="Y152" s="138">
        <f t="shared" si="103"/>
        <v>0</v>
      </c>
      <c r="Z152" s="138">
        <f t="shared" si="103"/>
        <v>35000</v>
      </c>
      <c r="AA152" s="138">
        <f t="shared" si="103"/>
        <v>0</v>
      </c>
      <c r="AB152" s="138">
        <f t="shared" si="103"/>
        <v>35000</v>
      </c>
      <c r="AC152" s="138">
        <f aca="true" t="shared" si="104" ref="AC152:AH152">SUM(AC153:AC154)</f>
        <v>0</v>
      </c>
      <c r="AD152" s="138">
        <f t="shared" si="104"/>
        <v>35000</v>
      </c>
      <c r="AE152" s="138">
        <f t="shared" si="104"/>
        <v>0</v>
      </c>
      <c r="AF152" s="138">
        <f t="shared" si="104"/>
        <v>35000</v>
      </c>
      <c r="AG152" s="138">
        <f t="shared" si="104"/>
        <v>0</v>
      </c>
      <c r="AH152" s="138">
        <f t="shared" si="104"/>
        <v>35000</v>
      </c>
      <c r="AI152" s="138">
        <f>SUM(AI153:AI154)</f>
        <v>0</v>
      </c>
      <c r="AJ152" s="138">
        <f>SUM(AJ153:AJ154)</f>
        <v>35000</v>
      </c>
    </row>
    <row r="153" spans="1:36" s="27" customFormat="1" ht="56.25">
      <c r="A153" s="76"/>
      <c r="B153" s="76"/>
      <c r="C153" s="243">
        <v>2320</v>
      </c>
      <c r="D153" s="137" t="s">
        <v>114</v>
      </c>
      <c r="E153" s="138"/>
      <c r="F153" s="138"/>
      <c r="G153" s="138"/>
      <c r="H153" s="138">
        <v>0</v>
      </c>
      <c r="I153" s="138">
        <f>600</f>
        <v>600</v>
      </c>
      <c r="J153" s="138">
        <f t="shared" si="34"/>
        <v>600</v>
      </c>
      <c r="K153" s="138"/>
      <c r="L153" s="138">
        <f t="shared" si="35"/>
        <v>600</v>
      </c>
      <c r="M153" s="138">
        <v>0</v>
      </c>
      <c r="N153" s="138">
        <f t="shared" si="36"/>
        <v>600</v>
      </c>
      <c r="O153" s="138">
        <v>0</v>
      </c>
      <c r="P153" s="138">
        <f t="shared" si="91"/>
        <v>600</v>
      </c>
      <c r="Q153" s="138">
        <v>0</v>
      </c>
      <c r="R153" s="138">
        <f t="shared" si="92"/>
        <v>600</v>
      </c>
      <c r="S153" s="138">
        <f>1500+200+1000+1500+200</f>
        <v>4400</v>
      </c>
      <c r="T153" s="138">
        <f>SUM(R153:S153)</f>
        <v>5000</v>
      </c>
      <c r="U153" s="138">
        <v>0</v>
      </c>
      <c r="V153" s="138">
        <f>SUM(T153:U153)</f>
        <v>5000</v>
      </c>
      <c r="W153" s="138">
        <v>0</v>
      </c>
      <c r="X153" s="138">
        <f>SUM(V153:W153)</f>
        <v>5000</v>
      </c>
      <c r="Y153" s="138">
        <v>0</v>
      </c>
      <c r="Z153" s="138">
        <f>SUM(X153:Y153)</f>
        <v>5000</v>
      </c>
      <c r="AA153" s="138">
        <v>0</v>
      </c>
      <c r="AB153" s="138">
        <f>SUM(Z153:AA153)</f>
        <v>5000</v>
      </c>
      <c r="AC153" s="138">
        <v>0</v>
      </c>
      <c r="AD153" s="138">
        <f>SUM(AB153:AC153)</f>
        <v>5000</v>
      </c>
      <c r="AE153" s="138">
        <v>0</v>
      </c>
      <c r="AF153" s="138">
        <f>SUM(AD153:AE153)</f>
        <v>5000</v>
      </c>
      <c r="AG153" s="138">
        <v>0</v>
      </c>
      <c r="AH153" s="138">
        <f>SUM(AF153:AG153)</f>
        <v>5000</v>
      </c>
      <c r="AI153" s="138">
        <v>0</v>
      </c>
      <c r="AJ153" s="138">
        <f>SUM(AH153:AI153)</f>
        <v>5000</v>
      </c>
    </row>
    <row r="154" spans="1:36" s="27" customFormat="1" ht="42" customHeight="1">
      <c r="A154" s="76"/>
      <c r="B154" s="76"/>
      <c r="C154" s="243">
        <v>2440</v>
      </c>
      <c r="D154" s="137" t="s">
        <v>467</v>
      </c>
      <c r="E154" s="138"/>
      <c r="F154" s="138"/>
      <c r="G154" s="138"/>
      <c r="H154" s="138"/>
      <c r="I154" s="138"/>
      <c r="J154" s="138"/>
      <c r="K154" s="138"/>
      <c r="L154" s="138"/>
      <c r="M154" s="138"/>
      <c r="N154" s="138"/>
      <c r="O154" s="138"/>
      <c r="P154" s="138">
        <v>0</v>
      </c>
      <c r="Q154" s="138">
        <v>30000</v>
      </c>
      <c r="R154" s="138">
        <f t="shared" si="92"/>
        <v>30000</v>
      </c>
      <c r="S154" s="138">
        <v>0</v>
      </c>
      <c r="T154" s="138">
        <f>SUM(R154:S154)</f>
        <v>30000</v>
      </c>
      <c r="U154" s="138">
        <v>0</v>
      </c>
      <c r="V154" s="138">
        <f>SUM(T154:U154)</f>
        <v>30000</v>
      </c>
      <c r="W154" s="138">
        <v>0</v>
      </c>
      <c r="X154" s="138">
        <f>SUM(V154:W154)</f>
        <v>30000</v>
      </c>
      <c r="Y154" s="138">
        <v>0</v>
      </c>
      <c r="Z154" s="138">
        <f>SUM(X154:Y154)</f>
        <v>30000</v>
      </c>
      <c r="AA154" s="138">
        <v>0</v>
      </c>
      <c r="AB154" s="138">
        <f>SUM(Z154:AA154)</f>
        <v>30000</v>
      </c>
      <c r="AC154" s="138">
        <v>0</v>
      </c>
      <c r="AD154" s="138">
        <f>SUM(AB154:AC154)</f>
        <v>30000</v>
      </c>
      <c r="AE154" s="138">
        <v>0</v>
      </c>
      <c r="AF154" s="138">
        <f>SUM(AD154:AE154)</f>
        <v>30000</v>
      </c>
      <c r="AG154" s="138">
        <v>0</v>
      </c>
      <c r="AH154" s="138">
        <f>SUM(AF154:AG154)</f>
        <v>30000</v>
      </c>
      <c r="AI154" s="138">
        <v>0</v>
      </c>
      <c r="AJ154" s="138">
        <f>SUM(AH154:AI154)</f>
        <v>30000</v>
      </c>
    </row>
    <row r="155" spans="1:36" ht="26.25" customHeight="1">
      <c r="A155" s="15"/>
      <c r="B155" s="16"/>
      <c r="C155" s="244"/>
      <c r="D155" s="245" t="s">
        <v>329</v>
      </c>
      <c r="E155" s="237">
        <f>SUM(E14,E17,E20,E30,E36,E41,E48,E82,E111,E134,E142,E91)</f>
        <v>46368256</v>
      </c>
      <c r="F155" s="237">
        <f>SUM(F14,F17,F20,F30,F36,F41,F48,F82,F111,F134,F142,F91)</f>
        <v>229617</v>
      </c>
      <c r="G155" s="237">
        <f>SUM(G14,G17,G20,G30,G36,G41,G48,G82,G111,G134,G142,G91)</f>
        <v>228717</v>
      </c>
      <c r="H155" s="237">
        <f>SUM(H151,H142,H134,H111,H91,H82,H48,H36,H41,H30,H20,H17,H14)</f>
        <v>46369156</v>
      </c>
      <c r="I155" s="237">
        <f>SUM(I151,I142,I134,I111,I91,I82,I48,I36,I41,I30,I20,I17,I14)</f>
        <v>-448169</v>
      </c>
      <c r="J155" s="237">
        <f t="shared" si="34"/>
        <v>45920987</v>
      </c>
      <c r="K155" s="237">
        <f>SUM(K151,K142,K134,K111,K91,K82,K48,K36,K41,K30,K20,K17,K14)</f>
        <v>0</v>
      </c>
      <c r="L155" s="237">
        <f aca="true" t="shared" si="105" ref="L155:AH155">SUM(L151,L142,L134,L131,L111,L91,L82,L48,L41,L36,L30,L20,L17,L14,L8,)</f>
        <v>45920987</v>
      </c>
      <c r="M155" s="237">
        <f t="shared" si="105"/>
        <v>244241</v>
      </c>
      <c r="N155" s="237">
        <f t="shared" si="105"/>
        <v>46165228</v>
      </c>
      <c r="O155" s="237">
        <f t="shared" si="105"/>
        <v>366151</v>
      </c>
      <c r="P155" s="237">
        <f t="shared" si="105"/>
        <v>46531379</v>
      </c>
      <c r="Q155" s="237">
        <f t="shared" si="105"/>
        <v>30000</v>
      </c>
      <c r="R155" s="237">
        <f t="shared" si="105"/>
        <v>46561379</v>
      </c>
      <c r="S155" s="237">
        <f t="shared" si="105"/>
        <v>4172675</v>
      </c>
      <c r="T155" s="237">
        <f t="shared" si="105"/>
        <v>50734054</v>
      </c>
      <c r="U155" s="237">
        <f t="shared" si="105"/>
        <v>40107</v>
      </c>
      <c r="V155" s="237">
        <f t="shared" si="105"/>
        <v>50774161</v>
      </c>
      <c r="W155" s="237">
        <f t="shared" si="105"/>
        <v>13917</v>
      </c>
      <c r="X155" s="237">
        <f t="shared" si="105"/>
        <v>50788078</v>
      </c>
      <c r="Y155" s="237">
        <f t="shared" si="105"/>
        <v>165348</v>
      </c>
      <c r="Z155" s="237">
        <f t="shared" si="105"/>
        <v>50953426</v>
      </c>
      <c r="AA155" s="237">
        <f t="shared" si="105"/>
        <v>-149787</v>
      </c>
      <c r="AB155" s="237">
        <f t="shared" si="105"/>
        <v>50803639</v>
      </c>
      <c r="AC155" s="237">
        <f t="shared" si="105"/>
        <v>418787</v>
      </c>
      <c r="AD155" s="237">
        <f t="shared" si="105"/>
        <v>51222426</v>
      </c>
      <c r="AE155" s="237">
        <f t="shared" si="105"/>
        <v>168640</v>
      </c>
      <c r="AF155" s="237">
        <f t="shared" si="105"/>
        <v>51391066</v>
      </c>
      <c r="AG155" s="237">
        <f t="shared" si="105"/>
        <v>261219</v>
      </c>
      <c r="AH155" s="237">
        <f t="shared" si="105"/>
        <v>51652285</v>
      </c>
      <c r="AI155" s="237">
        <f>SUM(AI151,AI142,AI134,AI131,AI111,AI91,AI82,AI48,AI41,AI36,AI30,AI20,AI17,AI14,AI8,)</f>
        <v>1557904</v>
      </c>
      <c r="AJ155" s="237">
        <f>SUM(AJ151,AJ142,AJ134,AJ131,AJ111,AJ91,AJ82,AJ48,AJ41,AJ36,AJ30,AJ20,AJ17,AJ14,AJ8,)</f>
        <v>53210189</v>
      </c>
    </row>
    <row r="157" ht="12.75">
      <c r="D157" s="247"/>
    </row>
    <row r="158" spans="4:7" ht="12.75">
      <c r="D158" s="247"/>
      <c r="G158" s="249">
        <f>SUM(F155-G155)</f>
        <v>900</v>
      </c>
    </row>
    <row r="159" ht="12.75">
      <c r="D159" s="247"/>
    </row>
    <row r="160" ht="12.75">
      <c r="D160" s="247"/>
    </row>
    <row r="161" spans="4:33" ht="12.75">
      <c r="D161" s="247"/>
      <c r="S161" s="249"/>
      <c r="U161" s="249"/>
      <c r="W161" s="249"/>
      <c r="AG161" s="249"/>
    </row>
    <row r="162" spans="4:23" ht="12.75">
      <c r="D162" s="247"/>
      <c r="S162" s="249"/>
      <c r="U162" s="249"/>
      <c r="W162" s="249"/>
    </row>
    <row r="163" ht="12.75">
      <c r="D163" s="247"/>
    </row>
    <row r="164" ht="12.75">
      <c r="D164" s="247"/>
    </row>
    <row r="165" ht="12.75">
      <c r="D165" s="247"/>
    </row>
    <row r="166" ht="12.75">
      <c r="D166" s="247"/>
    </row>
    <row r="167" spans="4:31" ht="12.75">
      <c r="D167" s="247"/>
      <c r="AA167" s="249"/>
      <c r="AC167" s="249"/>
      <c r="AE167" s="249"/>
    </row>
    <row r="168" ht="12.75">
      <c r="D168" s="247"/>
    </row>
    <row r="169" ht="12.75">
      <c r="D169" s="247"/>
    </row>
    <row r="170" ht="12.75">
      <c r="D170" s="247"/>
    </row>
    <row r="171" ht="12.75">
      <c r="D171" s="247"/>
    </row>
    <row r="172" ht="12.75">
      <c r="D172" s="247"/>
    </row>
    <row r="173" spans="4:31" ht="12.75">
      <c r="D173" s="247"/>
      <c r="Y173" s="249"/>
      <c r="AA173" s="249"/>
      <c r="AC173" s="249"/>
      <c r="AE173" s="249"/>
    </row>
    <row r="174" ht="12.75">
      <c r="D174" s="247"/>
    </row>
    <row r="175" spans="4:31" ht="12.75">
      <c r="D175" s="247"/>
      <c r="Y175" s="249"/>
      <c r="AA175" s="249"/>
      <c r="AC175" s="249"/>
      <c r="AE175" s="249"/>
    </row>
    <row r="176" ht="12.75">
      <c r="D176" s="247"/>
    </row>
    <row r="177" ht="12.75">
      <c r="D177" s="247"/>
    </row>
    <row r="178" spans="4:35" ht="12.75">
      <c r="D178" s="247"/>
      <c r="AI178" s="249"/>
    </row>
    <row r="179" ht="12.75">
      <c r="D179" s="247"/>
    </row>
    <row r="180" spans="4:35" ht="12.75">
      <c r="D180" s="247"/>
      <c r="S180" s="249"/>
      <c r="U180" s="249"/>
      <c r="W180" s="249"/>
      <c r="Y180" s="249"/>
      <c r="AA180" s="249"/>
      <c r="AC180" s="249"/>
      <c r="AE180" s="249"/>
      <c r="AG180" s="249"/>
      <c r="AI180" s="249"/>
    </row>
    <row r="181" ht="12.75">
      <c r="D181" s="247"/>
    </row>
    <row r="182" spans="4:35" ht="12.75">
      <c r="D182" s="247"/>
      <c r="S182" s="249"/>
      <c r="U182" s="249"/>
      <c r="W182" s="249"/>
      <c r="Y182" s="249"/>
      <c r="AA182" s="249"/>
      <c r="AC182" s="249"/>
      <c r="AE182" s="249"/>
      <c r="AG182" s="249"/>
      <c r="AI182" s="249"/>
    </row>
    <row r="183" ht="12.75">
      <c r="D183" s="247"/>
    </row>
    <row r="184" ht="12.75">
      <c r="D184" s="247"/>
    </row>
    <row r="185" spans="4:35" ht="12.75">
      <c r="D185" s="247"/>
      <c r="I185" s="249"/>
      <c r="K185" s="249"/>
      <c r="M185" s="249"/>
      <c r="O185" s="249"/>
      <c r="Q185" s="249"/>
      <c r="S185" s="249"/>
      <c r="U185" s="249"/>
      <c r="W185" s="249"/>
      <c r="Y185" s="249"/>
      <c r="AA185" s="249"/>
      <c r="AC185" s="249"/>
      <c r="AE185" s="249"/>
      <c r="AG185" s="249"/>
      <c r="AI185" s="249"/>
    </row>
    <row r="186" ht="12.75">
      <c r="D186" s="247"/>
    </row>
    <row r="187" ht="12.75">
      <c r="D187" s="247"/>
    </row>
    <row r="188" ht="12.75">
      <c r="D188" s="250"/>
    </row>
    <row r="201" spans="5:36" ht="12.75">
      <c r="E201" s="249"/>
      <c r="F201" s="249"/>
      <c r="G201" s="249"/>
      <c r="H201" s="249"/>
      <c r="I201" s="249"/>
      <c r="J201" s="249"/>
      <c r="K201" s="249"/>
      <c r="L201" s="249"/>
      <c r="M201" s="249"/>
      <c r="N201" s="249"/>
      <c r="O201" s="249"/>
      <c r="P201" s="249"/>
      <c r="Q201" s="249"/>
      <c r="R201" s="249"/>
      <c r="S201" s="249"/>
      <c r="T201" s="249"/>
      <c r="U201" s="249"/>
      <c r="V201" s="249"/>
      <c r="W201" s="249"/>
      <c r="X201" s="249"/>
      <c r="Y201" s="249"/>
      <c r="Z201" s="249"/>
      <c r="AA201" s="249"/>
      <c r="AB201" s="249"/>
      <c r="AC201" s="249"/>
      <c r="AD201" s="249"/>
      <c r="AE201" s="249"/>
      <c r="AF201" s="249"/>
      <c r="AG201" s="249"/>
      <c r="AH201" s="249"/>
      <c r="AI201" s="249"/>
      <c r="AJ201" s="249"/>
    </row>
    <row r="202" spans="5:36" ht="12.75">
      <c r="E202" s="249"/>
      <c r="F202" s="249"/>
      <c r="G202" s="249"/>
      <c r="H202" s="249"/>
      <c r="I202" s="249"/>
      <c r="J202" s="249"/>
      <c r="K202" s="249"/>
      <c r="L202" s="249"/>
      <c r="M202" s="249"/>
      <c r="N202" s="249"/>
      <c r="O202" s="249"/>
      <c r="P202" s="249"/>
      <c r="Q202" s="249"/>
      <c r="R202" s="249"/>
      <c r="S202" s="249"/>
      <c r="T202" s="249"/>
      <c r="U202" s="249"/>
      <c r="V202" s="249"/>
      <c r="W202" s="249"/>
      <c r="X202" s="249"/>
      <c r="Y202" s="249"/>
      <c r="Z202" s="249"/>
      <c r="AA202" s="249"/>
      <c r="AB202" s="249"/>
      <c r="AC202" s="249"/>
      <c r="AD202" s="249"/>
      <c r="AE202" s="249"/>
      <c r="AF202" s="249"/>
      <c r="AG202" s="249"/>
      <c r="AH202" s="249"/>
      <c r="AI202" s="249"/>
      <c r="AJ202" s="249"/>
    </row>
  </sheetData>
  <printOptions horizontalCentered="1"/>
  <pageMargins left="0.44" right="0.47" top="0.7874015748031497" bottom="0.5905511811023623" header="0.5118110236220472" footer="0.31496062992125984"/>
  <pageSetup firstPageNumber="1" useFirstPageNumber="1" horizontalDpi="600" verticalDpi="600" orientation="portrait" paperSize="9" r:id="rId3"/>
  <headerFooter alignWithMargins="0">
    <oddFooter>&amp;C&amp;8Dochody - str. &amp;P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E35" sqref="E35"/>
    </sheetView>
  </sheetViews>
  <sheetFormatPr defaultColWidth="9.00390625" defaultRowHeight="12.75"/>
  <cols>
    <col min="1" max="1" width="3.875" style="0" customWidth="1"/>
    <col min="2" max="2" width="21.25390625" style="0" customWidth="1"/>
    <col min="3" max="3" width="11.625" style="0" customWidth="1"/>
    <col min="4" max="4" width="24.125" style="0" customWidth="1"/>
    <col min="5" max="5" width="15.00390625" style="0" customWidth="1"/>
    <col min="6" max="6" width="10.125" style="0" customWidth="1"/>
    <col min="7" max="7" width="11.75390625" style="0" customWidth="1"/>
    <col min="8" max="8" width="11.25390625" style="142" bestFit="1" customWidth="1"/>
    <col min="9" max="9" width="13.125" style="142" customWidth="1"/>
    <col min="10" max="10" width="11.875" style="142" bestFit="1" customWidth="1"/>
  </cols>
  <sheetData>
    <row r="1" spans="6:7" ht="12.75">
      <c r="F1" s="262" t="s">
        <v>405</v>
      </c>
      <c r="G1" s="141"/>
    </row>
    <row r="2" spans="6:7" ht="12.75">
      <c r="F2" s="262" t="s">
        <v>65</v>
      </c>
      <c r="G2" s="141"/>
    </row>
    <row r="3" spans="6:8" ht="12.75">
      <c r="F3" s="262" t="s">
        <v>351</v>
      </c>
      <c r="G3" s="141"/>
      <c r="H3" s="143"/>
    </row>
    <row r="4" spans="6:8" ht="12.75">
      <c r="F4" s="262" t="s">
        <v>111</v>
      </c>
      <c r="G4" s="141"/>
      <c r="H4" s="143"/>
    </row>
    <row r="5" spans="6:8" ht="12.75">
      <c r="F5" s="98" t="s">
        <v>113</v>
      </c>
      <c r="G5" s="141"/>
      <c r="H5" s="143"/>
    </row>
    <row r="6" spans="6:8" ht="12.75">
      <c r="F6" s="98" t="s">
        <v>112</v>
      </c>
      <c r="G6" s="141"/>
      <c r="H6" s="143"/>
    </row>
    <row r="7" ht="12.75">
      <c r="G7" s="141"/>
    </row>
    <row r="8" ht="12.75">
      <c r="G8" s="141"/>
    </row>
    <row r="9" spans="1:7" ht="15">
      <c r="A9" s="144" t="s">
        <v>609</v>
      </c>
      <c r="D9" s="144"/>
      <c r="E9" s="144"/>
      <c r="F9" s="144"/>
      <c r="G9" s="144"/>
    </row>
    <row r="11" spans="1:10" s="146" customFormat="1" ht="21" customHeight="1">
      <c r="A11" s="349" t="s">
        <v>610</v>
      </c>
      <c r="B11" s="298" t="s">
        <v>611</v>
      </c>
      <c r="C11" s="298" t="s">
        <v>716</v>
      </c>
      <c r="D11" s="298" t="s">
        <v>612</v>
      </c>
      <c r="E11" s="298" t="s">
        <v>613</v>
      </c>
      <c r="F11" s="298" t="s">
        <v>614</v>
      </c>
      <c r="G11" s="298" t="s">
        <v>615</v>
      </c>
      <c r="H11" s="293" t="s">
        <v>616</v>
      </c>
      <c r="I11" s="293"/>
      <c r="J11" s="293"/>
    </row>
    <row r="12" spans="1:10" s="146" customFormat="1" ht="50.25" customHeight="1">
      <c r="A12" s="349"/>
      <c r="B12" s="299"/>
      <c r="C12" s="299"/>
      <c r="D12" s="299"/>
      <c r="E12" s="299"/>
      <c r="F12" s="299"/>
      <c r="G12" s="299"/>
      <c r="H12" s="99" t="s">
        <v>617</v>
      </c>
      <c r="I12" s="99" t="s">
        <v>618</v>
      </c>
      <c r="J12" s="99" t="s">
        <v>619</v>
      </c>
    </row>
    <row r="13" spans="1:10" s="27" customFormat="1" ht="18" customHeight="1">
      <c r="A13" s="147"/>
      <c r="B13" s="148">
        <v>1</v>
      </c>
      <c r="C13" s="148"/>
      <c r="D13" s="148">
        <v>2</v>
      </c>
      <c r="E13" s="145">
        <v>3</v>
      </c>
      <c r="F13" s="147">
        <v>4</v>
      </c>
      <c r="G13" s="149">
        <v>5</v>
      </c>
      <c r="H13" s="147">
        <v>6</v>
      </c>
      <c r="I13" s="147">
        <v>7</v>
      </c>
      <c r="J13" s="147">
        <v>8</v>
      </c>
    </row>
    <row r="14" spans="1:10" s="8" customFormat="1" ht="27.75" customHeight="1">
      <c r="A14" s="350" t="s">
        <v>620</v>
      </c>
      <c r="B14" s="353" t="s">
        <v>621</v>
      </c>
      <c r="C14" s="140" t="s">
        <v>412</v>
      </c>
      <c r="D14" s="356" t="s">
        <v>622</v>
      </c>
      <c r="E14" s="345" t="s">
        <v>623</v>
      </c>
      <c r="F14" s="348" t="s">
        <v>624</v>
      </c>
      <c r="G14" s="150">
        <v>4500000</v>
      </c>
      <c r="H14" s="9">
        <f>1895630-840000</f>
        <v>1055630</v>
      </c>
      <c r="I14" s="9">
        <v>700000</v>
      </c>
      <c r="J14" s="9">
        <v>700000</v>
      </c>
    </row>
    <row r="15" spans="1:10" s="8" customFormat="1" ht="18" customHeight="1" hidden="1">
      <c r="A15" s="351"/>
      <c r="B15" s="354"/>
      <c r="C15" s="140"/>
      <c r="D15" s="357"/>
      <c r="E15" s="346"/>
      <c r="F15" s="337"/>
      <c r="G15" s="150"/>
      <c r="H15" s="9"/>
      <c r="I15" s="9"/>
      <c r="J15" s="9"/>
    </row>
    <row r="16" spans="1:10" s="8" customFormat="1" ht="8.25" customHeight="1" hidden="1">
      <c r="A16" s="352"/>
      <c r="B16" s="355"/>
      <c r="C16" s="140"/>
      <c r="D16" s="358"/>
      <c r="E16" s="347"/>
      <c r="F16" s="338"/>
      <c r="G16" s="150"/>
      <c r="H16" s="9"/>
      <c r="I16" s="9"/>
      <c r="J16" s="9"/>
    </row>
    <row r="17" spans="1:10" s="143" customFormat="1" ht="24" hidden="1">
      <c r="A17" s="276" t="s">
        <v>625</v>
      </c>
      <c r="B17" s="279" t="s">
        <v>626</v>
      </c>
      <c r="C17" s="160" t="s">
        <v>720</v>
      </c>
      <c r="D17" s="281" t="s">
        <v>629</v>
      </c>
      <c r="E17" s="274" t="s">
        <v>623</v>
      </c>
      <c r="F17" s="201" t="s">
        <v>196</v>
      </c>
      <c r="G17" s="151">
        <v>8000000</v>
      </c>
      <c r="H17" s="9">
        <v>100000</v>
      </c>
      <c r="I17" s="9">
        <v>2200000</v>
      </c>
      <c r="J17" s="9">
        <v>5700000</v>
      </c>
    </row>
    <row r="18" spans="1:10" s="143" customFormat="1" ht="12" hidden="1">
      <c r="A18" s="277"/>
      <c r="B18" s="280"/>
      <c r="C18" s="160" t="s">
        <v>716</v>
      </c>
      <c r="D18" s="282"/>
      <c r="E18" s="275"/>
      <c r="F18" s="212"/>
      <c r="G18" s="151">
        <v>-8000000</v>
      </c>
      <c r="H18" s="9">
        <v>-100000</v>
      </c>
      <c r="I18" s="9">
        <v>-2200000</v>
      </c>
      <c r="J18" s="9">
        <v>-5700000</v>
      </c>
    </row>
    <row r="19" spans="1:10" s="143" customFormat="1" ht="25.5" customHeight="1" hidden="1">
      <c r="A19" s="278" t="s">
        <v>625</v>
      </c>
      <c r="B19" s="279" t="s">
        <v>626</v>
      </c>
      <c r="C19" s="160" t="s">
        <v>720</v>
      </c>
      <c r="D19" s="281" t="s">
        <v>629</v>
      </c>
      <c r="E19" s="274" t="s">
        <v>623</v>
      </c>
      <c r="F19" s="269" t="s">
        <v>110</v>
      </c>
      <c r="G19" s="151">
        <f>SUM(G17:G18)</f>
        <v>0</v>
      </c>
      <c r="H19" s="151">
        <f>SUM(H17:H18)</f>
        <v>0</v>
      </c>
      <c r="I19" s="151">
        <f>SUM(I17:I18)</f>
        <v>0</v>
      </c>
      <c r="J19" s="21">
        <f>SUM(J17:J18)</f>
        <v>0</v>
      </c>
    </row>
    <row r="20" spans="1:10" s="143" customFormat="1" ht="34.5" customHeight="1">
      <c r="A20" s="343" t="s">
        <v>625</v>
      </c>
      <c r="B20" s="344" t="s">
        <v>630</v>
      </c>
      <c r="C20" s="140" t="s">
        <v>412</v>
      </c>
      <c r="D20" s="342" t="s">
        <v>629</v>
      </c>
      <c r="E20" s="294" t="s">
        <v>623</v>
      </c>
      <c r="F20" s="295" t="s">
        <v>196</v>
      </c>
      <c r="G20" s="21">
        <v>2000000</v>
      </c>
      <c r="H20" s="9">
        <v>100000</v>
      </c>
      <c r="I20" s="9">
        <v>700000</v>
      </c>
      <c r="J20" s="9">
        <v>1200000</v>
      </c>
    </row>
    <row r="21" spans="1:10" s="143" customFormat="1" ht="12">
      <c r="A21" s="343"/>
      <c r="B21" s="344"/>
      <c r="C21" s="140"/>
      <c r="D21" s="342"/>
      <c r="E21" s="294"/>
      <c r="F21" s="295"/>
      <c r="G21" s="21">
        <v>3500000</v>
      </c>
      <c r="H21" s="9">
        <v>0</v>
      </c>
      <c r="I21" s="9">
        <v>270000</v>
      </c>
      <c r="J21" s="9">
        <v>-230000</v>
      </c>
    </row>
    <row r="22" spans="1:10" s="143" customFormat="1" ht="12">
      <c r="A22" s="343"/>
      <c r="B22" s="344"/>
      <c r="C22" s="140"/>
      <c r="D22" s="342"/>
      <c r="E22" s="294"/>
      <c r="F22" s="295"/>
      <c r="G22" s="21">
        <f>SUM(G20:G21)</f>
        <v>5500000</v>
      </c>
      <c r="H22" s="9">
        <f>SUM(H20:H21)</f>
        <v>100000</v>
      </c>
      <c r="I22" s="9">
        <f>SUM(I20:I21)</f>
        <v>970000</v>
      </c>
      <c r="J22" s="9">
        <f>SUM(J20:J21)</f>
        <v>970000</v>
      </c>
    </row>
    <row r="23" spans="1:10" s="143" customFormat="1" ht="42" customHeight="1">
      <c r="A23" s="147" t="s">
        <v>631</v>
      </c>
      <c r="B23" s="160" t="s">
        <v>632</v>
      </c>
      <c r="C23" s="283" t="s">
        <v>412</v>
      </c>
      <c r="D23" s="85" t="s">
        <v>633</v>
      </c>
      <c r="E23" s="260" t="s">
        <v>623</v>
      </c>
      <c r="F23" s="120" t="s">
        <v>634</v>
      </c>
      <c r="G23" s="21">
        <v>132507</v>
      </c>
      <c r="H23" s="9">
        <v>36957</v>
      </c>
      <c r="I23" s="9">
        <v>0</v>
      </c>
      <c r="J23" s="9">
        <v>0</v>
      </c>
    </row>
    <row r="24" spans="1:10" ht="12.75" hidden="1">
      <c r="A24" s="147"/>
      <c r="B24" s="160"/>
      <c r="C24" s="4"/>
      <c r="D24" s="85"/>
      <c r="E24" s="260"/>
      <c r="F24" s="120"/>
      <c r="G24" s="256">
        <f>SUM(H24:J24)</f>
        <v>-31213</v>
      </c>
      <c r="H24" s="256">
        <v>-31213</v>
      </c>
      <c r="I24" s="9">
        <v>0</v>
      </c>
      <c r="J24" s="9">
        <v>0</v>
      </c>
    </row>
    <row r="25" spans="1:10" ht="12.75" hidden="1">
      <c r="A25" s="147"/>
      <c r="B25" s="160"/>
      <c r="C25" s="4"/>
      <c r="D25" s="85"/>
      <c r="E25" s="260"/>
      <c r="F25" s="120"/>
      <c r="G25" s="257">
        <f>SUM(G23:G24)</f>
        <v>101294</v>
      </c>
      <c r="H25" s="257">
        <f>SUM(H23:H24)</f>
        <v>5744</v>
      </c>
      <c r="I25" s="213">
        <f>SUM(I23:I24)</f>
        <v>0</v>
      </c>
      <c r="J25" s="213">
        <f>SUM(J23:J24)</f>
        <v>0</v>
      </c>
    </row>
  </sheetData>
  <mergeCells count="18">
    <mergeCell ref="D20:D22"/>
    <mergeCell ref="E20:E22"/>
    <mergeCell ref="F20:F22"/>
    <mergeCell ref="A20:A22"/>
    <mergeCell ref="B20:B22"/>
    <mergeCell ref="E14:E16"/>
    <mergeCell ref="F14:F16"/>
    <mergeCell ref="H11:J11"/>
    <mergeCell ref="B11:B12"/>
    <mergeCell ref="D11:D12"/>
    <mergeCell ref="E11:E12"/>
    <mergeCell ref="F11:F12"/>
    <mergeCell ref="G11:G12"/>
    <mergeCell ref="C11:C12"/>
    <mergeCell ref="A11:A12"/>
    <mergeCell ref="A14:A16"/>
    <mergeCell ref="B14:B16"/>
    <mergeCell ref="D14:D1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721"/>
  <sheetViews>
    <sheetView tabSelected="1" workbookViewId="0" topLeftCell="A448">
      <selection activeCell="D473" sqref="D473"/>
    </sheetView>
  </sheetViews>
  <sheetFormatPr defaultColWidth="9.00390625" defaultRowHeight="12.75"/>
  <cols>
    <col min="1" max="1" width="5.25390625" style="8" customWidth="1"/>
    <col min="2" max="2" width="7.25390625" style="8" customWidth="1"/>
    <col min="3" max="3" width="5.00390625" style="8" bestFit="1" customWidth="1"/>
    <col min="4" max="4" width="34.25390625" style="8" customWidth="1"/>
    <col min="5" max="5" width="12.25390625" style="31" hidden="1" customWidth="1"/>
    <col min="6" max="6" width="11.25390625" style="31" hidden="1" customWidth="1"/>
    <col min="7" max="7" width="11.625" style="31" hidden="1" customWidth="1"/>
    <col min="8" max="8" width="13.25390625" style="31" hidden="1" customWidth="1"/>
    <col min="9" max="9" width="10.375" style="31" hidden="1" customWidth="1"/>
    <col min="10" max="10" width="34.875" style="31" hidden="1" customWidth="1"/>
    <col min="11" max="11" width="9.875" style="31" hidden="1" customWidth="1"/>
    <col min="12" max="12" width="32.375" style="31" hidden="1" customWidth="1"/>
    <col min="13" max="13" width="9.875" style="31" hidden="1" customWidth="1"/>
    <col min="14" max="14" width="36.25390625" style="31" hidden="1" customWidth="1"/>
    <col min="15" max="15" width="8.875" style="31" hidden="1" customWidth="1"/>
    <col min="16" max="16" width="12.25390625" style="31" hidden="1" customWidth="1"/>
    <col min="17" max="17" width="12.625" style="31" hidden="1" customWidth="1"/>
    <col min="18" max="18" width="12.25390625" style="31" hidden="1" customWidth="1"/>
    <col min="19" max="21" width="12.625" style="31" hidden="1" customWidth="1"/>
    <col min="22" max="22" width="0.12890625" style="31" hidden="1" customWidth="1"/>
    <col min="23" max="23" width="10.375" style="31" hidden="1" customWidth="1"/>
    <col min="24" max="24" width="32.375" style="31" hidden="1" customWidth="1"/>
    <col min="25" max="25" width="10.375" style="31" hidden="1" customWidth="1"/>
    <col min="26" max="31" width="12.625" style="31" hidden="1" customWidth="1"/>
    <col min="32" max="32" width="12.625" style="31" customWidth="1"/>
    <col min="33" max="33" width="12.625" style="67" customWidth="1"/>
    <col min="34" max="34" width="12.25390625" style="31" bestFit="1" customWidth="1"/>
    <col min="35" max="35" width="9.625" style="0" bestFit="1" customWidth="1"/>
    <col min="36" max="36" width="10.00390625" style="0" bestFit="1" customWidth="1"/>
    <col min="37" max="37" width="9.00390625" style="0" customWidth="1"/>
    <col min="38" max="38" width="10.00390625" style="0" bestFit="1" customWidth="1"/>
  </cols>
  <sheetData>
    <row r="1" spans="1:34" ht="12.75">
      <c r="A1" s="104"/>
      <c r="B1" s="104"/>
      <c r="C1" s="104"/>
      <c r="D1" s="104"/>
      <c r="E1" s="66"/>
      <c r="F1" s="66"/>
      <c r="G1" s="66"/>
      <c r="H1" s="98" t="s">
        <v>30</v>
      </c>
      <c r="I1" s="66"/>
      <c r="J1" s="98" t="s">
        <v>100</v>
      </c>
      <c r="K1" s="98"/>
      <c r="L1" s="98" t="s">
        <v>121</v>
      </c>
      <c r="M1" s="98"/>
      <c r="N1" s="98" t="s">
        <v>142</v>
      </c>
      <c r="O1" s="98"/>
      <c r="P1" s="98" t="s">
        <v>206</v>
      </c>
      <c r="Q1" s="98"/>
      <c r="R1" s="98" t="s">
        <v>227</v>
      </c>
      <c r="S1" s="98"/>
      <c r="T1" s="98" t="s">
        <v>186</v>
      </c>
      <c r="U1" s="98"/>
      <c r="V1" s="98" t="s">
        <v>536</v>
      </c>
      <c r="W1" s="98"/>
      <c r="X1" s="98" t="s">
        <v>726</v>
      </c>
      <c r="Y1" s="98"/>
      <c r="Z1" s="98" t="s">
        <v>495</v>
      </c>
      <c r="AA1" s="98"/>
      <c r="AB1" s="98" t="s">
        <v>484</v>
      </c>
      <c r="AC1" s="98"/>
      <c r="AD1" s="98" t="s">
        <v>565</v>
      </c>
      <c r="AE1" s="98"/>
      <c r="AF1" s="98" t="s">
        <v>520</v>
      </c>
      <c r="AG1" s="98"/>
      <c r="AH1" s="66"/>
    </row>
    <row r="2" spans="1:34" ht="12.75">
      <c r="A2" s="104"/>
      <c r="B2" s="104"/>
      <c r="C2" s="104"/>
      <c r="D2" s="104"/>
      <c r="E2" s="66"/>
      <c r="F2" s="66"/>
      <c r="G2" s="66"/>
      <c r="H2" s="98" t="s">
        <v>698</v>
      </c>
      <c r="I2" s="66"/>
      <c r="J2" s="98" t="s">
        <v>88</v>
      </c>
      <c r="K2" s="98"/>
      <c r="L2" s="98" t="s">
        <v>120</v>
      </c>
      <c r="M2" s="98"/>
      <c r="N2" s="98" t="s">
        <v>141</v>
      </c>
      <c r="O2" s="98"/>
      <c r="P2" s="98" t="s">
        <v>207</v>
      </c>
      <c r="Q2" s="98"/>
      <c r="R2" s="98" t="s">
        <v>226</v>
      </c>
      <c r="S2" s="98"/>
      <c r="T2" s="98" t="s">
        <v>204</v>
      </c>
      <c r="U2" s="98"/>
      <c r="V2" s="98" t="s">
        <v>537</v>
      </c>
      <c r="W2" s="98"/>
      <c r="X2" s="98" t="s">
        <v>722</v>
      </c>
      <c r="Y2" s="98"/>
      <c r="Z2" s="98" t="s">
        <v>490</v>
      </c>
      <c r="AA2" s="98"/>
      <c r="AB2" s="98" t="s">
        <v>483</v>
      </c>
      <c r="AC2" s="98"/>
      <c r="AD2" s="98" t="s">
        <v>564</v>
      </c>
      <c r="AE2" s="98"/>
      <c r="AF2" s="98" t="s">
        <v>65</v>
      </c>
      <c r="AG2" s="98"/>
      <c r="AH2" s="66"/>
    </row>
    <row r="3" spans="1:34" ht="12.75">
      <c r="A3" s="104"/>
      <c r="B3" s="104"/>
      <c r="C3" s="104"/>
      <c r="D3" s="104"/>
      <c r="E3" s="66"/>
      <c r="F3" s="66"/>
      <c r="G3" s="66"/>
      <c r="H3" s="98" t="s">
        <v>702</v>
      </c>
      <c r="I3" s="66"/>
      <c r="J3" s="98" t="s">
        <v>30</v>
      </c>
      <c r="K3" s="98"/>
      <c r="L3" s="98" t="s">
        <v>100</v>
      </c>
      <c r="M3" s="98"/>
      <c r="N3" s="98" t="s">
        <v>121</v>
      </c>
      <c r="O3" s="98"/>
      <c r="P3" s="98" t="s">
        <v>142</v>
      </c>
      <c r="Q3" s="98"/>
      <c r="R3" s="98" t="s">
        <v>206</v>
      </c>
      <c r="S3" s="98"/>
      <c r="T3" s="98" t="s">
        <v>227</v>
      </c>
      <c r="U3" s="98"/>
      <c r="V3" s="98" t="s">
        <v>186</v>
      </c>
      <c r="W3" s="98"/>
      <c r="X3" s="98" t="s">
        <v>536</v>
      </c>
      <c r="Y3" s="98"/>
      <c r="Z3" s="98" t="s">
        <v>726</v>
      </c>
      <c r="AA3" s="98"/>
      <c r="AB3" s="98" t="s">
        <v>495</v>
      </c>
      <c r="AC3" s="98"/>
      <c r="AD3" s="98" t="s">
        <v>484</v>
      </c>
      <c r="AE3" s="98"/>
      <c r="AF3" s="98" t="s">
        <v>565</v>
      </c>
      <c r="AG3" s="98"/>
      <c r="AH3" s="66"/>
    </row>
    <row r="4" spans="1:34" ht="12.75">
      <c r="A4" s="104"/>
      <c r="B4" s="104"/>
      <c r="C4" s="104"/>
      <c r="D4" s="104"/>
      <c r="E4" s="66"/>
      <c r="F4" s="66"/>
      <c r="G4" s="66"/>
      <c r="H4" s="98" t="s">
        <v>700</v>
      </c>
      <c r="I4" s="66"/>
      <c r="J4" s="98" t="s">
        <v>39</v>
      </c>
      <c r="K4" s="98"/>
      <c r="L4" s="98" t="s">
        <v>117</v>
      </c>
      <c r="M4" s="98"/>
      <c r="N4" s="98" t="s">
        <v>130</v>
      </c>
      <c r="O4" s="98"/>
      <c r="P4" s="98" t="s">
        <v>148</v>
      </c>
      <c r="Q4" s="98"/>
      <c r="R4" s="98" t="s">
        <v>228</v>
      </c>
      <c r="S4" s="98"/>
      <c r="T4" s="98" t="s">
        <v>219</v>
      </c>
      <c r="U4" s="98"/>
      <c r="V4" s="98" t="s">
        <v>161</v>
      </c>
      <c r="W4" s="98"/>
      <c r="X4" s="98" t="s">
        <v>723</v>
      </c>
      <c r="Y4" s="98"/>
      <c r="Z4" s="98" t="s">
        <v>552</v>
      </c>
      <c r="AA4" s="98"/>
      <c r="AB4" s="98" t="s">
        <v>628</v>
      </c>
      <c r="AC4" s="98"/>
      <c r="AD4" s="98" t="s">
        <v>269</v>
      </c>
      <c r="AE4" s="98"/>
      <c r="AF4" s="98" t="s">
        <v>236</v>
      </c>
      <c r="AG4" s="98"/>
      <c r="AH4" s="66"/>
    </row>
    <row r="5" spans="1:34" ht="12.75">
      <c r="A5" s="104"/>
      <c r="B5" s="104"/>
      <c r="C5" s="104"/>
      <c r="D5" s="104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</row>
    <row r="6" spans="1:34" s="196" customFormat="1" ht="21" customHeight="1">
      <c r="A6" s="312" t="s">
        <v>703</v>
      </c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12"/>
      <c r="Y6" s="312"/>
      <c r="Z6" s="312"/>
      <c r="AA6" s="312"/>
      <c r="AB6" s="312"/>
      <c r="AC6" s="312"/>
      <c r="AD6" s="312"/>
      <c r="AE6" s="312"/>
      <c r="AF6" s="312"/>
      <c r="AG6" s="312"/>
      <c r="AH6" s="251"/>
    </row>
    <row r="7" spans="1:34" ht="12.75">
      <c r="A7" s="19"/>
      <c r="B7" s="19"/>
      <c r="C7" s="19"/>
      <c r="D7" s="105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</row>
    <row r="8" spans="1:38" s="8" customFormat="1" ht="24.75" customHeight="1">
      <c r="A8" s="5" t="s">
        <v>244</v>
      </c>
      <c r="B8" s="5" t="s">
        <v>245</v>
      </c>
      <c r="C8" s="5" t="s">
        <v>246</v>
      </c>
      <c r="D8" s="5" t="s">
        <v>19</v>
      </c>
      <c r="E8" s="270" t="s">
        <v>412</v>
      </c>
      <c r="F8" s="270" t="s">
        <v>501</v>
      </c>
      <c r="G8" s="270" t="s">
        <v>502</v>
      </c>
      <c r="H8" s="139" t="s">
        <v>2</v>
      </c>
      <c r="I8" s="270" t="s">
        <v>506</v>
      </c>
      <c r="J8" s="139" t="s">
        <v>717</v>
      </c>
      <c r="K8" s="270" t="s">
        <v>506</v>
      </c>
      <c r="L8" s="139" t="s">
        <v>119</v>
      </c>
      <c r="M8" s="270" t="s">
        <v>506</v>
      </c>
      <c r="N8" s="139" t="s">
        <v>119</v>
      </c>
      <c r="O8" s="270" t="s">
        <v>716</v>
      </c>
      <c r="P8" s="139" t="s">
        <v>119</v>
      </c>
      <c r="Q8" s="270" t="s">
        <v>716</v>
      </c>
      <c r="R8" s="139" t="s">
        <v>119</v>
      </c>
      <c r="S8" s="270" t="s">
        <v>716</v>
      </c>
      <c r="T8" s="139" t="s">
        <v>149</v>
      </c>
      <c r="U8" s="270" t="s">
        <v>716</v>
      </c>
      <c r="V8" s="139" t="s">
        <v>119</v>
      </c>
      <c r="W8" s="270" t="s">
        <v>716</v>
      </c>
      <c r="X8" s="139" t="s">
        <v>725</v>
      </c>
      <c r="Y8" s="270" t="s">
        <v>716</v>
      </c>
      <c r="Z8" s="139" t="s">
        <v>119</v>
      </c>
      <c r="AA8" s="270" t="s">
        <v>716</v>
      </c>
      <c r="AB8" s="139" t="s">
        <v>413</v>
      </c>
      <c r="AC8" s="270" t="s">
        <v>716</v>
      </c>
      <c r="AD8" s="139" t="s">
        <v>413</v>
      </c>
      <c r="AE8" s="270" t="s">
        <v>716</v>
      </c>
      <c r="AF8" s="139" t="s">
        <v>413</v>
      </c>
      <c r="AG8" s="270" t="s">
        <v>716</v>
      </c>
      <c r="AH8" s="139" t="s">
        <v>126</v>
      </c>
      <c r="AJ8" s="291"/>
      <c r="AL8" s="291"/>
    </row>
    <row r="9" spans="1:34" s="11" customFormat="1" ht="24.75" customHeight="1">
      <c r="A9" s="36" t="s">
        <v>248</v>
      </c>
      <c r="B9" s="17"/>
      <c r="C9" s="12"/>
      <c r="D9" s="22" t="s">
        <v>249</v>
      </c>
      <c r="E9" s="271">
        <f>SUM(E10,E12)</f>
        <v>7900</v>
      </c>
      <c r="F9" s="271">
        <f>SUM(F10,F12)</f>
        <v>250000</v>
      </c>
      <c r="G9" s="271">
        <f>SUM(G10,G12)</f>
        <v>0</v>
      </c>
      <c r="H9" s="271">
        <f>SUM(H10,H12)</f>
        <v>257900</v>
      </c>
      <c r="I9" s="271">
        <f>SUM(I10,I12)</f>
        <v>0</v>
      </c>
      <c r="J9" s="271">
        <f>SUM(J10,J12,)</f>
        <v>257900</v>
      </c>
      <c r="K9" s="271">
        <f>SUM(K10,K12,)</f>
        <v>0</v>
      </c>
      <c r="L9" s="271">
        <f aca="true" t="shared" si="0" ref="L9:R9">SUM(L10,L12,L14)</f>
        <v>257900</v>
      </c>
      <c r="M9" s="271">
        <f t="shared" si="0"/>
        <v>98263</v>
      </c>
      <c r="N9" s="271">
        <f t="shared" si="0"/>
        <v>356163</v>
      </c>
      <c r="O9" s="271">
        <f t="shared" si="0"/>
        <v>0</v>
      </c>
      <c r="P9" s="271">
        <f t="shared" si="0"/>
        <v>356163</v>
      </c>
      <c r="Q9" s="271">
        <f t="shared" si="0"/>
        <v>0</v>
      </c>
      <c r="R9" s="271">
        <f t="shared" si="0"/>
        <v>356163</v>
      </c>
      <c r="S9" s="271">
        <f aca="true" t="shared" si="1" ref="S9:X9">SUM(S10,S12,S14)</f>
        <v>0</v>
      </c>
      <c r="T9" s="271">
        <f t="shared" si="1"/>
        <v>356163</v>
      </c>
      <c r="U9" s="271">
        <f t="shared" si="1"/>
        <v>0</v>
      </c>
      <c r="V9" s="271">
        <f t="shared" si="1"/>
        <v>356163</v>
      </c>
      <c r="W9" s="271">
        <f t="shared" si="1"/>
        <v>-150000</v>
      </c>
      <c r="X9" s="271">
        <f t="shared" si="1"/>
        <v>206163</v>
      </c>
      <c r="Y9" s="271">
        <f aca="true" t="shared" si="2" ref="Y9:AD9">SUM(Y10,Y12,Y14)</f>
        <v>0</v>
      </c>
      <c r="Z9" s="271">
        <f t="shared" si="2"/>
        <v>206163</v>
      </c>
      <c r="AA9" s="271">
        <f t="shared" si="2"/>
        <v>0</v>
      </c>
      <c r="AB9" s="271">
        <f t="shared" si="2"/>
        <v>206163</v>
      </c>
      <c r="AC9" s="271">
        <f t="shared" si="2"/>
        <v>95263</v>
      </c>
      <c r="AD9" s="271">
        <f t="shared" si="2"/>
        <v>301426</v>
      </c>
      <c r="AE9" s="271">
        <f>SUM(AE10,AE12,AE14)</f>
        <v>0</v>
      </c>
      <c r="AF9" s="271">
        <f>SUM(AF10,AF12,AF14)</f>
        <v>301426</v>
      </c>
      <c r="AG9" s="271">
        <f>SUM(AG10,AG12,AG14)</f>
        <v>0</v>
      </c>
      <c r="AH9" s="271">
        <f>SUM(AH10,AH12,AH14)</f>
        <v>301426</v>
      </c>
    </row>
    <row r="10" spans="1:34" s="27" customFormat="1" ht="21.75" customHeight="1">
      <c r="A10" s="76"/>
      <c r="B10" s="75" t="s">
        <v>331</v>
      </c>
      <c r="C10" s="85"/>
      <c r="D10" s="14" t="s">
        <v>332</v>
      </c>
      <c r="E10" s="74">
        <f>SUM(E11)</f>
        <v>7900</v>
      </c>
      <c r="F10" s="74">
        <f>SUM(F11)</f>
        <v>0</v>
      </c>
      <c r="G10" s="74">
        <f>SUM(G11)</f>
        <v>0</v>
      </c>
      <c r="H10" s="74">
        <f aca="true" t="shared" si="3" ref="H10:H39">E10+F10-G10</f>
        <v>7900</v>
      </c>
      <c r="I10" s="74">
        <f aca="true" t="shared" si="4" ref="I10:AH10">SUM(I11)</f>
        <v>0</v>
      </c>
      <c r="J10" s="74">
        <f t="shared" si="4"/>
        <v>7900</v>
      </c>
      <c r="K10" s="74">
        <f t="shared" si="4"/>
        <v>0</v>
      </c>
      <c r="L10" s="74">
        <f t="shared" si="4"/>
        <v>7900</v>
      </c>
      <c r="M10" s="74">
        <f t="shared" si="4"/>
        <v>0</v>
      </c>
      <c r="N10" s="74">
        <f t="shared" si="4"/>
        <v>7900</v>
      </c>
      <c r="O10" s="74">
        <f t="shared" si="4"/>
        <v>0</v>
      </c>
      <c r="P10" s="74">
        <f t="shared" si="4"/>
        <v>7900</v>
      </c>
      <c r="Q10" s="74">
        <f t="shared" si="4"/>
        <v>0</v>
      </c>
      <c r="R10" s="74">
        <f t="shared" si="4"/>
        <v>7900</v>
      </c>
      <c r="S10" s="74">
        <f t="shared" si="4"/>
        <v>0</v>
      </c>
      <c r="T10" s="74">
        <f t="shared" si="4"/>
        <v>7900</v>
      </c>
      <c r="U10" s="74">
        <f t="shared" si="4"/>
        <v>0</v>
      </c>
      <c r="V10" s="74">
        <f t="shared" si="4"/>
        <v>7900</v>
      </c>
      <c r="W10" s="74">
        <f t="shared" si="4"/>
        <v>0</v>
      </c>
      <c r="X10" s="74">
        <f t="shared" si="4"/>
        <v>7900</v>
      </c>
      <c r="Y10" s="74">
        <f t="shared" si="4"/>
        <v>0</v>
      </c>
      <c r="Z10" s="74">
        <f t="shared" si="4"/>
        <v>7900</v>
      </c>
      <c r="AA10" s="74">
        <f t="shared" si="4"/>
        <v>0</v>
      </c>
      <c r="AB10" s="74">
        <f t="shared" si="4"/>
        <v>7900</v>
      </c>
      <c r="AC10" s="74">
        <f t="shared" si="4"/>
        <v>0</v>
      </c>
      <c r="AD10" s="74">
        <f t="shared" si="4"/>
        <v>7900</v>
      </c>
      <c r="AE10" s="74">
        <f t="shared" si="4"/>
        <v>0</v>
      </c>
      <c r="AF10" s="74">
        <f t="shared" si="4"/>
        <v>7900</v>
      </c>
      <c r="AG10" s="74">
        <f t="shared" si="4"/>
        <v>0</v>
      </c>
      <c r="AH10" s="74">
        <f t="shared" si="4"/>
        <v>7900</v>
      </c>
    </row>
    <row r="11" spans="1:34" s="27" customFormat="1" ht="36">
      <c r="A11" s="80"/>
      <c r="B11" s="79"/>
      <c r="C11" s="85">
        <v>2850</v>
      </c>
      <c r="D11" s="14" t="s">
        <v>124</v>
      </c>
      <c r="E11" s="74">
        <v>7900</v>
      </c>
      <c r="F11" s="74"/>
      <c r="G11" s="74"/>
      <c r="H11" s="74">
        <f t="shared" si="3"/>
        <v>7900</v>
      </c>
      <c r="I11" s="74"/>
      <c r="J11" s="74">
        <f aca="true" t="shared" si="5" ref="J11:J87">SUM(H11:I11)</f>
        <v>7900</v>
      </c>
      <c r="K11" s="74">
        <v>0</v>
      </c>
      <c r="L11" s="74">
        <f aca="true" t="shared" si="6" ref="L11:L87">SUM(J11:K11)</f>
        <v>7900</v>
      </c>
      <c r="M11" s="74">
        <v>0</v>
      </c>
      <c r="N11" s="74">
        <f>SUM(L11:M11)</f>
        <v>7900</v>
      </c>
      <c r="O11" s="74">
        <v>0</v>
      </c>
      <c r="P11" s="74">
        <f>SUM(N11:O11)</f>
        <v>7900</v>
      </c>
      <c r="Q11" s="74">
        <v>0</v>
      </c>
      <c r="R11" s="74">
        <f>SUM(P11:Q11)</f>
        <v>7900</v>
      </c>
      <c r="S11" s="74">
        <v>0</v>
      </c>
      <c r="T11" s="74">
        <f>SUM(R11:S11)</f>
        <v>7900</v>
      </c>
      <c r="U11" s="74">
        <v>0</v>
      </c>
      <c r="V11" s="74">
        <f>SUM(T11:U11)</f>
        <v>7900</v>
      </c>
      <c r="W11" s="74">
        <v>0</v>
      </c>
      <c r="X11" s="74">
        <f>SUM(V11:W11)</f>
        <v>7900</v>
      </c>
      <c r="Y11" s="74">
        <v>0</v>
      </c>
      <c r="Z11" s="74">
        <f>SUM(X11:Y11)</f>
        <v>7900</v>
      </c>
      <c r="AA11" s="74">
        <v>0</v>
      </c>
      <c r="AB11" s="74">
        <f>SUM(Z11:AA11)</f>
        <v>7900</v>
      </c>
      <c r="AC11" s="74">
        <v>0</v>
      </c>
      <c r="AD11" s="74">
        <f>SUM(AB11:AC11)</f>
        <v>7900</v>
      </c>
      <c r="AE11" s="74">
        <v>0</v>
      </c>
      <c r="AF11" s="74">
        <f>SUM(AD11:AE11)</f>
        <v>7900</v>
      </c>
      <c r="AG11" s="74">
        <v>0</v>
      </c>
      <c r="AH11" s="74">
        <f>SUM(AF11:AG11)</f>
        <v>7900</v>
      </c>
    </row>
    <row r="12" spans="1:34" s="27" customFormat="1" ht="19.5" customHeight="1">
      <c r="A12" s="80"/>
      <c r="B12" s="79" t="s">
        <v>694</v>
      </c>
      <c r="C12" s="85"/>
      <c r="D12" s="14" t="s">
        <v>695</v>
      </c>
      <c r="E12" s="74">
        <f>SUM(E13)</f>
        <v>0</v>
      </c>
      <c r="F12" s="74">
        <f>SUM(F13)</f>
        <v>250000</v>
      </c>
      <c r="G12" s="74">
        <f>SUM(G13)</f>
        <v>0</v>
      </c>
      <c r="H12" s="74">
        <f t="shared" si="3"/>
        <v>250000</v>
      </c>
      <c r="I12" s="74">
        <f aca="true" t="shared" si="7" ref="I12:AH12">SUM(I13)</f>
        <v>0</v>
      </c>
      <c r="J12" s="74">
        <f t="shared" si="7"/>
        <v>250000</v>
      </c>
      <c r="K12" s="74">
        <f t="shared" si="7"/>
        <v>0</v>
      </c>
      <c r="L12" s="74">
        <f t="shared" si="7"/>
        <v>250000</v>
      </c>
      <c r="M12" s="74">
        <f t="shared" si="7"/>
        <v>0</v>
      </c>
      <c r="N12" s="74">
        <f t="shared" si="7"/>
        <v>250000</v>
      </c>
      <c r="O12" s="74">
        <f t="shared" si="7"/>
        <v>0</v>
      </c>
      <c r="P12" s="74">
        <f t="shared" si="7"/>
        <v>250000</v>
      </c>
      <c r="Q12" s="74">
        <f t="shared" si="7"/>
        <v>0</v>
      </c>
      <c r="R12" s="74">
        <f t="shared" si="7"/>
        <v>250000</v>
      </c>
      <c r="S12" s="74">
        <f t="shared" si="7"/>
        <v>0</v>
      </c>
      <c r="T12" s="74">
        <f t="shared" si="7"/>
        <v>250000</v>
      </c>
      <c r="U12" s="74">
        <f t="shared" si="7"/>
        <v>0</v>
      </c>
      <c r="V12" s="74">
        <f t="shared" si="7"/>
        <v>250000</v>
      </c>
      <c r="W12" s="74">
        <f t="shared" si="7"/>
        <v>-150000</v>
      </c>
      <c r="X12" s="74">
        <f t="shared" si="7"/>
        <v>100000</v>
      </c>
      <c r="Y12" s="74">
        <f t="shared" si="7"/>
        <v>0</v>
      </c>
      <c r="Z12" s="74">
        <f t="shared" si="7"/>
        <v>100000</v>
      </c>
      <c r="AA12" s="74">
        <f t="shared" si="7"/>
        <v>0</v>
      </c>
      <c r="AB12" s="74">
        <f t="shared" si="7"/>
        <v>100000</v>
      </c>
      <c r="AC12" s="74">
        <f t="shared" si="7"/>
        <v>0</v>
      </c>
      <c r="AD12" s="74">
        <f t="shared" si="7"/>
        <v>100000</v>
      </c>
      <c r="AE12" s="74">
        <f t="shared" si="7"/>
        <v>0</v>
      </c>
      <c r="AF12" s="74">
        <f t="shared" si="7"/>
        <v>100000</v>
      </c>
      <c r="AG12" s="74">
        <f t="shared" si="7"/>
        <v>0</v>
      </c>
      <c r="AH12" s="74">
        <f t="shared" si="7"/>
        <v>100000</v>
      </c>
    </row>
    <row r="13" spans="1:34" s="27" customFormat="1" ht="19.5" customHeight="1">
      <c r="A13" s="80"/>
      <c r="B13" s="79"/>
      <c r="C13" s="85">
        <v>4300</v>
      </c>
      <c r="D13" s="14" t="s">
        <v>340</v>
      </c>
      <c r="E13" s="74">
        <v>0</v>
      </c>
      <c r="F13" s="74">
        <v>250000</v>
      </c>
      <c r="G13" s="74"/>
      <c r="H13" s="74">
        <f t="shared" si="3"/>
        <v>250000</v>
      </c>
      <c r="I13" s="74"/>
      <c r="J13" s="74">
        <f t="shared" si="5"/>
        <v>250000</v>
      </c>
      <c r="K13" s="74">
        <v>0</v>
      </c>
      <c r="L13" s="74">
        <f t="shared" si="6"/>
        <v>250000</v>
      </c>
      <c r="M13" s="74">
        <v>0</v>
      </c>
      <c r="N13" s="74">
        <f>SUM(L13:M13)</f>
        <v>250000</v>
      </c>
      <c r="O13" s="74">
        <v>0</v>
      </c>
      <c r="P13" s="74">
        <f>SUM(N13:O13)</f>
        <v>250000</v>
      </c>
      <c r="Q13" s="74">
        <v>0</v>
      </c>
      <c r="R13" s="74">
        <f>SUM(P13:Q13)</f>
        <v>250000</v>
      </c>
      <c r="S13" s="74">
        <v>0</v>
      </c>
      <c r="T13" s="74">
        <f>SUM(R13:S13)</f>
        <v>250000</v>
      </c>
      <c r="U13" s="74">
        <v>0</v>
      </c>
      <c r="V13" s="74">
        <f>SUM(T13:U13)</f>
        <v>250000</v>
      </c>
      <c r="W13" s="74">
        <v>-150000</v>
      </c>
      <c r="X13" s="74">
        <f>SUM(V13:W13)</f>
        <v>100000</v>
      </c>
      <c r="Y13" s="74">
        <v>0</v>
      </c>
      <c r="Z13" s="74">
        <f>SUM(X13:Y13)</f>
        <v>100000</v>
      </c>
      <c r="AA13" s="74">
        <v>0</v>
      </c>
      <c r="AB13" s="74">
        <f>SUM(Z13:AA13)</f>
        <v>100000</v>
      </c>
      <c r="AC13" s="74">
        <v>0</v>
      </c>
      <c r="AD13" s="74">
        <f>SUM(AB13:AC13)</f>
        <v>100000</v>
      </c>
      <c r="AE13" s="74">
        <v>0</v>
      </c>
      <c r="AF13" s="74">
        <f>SUM(AD13:AE13)</f>
        <v>100000</v>
      </c>
      <c r="AG13" s="74">
        <v>0</v>
      </c>
      <c r="AH13" s="74">
        <f>SUM(AF13:AG13)</f>
        <v>100000</v>
      </c>
    </row>
    <row r="14" spans="1:34" s="27" customFormat="1" ht="19.5" customHeight="1">
      <c r="A14" s="80"/>
      <c r="B14" s="77" t="s">
        <v>73</v>
      </c>
      <c r="C14" s="78"/>
      <c r="D14" s="14" t="s">
        <v>250</v>
      </c>
      <c r="E14" s="74"/>
      <c r="F14" s="74"/>
      <c r="G14" s="74"/>
      <c r="H14" s="74"/>
      <c r="I14" s="74"/>
      <c r="J14" s="74"/>
      <c r="K14" s="74"/>
      <c r="L14" s="74">
        <f aca="true" t="shared" si="8" ref="L14:R14">SUM(L16:L18)</f>
        <v>0</v>
      </c>
      <c r="M14" s="74">
        <f t="shared" si="8"/>
        <v>98263</v>
      </c>
      <c r="N14" s="74">
        <f t="shared" si="8"/>
        <v>98263</v>
      </c>
      <c r="O14" s="74">
        <f t="shared" si="8"/>
        <v>0</v>
      </c>
      <c r="P14" s="74">
        <f t="shared" si="8"/>
        <v>98263</v>
      </c>
      <c r="Q14" s="74">
        <f t="shared" si="8"/>
        <v>0</v>
      </c>
      <c r="R14" s="74">
        <f t="shared" si="8"/>
        <v>98263</v>
      </c>
      <c r="S14" s="74">
        <f aca="true" t="shared" si="9" ref="S14:X14">SUM(S16:S18)</f>
        <v>0</v>
      </c>
      <c r="T14" s="74">
        <f t="shared" si="9"/>
        <v>98263</v>
      </c>
      <c r="U14" s="74">
        <f t="shared" si="9"/>
        <v>0</v>
      </c>
      <c r="V14" s="74">
        <f t="shared" si="9"/>
        <v>98263</v>
      </c>
      <c r="W14" s="74">
        <f t="shared" si="9"/>
        <v>0</v>
      </c>
      <c r="X14" s="74">
        <f t="shared" si="9"/>
        <v>98263</v>
      </c>
      <c r="Y14" s="74">
        <f>SUM(Y16:Y18)</f>
        <v>0</v>
      </c>
      <c r="Z14" s="74">
        <f>SUM(Z16:Z18)</f>
        <v>98263</v>
      </c>
      <c r="AA14" s="74">
        <f>SUM(AA16:AA18)</f>
        <v>0</v>
      </c>
      <c r="AB14" s="74">
        <f aca="true" t="shared" si="10" ref="AB14:AH14">SUM(AB15:AB19)</f>
        <v>98263</v>
      </c>
      <c r="AC14" s="74">
        <f t="shared" si="10"/>
        <v>95263</v>
      </c>
      <c r="AD14" s="74">
        <f t="shared" si="10"/>
        <v>193526</v>
      </c>
      <c r="AE14" s="74">
        <f t="shared" si="10"/>
        <v>0</v>
      </c>
      <c r="AF14" s="74">
        <f t="shared" si="10"/>
        <v>193526</v>
      </c>
      <c r="AG14" s="74">
        <f t="shared" si="10"/>
        <v>0</v>
      </c>
      <c r="AH14" s="74">
        <f t="shared" si="10"/>
        <v>193526</v>
      </c>
    </row>
    <row r="15" spans="1:34" s="27" customFormat="1" ht="19.5" customHeight="1">
      <c r="A15" s="80"/>
      <c r="B15" s="77"/>
      <c r="C15" s="78">
        <v>4210</v>
      </c>
      <c r="D15" s="14" t="s">
        <v>333</v>
      </c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>
        <v>0</v>
      </c>
      <c r="AC15" s="74">
        <v>300</v>
      </c>
      <c r="AD15" s="74">
        <f>SUM(AB15:AC15)</f>
        <v>300</v>
      </c>
      <c r="AE15" s="74">
        <v>0</v>
      </c>
      <c r="AF15" s="74">
        <f>SUM(AD15:AE15)</f>
        <v>300</v>
      </c>
      <c r="AG15" s="74">
        <v>0</v>
      </c>
      <c r="AH15" s="74">
        <f>SUM(AF15:AG15)</f>
        <v>300</v>
      </c>
    </row>
    <row r="16" spans="1:34" s="27" customFormat="1" ht="19.5" customHeight="1">
      <c r="A16" s="80"/>
      <c r="B16" s="78"/>
      <c r="C16" s="78">
        <v>4300</v>
      </c>
      <c r="D16" s="14" t="s">
        <v>340</v>
      </c>
      <c r="E16" s="74"/>
      <c r="F16" s="74"/>
      <c r="G16" s="74"/>
      <c r="H16" s="74"/>
      <c r="I16" s="74"/>
      <c r="J16" s="74"/>
      <c r="K16" s="74"/>
      <c r="L16" s="74">
        <v>0</v>
      </c>
      <c r="M16" s="74">
        <v>1500</v>
      </c>
      <c r="N16" s="74">
        <f>SUM(L16:M16)</f>
        <v>1500</v>
      </c>
      <c r="O16" s="74">
        <v>0</v>
      </c>
      <c r="P16" s="74">
        <f>SUM(N16:O16)</f>
        <v>1500</v>
      </c>
      <c r="Q16" s="74">
        <v>0</v>
      </c>
      <c r="R16" s="74">
        <f>SUM(P16:Q16)</f>
        <v>1500</v>
      </c>
      <c r="S16" s="74">
        <v>0</v>
      </c>
      <c r="T16" s="74">
        <f>SUM(R16:S16)</f>
        <v>1500</v>
      </c>
      <c r="U16" s="74">
        <v>0</v>
      </c>
      <c r="V16" s="74">
        <f>SUM(T16:U16)</f>
        <v>1500</v>
      </c>
      <c r="W16" s="74">
        <v>0</v>
      </c>
      <c r="X16" s="74">
        <f>SUM(V16:W16)</f>
        <v>1500</v>
      </c>
      <c r="Y16" s="74">
        <v>0</v>
      </c>
      <c r="Z16" s="74">
        <f>SUM(X16:Y16)</f>
        <v>1500</v>
      </c>
      <c r="AA16" s="74">
        <v>0</v>
      </c>
      <c r="AB16" s="74">
        <f>SUM(Z16:AA16)</f>
        <v>1500</v>
      </c>
      <c r="AC16" s="74">
        <v>1218</v>
      </c>
      <c r="AD16" s="74">
        <f>SUM(AB16:AC16)</f>
        <v>2718</v>
      </c>
      <c r="AE16" s="74">
        <v>0</v>
      </c>
      <c r="AF16" s="74">
        <f>SUM(AD16:AE16)</f>
        <v>2718</v>
      </c>
      <c r="AG16" s="74">
        <v>0</v>
      </c>
      <c r="AH16" s="74">
        <f>SUM(AF16:AG16)</f>
        <v>2718</v>
      </c>
    </row>
    <row r="17" spans="1:34" s="27" customFormat="1" ht="19.5" customHeight="1">
      <c r="A17" s="80"/>
      <c r="B17" s="58"/>
      <c r="C17" s="78">
        <v>4430</v>
      </c>
      <c r="D17" s="14" t="s">
        <v>356</v>
      </c>
      <c r="E17" s="74"/>
      <c r="F17" s="74"/>
      <c r="G17" s="74"/>
      <c r="H17" s="74"/>
      <c r="I17" s="74"/>
      <c r="J17" s="74"/>
      <c r="K17" s="74"/>
      <c r="L17" s="74">
        <v>0</v>
      </c>
      <c r="M17" s="74">
        <v>96336</v>
      </c>
      <c r="N17" s="74">
        <f>SUM(L17:M17)</f>
        <v>96336</v>
      </c>
      <c r="O17" s="74">
        <v>0</v>
      </c>
      <c r="P17" s="74">
        <f>SUM(N17:O17)</f>
        <v>96336</v>
      </c>
      <c r="Q17" s="74">
        <v>0</v>
      </c>
      <c r="R17" s="74">
        <f>SUM(P17:Q17)</f>
        <v>96336</v>
      </c>
      <c r="S17" s="74">
        <v>0</v>
      </c>
      <c r="T17" s="74">
        <f>SUM(R17:S17)</f>
        <v>96336</v>
      </c>
      <c r="U17" s="74">
        <v>0</v>
      </c>
      <c r="V17" s="74">
        <f>SUM(T17:U17)</f>
        <v>96336</v>
      </c>
      <c r="W17" s="74">
        <v>0</v>
      </c>
      <c r="X17" s="74">
        <f>SUM(V17:W17)</f>
        <v>96336</v>
      </c>
      <c r="Y17" s="74">
        <v>0</v>
      </c>
      <c r="Z17" s="74">
        <f>SUM(X17:Y17)</f>
        <v>96336</v>
      </c>
      <c r="AA17" s="74">
        <v>0</v>
      </c>
      <c r="AB17" s="74">
        <f>SUM(Z17:AA17)</f>
        <v>96336</v>
      </c>
      <c r="AC17" s="74">
        <v>93395</v>
      </c>
      <c r="AD17" s="74">
        <f>SUM(AB17:AC17)</f>
        <v>189731</v>
      </c>
      <c r="AE17" s="74">
        <v>0</v>
      </c>
      <c r="AF17" s="74">
        <f>SUM(AD17:AE17)</f>
        <v>189731</v>
      </c>
      <c r="AG17" s="74">
        <v>0</v>
      </c>
      <c r="AH17" s="74">
        <f>SUM(AF17:AG17)</f>
        <v>189731</v>
      </c>
    </row>
    <row r="18" spans="1:34" s="27" customFormat="1" ht="24" customHeight="1">
      <c r="A18" s="80"/>
      <c r="B18" s="79"/>
      <c r="C18" s="58">
        <v>4740</v>
      </c>
      <c r="D18" s="14" t="s">
        <v>570</v>
      </c>
      <c r="E18" s="74"/>
      <c r="F18" s="74"/>
      <c r="G18" s="74"/>
      <c r="H18" s="74"/>
      <c r="I18" s="74"/>
      <c r="J18" s="74"/>
      <c r="K18" s="74"/>
      <c r="L18" s="74">
        <v>0</v>
      </c>
      <c r="M18" s="74">
        <v>427</v>
      </c>
      <c r="N18" s="74">
        <f>SUM(L18:M18)</f>
        <v>427</v>
      </c>
      <c r="O18" s="74">
        <v>0</v>
      </c>
      <c r="P18" s="74">
        <f>SUM(N18:O18)</f>
        <v>427</v>
      </c>
      <c r="Q18" s="74">
        <v>0</v>
      </c>
      <c r="R18" s="74">
        <f>SUM(P18:Q18)</f>
        <v>427</v>
      </c>
      <c r="S18" s="74">
        <v>0</v>
      </c>
      <c r="T18" s="74">
        <f>SUM(R18:S18)</f>
        <v>427</v>
      </c>
      <c r="U18" s="74">
        <v>0</v>
      </c>
      <c r="V18" s="74">
        <f>SUM(T18:U18)</f>
        <v>427</v>
      </c>
      <c r="W18" s="74">
        <v>0</v>
      </c>
      <c r="X18" s="74">
        <f>SUM(V18:W18)</f>
        <v>427</v>
      </c>
      <c r="Y18" s="74">
        <v>0</v>
      </c>
      <c r="Z18" s="74">
        <f>SUM(X18:Y18)</f>
        <v>427</v>
      </c>
      <c r="AA18" s="74">
        <v>0</v>
      </c>
      <c r="AB18" s="74">
        <f>SUM(Z18:AA18)</f>
        <v>427</v>
      </c>
      <c r="AC18" s="74">
        <v>100</v>
      </c>
      <c r="AD18" s="74">
        <f>SUM(AB18:AC18)</f>
        <v>527</v>
      </c>
      <c r="AE18" s="74">
        <v>0</v>
      </c>
      <c r="AF18" s="74">
        <f>SUM(AD18:AE18)</f>
        <v>527</v>
      </c>
      <c r="AG18" s="74">
        <v>0</v>
      </c>
      <c r="AH18" s="74">
        <f>SUM(AF18:AG18)</f>
        <v>527</v>
      </c>
    </row>
    <row r="19" spans="1:34" s="27" customFormat="1" ht="24" customHeight="1">
      <c r="A19" s="80"/>
      <c r="B19" s="79"/>
      <c r="C19" s="58">
        <v>4750</v>
      </c>
      <c r="D19" s="14" t="s">
        <v>572</v>
      </c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>
        <v>0</v>
      </c>
      <c r="AC19" s="74">
        <v>250</v>
      </c>
      <c r="AD19" s="74">
        <f>SUM(AB19:AC19)</f>
        <v>250</v>
      </c>
      <c r="AE19" s="74">
        <v>0</v>
      </c>
      <c r="AF19" s="74">
        <f>SUM(AD19:AE19)</f>
        <v>250</v>
      </c>
      <c r="AG19" s="74">
        <v>0</v>
      </c>
      <c r="AH19" s="74">
        <f>SUM(AF19:AG19)</f>
        <v>250</v>
      </c>
    </row>
    <row r="20" spans="1:34" s="7" customFormat="1" ht="24.75" customHeight="1">
      <c r="A20" s="36" t="s">
        <v>335</v>
      </c>
      <c r="B20" s="6"/>
      <c r="C20" s="5"/>
      <c r="D20" s="22" t="s">
        <v>336</v>
      </c>
      <c r="E20" s="271">
        <f>E25</f>
        <v>2214580</v>
      </c>
      <c r="F20" s="271">
        <f>F25</f>
        <v>140000</v>
      </c>
      <c r="G20" s="271">
        <f>G25</f>
        <v>840000</v>
      </c>
      <c r="H20" s="271">
        <f t="shared" si="3"/>
        <v>1514580</v>
      </c>
      <c r="I20" s="271">
        <f aca="true" t="shared" si="11" ref="I20:N20">I25+I21</f>
        <v>-6</v>
      </c>
      <c r="J20" s="271">
        <f t="shared" si="11"/>
        <v>1514574</v>
      </c>
      <c r="K20" s="271">
        <f t="shared" si="11"/>
        <v>3000</v>
      </c>
      <c r="L20" s="271">
        <f t="shared" si="11"/>
        <v>1517574</v>
      </c>
      <c r="M20" s="271">
        <f t="shared" si="11"/>
        <v>0</v>
      </c>
      <c r="N20" s="271">
        <f t="shared" si="11"/>
        <v>1517574</v>
      </c>
      <c r="O20" s="271">
        <f>O25+O21</f>
        <v>-650</v>
      </c>
      <c r="P20" s="271">
        <f aca="true" t="shared" si="12" ref="P20:V20">P25+P21+P23</f>
        <v>1516924</v>
      </c>
      <c r="Q20" s="271">
        <f t="shared" si="12"/>
        <v>1617650</v>
      </c>
      <c r="R20" s="271">
        <f t="shared" si="12"/>
        <v>3134574</v>
      </c>
      <c r="S20" s="271">
        <f t="shared" si="12"/>
        <v>0</v>
      </c>
      <c r="T20" s="271">
        <f t="shared" si="12"/>
        <v>3134574</v>
      </c>
      <c r="U20" s="271">
        <f t="shared" si="12"/>
        <v>0</v>
      </c>
      <c r="V20" s="271">
        <f t="shared" si="12"/>
        <v>3134574</v>
      </c>
      <c r="W20" s="271">
        <f aca="true" t="shared" si="13" ref="W20:AB20">W25+W21+W23</f>
        <v>222200</v>
      </c>
      <c r="X20" s="271">
        <f t="shared" si="13"/>
        <v>3356774</v>
      </c>
      <c r="Y20" s="271">
        <f t="shared" si="13"/>
        <v>0</v>
      </c>
      <c r="Z20" s="271">
        <f t="shared" si="13"/>
        <v>3356774</v>
      </c>
      <c r="AA20" s="271">
        <f t="shared" si="13"/>
        <v>65500</v>
      </c>
      <c r="AB20" s="271">
        <f t="shared" si="13"/>
        <v>3422274</v>
      </c>
      <c r="AC20" s="271">
        <f aca="true" t="shared" si="14" ref="AC20:AH20">AC25+AC21+AC23</f>
        <v>0</v>
      </c>
      <c r="AD20" s="271">
        <f t="shared" si="14"/>
        <v>3422274</v>
      </c>
      <c r="AE20" s="271">
        <f t="shared" si="14"/>
        <v>8753</v>
      </c>
      <c r="AF20" s="271">
        <f t="shared" si="14"/>
        <v>3431027</v>
      </c>
      <c r="AG20" s="271">
        <f t="shared" si="14"/>
        <v>-30000</v>
      </c>
      <c r="AH20" s="271">
        <f t="shared" si="14"/>
        <v>3401027</v>
      </c>
    </row>
    <row r="21" spans="1:34" s="27" customFormat="1" ht="24.75" customHeight="1">
      <c r="A21" s="76"/>
      <c r="B21" s="82">
        <v>60013</v>
      </c>
      <c r="C21" s="58"/>
      <c r="D21" s="14" t="s">
        <v>42</v>
      </c>
      <c r="E21" s="74"/>
      <c r="F21" s="74"/>
      <c r="G21" s="74"/>
      <c r="H21" s="74"/>
      <c r="I21" s="74"/>
      <c r="J21" s="74">
        <f aca="true" t="shared" si="15" ref="J21:AH21">SUM(J22)</f>
        <v>0</v>
      </c>
      <c r="K21" s="74">
        <f t="shared" si="15"/>
        <v>30000</v>
      </c>
      <c r="L21" s="74">
        <f t="shared" si="15"/>
        <v>30000</v>
      </c>
      <c r="M21" s="74">
        <f t="shared" si="15"/>
        <v>0</v>
      </c>
      <c r="N21" s="74">
        <f t="shared" si="15"/>
        <v>30000</v>
      </c>
      <c r="O21" s="74">
        <f t="shared" si="15"/>
        <v>0</v>
      </c>
      <c r="P21" s="74">
        <f t="shared" si="15"/>
        <v>30000</v>
      </c>
      <c r="Q21" s="74">
        <f t="shared" si="15"/>
        <v>0</v>
      </c>
      <c r="R21" s="74">
        <f t="shared" si="15"/>
        <v>30000</v>
      </c>
      <c r="S21" s="74">
        <f t="shared" si="15"/>
        <v>0</v>
      </c>
      <c r="T21" s="74">
        <f t="shared" si="15"/>
        <v>30000</v>
      </c>
      <c r="U21" s="74">
        <f t="shared" si="15"/>
        <v>0</v>
      </c>
      <c r="V21" s="74">
        <f t="shared" si="15"/>
        <v>30000</v>
      </c>
      <c r="W21" s="74">
        <f t="shared" si="15"/>
        <v>0</v>
      </c>
      <c r="X21" s="74">
        <f t="shared" si="15"/>
        <v>30000</v>
      </c>
      <c r="Y21" s="74">
        <f t="shared" si="15"/>
        <v>0</v>
      </c>
      <c r="Z21" s="74">
        <f t="shared" si="15"/>
        <v>30000</v>
      </c>
      <c r="AA21" s="74">
        <f t="shared" si="15"/>
        <v>0</v>
      </c>
      <c r="AB21" s="74">
        <f t="shared" si="15"/>
        <v>30000</v>
      </c>
      <c r="AC21" s="74">
        <f t="shared" si="15"/>
        <v>0</v>
      </c>
      <c r="AD21" s="74">
        <f t="shared" si="15"/>
        <v>30000</v>
      </c>
      <c r="AE21" s="74">
        <f t="shared" si="15"/>
        <v>0</v>
      </c>
      <c r="AF21" s="74">
        <f t="shared" si="15"/>
        <v>30000</v>
      </c>
      <c r="AG21" s="74">
        <f t="shared" si="15"/>
        <v>0</v>
      </c>
      <c r="AH21" s="74">
        <f t="shared" si="15"/>
        <v>30000</v>
      </c>
    </row>
    <row r="22" spans="1:38" s="27" customFormat="1" ht="60" customHeight="1">
      <c r="A22" s="76"/>
      <c r="B22" s="82"/>
      <c r="C22" s="58">
        <v>6300</v>
      </c>
      <c r="D22" s="14" t="s">
        <v>43</v>
      </c>
      <c r="E22" s="74"/>
      <c r="F22" s="74"/>
      <c r="G22" s="74"/>
      <c r="H22" s="74"/>
      <c r="I22" s="74"/>
      <c r="J22" s="74">
        <v>0</v>
      </c>
      <c r="K22" s="74">
        <v>30000</v>
      </c>
      <c r="L22" s="74">
        <f t="shared" si="6"/>
        <v>30000</v>
      </c>
      <c r="M22" s="74">
        <v>0</v>
      </c>
      <c r="N22" s="74">
        <f aca="true" t="shared" si="16" ref="N22:N31">SUM(L22:M22)</f>
        <v>30000</v>
      </c>
      <c r="O22" s="74">
        <v>0</v>
      </c>
      <c r="P22" s="74">
        <f aca="true" t="shared" si="17" ref="P22:P31">SUM(N22:O22)</f>
        <v>30000</v>
      </c>
      <c r="Q22" s="74">
        <v>0</v>
      </c>
      <c r="R22" s="74">
        <f aca="true" t="shared" si="18" ref="R22:R31">SUM(P22:Q22)</f>
        <v>30000</v>
      </c>
      <c r="S22" s="74">
        <v>0</v>
      </c>
      <c r="T22" s="74">
        <f aca="true" t="shared" si="19" ref="T22:T31">SUM(R22:S22)</f>
        <v>30000</v>
      </c>
      <c r="U22" s="74">
        <v>0</v>
      </c>
      <c r="V22" s="74">
        <f aca="true" t="shared" si="20" ref="V22:V31">SUM(T22:U22)</f>
        <v>30000</v>
      </c>
      <c r="W22" s="74">
        <v>0</v>
      </c>
      <c r="X22" s="74">
        <f aca="true" t="shared" si="21" ref="X22:X31">SUM(V22:W22)</f>
        <v>30000</v>
      </c>
      <c r="Y22" s="74">
        <v>0</v>
      </c>
      <c r="Z22" s="74">
        <f aca="true" t="shared" si="22" ref="Z22:Z31">SUM(X22:Y22)</f>
        <v>30000</v>
      </c>
      <c r="AA22" s="74">
        <v>0</v>
      </c>
      <c r="AB22" s="74">
        <f aca="true" t="shared" si="23" ref="AB22:AB31">SUM(Z22:AA22)</f>
        <v>30000</v>
      </c>
      <c r="AC22" s="74">
        <v>0</v>
      </c>
      <c r="AD22" s="74">
        <f aca="true" t="shared" si="24" ref="AD22:AD31">SUM(AB22:AC22)</f>
        <v>30000</v>
      </c>
      <c r="AE22" s="74">
        <v>0</v>
      </c>
      <c r="AF22" s="74">
        <f aca="true" t="shared" si="25" ref="AF22:AF31">SUM(AD22:AE22)</f>
        <v>30000</v>
      </c>
      <c r="AG22" s="74">
        <v>0</v>
      </c>
      <c r="AH22" s="74">
        <f aca="true" t="shared" si="26" ref="AH22:AH31">SUM(AF22:AG22)</f>
        <v>30000</v>
      </c>
      <c r="AK22" s="119"/>
      <c r="AL22" s="119"/>
    </row>
    <row r="23" spans="1:34" s="27" customFormat="1" ht="25.5" customHeight="1">
      <c r="A23" s="76"/>
      <c r="B23" s="82">
        <v>60014</v>
      </c>
      <c r="C23" s="58"/>
      <c r="D23" s="14" t="s">
        <v>167</v>
      </c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>
        <f>SUM(P24)</f>
        <v>0</v>
      </c>
      <c r="Q23" s="74">
        <f>SUM(Q24)</f>
        <v>210000</v>
      </c>
      <c r="R23" s="74">
        <f t="shared" si="18"/>
        <v>210000</v>
      </c>
      <c r="S23" s="74">
        <f>SUM(S24)</f>
        <v>0</v>
      </c>
      <c r="T23" s="74">
        <f t="shared" si="19"/>
        <v>210000</v>
      </c>
      <c r="U23" s="74">
        <f>SUM(U24)</f>
        <v>0</v>
      </c>
      <c r="V23" s="74">
        <f t="shared" si="20"/>
        <v>210000</v>
      </c>
      <c r="W23" s="74">
        <f>SUM(W24)</f>
        <v>-210000</v>
      </c>
      <c r="X23" s="74">
        <f t="shared" si="21"/>
        <v>0</v>
      </c>
      <c r="Y23" s="74">
        <f>SUM(Y24)</f>
        <v>0</v>
      </c>
      <c r="Z23" s="74">
        <f t="shared" si="22"/>
        <v>0</v>
      </c>
      <c r="AA23" s="74">
        <f>SUM(AA24)</f>
        <v>0</v>
      </c>
      <c r="AB23" s="74">
        <f t="shared" si="23"/>
        <v>0</v>
      </c>
      <c r="AC23" s="74">
        <f>SUM(AC24)</f>
        <v>0</v>
      </c>
      <c r="AD23" s="74">
        <f t="shared" si="24"/>
        <v>0</v>
      </c>
      <c r="AE23" s="74">
        <f>SUM(AE24)</f>
        <v>0</v>
      </c>
      <c r="AF23" s="74">
        <f t="shared" si="25"/>
        <v>0</v>
      </c>
      <c r="AG23" s="74">
        <f>SUM(AG24)</f>
        <v>0</v>
      </c>
      <c r="AH23" s="74">
        <f t="shared" si="26"/>
        <v>0</v>
      </c>
    </row>
    <row r="24" spans="1:34" s="27" customFormat="1" ht="35.25" customHeight="1">
      <c r="A24" s="76"/>
      <c r="B24" s="82"/>
      <c r="C24" s="58">
        <v>6800</v>
      </c>
      <c r="D24" s="14" t="s">
        <v>690</v>
      </c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>
        <v>0</v>
      </c>
      <c r="Q24" s="74">
        <v>210000</v>
      </c>
      <c r="R24" s="74">
        <f t="shared" si="18"/>
        <v>210000</v>
      </c>
      <c r="S24" s="74">
        <v>0</v>
      </c>
      <c r="T24" s="74">
        <f t="shared" si="19"/>
        <v>210000</v>
      </c>
      <c r="U24" s="74">
        <v>0</v>
      </c>
      <c r="V24" s="74">
        <f t="shared" si="20"/>
        <v>210000</v>
      </c>
      <c r="W24" s="74">
        <v>-210000</v>
      </c>
      <c r="X24" s="74">
        <f t="shared" si="21"/>
        <v>0</v>
      </c>
      <c r="Y24" s="74">
        <v>0</v>
      </c>
      <c r="Z24" s="74">
        <f t="shared" si="22"/>
        <v>0</v>
      </c>
      <c r="AA24" s="74">
        <v>0</v>
      </c>
      <c r="AB24" s="74">
        <f t="shared" si="23"/>
        <v>0</v>
      </c>
      <c r="AC24" s="74">
        <v>0</v>
      </c>
      <c r="AD24" s="74">
        <f t="shared" si="24"/>
        <v>0</v>
      </c>
      <c r="AE24" s="74">
        <v>0</v>
      </c>
      <c r="AF24" s="74">
        <f t="shared" si="25"/>
        <v>0</v>
      </c>
      <c r="AG24" s="74">
        <v>0</v>
      </c>
      <c r="AH24" s="74">
        <f t="shared" si="26"/>
        <v>0</v>
      </c>
    </row>
    <row r="25" spans="1:34" s="27" customFormat="1" ht="21.75" customHeight="1">
      <c r="A25" s="76"/>
      <c r="B25" s="75" t="s">
        <v>337</v>
      </c>
      <c r="C25" s="58"/>
      <c r="D25" s="14" t="s">
        <v>338</v>
      </c>
      <c r="E25" s="74">
        <f>SUM(E26:E31)</f>
        <v>2214580</v>
      </c>
      <c r="F25" s="74">
        <f>SUM(F26:F31)</f>
        <v>140000</v>
      </c>
      <c r="G25" s="74">
        <f>SUM(G26:G31)</f>
        <v>840000</v>
      </c>
      <c r="H25" s="74">
        <f t="shared" si="3"/>
        <v>1514580</v>
      </c>
      <c r="I25" s="74">
        <f>SUM(I26:I31)</f>
        <v>-6</v>
      </c>
      <c r="J25" s="74">
        <f t="shared" si="5"/>
        <v>1514574</v>
      </c>
      <c r="K25" s="74">
        <f>SUM(K26:K31)</f>
        <v>-27000</v>
      </c>
      <c r="L25" s="74">
        <f t="shared" si="6"/>
        <v>1487574</v>
      </c>
      <c r="M25" s="74">
        <f>SUM(M26:M31)</f>
        <v>0</v>
      </c>
      <c r="N25" s="74">
        <f t="shared" si="16"/>
        <v>1487574</v>
      </c>
      <c r="O25" s="74">
        <f>SUM(O26:O31)</f>
        <v>-650</v>
      </c>
      <c r="P25" s="74">
        <f t="shared" si="17"/>
        <v>1486924</v>
      </c>
      <c r="Q25" s="74">
        <f>SUM(Q26:Q31)</f>
        <v>1407650</v>
      </c>
      <c r="R25" s="74">
        <f t="shared" si="18"/>
        <v>2894574</v>
      </c>
      <c r="S25" s="74">
        <f>SUM(S26:S31)</f>
        <v>0</v>
      </c>
      <c r="T25" s="74">
        <f t="shared" si="19"/>
        <v>2894574</v>
      </c>
      <c r="U25" s="74">
        <f>SUM(U26:U31)</f>
        <v>0</v>
      </c>
      <c r="V25" s="74">
        <f t="shared" si="20"/>
        <v>2894574</v>
      </c>
      <c r="W25" s="74">
        <f>SUM(W26:W31)</f>
        <v>432200</v>
      </c>
      <c r="X25" s="74">
        <f t="shared" si="21"/>
        <v>3326774</v>
      </c>
      <c r="Y25" s="74">
        <f>SUM(Y26:Y31)</f>
        <v>0</v>
      </c>
      <c r="Z25" s="74">
        <f t="shared" si="22"/>
        <v>3326774</v>
      </c>
      <c r="AA25" s="74">
        <f>SUM(AA26:AA31)</f>
        <v>65500</v>
      </c>
      <c r="AB25" s="74">
        <f t="shared" si="23"/>
        <v>3392274</v>
      </c>
      <c r="AC25" s="74">
        <f>SUM(AC26:AC31)</f>
        <v>0</v>
      </c>
      <c r="AD25" s="74">
        <f t="shared" si="24"/>
        <v>3392274</v>
      </c>
      <c r="AE25" s="74">
        <f>SUM(AE26:AE31)</f>
        <v>8753</v>
      </c>
      <c r="AF25" s="74">
        <f t="shared" si="25"/>
        <v>3401027</v>
      </c>
      <c r="AG25" s="74">
        <f>SUM(AG26:AG31)</f>
        <v>-30000</v>
      </c>
      <c r="AH25" s="74">
        <f t="shared" si="26"/>
        <v>3371027</v>
      </c>
    </row>
    <row r="26" spans="1:34" s="27" customFormat="1" ht="21.75" customHeight="1">
      <c r="A26" s="76"/>
      <c r="B26" s="82"/>
      <c r="C26" s="76">
        <v>4210</v>
      </c>
      <c r="D26" s="14" t="s">
        <v>333</v>
      </c>
      <c r="E26" s="74">
        <v>33960</v>
      </c>
      <c r="F26" s="74"/>
      <c r="G26" s="74"/>
      <c r="H26" s="74">
        <f t="shared" si="3"/>
        <v>33960</v>
      </c>
      <c r="I26" s="74">
        <f>2997-1700</f>
        <v>1297</v>
      </c>
      <c r="J26" s="74">
        <f t="shared" si="5"/>
        <v>35257</v>
      </c>
      <c r="K26" s="74">
        <f>3000-4000</f>
        <v>-1000</v>
      </c>
      <c r="L26" s="74">
        <f t="shared" si="6"/>
        <v>34257</v>
      </c>
      <c r="M26" s="74">
        <v>0</v>
      </c>
      <c r="N26" s="74">
        <f t="shared" si="16"/>
        <v>34257</v>
      </c>
      <c r="O26" s="74">
        <v>-2423</v>
      </c>
      <c r="P26" s="74">
        <f t="shared" si="17"/>
        <v>31834</v>
      </c>
      <c r="Q26" s="74">
        <v>850</v>
      </c>
      <c r="R26" s="74">
        <f t="shared" si="18"/>
        <v>32684</v>
      </c>
      <c r="S26" s="74">
        <v>0</v>
      </c>
      <c r="T26" s="74">
        <f t="shared" si="19"/>
        <v>32684</v>
      </c>
      <c r="U26" s="74">
        <v>0</v>
      </c>
      <c r="V26" s="74">
        <f t="shared" si="20"/>
        <v>32684</v>
      </c>
      <c r="W26" s="74">
        <v>-1549</v>
      </c>
      <c r="X26" s="74">
        <f t="shared" si="21"/>
        <v>31135</v>
      </c>
      <c r="Y26" s="74">
        <v>0</v>
      </c>
      <c r="Z26" s="74">
        <f t="shared" si="22"/>
        <v>31135</v>
      </c>
      <c r="AA26" s="74">
        <v>0</v>
      </c>
      <c r="AB26" s="74">
        <f t="shared" si="23"/>
        <v>31135</v>
      </c>
      <c r="AC26" s="74">
        <v>0</v>
      </c>
      <c r="AD26" s="74">
        <f t="shared" si="24"/>
        <v>31135</v>
      </c>
      <c r="AE26" s="74">
        <v>9900</v>
      </c>
      <c r="AF26" s="74">
        <f t="shared" si="25"/>
        <v>41035</v>
      </c>
      <c r="AG26" s="74">
        <v>0</v>
      </c>
      <c r="AH26" s="74">
        <f t="shared" si="26"/>
        <v>41035</v>
      </c>
    </row>
    <row r="27" spans="1:34" s="27" customFormat="1" ht="21.75" customHeight="1">
      <c r="A27" s="76"/>
      <c r="B27" s="82"/>
      <c r="C27" s="76">
        <v>4270</v>
      </c>
      <c r="D27" s="14" t="s">
        <v>339</v>
      </c>
      <c r="E27" s="74">
        <f>90000+25000+7000</f>
        <v>122000</v>
      </c>
      <c r="F27" s="74"/>
      <c r="G27" s="74"/>
      <c r="H27" s="74">
        <f t="shared" si="3"/>
        <v>122000</v>
      </c>
      <c r="I27" s="74"/>
      <c r="J27" s="74">
        <f t="shared" si="5"/>
        <v>122000</v>
      </c>
      <c r="K27" s="74">
        <v>0</v>
      </c>
      <c r="L27" s="74">
        <f t="shared" si="6"/>
        <v>122000</v>
      </c>
      <c r="M27" s="74">
        <v>0</v>
      </c>
      <c r="N27" s="74">
        <f t="shared" si="16"/>
        <v>122000</v>
      </c>
      <c r="O27" s="74">
        <v>0</v>
      </c>
      <c r="P27" s="74">
        <f t="shared" si="17"/>
        <v>122000</v>
      </c>
      <c r="Q27" s="74">
        <v>0</v>
      </c>
      <c r="R27" s="74">
        <f t="shared" si="18"/>
        <v>122000</v>
      </c>
      <c r="S27" s="74">
        <v>0</v>
      </c>
      <c r="T27" s="74">
        <f t="shared" si="19"/>
        <v>122000</v>
      </c>
      <c r="U27" s="74">
        <v>0</v>
      </c>
      <c r="V27" s="74">
        <f t="shared" si="20"/>
        <v>122000</v>
      </c>
      <c r="W27" s="74">
        <f>20000+6500</f>
        <v>26500</v>
      </c>
      <c r="X27" s="74">
        <f t="shared" si="21"/>
        <v>148500</v>
      </c>
      <c r="Y27" s="74">
        <v>0</v>
      </c>
      <c r="Z27" s="74">
        <f t="shared" si="22"/>
        <v>148500</v>
      </c>
      <c r="AA27" s="74">
        <v>0</v>
      </c>
      <c r="AB27" s="74">
        <f t="shared" si="23"/>
        <v>148500</v>
      </c>
      <c r="AC27" s="74">
        <v>0</v>
      </c>
      <c r="AD27" s="74">
        <f t="shared" si="24"/>
        <v>148500</v>
      </c>
      <c r="AE27" s="74">
        <v>0</v>
      </c>
      <c r="AF27" s="74">
        <f t="shared" si="25"/>
        <v>148500</v>
      </c>
      <c r="AG27" s="74">
        <v>0</v>
      </c>
      <c r="AH27" s="74">
        <f t="shared" si="26"/>
        <v>148500</v>
      </c>
    </row>
    <row r="28" spans="1:34" s="27" customFormat="1" ht="21.75" customHeight="1">
      <c r="A28" s="76"/>
      <c r="B28" s="82"/>
      <c r="C28" s="76">
        <v>4300</v>
      </c>
      <c r="D28" s="14" t="s">
        <v>340</v>
      </c>
      <c r="E28" s="74">
        <f>31340+70000+50000</f>
        <v>151340</v>
      </c>
      <c r="F28" s="74">
        <v>100000</v>
      </c>
      <c r="G28" s="74"/>
      <c r="H28" s="74">
        <f t="shared" si="3"/>
        <v>251340</v>
      </c>
      <c r="I28" s="74">
        <f>2997+1700</f>
        <v>4697</v>
      </c>
      <c r="J28" s="74">
        <f t="shared" si="5"/>
        <v>256037</v>
      </c>
      <c r="K28" s="74">
        <v>4000</v>
      </c>
      <c r="L28" s="74">
        <f t="shared" si="6"/>
        <v>260037</v>
      </c>
      <c r="M28" s="74">
        <v>0</v>
      </c>
      <c r="N28" s="74">
        <f t="shared" si="16"/>
        <v>260037</v>
      </c>
      <c r="O28" s="74">
        <v>13083</v>
      </c>
      <c r="P28" s="74">
        <f t="shared" si="17"/>
        <v>273120</v>
      </c>
      <c r="Q28" s="74">
        <v>30000</v>
      </c>
      <c r="R28" s="74">
        <f t="shared" si="18"/>
        <v>303120</v>
      </c>
      <c r="S28" s="74">
        <v>0</v>
      </c>
      <c r="T28" s="74">
        <f t="shared" si="19"/>
        <v>303120</v>
      </c>
      <c r="U28" s="74">
        <v>0</v>
      </c>
      <c r="V28" s="74">
        <f t="shared" si="20"/>
        <v>303120</v>
      </c>
      <c r="W28" s="74">
        <f>-10243+100000</f>
        <v>89757</v>
      </c>
      <c r="X28" s="74">
        <f t="shared" si="21"/>
        <v>392877</v>
      </c>
      <c r="Y28" s="74">
        <v>0</v>
      </c>
      <c r="Z28" s="74">
        <f t="shared" si="22"/>
        <v>392877</v>
      </c>
      <c r="AA28" s="74">
        <v>0</v>
      </c>
      <c r="AB28" s="74">
        <f t="shared" si="23"/>
        <v>392877</v>
      </c>
      <c r="AC28" s="74">
        <v>0</v>
      </c>
      <c r="AD28" s="74">
        <f t="shared" si="24"/>
        <v>392877</v>
      </c>
      <c r="AE28" s="74">
        <v>-512</v>
      </c>
      <c r="AF28" s="74">
        <f t="shared" si="25"/>
        <v>392365</v>
      </c>
      <c r="AG28" s="74">
        <v>0</v>
      </c>
      <c r="AH28" s="74">
        <f t="shared" si="26"/>
        <v>392365</v>
      </c>
    </row>
    <row r="29" spans="1:38" s="27" customFormat="1" ht="21.75" customHeight="1">
      <c r="A29" s="76"/>
      <c r="B29" s="82"/>
      <c r="C29" s="76">
        <v>6050</v>
      </c>
      <c r="D29" s="14" t="s">
        <v>334</v>
      </c>
      <c r="E29" s="74">
        <f>95630+150000+250000+90000+140000+190000+280000+350000+350000</f>
        <v>1895630</v>
      </c>
      <c r="F29" s="74"/>
      <c r="G29" s="74">
        <f>60000+100000+36000+54000+100000+250000+100000+100000+40000</f>
        <v>840000</v>
      </c>
      <c r="H29" s="74">
        <f t="shared" si="3"/>
        <v>1055630</v>
      </c>
      <c r="I29" s="74">
        <f>-6000+250000-250000</f>
        <v>-6000</v>
      </c>
      <c r="J29" s="74">
        <f t="shared" si="5"/>
        <v>1049630</v>
      </c>
      <c r="K29" s="74">
        <v>0</v>
      </c>
      <c r="L29" s="74">
        <f t="shared" si="6"/>
        <v>1049630</v>
      </c>
      <c r="M29" s="74">
        <v>0</v>
      </c>
      <c r="N29" s="74">
        <f t="shared" si="16"/>
        <v>1049630</v>
      </c>
      <c r="O29" s="74">
        <v>-11310</v>
      </c>
      <c r="P29" s="74">
        <f t="shared" si="17"/>
        <v>1038320</v>
      </c>
      <c r="Q29" s="210">
        <f>-200+80000+490000+180000+160000+10000+30000-949800+1365800</f>
        <v>1365800</v>
      </c>
      <c r="R29" s="74">
        <f t="shared" si="18"/>
        <v>2404120</v>
      </c>
      <c r="S29" s="138">
        <v>0</v>
      </c>
      <c r="T29" s="74">
        <f t="shared" si="19"/>
        <v>2404120</v>
      </c>
      <c r="U29" s="138">
        <v>0</v>
      </c>
      <c r="V29" s="74">
        <f t="shared" si="20"/>
        <v>2404120</v>
      </c>
      <c r="W29" s="138">
        <f>3440-1480+30000+1492+100000+97000+20000+40000+26000</f>
        <v>316452</v>
      </c>
      <c r="X29" s="74">
        <f t="shared" si="21"/>
        <v>2720572</v>
      </c>
      <c r="Y29" s="138">
        <v>0</v>
      </c>
      <c r="Z29" s="74">
        <f t="shared" si="22"/>
        <v>2720572</v>
      </c>
      <c r="AA29" s="138">
        <f>43500+100000-1000+50000+24500-154500</f>
        <v>62500</v>
      </c>
      <c r="AB29" s="74">
        <f t="shared" si="23"/>
        <v>2783072</v>
      </c>
      <c r="AC29" s="138">
        <v>0</v>
      </c>
      <c r="AD29" s="74">
        <f t="shared" si="24"/>
        <v>2783072</v>
      </c>
      <c r="AE29" s="138">
        <f>-635</f>
        <v>-635</v>
      </c>
      <c r="AF29" s="74">
        <f t="shared" si="25"/>
        <v>2782437</v>
      </c>
      <c r="AG29" s="138">
        <f>-30000</f>
        <v>-30000</v>
      </c>
      <c r="AH29" s="74">
        <f t="shared" si="26"/>
        <v>2752437</v>
      </c>
      <c r="AK29" s="119"/>
      <c r="AL29" s="119"/>
    </row>
    <row r="30" spans="1:38" s="27" customFormat="1" ht="21.75" customHeight="1">
      <c r="A30" s="76"/>
      <c r="B30" s="82"/>
      <c r="C30" s="76">
        <v>6060</v>
      </c>
      <c r="D30" s="14" t="s">
        <v>358</v>
      </c>
      <c r="E30" s="74">
        <v>11650</v>
      </c>
      <c r="F30" s="74"/>
      <c r="G30" s="74"/>
      <c r="H30" s="74">
        <f t="shared" si="3"/>
        <v>11650</v>
      </c>
      <c r="I30" s="74"/>
      <c r="J30" s="74">
        <f t="shared" si="5"/>
        <v>11650</v>
      </c>
      <c r="K30" s="74">
        <v>0</v>
      </c>
      <c r="L30" s="74">
        <f t="shared" si="6"/>
        <v>11650</v>
      </c>
      <c r="M30" s="74">
        <v>0</v>
      </c>
      <c r="N30" s="74">
        <f t="shared" si="16"/>
        <v>11650</v>
      </c>
      <c r="O30" s="74">
        <v>0</v>
      </c>
      <c r="P30" s="74">
        <f t="shared" si="17"/>
        <v>11650</v>
      </c>
      <c r="Q30" s="74">
        <v>11000</v>
      </c>
      <c r="R30" s="74">
        <f t="shared" si="18"/>
        <v>22650</v>
      </c>
      <c r="S30" s="74">
        <v>0</v>
      </c>
      <c r="T30" s="74">
        <f t="shared" si="19"/>
        <v>22650</v>
      </c>
      <c r="U30" s="74">
        <v>0</v>
      </c>
      <c r="V30" s="74">
        <f t="shared" si="20"/>
        <v>22650</v>
      </c>
      <c r="W30" s="74">
        <v>1040</v>
      </c>
      <c r="X30" s="74">
        <f t="shared" si="21"/>
        <v>23690</v>
      </c>
      <c r="Y30" s="74">
        <v>0</v>
      </c>
      <c r="Z30" s="74">
        <f t="shared" si="22"/>
        <v>23690</v>
      </c>
      <c r="AA30" s="74">
        <v>3000</v>
      </c>
      <c r="AB30" s="74">
        <f t="shared" si="23"/>
        <v>26690</v>
      </c>
      <c r="AC30" s="74">
        <v>0</v>
      </c>
      <c r="AD30" s="74">
        <f t="shared" si="24"/>
        <v>26690</v>
      </c>
      <c r="AE30" s="74">
        <v>0</v>
      </c>
      <c r="AF30" s="74">
        <f t="shared" si="25"/>
        <v>26690</v>
      </c>
      <c r="AG30" s="74">
        <v>0</v>
      </c>
      <c r="AH30" s="74">
        <f t="shared" si="26"/>
        <v>26690</v>
      </c>
      <c r="AK30" s="119"/>
      <c r="AL30" s="119"/>
    </row>
    <row r="31" spans="1:38" s="27" customFormat="1" ht="21.75" customHeight="1">
      <c r="A31" s="76"/>
      <c r="B31" s="82"/>
      <c r="C31" s="76">
        <v>6800</v>
      </c>
      <c r="D31" s="14" t="s">
        <v>690</v>
      </c>
      <c r="E31" s="74">
        <v>0</v>
      </c>
      <c r="F31" s="74">
        <v>40000</v>
      </c>
      <c r="G31" s="74"/>
      <c r="H31" s="74">
        <f t="shared" si="3"/>
        <v>40000</v>
      </c>
      <c r="I31" s="74"/>
      <c r="J31" s="74">
        <f t="shared" si="5"/>
        <v>40000</v>
      </c>
      <c r="K31" s="74">
        <v>-30000</v>
      </c>
      <c r="L31" s="74">
        <f t="shared" si="6"/>
        <v>10000</v>
      </c>
      <c r="M31" s="74">
        <v>0</v>
      </c>
      <c r="N31" s="74">
        <f t="shared" si="16"/>
        <v>10000</v>
      </c>
      <c r="O31" s="74">
        <v>0</v>
      </c>
      <c r="P31" s="74">
        <f t="shared" si="17"/>
        <v>10000</v>
      </c>
      <c r="Q31" s="74">
        <v>0</v>
      </c>
      <c r="R31" s="74">
        <f t="shared" si="18"/>
        <v>10000</v>
      </c>
      <c r="S31" s="74">
        <v>0</v>
      </c>
      <c r="T31" s="74">
        <f t="shared" si="19"/>
        <v>10000</v>
      </c>
      <c r="U31" s="74">
        <v>0</v>
      </c>
      <c r="V31" s="74">
        <f t="shared" si="20"/>
        <v>10000</v>
      </c>
      <c r="W31" s="74">
        <v>0</v>
      </c>
      <c r="X31" s="74">
        <f t="shared" si="21"/>
        <v>10000</v>
      </c>
      <c r="Y31" s="74">
        <v>0</v>
      </c>
      <c r="Z31" s="74">
        <f t="shared" si="22"/>
        <v>10000</v>
      </c>
      <c r="AA31" s="74">
        <v>0</v>
      </c>
      <c r="AB31" s="74">
        <f t="shared" si="23"/>
        <v>10000</v>
      </c>
      <c r="AC31" s="74">
        <v>0</v>
      </c>
      <c r="AD31" s="74">
        <f t="shared" si="24"/>
        <v>10000</v>
      </c>
      <c r="AE31" s="74">
        <v>0</v>
      </c>
      <c r="AF31" s="74">
        <f t="shared" si="25"/>
        <v>10000</v>
      </c>
      <c r="AG31" s="74">
        <v>0</v>
      </c>
      <c r="AH31" s="74">
        <f t="shared" si="26"/>
        <v>10000</v>
      </c>
      <c r="AK31" s="119"/>
      <c r="AL31" s="119"/>
    </row>
    <row r="32" spans="1:34" s="7" customFormat="1" ht="24.75" customHeight="1">
      <c r="A32" s="36" t="s">
        <v>261</v>
      </c>
      <c r="B32" s="6"/>
      <c r="C32" s="5"/>
      <c r="D32" s="22" t="s">
        <v>262</v>
      </c>
      <c r="E32" s="271">
        <f>SUM(E33,E36,E41,E45)</f>
        <v>938528</v>
      </c>
      <c r="F32" s="271">
        <f>SUM(F33,F36,F41,F45)</f>
        <v>450000</v>
      </c>
      <c r="G32" s="271">
        <f>SUM(G33,G36,G41,G45)</f>
        <v>200000</v>
      </c>
      <c r="H32" s="271">
        <f t="shared" si="3"/>
        <v>1188528</v>
      </c>
      <c r="I32" s="271">
        <f>SUM(I33,I36,I41,I45)</f>
        <v>56000</v>
      </c>
      <c r="J32" s="271">
        <f aca="true" t="shared" si="27" ref="J32:P32">SUM(J33,J36,J41,J45,)</f>
        <v>1244528</v>
      </c>
      <c r="K32" s="271">
        <f t="shared" si="27"/>
        <v>70000</v>
      </c>
      <c r="L32" s="271">
        <f t="shared" si="27"/>
        <v>1314528</v>
      </c>
      <c r="M32" s="271">
        <f t="shared" si="27"/>
        <v>0</v>
      </c>
      <c r="N32" s="271">
        <f t="shared" si="27"/>
        <v>1314528</v>
      </c>
      <c r="O32" s="271">
        <f t="shared" si="27"/>
        <v>0</v>
      </c>
      <c r="P32" s="271">
        <f t="shared" si="27"/>
        <v>1314528</v>
      </c>
      <c r="Q32" s="271">
        <f aca="true" t="shared" si="28" ref="Q32:V32">SUM(Q33,Q36,Q41,Q45,)</f>
        <v>112933</v>
      </c>
      <c r="R32" s="271">
        <f t="shared" si="28"/>
        <v>1427461</v>
      </c>
      <c r="S32" s="271">
        <f t="shared" si="28"/>
        <v>0</v>
      </c>
      <c r="T32" s="271">
        <f t="shared" si="28"/>
        <v>1427461</v>
      </c>
      <c r="U32" s="271">
        <f t="shared" si="28"/>
        <v>0</v>
      </c>
      <c r="V32" s="271">
        <f t="shared" si="28"/>
        <v>1427461</v>
      </c>
      <c r="W32" s="271">
        <f aca="true" t="shared" si="29" ref="W32:AB32">SUM(W33,W36,W41,W45,)</f>
        <v>453936</v>
      </c>
      <c r="X32" s="271">
        <f t="shared" si="29"/>
        <v>1881397</v>
      </c>
      <c r="Y32" s="271">
        <f t="shared" si="29"/>
        <v>0</v>
      </c>
      <c r="Z32" s="271">
        <f t="shared" si="29"/>
        <v>1881397</v>
      </c>
      <c r="AA32" s="271">
        <f t="shared" si="29"/>
        <v>0</v>
      </c>
      <c r="AB32" s="271">
        <f t="shared" si="29"/>
        <v>1881397</v>
      </c>
      <c r="AC32" s="271">
        <f aca="true" t="shared" si="30" ref="AC32:AH32">SUM(AC33,AC36,AC41,AC45,)</f>
        <v>0</v>
      </c>
      <c r="AD32" s="271">
        <f t="shared" si="30"/>
        <v>1881397</v>
      </c>
      <c r="AE32" s="271">
        <f t="shared" si="30"/>
        <v>0</v>
      </c>
      <c r="AF32" s="271">
        <f t="shared" si="30"/>
        <v>1881397</v>
      </c>
      <c r="AG32" s="271">
        <f t="shared" si="30"/>
        <v>-127640</v>
      </c>
      <c r="AH32" s="271">
        <f t="shared" si="30"/>
        <v>1753757</v>
      </c>
    </row>
    <row r="33" spans="1:34" s="27" customFormat="1" ht="24">
      <c r="A33" s="76"/>
      <c r="B33" s="82">
        <v>70004</v>
      </c>
      <c r="C33" s="58"/>
      <c r="D33" s="14" t="s">
        <v>510</v>
      </c>
      <c r="E33" s="74">
        <f>SUM(E35)</f>
        <v>148000</v>
      </c>
      <c r="F33" s="74">
        <f>SUM(F35)</f>
        <v>0</v>
      </c>
      <c r="G33" s="74">
        <f>SUM(G35)</f>
        <v>0</v>
      </c>
      <c r="H33" s="74">
        <f t="shared" si="3"/>
        <v>148000</v>
      </c>
      <c r="I33" s="74">
        <f aca="true" t="shared" si="31" ref="I33:O33">SUM(I35)</f>
        <v>0</v>
      </c>
      <c r="J33" s="74">
        <f t="shared" si="31"/>
        <v>148000</v>
      </c>
      <c r="K33" s="74">
        <f t="shared" si="31"/>
        <v>70000</v>
      </c>
      <c r="L33" s="74">
        <f t="shared" si="31"/>
        <v>218000</v>
      </c>
      <c r="M33" s="74">
        <f t="shared" si="31"/>
        <v>0</v>
      </c>
      <c r="N33" s="74">
        <f t="shared" si="31"/>
        <v>218000</v>
      </c>
      <c r="O33" s="74">
        <f t="shared" si="31"/>
        <v>0</v>
      </c>
      <c r="P33" s="74">
        <f aca="true" t="shared" si="32" ref="P33:V33">SUM(P34:P35)</f>
        <v>218000</v>
      </c>
      <c r="Q33" s="74">
        <f t="shared" si="32"/>
        <v>4500</v>
      </c>
      <c r="R33" s="74">
        <f t="shared" si="32"/>
        <v>222500</v>
      </c>
      <c r="S33" s="74">
        <f t="shared" si="32"/>
        <v>0</v>
      </c>
      <c r="T33" s="74">
        <f t="shared" si="32"/>
        <v>222500</v>
      </c>
      <c r="U33" s="74">
        <f t="shared" si="32"/>
        <v>0</v>
      </c>
      <c r="V33" s="74">
        <f t="shared" si="32"/>
        <v>222500</v>
      </c>
      <c r="W33" s="74">
        <f aca="true" t="shared" si="33" ref="W33:AB33">SUM(W34:W35)</f>
        <v>0</v>
      </c>
      <c r="X33" s="74">
        <f t="shared" si="33"/>
        <v>222500</v>
      </c>
      <c r="Y33" s="74">
        <f t="shared" si="33"/>
        <v>0</v>
      </c>
      <c r="Z33" s="74">
        <f t="shared" si="33"/>
        <v>222500</v>
      </c>
      <c r="AA33" s="74">
        <f t="shared" si="33"/>
        <v>0</v>
      </c>
      <c r="AB33" s="74">
        <f t="shared" si="33"/>
        <v>222500</v>
      </c>
      <c r="AC33" s="74">
        <f aca="true" t="shared" si="34" ref="AC33:AH33">SUM(AC34:AC35)</f>
        <v>0</v>
      </c>
      <c r="AD33" s="74">
        <f t="shared" si="34"/>
        <v>222500</v>
      </c>
      <c r="AE33" s="74">
        <f t="shared" si="34"/>
        <v>0</v>
      </c>
      <c r="AF33" s="74">
        <f t="shared" si="34"/>
        <v>222500</v>
      </c>
      <c r="AG33" s="74">
        <f t="shared" si="34"/>
        <v>-142000</v>
      </c>
      <c r="AH33" s="74">
        <f t="shared" si="34"/>
        <v>80500</v>
      </c>
    </row>
    <row r="34" spans="1:34" s="27" customFormat="1" ht="18.75" customHeight="1">
      <c r="A34" s="76"/>
      <c r="B34" s="82"/>
      <c r="C34" s="58">
        <v>4270</v>
      </c>
      <c r="D34" s="14" t="s">
        <v>339</v>
      </c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>
        <v>0</v>
      </c>
      <c r="Q34" s="74">
        <v>4500</v>
      </c>
      <c r="R34" s="74">
        <f>SUM(P34:Q34)</f>
        <v>4500</v>
      </c>
      <c r="S34" s="74">
        <v>0</v>
      </c>
      <c r="T34" s="74">
        <f>SUM(R34:S34)</f>
        <v>4500</v>
      </c>
      <c r="U34" s="74">
        <v>0</v>
      </c>
      <c r="V34" s="74">
        <f>SUM(T34:U34)</f>
        <v>4500</v>
      </c>
      <c r="W34" s="74">
        <v>0</v>
      </c>
      <c r="X34" s="74">
        <f>SUM(V34:W34)</f>
        <v>4500</v>
      </c>
      <c r="Y34" s="74">
        <v>0</v>
      </c>
      <c r="Z34" s="74">
        <f>SUM(X34:Y34)</f>
        <v>4500</v>
      </c>
      <c r="AA34" s="74">
        <v>0</v>
      </c>
      <c r="AB34" s="74">
        <f>SUM(Z34:AA34)</f>
        <v>4500</v>
      </c>
      <c r="AC34" s="74">
        <v>0</v>
      </c>
      <c r="AD34" s="74">
        <f>SUM(AB34:AC34)</f>
        <v>4500</v>
      </c>
      <c r="AE34" s="74">
        <v>0</v>
      </c>
      <c r="AF34" s="74">
        <f>SUM(AD34:AE34)</f>
        <v>4500</v>
      </c>
      <c r="AG34" s="74">
        <v>0</v>
      </c>
      <c r="AH34" s="74">
        <f>SUM(AF34:AG34)</f>
        <v>4500</v>
      </c>
    </row>
    <row r="35" spans="1:34" s="27" customFormat="1" ht="21.75" customHeight="1">
      <c r="A35" s="76"/>
      <c r="B35" s="82"/>
      <c r="C35" s="58">
        <v>4300</v>
      </c>
      <c r="D35" s="14" t="s">
        <v>340</v>
      </c>
      <c r="E35" s="74">
        <f>18000+30000+100000</f>
        <v>148000</v>
      </c>
      <c r="F35" s="74"/>
      <c r="G35" s="74"/>
      <c r="H35" s="74">
        <f t="shared" si="3"/>
        <v>148000</v>
      </c>
      <c r="I35" s="74"/>
      <c r="J35" s="74">
        <f t="shared" si="5"/>
        <v>148000</v>
      </c>
      <c r="K35" s="74">
        <v>70000</v>
      </c>
      <c r="L35" s="74">
        <f t="shared" si="6"/>
        <v>218000</v>
      </c>
      <c r="M35" s="74">
        <v>0</v>
      </c>
      <c r="N35" s="74">
        <f>SUM(L35:M35)</f>
        <v>218000</v>
      </c>
      <c r="O35" s="74">
        <v>0</v>
      </c>
      <c r="P35" s="74">
        <f>SUM(N35:O35)</f>
        <v>218000</v>
      </c>
      <c r="Q35" s="74">
        <v>0</v>
      </c>
      <c r="R35" s="74">
        <f>SUM(P35:Q35)</f>
        <v>218000</v>
      </c>
      <c r="S35" s="74">
        <v>0</v>
      </c>
      <c r="T35" s="74">
        <f>SUM(R35:S35)</f>
        <v>218000</v>
      </c>
      <c r="U35" s="74">
        <v>0</v>
      </c>
      <c r="V35" s="74">
        <f>SUM(T35:U35)</f>
        <v>218000</v>
      </c>
      <c r="W35" s="74">
        <v>0</v>
      </c>
      <c r="X35" s="74">
        <f>SUM(V35:W35)</f>
        <v>218000</v>
      </c>
      <c r="Y35" s="74">
        <v>0</v>
      </c>
      <c r="Z35" s="74">
        <f>SUM(X35:Y35)</f>
        <v>218000</v>
      </c>
      <c r="AA35" s="74">
        <v>0</v>
      </c>
      <c r="AB35" s="74">
        <f>SUM(Z35:AA35)</f>
        <v>218000</v>
      </c>
      <c r="AC35" s="74">
        <v>0</v>
      </c>
      <c r="AD35" s="74">
        <f>SUM(AB35:AC35)</f>
        <v>218000</v>
      </c>
      <c r="AE35" s="74">
        <v>0</v>
      </c>
      <c r="AF35" s="74">
        <f>SUM(AD35:AE35)</f>
        <v>218000</v>
      </c>
      <c r="AG35" s="74">
        <f>-100000-42000</f>
        <v>-142000</v>
      </c>
      <c r="AH35" s="74">
        <f>SUM(AF35:AG35)</f>
        <v>76000</v>
      </c>
    </row>
    <row r="36" spans="1:34" s="27" customFormat="1" ht="22.5" customHeight="1">
      <c r="A36" s="76"/>
      <c r="B36" s="75" t="s">
        <v>263</v>
      </c>
      <c r="C36" s="58"/>
      <c r="D36" s="14" t="s">
        <v>425</v>
      </c>
      <c r="E36" s="74">
        <f>SUM(E37:E39)</f>
        <v>112168</v>
      </c>
      <c r="F36" s="74">
        <f>SUM(F37:F39)</f>
        <v>0</v>
      </c>
      <c r="G36" s="74">
        <f>SUM(G37:G39)</f>
        <v>0</v>
      </c>
      <c r="H36" s="74">
        <f t="shared" si="3"/>
        <v>112168</v>
      </c>
      <c r="I36" s="74">
        <f aca="true" t="shared" si="35" ref="I36:N36">SUM(I37:I39)</f>
        <v>0</v>
      </c>
      <c r="J36" s="74">
        <f t="shared" si="35"/>
        <v>112168</v>
      </c>
      <c r="K36" s="74">
        <f t="shared" si="35"/>
        <v>0</v>
      </c>
      <c r="L36" s="74">
        <f t="shared" si="35"/>
        <v>112168</v>
      </c>
      <c r="M36" s="74">
        <f t="shared" si="35"/>
        <v>0</v>
      </c>
      <c r="N36" s="74">
        <f t="shared" si="35"/>
        <v>112168</v>
      </c>
      <c r="O36" s="74">
        <f aca="true" t="shared" si="36" ref="O36:T36">SUM(O37:O39)</f>
        <v>0</v>
      </c>
      <c r="P36" s="74">
        <f t="shared" si="36"/>
        <v>112168</v>
      </c>
      <c r="Q36" s="74">
        <f t="shared" si="36"/>
        <v>0</v>
      </c>
      <c r="R36" s="74">
        <f t="shared" si="36"/>
        <v>112168</v>
      </c>
      <c r="S36" s="74">
        <f t="shared" si="36"/>
        <v>0</v>
      </c>
      <c r="T36" s="74">
        <f t="shared" si="36"/>
        <v>112168</v>
      </c>
      <c r="U36" s="74">
        <f aca="true" t="shared" si="37" ref="U36:Z36">SUM(U37:U39)</f>
        <v>0</v>
      </c>
      <c r="V36" s="74">
        <f t="shared" si="37"/>
        <v>112168</v>
      </c>
      <c r="W36" s="74">
        <f t="shared" si="37"/>
        <v>60000</v>
      </c>
      <c r="X36" s="74">
        <f t="shared" si="37"/>
        <v>172168</v>
      </c>
      <c r="Y36" s="74">
        <f t="shared" si="37"/>
        <v>0</v>
      </c>
      <c r="Z36" s="74">
        <f t="shared" si="37"/>
        <v>172168</v>
      </c>
      <c r="AA36" s="74">
        <f aca="true" t="shared" si="38" ref="AA36:AF36">SUM(AA37:AA39)</f>
        <v>0</v>
      </c>
      <c r="AB36" s="74">
        <f t="shared" si="38"/>
        <v>172168</v>
      </c>
      <c r="AC36" s="74">
        <f t="shared" si="38"/>
        <v>0</v>
      </c>
      <c r="AD36" s="74">
        <f t="shared" si="38"/>
        <v>172168</v>
      </c>
      <c r="AE36" s="74">
        <f t="shared" si="38"/>
        <v>0</v>
      </c>
      <c r="AF36" s="74">
        <f t="shared" si="38"/>
        <v>172168</v>
      </c>
      <c r="AG36" s="74">
        <f>SUM(AG37:AG40)</f>
        <v>14360</v>
      </c>
      <c r="AH36" s="74">
        <f>SUM(AH37:AH40)</f>
        <v>186528</v>
      </c>
    </row>
    <row r="37" spans="1:34" s="27" customFormat="1" ht="21.75" customHeight="1">
      <c r="A37" s="76"/>
      <c r="B37" s="75"/>
      <c r="C37" s="58">
        <v>4510</v>
      </c>
      <c r="D37" s="14" t="s">
        <v>421</v>
      </c>
      <c r="E37" s="74">
        <v>28</v>
      </c>
      <c r="F37" s="74"/>
      <c r="G37" s="74"/>
      <c r="H37" s="74">
        <f t="shared" si="3"/>
        <v>28</v>
      </c>
      <c r="I37" s="74"/>
      <c r="J37" s="74">
        <f t="shared" si="5"/>
        <v>28</v>
      </c>
      <c r="K37" s="74">
        <v>0</v>
      </c>
      <c r="L37" s="74">
        <f t="shared" si="6"/>
        <v>28</v>
      </c>
      <c r="M37" s="74">
        <v>0</v>
      </c>
      <c r="N37" s="74">
        <f>SUM(L37:M37)</f>
        <v>28</v>
      </c>
      <c r="O37" s="74">
        <v>0</v>
      </c>
      <c r="P37" s="74">
        <f>SUM(N37:O37)</f>
        <v>28</v>
      </c>
      <c r="Q37" s="74">
        <v>0</v>
      </c>
      <c r="R37" s="74">
        <f>SUM(P37:Q37)</f>
        <v>28</v>
      </c>
      <c r="S37" s="74">
        <v>0</v>
      </c>
      <c r="T37" s="74">
        <f>SUM(R37:S37)</f>
        <v>28</v>
      </c>
      <c r="U37" s="74">
        <v>0</v>
      </c>
      <c r="V37" s="74">
        <f>SUM(T37:U37)</f>
        <v>28</v>
      </c>
      <c r="W37" s="74">
        <v>0</v>
      </c>
      <c r="X37" s="74">
        <f>SUM(V37:W37)</f>
        <v>28</v>
      </c>
      <c r="Y37" s="74">
        <v>0</v>
      </c>
      <c r="Z37" s="74">
        <f>SUM(X37:Y37)</f>
        <v>28</v>
      </c>
      <c r="AA37" s="74">
        <v>0</v>
      </c>
      <c r="AB37" s="74">
        <f>SUM(Z37:AA37)</f>
        <v>28</v>
      </c>
      <c r="AC37" s="74">
        <v>0</v>
      </c>
      <c r="AD37" s="74">
        <f>SUM(AB37:AC37)</f>
        <v>28</v>
      </c>
      <c r="AE37" s="74">
        <v>0</v>
      </c>
      <c r="AF37" s="74">
        <f>SUM(AD37:AE37)</f>
        <v>28</v>
      </c>
      <c r="AG37" s="74">
        <v>0</v>
      </c>
      <c r="AH37" s="74">
        <f>SUM(AF37:AG37)</f>
        <v>28</v>
      </c>
    </row>
    <row r="38" spans="1:34" s="27" customFormat="1" ht="21.75" customHeight="1">
      <c r="A38" s="76"/>
      <c r="B38" s="82"/>
      <c r="C38" s="76">
        <v>4300</v>
      </c>
      <c r="D38" s="14" t="s">
        <v>340</v>
      </c>
      <c r="E38" s="74">
        <f>100000+12000</f>
        <v>112000</v>
      </c>
      <c r="F38" s="74"/>
      <c r="G38" s="74"/>
      <c r="H38" s="74">
        <f t="shared" si="3"/>
        <v>112000</v>
      </c>
      <c r="I38" s="74"/>
      <c r="J38" s="74">
        <f t="shared" si="5"/>
        <v>112000</v>
      </c>
      <c r="K38" s="74">
        <v>0</v>
      </c>
      <c r="L38" s="74">
        <f t="shared" si="6"/>
        <v>112000</v>
      </c>
      <c r="M38" s="74">
        <v>0</v>
      </c>
      <c r="N38" s="74">
        <f>SUM(L38:M38)</f>
        <v>112000</v>
      </c>
      <c r="O38" s="74">
        <v>0</v>
      </c>
      <c r="P38" s="74">
        <f>SUM(N38:O38)</f>
        <v>112000</v>
      </c>
      <c r="Q38" s="74">
        <v>0</v>
      </c>
      <c r="R38" s="74">
        <f>SUM(P38:Q38)</f>
        <v>112000</v>
      </c>
      <c r="S38" s="74">
        <v>0</v>
      </c>
      <c r="T38" s="74">
        <f>SUM(R38:S38)</f>
        <v>112000</v>
      </c>
      <c r="U38" s="74">
        <v>0</v>
      </c>
      <c r="V38" s="74">
        <f>SUM(T38:U38)</f>
        <v>112000</v>
      </c>
      <c r="W38" s="74">
        <v>60000</v>
      </c>
      <c r="X38" s="74">
        <f>SUM(V38:W38)</f>
        <v>172000</v>
      </c>
      <c r="Y38" s="74">
        <v>0</v>
      </c>
      <c r="Z38" s="74">
        <f>SUM(X38:Y38)</f>
        <v>172000</v>
      </c>
      <c r="AA38" s="74">
        <v>0</v>
      </c>
      <c r="AB38" s="74">
        <f>SUM(Z38:AA38)</f>
        <v>172000</v>
      </c>
      <c r="AC38" s="74">
        <v>0</v>
      </c>
      <c r="AD38" s="74">
        <f>SUM(AB38:AC38)</f>
        <v>172000</v>
      </c>
      <c r="AE38" s="74">
        <v>0</v>
      </c>
      <c r="AF38" s="74">
        <f>SUM(AD38:AE38)</f>
        <v>172000</v>
      </c>
      <c r="AG38" s="74">
        <v>0</v>
      </c>
      <c r="AH38" s="74">
        <f>SUM(AF38:AG38)</f>
        <v>172000</v>
      </c>
    </row>
    <row r="39" spans="1:34" s="27" customFormat="1" ht="21.75" customHeight="1">
      <c r="A39" s="76"/>
      <c r="B39" s="82"/>
      <c r="C39" s="76">
        <v>4480</v>
      </c>
      <c r="D39" s="14" t="s">
        <v>286</v>
      </c>
      <c r="E39" s="74">
        <v>140</v>
      </c>
      <c r="F39" s="74"/>
      <c r="G39" s="74"/>
      <c r="H39" s="74">
        <f t="shared" si="3"/>
        <v>140</v>
      </c>
      <c r="I39" s="74"/>
      <c r="J39" s="74">
        <f t="shared" si="5"/>
        <v>140</v>
      </c>
      <c r="K39" s="74">
        <v>0</v>
      </c>
      <c r="L39" s="74">
        <f t="shared" si="6"/>
        <v>140</v>
      </c>
      <c r="M39" s="74">
        <v>0</v>
      </c>
      <c r="N39" s="74">
        <f>SUM(L39:M39)</f>
        <v>140</v>
      </c>
      <c r="O39" s="74">
        <v>0</v>
      </c>
      <c r="P39" s="74">
        <f>SUM(N39:O39)</f>
        <v>140</v>
      </c>
      <c r="Q39" s="74">
        <v>0</v>
      </c>
      <c r="R39" s="74">
        <f>SUM(P39:Q39)</f>
        <v>140</v>
      </c>
      <c r="S39" s="74">
        <v>0</v>
      </c>
      <c r="T39" s="74">
        <f>SUM(R39:S39)</f>
        <v>140</v>
      </c>
      <c r="U39" s="74">
        <v>0</v>
      </c>
      <c r="V39" s="74">
        <f>SUM(T39:U39)</f>
        <v>140</v>
      </c>
      <c r="W39" s="74">
        <v>0</v>
      </c>
      <c r="X39" s="74">
        <f>SUM(V39:W39)</f>
        <v>140</v>
      </c>
      <c r="Y39" s="74">
        <v>0</v>
      </c>
      <c r="Z39" s="74">
        <f>SUM(X39:Y39)</f>
        <v>140</v>
      </c>
      <c r="AA39" s="74">
        <v>0</v>
      </c>
      <c r="AB39" s="74">
        <f>SUM(Z39:AA39)</f>
        <v>140</v>
      </c>
      <c r="AC39" s="74">
        <v>0</v>
      </c>
      <c r="AD39" s="74">
        <f>SUM(AB39:AC39)</f>
        <v>140</v>
      </c>
      <c r="AE39" s="74">
        <v>0</v>
      </c>
      <c r="AF39" s="74">
        <f>SUM(AD39:AE39)</f>
        <v>140</v>
      </c>
      <c r="AG39" s="74">
        <v>0</v>
      </c>
      <c r="AH39" s="74">
        <f>SUM(AF39:AG39)</f>
        <v>140</v>
      </c>
    </row>
    <row r="40" spans="1:34" s="27" customFormat="1" ht="21.75" customHeight="1">
      <c r="A40" s="76"/>
      <c r="B40" s="82"/>
      <c r="C40" s="76">
        <v>4530</v>
      </c>
      <c r="D40" s="14" t="s">
        <v>315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>
        <v>0</v>
      </c>
      <c r="AG40" s="74">
        <v>14360</v>
      </c>
      <c r="AH40" s="74">
        <f>SUM(AF40:AG40)</f>
        <v>14360</v>
      </c>
    </row>
    <row r="41" spans="1:34" s="27" customFormat="1" ht="21.75" customHeight="1">
      <c r="A41" s="76"/>
      <c r="B41" s="82">
        <v>70021</v>
      </c>
      <c r="C41" s="76"/>
      <c r="D41" s="14" t="s">
        <v>462</v>
      </c>
      <c r="E41" s="74">
        <f aca="true" t="shared" si="39" ref="E41:L41">SUM(E42:E44)</f>
        <v>400000</v>
      </c>
      <c r="F41" s="74">
        <f t="shared" si="39"/>
        <v>300000</v>
      </c>
      <c r="G41" s="74">
        <f t="shared" si="39"/>
        <v>100000</v>
      </c>
      <c r="H41" s="74">
        <f t="shared" si="39"/>
        <v>600000</v>
      </c>
      <c r="I41" s="74">
        <f t="shared" si="39"/>
        <v>0</v>
      </c>
      <c r="J41" s="74">
        <f t="shared" si="39"/>
        <v>600000</v>
      </c>
      <c r="K41" s="74">
        <f t="shared" si="39"/>
        <v>0</v>
      </c>
      <c r="L41" s="74">
        <f t="shared" si="39"/>
        <v>600000</v>
      </c>
      <c r="M41" s="74">
        <f aca="true" t="shared" si="40" ref="M41:R41">SUM(M42:M44)</f>
        <v>0</v>
      </c>
      <c r="N41" s="74">
        <f t="shared" si="40"/>
        <v>600000</v>
      </c>
      <c r="O41" s="74">
        <f t="shared" si="40"/>
        <v>0</v>
      </c>
      <c r="P41" s="74">
        <f t="shared" si="40"/>
        <v>600000</v>
      </c>
      <c r="Q41" s="74">
        <f t="shared" si="40"/>
        <v>0</v>
      </c>
      <c r="R41" s="74">
        <f t="shared" si="40"/>
        <v>600000</v>
      </c>
      <c r="S41" s="74">
        <f aca="true" t="shared" si="41" ref="S41:X41">SUM(S42:S44)</f>
        <v>0</v>
      </c>
      <c r="T41" s="74">
        <f t="shared" si="41"/>
        <v>600000</v>
      </c>
      <c r="U41" s="74">
        <f t="shared" si="41"/>
        <v>0</v>
      </c>
      <c r="V41" s="74">
        <f t="shared" si="41"/>
        <v>600000</v>
      </c>
      <c r="W41" s="74">
        <f t="shared" si="41"/>
        <v>0</v>
      </c>
      <c r="X41" s="74">
        <f t="shared" si="41"/>
        <v>600000</v>
      </c>
      <c r="Y41" s="74">
        <f aca="true" t="shared" si="42" ref="Y41:AD41">SUM(Y42:Y44)</f>
        <v>0</v>
      </c>
      <c r="Z41" s="74">
        <f t="shared" si="42"/>
        <v>600000</v>
      </c>
      <c r="AA41" s="74">
        <f t="shared" si="42"/>
        <v>0</v>
      </c>
      <c r="AB41" s="74">
        <f t="shared" si="42"/>
        <v>600000</v>
      </c>
      <c r="AC41" s="74">
        <f t="shared" si="42"/>
        <v>0</v>
      </c>
      <c r="AD41" s="74">
        <f t="shared" si="42"/>
        <v>600000</v>
      </c>
      <c r="AE41" s="74">
        <f>SUM(AE42:AE44)</f>
        <v>0</v>
      </c>
      <c r="AF41" s="74">
        <f>SUM(AF42:AF44)</f>
        <v>600000</v>
      </c>
      <c r="AG41" s="74">
        <f>SUM(AG42:AG44)</f>
        <v>0</v>
      </c>
      <c r="AH41" s="74">
        <f>SUM(AH42:AH44)</f>
        <v>600000</v>
      </c>
    </row>
    <row r="42" spans="1:34" s="27" customFormat="1" ht="22.5" customHeight="1">
      <c r="A42" s="76"/>
      <c r="B42" s="82"/>
      <c r="C42" s="76">
        <v>4270</v>
      </c>
      <c r="D42" s="14" t="s">
        <v>339</v>
      </c>
      <c r="E42" s="74">
        <v>0</v>
      </c>
      <c r="F42" s="74">
        <f>200000+100000</f>
        <v>300000</v>
      </c>
      <c r="G42" s="74"/>
      <c r="H42" s="74">
        <f aca="true" t="shared" si="43" ref="H42:H57">E42+F42-G42</f>
        <v>300000</v>
      </c>
      <c r="I42" s="74"/>
      <c r="J42" s="74">
        <f t="shared" si="5"/>
        <v>300000</v>
      </c>
      <c r="K42" s="74">
        <v>0</v>
      </c>
      <c r="L42" s="74">
        <f t="shared" si="6"/>
        <v>300000</v>
      </c>
      <c r="M42" s="74">
        <v>0</v>
      </c>
      <c r="N42" s="74">
        <f>SUM(L42:M42)</f>
        <v>300000</v>
      </c>
      <c r="O42" s="74">
        <v>0</v>
      </c>
      <c r="P42" s="74">
        <f>SUM(N42:O42)</f>
        <v>300000</v>
      </c>
      <c r="Q42" s="74">
        <v>0</v>
      </c>
      <c r="R42" s="74">
        <f>SUM(P42:Q42)</f>
        <v>300000</v>
      </c>
      <c r="S42" s="74">
        <v>0</v>
      </c>
      <c r="T42" s="74">
        <f>SUM(R42:S42)</f>
        <v>300000</v>
      </c>
      <c r="U42" s="74">
        <v>0</v>
      </c>
      <c r="V42" s="74">
        <f>SUM(T42:U42)</f>
        <v>300000</v>
      </c>
      <c r="W42" s="74">
        <v>0</v>
      </c>
      <c r="X42" s="74">
        <f>SUM(V42:W42)</f>
        <v>300000</v>
      </c>
      <c r="Y42" s="74">
        <v>0</v>
      </c>
      <c r="Z42" s="74">
        <f>SUM(X42:Y42)</f>
        <v>300000</v>
      </c>
      <c r="AA42" s="74">
        <v>0</v>
      </c>
      <c r="AB42" s="74">
        <f>SUM(Z42:AA42)</f>
        <v>300000</v>
      </c>
      <c r="AC42" s="74">
        <v>0</v>
      </c>
      <c r="AD42" s="74">
        <f>SUM(AB42:AC42)</f>
        <v>300000</v>
      </c>
      <c r="AE42" s="74">
        <v>0</v>
      </c>
      <c r="AF42" s="74">
        <f>SUM(AD42:AE42)</f>
        <v>300000</v>
      </c>
      <c r="AG42" s="74">
        <v>0</v>
      </c>
      <c r="AH42" s="74">
        <f>SUM(AF42:AG42)</f>
        <v>300000</v>
      </c>
    </row>
    <row r="43" spans="1:34" s="27" customFormat="1" ht="11.25" hidden="1">
      <c r="A43" s="76"/>
      <c r="B43" s="82"/>
      <c r="C43" s="76">
        <v>4300</v>
      </c>
      <c r="D43" s="14" t="s">
        <v>340</v>
      </c>
      <c r="E43" s="74">
        <v>100000</v>
      </c>
      <c r="F43" s="74"/>
      <c r="G43" s="74">
        <v>100000</v>
      </c>
      <c r="H43" s="74">
        <f t="shared" si="43"/>
        <v>0</v>
      </c>
      <c r="I43" s="74"/>
      <c r="J43" s="74">
        <f t="shared" si="5"/>
        <v>0</v>
      </c>
      <c r="K43" s="74"/>
      <c r="L43" s="74">
        <f t="shared" si="6"/>
        <v>0</v>
      </c>
      <c r="M43" s="74"/>
      <c r="N43" s="74">
        <f>SUM(L43:M43)</f>
        <v>0</v>
      </c>
      <c r="O43" s="74"/>
      <c r="P43" s="74">
        <f>SUM(N43:O43)</f>
        <v>0</v>
      </c>
      <c r="Q43" s="74"/>
      <c r="R43" s="74">
        <f>SUM(P43:Q43)</f>
        <v>0</v>
      </c>
      <c r="S43" s="74"/>
      <c r="T43" s="74">
        <f>SUM(R43:S43)</f>
        <v>0</v>
      </c>
      <c r="U43" s="74"/>
      <c r="V43" s="74">
        <f>SUM(T43:U43)</f>
        <v>0</v>
      </c>
      <c r="W43" s="74"/>
      <c r="X43" s="74">
        <f>SUM(V43:W43)</f>
        <v>0</v>
      </c>
      <c r="Y43" s="74"/>
      <c r="Z43" s="74">
        <f>SUM(X43:Y43)</f>
        <v>0</v>
      </c>
      <c r="AA43" s="74"/>
      <c r="AB43" s="74">
        <f>SUM(Z43:AA43)</f>
        <v>0</v>
      </c>
      <c r="AC43" s="74"/>
      <c r="AD43" s="74">
        <f>SUM(AB43:AC43)</f>
        <v>0</v>
      </c>
      <c r="AE43" s="74"/>
      <c r="AF43" s="74">
        <f>SUM(AD43:AE43)</f>
        <v>0</v>
      </c>
      <c r="AG43" s="74"/>
      <c r="AH43" s="74">
        <f>SUM(AF43:AG43)</f>
        <v>0</v>
      </c>
    </row>
    <row r="44" spans="1:38" s="27" customFormat="1" ht="58.5" customHeight="1">
      <c r="A44" s="76"/>
      <c r="B44" s="82"/>
      <c r="C44" s="76">
        <v>6010</v>
      </c>
      <c r="D44" s="14" t="s">
        <v>576</v>
      </c>
      <c r="E44" s="74">
        <v>300000</v>
      </c>
      <c r="F44" s="74"/>
      <c r="G44" s="74"/>
      <c r="H44" s="74">
        <f t="shared" si="43"/>
        <v>300000</v>
      </c>
      <c r="I44" s="74"/>
      <c r="J44" s="74">
        <f t="shared" si="5"/>
        <v>300000</v>
      </c>
      <c r="K44" s="74">
        <v>0</v>
      </c>
      <c r="L44" s="74">
        <f t="shared" si="6"/>
        <v>300000</v>
      </c>
      <c r="M44" s="74">
        <v>0</v>
      </c>
      <c r="N44" s="74">
        <f>SUM(L44:M44)</f>
        <v>300000</v>
      </c>
      <c r="O44" s="74">
        <v>0</v>
      </c>
      <c r="P44" s="74">
        <f>SUM(N44:O44)</f>
        <v>300000</v>
      </c>
      <c r="Q44" s="74">
        <v>0</v>
      </c>
      <c r="R44" s="74">
        <f>SUM(P44:Q44)</f>
        <v>300000</v>
      </c>
      <c r="S44" s="74">
        <v>0</v>
      </c>
      <c r="T44" s="74">
        <f>SUM(R44:S44)</f>
        <v>300000</v>
      </c>
      <c r="U44" s="74">
        <v>0</v>
      </c>
      <c r="V44" s="74">
        <f>SUM(T44:U44)</f>
        <v>300000</v>
      </c>
      <c r="W44" s="74">
        <v>0</v>
      </c>
      <c r="X44" s="74">
        <f>SUM(V44:W44)</f>
        <v>300000</v>
      </c>
      <c r="Y44" s="74">
        <v>0</v>
      </c>
      <c r="Z44" s="74">
        <f>SUM(X44:Y44)</f>
        <v>300000</v>
      </c>
      <c r="AA44" s="74">
        <v>0</v>
      </c>
      <c r="AB44" s="74">
        <f>SUM(Z44:AA44)</f>
        <v>300000</v>
      </c>
      <c r="AC44" s="74">
        <v>0</v>
      </c>
      <c r="AD44" s="74">
        <f>SUM(AB44:AC44)</f>
        <v>300000</v>
      </c>
      <c r="AE44" s="74">
        <v>0</v>
      </c>
      <c r="AF44" s="74">
        <f>SUM(AD44:AE44)</f>
        <v>300000</v>
      </c>
      <c r="AG44" s="74">
        <v>0</v>
      </c>
      <c r="AH44" s="74">
        <f>SUM(AF44:AG44)</f>
        <v>300000</v>
      </c>
      <c r="AK44" s="119"/>
      <c r="AL44" s="119"/>
    </row>
    <row r="45" spans="1:34" s="27" customFormat="1" ht="21.75" customHeight="1">
      <c r="A45" s="76"/>
      <c r="B45" s="75">
        <v>70095</v>
      </c>
      <c r="C45" s="58"/>
      <c r="D45" s="14" t="s">
        <v>250</v>
      </c>
      <c r="E45" s="74">
        <f>SUM(E46:E50)</f>
        <v>278360</v>
      </c>
      <c r="F45" s="74">
        <f>SUM(F46:F50)</f>
        <v>150000</v>
      </c>
      <c r="G45" s="74">
        <f>SUM(G46:G50)</f>
        <v>100000</v>
      </c>
      <c r="H45" s="74">
        <f t="shared" si="43"/>
        <v>328360</v>
      </c>
      <c r="I45" s="74">
        <f aca="true" t="shared" si="44" ref="I45:N45">SUM(I46:I50)</f>
        <v>56000</v>
      </c>
      <c r="J45" s="74">
        <f t="shared" si="44"/>
        <v>384360</v>
      </c>
      <c r="K45" s="74">
        <f t="shared" si="44"/>
        <v>0</v>
      </c>
      <c r="L45" s="74">
        <f t="shared" si="44"/>
        <v>384360</v>
      </c>
      <c r="M45" s="74">
        <f t="shared" si="44"/>
        <v>0</v>
      </c>
      <c r="N45" s="74">
        <f t="shared" si="44"/>
        <v>384360</v>
      </c>
      <c r="O45" s="74">
        <f aca="true" t="shared" si="45" ref="O45:T45">SUM(O46:O50)</f>
        <v>0</v>
      </c>
      <c r="P45" s="74">
        <f t="shared" si="45"/>
        <v>384360</v>
      </c>
      <c r="Q45" s="74">
        <f t="shared" si="45"/>
        <v>108433</v>
      </c>
      <c r="R45" s="74">
        <f t="shared" si="45"/>
        <v>492793</v>
      </c>
      <c r="S45" s="74">
        <f t="shared" si="45"/>
        <v>0</v>
      </c>
      <c r="T45" s="74">
        <f t="shared" si="45"/>
        <v>492793</v>
      </c>
      <c r="U45" s="74">
        <f aca="true" t="shared" si="46" ref="U45:Z45">SUM(U46:U50)</f>
        <v>0</v>
      </c>
      <c r="V45" s="74">
        <f t="shared" si="46"/>
        <v>492793</v>
      </c>
      <c r="W45" s="74">
        <f t="shared" si="46"/>
        <v>393936</v>
      </c>
      <c r="X45" s="74">
        <f t="shared" si="46"/>
        <v>886729</v>
      </c>
      <c r="Y45" s="74">
        <f t="shared" si="46"/>
        <v>0</v>
      </c>
      <c r="Z45" s="74">
        <f t="shared" si="46"/>
        <v>886729</v>
      </c>
      <c r="AA45" s="74">
        <f aca="true" t="shared" si="47" ref="AA45:AF45">SUM(AA46:AA50)</f>
        <v>0</v>
      </c>
      <c r="AB45" s="74">
        <f t="shared" si="47"/>
        <v>886729</v>
      </c>
      <c r="AC45" s="74">
        <f t="shared" si="47"/>
        <v>0</v>
      </c>
      <c r="AD45" s="74">
        <f t="shared" si="47"/>
        <v>886729</v>
      </c>
      <c r="AE45" s="74">
        <f t="shared" si="47"/>
        <v>0</v>
      </c>
      <c r="AF45" s="74">
        <f t="shared" si="47"/>
        <v>886729</v>
      </c>
      <c r="AG45" s="74">
        <f>SUM(AG46:AG50)</f>
        <v>0</v>
      </c>
      <c r="AH45" s="74">
        <f>SUM(AH46:AH50)</f>
        <v>886729</v>
      </c>
    </row>
    <row r="46" spans="1:34" s="27" customFormat="1" ht="21.75" customHeight="1">
      <c r="A46" s="76"/>
      <c r="B46" s="75"/>
      <c r="C46" s="58">
        <v>4260</v>
      </c>
      <c r="D46" s="14" t="s">
        <v>357</v>
      </c>
      <c r="E46" s="74">
        <v>300</v>
      </c>
      <c r="F46" s="74"/>
      <c r="G46" s="74"/>
      <c r="H46" s="74">
        <f t="shared" si="43"/>
        <v>300</v>
      </c>
      <c r="I46" s="74"/>
      <c r="J46" s="74">
        <f t="shared" si="5"/>
        <v>300</v>
      </c>
      <c r="K46" s="74">
        <v>0</v>
      </c>
      <c r="L46" s="74">
        <f t="shared" si="6"/>
        <v>300</v>
      </c>
      <c r="M46" s="74">
        <v>0</v>
      </c>
      <c r="N46" s="74">
        <f>SUM(L46:M46)</f>
        <v>300</v>
      </c>
      <c r="O46" s="74">
        <v>0</v>
      </c>
      <c r="P46" s="74">
        <f>SUM(N46:O46)</f>
        <v>300</v>
      </c>
      <c r="Q46" s="74">
        <v>0</v>
      </c>
      <c r="R46" s="74">
        <f>SUM(P46:Q46)</f>
        <v>300</v>
      </c>
      <c r="S46" s="74">
        <v>0</v>
      </c>
      <c r="T46" s="74">
        <f>SUM(R46:S46)</f>
        <v>300</v>
      </c>
      <c r="U46" s="74">
        <v>0</v>
      </c>
      <c r="V46" s="74">
        <f>SUM(T46:U46)</f>
        <v>300</v>
      </c>
      <c r="W46" s="74">
        <v>0</v>
      </c>
      <c r="X46" s="74">
        <f>SUM(V46:W46)</f>
        <v>300</v>
      </c>
      <c r="Y46" s="74">
        <v>0</v>
      </c>
      <c r="Z46" s="74">
        <f>SUM(X46:Y46)</f>
        <v>300</v>
      </c>
      <c r="AA46" s="74">
        <v>0</v>
      </c>
      <c r="AB46" s="74">
        <f>SUM(Z46:AA46)</f>
        <v>300</v>
      </c>
      <c r="AC46" s="74">
        <v>0</v>
      </c>
      <c r="AD46" s="74">
        <f>SUM(AB46:AC46)</f>
        <v>300</v>
      </c>
      <c r="AE46" s="74">
        <v>0</v>
      </c>
      <c r="AF46" s="74">
        <f>SUM(AD46:AE46)</f>
        <v>300</v>
      </c>
      <c r="AG46" s="74">
        <v>0</v>
      </c>
      <c r="AH46" s="74">
        <f>SUM(AF46:AG46)</f>
        <v>300</v>
      </c>
    </row>
    <row r="47" spans="1:34" s="27" customFormat="1" ht="23.25" customHeight="1">
      <c r="A47" s="76"/>
      <c r="B47" s="75"/>
      <c r="C47" s="58">
        <v>4300</v>
      </c>
      <c r="D47" s="14" t="s">
        <v>340</v>
      </c>
      <c r="E47" s="74">
        <f>60+28000</f>
        <v>28060</v>
      </c>
      <c r="F47" s="74">
        <v>150000</v>
      </c>
      <c r="G47" s="74"/>
      <c r="H47" s="74">
        <f t="shared" si="43"/>
        <v>178060</v>
      </c>
      <c r="I47" s="74"/>
      <c r="J47" s="74">
        <f t="shared" si="5"/>
        <v>178060</v>
      </c>
      <c r="K47" s="74">
        <v>0</v>
      </c>
      <c r="L47" s="74">
        <f t="shared" si="6"/>
        <v>178060</v>
      </c>
      <c r="M47" s="74">
        <v>0</v>
      </c>
      <c r="N47" s="74">
        <f>SUM(L47:M47)</f>
        <v>178060</v>
      </c>
      <c r="O47" s="74">
        <v>0</v>
      </c>
      <c r="P47" s="74">
        <f>SUM(N47:O47)</f>
        <v>178060</v>
      </c>
      <c r="Q47" s="210">
        <f>250000-250000</f>
        <v>0</v>
      </c>
      <c r="R47" s="74">
        <f>SUM(P47:Q47)</f>
        <v>178060</v>
      </c>
      <c r="S47" s="138">
        <v>0</v>
      </c>
      <c r="T47" s="74">
        <f>SUM(R47:S47)</f>
        <v>178060</v>
      </c>
      <c r="U47" s="138">
        <v>0</v>
      </c>
      <c r="V47" s="74">
        <f>SUM(T47:U47)</f>
        <v>178060</v>
      </c>
      <c r="W47" s="138">
        <v>300000</v>
      </c>
      <c r="X47" s="74">
        <f>SUM(V47:W47)</f>
        <v>478060</v>
      </c>
      <c r="Y47" s="138">
        <v>0</v>
      </c>
      <c r="Z47" s="74">
        <f>SUM(X47:Y47)</f>
        <v>478060</v>
      </c>
      <c r="AA47" s="138">
        <v>0</v>
      </c>
      <c r="AB47" s="74">
        <f>SUM(Z47:AA47)</f>
        <v>478060</v>
      </c>
      <c r="AC47" s="138">
        <v>0</v>
      </c>
      <c r="AD47" s="74">
        <f>SUM(AB47:AC47)</f>
        <v>478060</v>
      </c>
      <c r="AE47" s="138">
        <v>0</v>
      </c>
      <c r="AF47" s="74">
        <f>SUM(AD47:AE47)</f>
        <v>478060</v>
      </c>
      <c r="AG47" s="138">
        <v>0</v>
      </c>
      <c r="AH47" s="74">
        <f>SUM(AF47:AG47)</f>
        <v>478060</v>
      </c>
    </row>
    <row r="48" spans="1:34" s="27" customFormat="1" ht="23.25" customHeight="1">
      <c r="A48" s="76"/>
      <c r="B48" s="75"/>
      <c r="C48" s="58">
        <v>4590</v>
      </c>
      <c r="D48" s="14" t="s">
        <v>163</v>
      </c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210"/>
      <c r="R48" s="74"/>
      <c r="S48" s="138"/>
      <c r="T48" s="74"/>
      <c r="U48" s="138"/>
      <c r="V48" s="74">
        <v>0</v>
      </c>
      <c r="W48" s="138">
        <v>2936</v>
      </c>
      <c r="X48" s="74">
        <f>SUM(V48:W48)</f>
        <v>2936</v>
      </c>
      <c r="Y48" s="138">
        <v>0</v>
      </c>
      <c r="Z48" s="74">
        <f>SUM(X48:Y48)</f>
        <v>2936</v>
      </c>
      <c r="AA48" s="138">
        <v>0</v>
      </c>
      <c r="AB48" s="74">
        <f>SUM(Z48:AA48)</f>
        <v>2936</v>
      </c>
      <c r="AC48" s="138">
        <v>0</v>
      </c>
      <c r="AD48" s="74">
        <f>SUM(AB48:AC48)</f>
        <v>2936</v>
      </c>
      <c r="AE48" s="138">
        <v>0</v>
      </c>
      <c r="AF48" s="74">
        <f>SUM(AD48:AE48)</f>
        <v>2936</v>
      </c>
      <c r="AG48" s="138">
        <v>0</v>
      </c>
      <c r="AH48" s="74">
        <f>SUM(AF48:AG48)</f>
        <v>2936</v>
      </c>
    </row>
    <row r="49" spans="1:34" s="27" customFormat="1" ht="36">
      <c r="A49" s="76"/>
      <c r="B49" s="75"/>
      <c r="C49" s="58">
        <v>4600</v>
      </c>
      <c r="D49" s="14" t="s">
        <v>27</v>
      </c>
      <c r="E49" s="74"/>
      <c r="F49" s="74"/>
      <c r="G49" s="74"/>
      <c r="H49" s="74">
        <v>0</v>
      </c>
      <c r="I49" s="74">
        <v>56000</v>
      </c>
      <c r="J49" s="74">
        <f t="shared" si="5"/>
        <v>56000</v>
      </c>
      <c r="K49" s="74">
        <v>0</v>
      </c>
      <c r="L49" s="74">
        <f t="shared" si="6"/>
        <v>56000</v>
      </c>
      <c r="M49" s="74">
        <v>0</v>
      </c>
      <c r="N49" s="74">
        <f>SUM(L49:M49)</f>
        <v>56000</v>
      </c>
      <c r="O49" s="74">
        <v>0</v>
      </c>
      <c r="P49" s="74">
        <f>SUM(N49:O49)</f>
        <v>56000</v>
      </c>
      <c r="Q49" s="74">
        <v>410</v>
      </c>
      <c r="R49" s="74">
        <f>SUM(P49:Q49)</f>
        <v>56410</v>
      </c>
      <c r="S49" s="74">
        <v>0</v>
      </c>
      <c r="T49" s="74">
        <f>SUM(R49:S49)</f>
        <v>56410</v>
      </c>
      <c r="U49" s="74">
        <v>0</v>
      </c>
      <c r="V49" s="74">
        <f>SUM(T49:U49)</f>
        <v>56410</v>
      </c>
      <c r="W49" s="74">
        <v>0</v>
      </c>
      <c r="X49" s="74">
        <f>SUM(V49:W49)</f>
        <v>56410</v>
      </c>
      <c r="Y49" s="74">
        <v>0</v>
      </c>
      <c r="Z49" s="74">
        <f>SUM(X49:Y49)</f>
        <v>56410</v>
      </c>
      <c r="AA49" s="74">
        <v>0</v>
      </c>
      <c r="AB49" s="74">
        <f>SUM(Z49:AA49)</f>
        <v>56410</v>
      </c>
      <c r="AC49" s="74">
        <v>0</v>
      </c>
      <c r="AD49" s="74">
        <f>SUM(AB49:AC49)</f>
        <v>56410</v>
      </c>
      <c r="AE49" s="74">
        <v>0</v>
      </c>
      <c r="AF49" s="74">
        <f>SUM(AD49:AE49)</f>
        <v>56410</v>
      </c>
      <c r="AG49" s="74">
        <v>0</v>
      </c>
      <c r="AH49" s="74">
        <f>SUM(AF49:AG49)</f>
        <v>56410</v>
      </c>
    </row>
    <row r="50" spans="1:38" s="27" customFormat="1" ht="21.75" customHeight="1">
      <c r="A50" s="76"/>
      <c r="B50" s="75"/>
      <c r="C50" s="76">
        <v>6050</v>
      </c>
      <c r="D50" s="14" t="s">
        <v>334</v>
      </c>
      <c r="E50" s="74">
        <v>250000</v>
      </c>
      <c r="F50" s="74"/>
      <c r="G50" s="74">
        <v>100000</v>
      </c>
      <c r="H50" s="74">
        <f t="shared" si="43"/>
        <v>150000</v>
      </c>
      <c r="I50" s="74"/>
      <c r="J50" s="74">
        <f t="shared" si="5"/>
        <v>150000</v>
      </c>
      <c r="K50" s="74">
        <v>0</v>
      </c>
      <c r="L50" s="74">
        <f t="shared" si="6"/>
        <v>150000</v>
      </c>
      <c r="M50" s="74">
        <v>0</v>
      </c>
      <c r="N50" s="74">
        <f>SUM(L50:M50)</f>
        <v>150000</v>
      </c>
      <c r="O50" s="74">
        <v>0</v>
      </c>
      <c r="P50" s="74">
        <f>SUM(N50:O50)</f>
        <v>150000</v>
      </c>
      <c r="Q50" s="74">
        <f>103000+5023</f>
        <v>108023</v>
      </c>
      <c r="R50" s="74">
        <f>SUM(P50:Q50)</f>
        <v>258023</v>
      </c>
      <c r="S50" s="74">
        <v>0</v>
      </c>
      <c r="T50" s="74">
        <f>SUM(R50:S50)</f>
        <v>258023</v>
      </c>
      <c r="U50" s="74">
        <v>0</v>
      </c>
      <c r="V50" s="74">
        <f>SUM(T50:U50)</f>
        <v>258023</v>
      </c>
      <c r="W50" s="74">
        <v>91000</v>
      </c>
      <c r="X50" s="74">
        <f>SUM(V50:W50)</f>
        <v>349023</v>
      </c>
      <c r="Y50" s="74">
        <v>0</v>
      </c>
      <c r="Z50" s="74">
        <f>SUM(X50:Y50)</f>
        <v>349023</v>
      </c>
      <c r="AA50" s="74">
        <v>0</v>
      </c>
      <c r="AB50" s="74">
        <f>SUM(Z50:AA50)</f>
        <v>349023</v>
      </c>
      <c r="AC50" s="74">
        <v>0</v>
      </c>
      <c r="AD50" s="74">
        <f>SUM(AB50:AC50)</f>
        <v>349023</v>
      </c>
      <c r="AE50" s="74">
        <v>0</v>
      </c>
      <c r="AF50" s="74">
        <f>SUM(AD50:AE50)</f>
        <v>349023</v>
      </c>
      <c r="AG50" s="74">
        <v>0</v>
      </c>
      <c r="AH50" s="74">
        <f>SUM(AF50:AG50)</f>
        <v>349023</v>
      </c>
      <c r="AK50" s="119"/>
      <c r="AL50" s="119"/>
    </row>
    <row r="51" spans="1:34" s="7" customFormat="1" ht="21" customHeight="1">
      <c r="A51" s="36" t="s">
        <v>266</v>
      </c>
      <c r="B51" s="6"/>
      <c r="C51" s="5"/>
      <c r="D51" s="22" t="s">
        <v>341</v>
      </c>
      <c r="E51" s="271">
        <f>SUM(E52,E55)</f>
        <v>153400</v>
      </c>
      <c r="F51" s="271">
        <f>SUM(F52,F55)</f>
        <v>0</v>
      </c>
      <c r="G51" s="271">
        <f>SUM(G52,G55)</f>
        <v>0</v>
      </c>
      <c r="H51" s="272">
        <f t="shared" si="43"/>
        <v>153400</v>
      </c>
      <c r="I51" s="271">
        <f>SUM(I52,I55)</f>
        <v>0</v>
      </c>
      <c r="J51" s="271">
        <f aca="true" t="shared" si="48" ref="J51:P51">SUM(J52,J55,)</f>
        <v>153400</v>
      </c>
      <c r="K51" s="271">
        <f t="shared" si="48"/>
        <v>0</v>
      </c>
      <c r="L51" s="271">
        <f t="shared" si="48"/>
        <v>153400</v>
      </c>
      <c r="M51" s="271">
        <f t="shared" si="48"/>
        <v>0</v>
      </c>
      <c r="N51" s="271">
        <f t="shared" si="48"/>
        <v>153400</v>
      </c>
      <c r="O51" s="271">
        <f t="shared" si="48"/>
        <v>0</v>
      </c>
      <c r="P51" s="271">
        <f t="shared" si="48"/>
        <v>153400</v>
      </c>
      <c r="Q51" s="271">
        <f aca="true" t="shared" si="49" ref="Q51:V51">SUM(Q52,Q55,)</f>
        <v>0</v>
      </c>
      <c r="R51" s="271">
        <f t="shared" si="49"/>
        <v>153400</v>
      </c>
      <c r="S51" s="271">
        <f t="shared" si="49"/>
        <v>0</v>
      </c>
      <c r="T51" s="271">
        <f t="shared" si="49"/>
        <v>153400</v>
      </c>
      <c r="U51" s="271">
        <f t="shared" si="49"/>
        <v>0</v>
      </c>
      <c r="V51" s="271">
        <f t="shared" si="49"/>
        <v>153400</v>
      </c>
      <c r="W51" s="271">
        <f aca="true" t="shared" si="50" ref="W51:AB51">SUM(W52,W55,)</f>
        <v>0</v>
      </c>
      <c r="X51" s="271">
        <f t="shared" si="50"/>
        <v>153400</v>
      </c>
      <c r="Y51" s="271">
        <f t="shared" si="50"/>
        <v>0</v>
      </c>
      <c r="Z51" s="271">
        <f t="shared" si="50"/>
        <v>153400</v>
      </c>
      <c r="AA51" s="271">
        <f t="shared" si="50"/>
        <v>0</v>
      </c>
      <c r="AB51" s="271">
        <f t="shared" si="50"/>
        <v>153400</v>
      </c>
      <c r="AC51" s="271">
        <f aca="true" t="shared" si="51" ref="AC51:AH51">SUM(AC52,AC55,)</f>
        <v>0</v>
      </c>
      <c r="AD51" s="271">
        <f t="shared" si="51"/>
        <v>153400</v>
      </c>
      <c r="AE51" s="271">
        <f t="shared" si="51"/>
        <v>0</v>
      </c>
      <c r="AF51" s="271">
        <f t="shared" si="51"/>
        <v>153400</v>
      </c>
      <c r="AG51" s="271">
        <f t="shared" si="51"/>
        <v>-10000</v>
      </c>
      <c r="AH51" s="271">
        <f t="shared" si="51"/>
        <v>143400</v>
      </c>
    </row>
    <row r="52" spans="1:34" s="27" customFormat="1" ht="21.75" customHeight="1">
      <c r="A52" s="76"/>
      <c r="B52" s="75" t="s">
        <v>342</v>
      </c>
      <c r="C52" s="58"/>
      <c r="D52" s="14" t="s">
        <v>343</v>
      </c>
      <c r="E52" s="74">
        <f>SUM(E53:E54)</f>
        <v>150000</v>
      </c>
      <c r="F52" s="74">
        <f>SUM(F53:F54)</f>
        <v>0</v>
      </c>
      <c r="G52" s="74">
        <f>SUM(G53:G54)</f>
        <v>0</v>
      </c>
      <c r="H52" s="74">
        <f t="shared" si="43"/>
        <v>150000</v>
      </c>
      <c r="I52" s="74">
        <f aca="true" t="shared" si="52" ref="I52:N52">SUM(I53:I54)</f>
        <v>0</v>
      </c>
      <c r="J52" s="74">
        <f t="shared" si="52"/>
        <v>150000</v>
      </c>
      <c r="K52" s="74">
        <f t="shared" si="52"/>
        <v>0</v>
      </c>
      <c r="L52" s="74">
        <f t="shared" si="52"/>
        <v>150000</v>
      </c>
      <c r="M52" s="74">
        <f t="shared" si="52"/>
        <v>0</v>
      </c>
      <c r="N52" s="74">
        <f t="shared" si="52"/>
        <v>150000</v>
      </c>
      <c r="O52" s="74">
        <f aca="true" t="shared" si="53" ref="O52:T52">SUM(O53:O54)</f>
        <v>0</v>
      </c>
      <c r="P52" s="74">
        <f t="shared" si="53"/>
        <v>150000</v>
      </c>
      <c r="Q52" s="74">
        <f t="shared" si="53"/>
        <v>0</v>
      </c>
      <c r="R52" s="74">
        <f t="shared" si="53"/>
        <v>150000</v>
      </c>
      <c r="S52" s="74">
        <f t="shared" si="53"/>
        <v>0</v>
      </c>
      <c r="T52" s="74">
        <f t="shared" si="53"/>
        <v>150000</v>
      </c>
      <c r="U52" s="74">
        <f aca="true" t="shared" si="54" ref="U52:Z52">SUM(U53:U54)</f>
        <v>0</v>
      </c>
      <c r="V52" s="74">
        <f t="shared" si="54"/>
        <v>150000</v>
      </c>
      <c r="W52" s="74">
        <f t="shared" si="54"/>
        <v>0</v>
      </c>
      <c r="X52" s="74">
        <f t="shared" si="54"/>
        <v>150000</v>
      </c>
      <c r="Y52" s="74">
        <f t="shared" si="54"/>
        <v>0</v>
      </c>
      <c r="Z52" s="74">
        <f t="shared" si="54"/>
        <v>150000</v>
      </c>
      <c r="AA52" s="74">
        <f aca="true" t="shared" si="55" ref="AA52:AF52">SUM(AA53:AA54)</f>
        <v>0</v>
      </c>
      <c r="AB52" s="74">
        <f t="shared" si="55"/>
        <v>150000</v>
      </c>
      <c r="AC52" s="74">
        <f t="shared" si="55"/>
        <v>0</v>
      </c>
      <c r="AD52" s="74">
        <f t="shared" si="55"/>
        <v>150000</v>
      </c>
      <c r="AE52" s="74">
        <f t="shared" si="55"/>
        <v>0</v>
      </c>
      <c r="AF52" s="74">
        <f t="shared" si="55"/>
        <v>150000</v>
      </c>
      <c r="AG52" s="74">
        <f>SUM(AG53:AG54)</f>
        <v>-10000</v>
      </c>
      <c r="AH52" s="74">
        <f>SUM(AH53:AH54)</f>
        <v>140000</v>
      </c>
    </row>
    <row r="53" spans="1:34" s="27" customFormat="1" ht="21.75" customHeight="1">
      <c r="A53" s="76"/>
      <c r="B53" s="75"/>
      <c r="C53" s="76">
        <v>4300</v>
      </c>
      <c r="D53" s="14" t="s">
        <v>340</v>
      </c>
      <c r="E53" s="74">
        <f>150000-10000</f>
        <v>140000</v>
      </c>
      <c r="F53" s="74"/>
      <c r="G53" s="74"/>
      <c r="H53" s="74">
        <f t="shared" si="43"/>
        <v>140000</v>
      </c>
      <c r="I53" s="74"/>
      <c r="J53" s="74">
        <f t="shared" si="5"/>
        <v>140000</v>
      </c>
      <c r="K53" s="74">
        <v>0</v>
      </c>
      <c r="L53" s="74">
        <f t="shared" si="6"/>
        <v>140000</v>
      </c>
      <c r="M53" s="74">
        <v>0</v>
      </c>
      <c r="N53" s="74">
        <f>SUM(L53:M53)</f>
        <v>140000</v>
      </c>
      <c r="O53" s="74">
        <v>0</v>
      </c>
      <c r="P53" s="74">
        <f>SUM(N53:O53)</f>
        <v>140000</v>
      </c>
      <c r="Q53" s="74">
        <v>0</v>
      </c>
      <c r="R53" s="74">
        <f>SUM(P53:Q53)</f>
        <v>140000</v>
      </c>
      <c r="S53" s="74">
        <v>0</v>
      </c>
      <c r="T53" s="74">
        <f>SUM(R53:S53)</f>
        <v>140000</v>
      </c>
      <c r="U53" s="74">
        <v>0</v>
      </c>
      <c r="V53" s="74">
        <f>SUM(T53:U53)</f>
        <v>140000</v>
      </c>
      <c r="W53" s="74">
        <v>0</v>
      </c>
      <c r="X53" s="74">
        <f>SUM(V53:W53)</f>
        <v>140000</v>
      </c>
      <c r="Y53" s="74">
        <v>0</v>
      </c>
      <c r="Z53" s="74">
        <f>SUM(X53:Y53)</f>
        <v>140000</v>
      </c>
      <c r="AA53" s="74">
        <v>0</v>
      </c>
      <c r="AB53" s="74">
        <f>SUM(Z53:AA53)</f>
        <v>140000</v>
      </c>
      <c r="AC53" s="74">
        <v>0</v>
      </c>
      <c r="AD53" s="74">
        <f>SUM(AB53:AC53)</f>
        <v>140000</v>
      </c>
      <c r="AE53" s="74">
        <v>0</v>
      </c>
      <c r="AF53" s="74">
        <f>SUM(AD53:AE53)</f>
        <v>140000</v>
      </c>
      <c r="AG53" s="74">
        <v>0</v>
      </c>
      <c r="AH53" s="74">
        <f>SUM(AF53:AG53)</f>
        <v>140000</v>
      </c>
    </row>
    <row r="54" spans="1:34" s="27" customFormat="1" ht="21.75" customHeight="1">
      <c r="A54" s="76"/>
      <c r="B54" s="75"/>
      <c r="C54" s="76">
        <v>4390</v>
      </c>
      <c r="D54" s="14" t="s">
        <v>574</v>
      </c>
      <c r="E54" s="74">
        <v>10000</v>
      </c>
      <c r="F54" s="74"/>
      <c r="G54" s="74"/>
      <c r="H54" s="74">
        <f t="shared" si="43"/>
        <v>10000</v>
      </c>
      <c r="I54" s="74"/>
      <c r="J54" s="74">
        <f t="shared" si="5"/>
        <v>10000</v>
      </c>
      <c r="K54" s="74">
        <v>0</v>
      </c>
      <c r="L54" s="74">
        <f t="shared" si="6"/>
        <v>10000</v>
      </c>
      <c r="M54" s="74">
        <v>0</v>
      </c>
      <c r="N54" s="74">
        <f>SUM(L54:M54)</f>
        <v>10000</v>
      </c>
      <c r="O54" s="74">
        <v>0</v>
      </c>
      <c r="P54" s="74">
        <f>SUM(N54:O54)</f>
        <v>10000</v>
      </c>
      <c r="Q54" s="74">
        <v>0</v>
      </c>
      <c r="R54" s="74">
        <f>SUM(P54:Q54)</f>
        <v>10000</v>
      </c>
      <c r="S54" s="74">
        <v>0</v>
      </c>
      <c r="T54" s="74">
        <f>SUM(R54:S54)</f>
        <v>10000</v>
      </c>
      <c r="U54" s="74">
        <v>0</v>
      </c>
      <c r="V54" s="74">
        <f>SUM(T54:U54)</f>
        <v>10000</v>
      </c>
      <c r="W54" s="74">
        <v>0</v>
      </c>
      <c r="X54" s="74">
        <f>SUM(V54:W54)</f>
        <v>10000</v>
      </c>
      <c r="Y54" s="74">
        <v>0</v>
      </c>
      <c r="Z54" s="74">
        <f>SUM(X54:Y54)</f>
        <v>10000</v>
      </c>
      <c r="AA54" s="74">
        <v>0</v>
      </c>
      <c r="AB54" s="74">
        <f>SUM(Z54:AA54)</f>
        <v>10000</v>
      </c>
      <c r="AC54" s="74">
        <v>0</v>
      </c>
      <c r="AD54" s="74">
        <f>SUM(AB54:AC54)</f>
        <v>10000</v>
      </c>
      <c r="AE54" s="74">
        <v>0</v>
      </c>
      <c r="AF54" s="74">
        <f>SUM(AD54:AE54)</f>
        <v>10000</v>
      </c>
      <c r="AG54" s="74">
        <v>-10000</v>
      </c>
      <c r="AH54" s="74">
        <f>SUM(AF54:AG54)</f>
        <v>0</v>
      </c>
    </row>
    <row r="55" spans="1:34" s="27" customFormat="1" ht="20.25" customHeight="1">
      <c r="A55" s="76"/>
      <c r="B55" s="75">
        <v>71035</v>
      </c>
      <c r="C55" s="76"/>
      <c r="D55" s="14" t="s">
        <v>267</v>
      </c>
      <c r="E55" s="74">
        <f>SUM(E56:E57)</f>
        <v>3400</v>
      </c>
      <c r="F55" s="74">
        <f>SUM(F56:F57)</f>
        <v>0</v>
      </c>
      <c r="G55" s="74">
        <f>SUM(G56:G57)</f>
        <v>0</v>
      </c>
      <c r="H55" s="74">
        <f t="shared" si="43"/>
        <v>3400</v>
      </c>
      <c r="I55" s="74">
        <f aca="true" t="shared" si="56" ref="I55:N55">SUM(I56:I57)</f>
        <v>0</v>
      </c>
      <c r="J55" s="74">
        <f t="shared" si="56"/>
        <v>3400</v>
      </c>
      <c r="K55" s="74">
        <f t="shared" si="56"/>
        <v>0</v>
      </c>
      <c r="L55" s="74">
        <f t="shared" si="56"/>
        <v>3400</v>
      </c>
      <c r="M55" s="74">
        <f t="shared" si="56"/>
        <v>0</v>
      </c>
      <c r="N55" s="74">
        <f t="shared" si="56"/>
        <v>3400</v>
      </c>
      <c r="O55" s="74">
        <f aca="true" t="shared" si="57" ref="O55:T55">SUM(O56:O57)</f>
        <v>0</v>
      </c>
      <c r="P55" s="74">
        <f t="shared" si="57"/>
        <v>3400</v>
      </c>
      <c r="Q55" s="74">
        <f t="shared" si="57"/>
        <v>0</v>
      </c>
      <c r="R55" s="74">
        <f t="shared" si="57"/>
        <v>3400</v>
      </c>
      <c r="S55" s="74">
        <f t="shared" si="57"/>
        <v>0</v>
      </c>
      <c r="T55" s="74">
        <f t="shared" si="57"/>
        <v>3400</v>
      </c>
      <c r="U55" s="74">
        <f aca="true" t="shared" si="58" ref="U55:Z55">SUM(U56:U57)</f>
        <v>0</v>
      </c>
      <c r="V55" s="74">
        <f t="shared" si="58"/>
        <v>3400</v>
      </c>
      <c r="W55" s="74">
        <f t="shared" si="58"/>
        <v>0</v>
      </c>
      <c r="X55" s="74">
        <f t="shared" si="58"/>
        <v>3400</v>
      </c>
      <c r="Y55" s="74">
        <f t="shared" si="58"/>
        <v>0</v>
      </c>
      <c r="Z55" s="74">
        <f t="shared" si="58"/>
        <v>3400</v>
      </c>
      <c r="AA55" s="74">
        <f aca="true" t="shared" si="59" ref="AA55:AF55">SUM(AA56:AA57)</f>
        <v>0</v>
      </c>
      <c r="AB55" s="74">
        <f t="shared" si="59"/>
        <v>3400</v>
      </c>
      <c r="AC55" s="74">
        <f t="shared" si="59"/>
        <v>0</v>
      </c>
      <c r="AD55" s="74">
        <f t="shared" si="59"/>
        <v>3400</v>
      </c>
      <c r="AE55" s="74">
        <f t="shared" si="59"/>
        <v>0</v>
      </c>
      <c r="AF55" s="74">
        <f t="shared" si="59"/>
        <v>3400</v>
      </c>
      <c r="AG55" s="74">
        <f>SUM(AG56:AG57)</f>
        <v>0</v>
      </c>
      <c r="AH55" s="74">
        <f>SUM(AH56:AH57)</f>
        <v>3400</v>
      </c>
    </row>
    <row r="56" spans="1:34" s="27" customFormat="1" ht="21" customHeight="1">
      <c r="A56" s="76"/>
      <c r="B56" s="75"/>
      <c r="C56" s="76">
        <v>4260</v>
      </c>
      <c r="D56" s="14" t="s">
        <v>357</v>
      </c>
      <c r="E56" s="74">
        <f>400+1500</f>
        <v>1900</v>
      </c>
      <c r="F56" s="74"/>
      <c r="G56" s="74"/>
      <c r="H56" s="74">
        <f t="shared" si="43"/>
        <v>1900</v>
      </c>
      <c r="I56" s="74"/>
      <c r="J56" s="74">
        <f t="shared" si="5"/>
        <v>1900</v>
      </c>
      <c r="K56" s="74">
        <v>0</v>
      </c>
      <c r="L56" s="74">
        <f t="shared" si="6"/>
        <v>1900</v>
      </c>
      <c r="M56" s="74">
        <v>0</v>
      </c>
      <c r="N56" s="74">
        <f>SUM(L56:M56)</f>
        <v>1900</v>
      </c>
      <c r="O56" s="74">
        <v>0</v>
      </c>
      <c r="P56" s="74">
        <f>SUM(N56:O56)</f>
        <v>1900</v>
      </c>
      <c r="Q56" s="74">
        <v>0</v>
      </c>
      <c r="R56" s="74">
        <f>SUM(P56:Q56)</f>
        <v>1900</v>
      </c>
      <c r="S56" s="74">
        <v>0</v>
      </c>
      <c r="T56" s="74">
        <f>SUM(R56:S56)</f>
        <v>1900</v>
      </c>
      <c r="U56" s="74">
        <v>0</v>
      </c>
      <c r="V56" s="74">
        <f>SUM(T56:U56)</f>
        <v>1900</v>
      </c>
      <c r="W56" s="74">
        <v>0</v>
      </c>
      <c r="X56" s="74">
        <f>SUM(V56:W56)</f>
        <v>1900</v>
      </c>
      <c r="Y56" s="74">
        <v>0</v>
      </c>
      <c r="Z56" s="74">
        <f>SUM(X56:Y56)</f>
        <v>1900</v>
      </c>
      <c r="AA56" s="74">
        <v>0</v>
      </c>
      <c r="AB56" s="74">
        <f>SUM(Z56:AA56)</f>
        <v>1900</v>
      </c>
      <c r="AC56" s="74">
        <v>0</v>
      </c>
      <c r="AD56" s="74">
        <f>SUM(AB56:AC56)</f>
        <v>1900</v>
      </c>
      <c r="AE56" s="74">
        <v>0</v>
      </c>
      <c r="AF56" s="74">
        <f>SUM(AD56:AE56)</f>
        <v>1900</v>
      </c>
      <c r="AG56" s="74">
        <v>-1200</v>
      </c>
      <c r="AH56" s="74">
        <f>SUM(AF56:AG56)</f>
        <v>700</v>
      </c>
    </row>
    <row r="57" spans="1:34" s="27" customFormat="1" ht="21" customHeight="1">
      <c r="A57" s="76"/>
      <c r="B57" s="75"/>
      <c r="C57" s="76">
        <v>4300</v>
      </c>
      <c r="D57" s="14" t="s">
        <v>340</v>
      </c>
      <c r="E57" s="74">
        <v>1500</v>
      </c>
      <c r="F57" s="74"/>
      <c r="G57" s="74"/>
      <c r="H57" s="74">
        <f t="shared" si="43"/>
        <v>1500</v>
      </c>
      <c r="I57" s="74"/>
      <c r="J57" s="74">
        <f t="shared" si="5"/>
        <v>1500</v>
      </c>
      <c r="K57" s="74">
        <v>0</v>
      </c>
      <c r="L57" s="74">
        <f t="shared" si="6"/>
        <v>1500</v>
      </c>
      <c r="M57" s="74">
        <v>0</v>
      </c>
      <c r="N57" s="74">
        <f>SUM(L57:M57)</f>
        <v>1500</v>
      </c>
      <c r="O57" s="74">
        <v>0</v>
      </c>
      <c r="P57" s="74">
        <f>SUM(N57:O57)</f>
        <v>1500</v>
      </c>
      <c r="Q57" s="74">
        <v>0</v>
      </c>
      <c r="R57" s="74">
        <f>SUM(P57:Q57)</f>
        <v>1500</v>
      </c>
      <c r="S57" s="74">
        <v>0</v>
      </c>
      <c r="T57" s="74">
        <f>SUM(R57:S57)</f>
        <v>1500</v>
      </c>
      <c r="U57" s="74">
        <v>0</v>
      </c>
      <c r="V57" s="74">
        <f>SUM(T57:U57)</f>
        <v>1500</v>
      </c>
      <c r="W57" s="74">
        <v>0</v>
      </c>
      <c r="X57" s="74">
        <f>SUM(V57:W57)</f>
        <v>1500</v>
      </c>
      <c r="Y57" s="74">
        <v>0</v>
      </c>
      <c r="Z57" s="74">
        <f>SUM(X57:Y57)</f>
        <v>1500</v>
      </c>
      <c r="AA57" s="74">
        <v>0</v>
      </c>
      <c r="AB57" s="74">
        <f>SUM(Z57:AA57)</f>
        <v>1500</v>
      </c>
      <c r="AC57" s="74">
        <v>0</v>
      </c>
      <c r="AD57" s="74">
        <f>SUM(AB57:AC57)</f>
        <v>1500</v>
      </c>
      <c r="AE57" s="74">
        <v>0</v>
      </c>
      <c r="AF57" s="74">
        <f>SUM(AD57:AE57)</f>
        <v>1500</v>
      </c>
      <c r="AG57" s="74">
        <v>1200</v>
      </c>
      <c r="AH57" s="74">
        <f>SUM(AF57:AG57)</f>
        <v>2700</v>
      </c>
    </row>
    <row r="58" spans="1:34" s="7" customFormat="1" ht="24.75" customHeight="1">
      <c r="A58" s="36" t="s">
        <v>268</v>
      </c>
      <c r="B58" s="6"/>
      <c r="C58" s="5"/>
      <c r="D58" s="22" t="s">
        <v>344</v>
      </c>
      <c r="E58" s="271">
        <f>SUM(E59,E65,E76,E101,E114)</f>
        <v>5146750</v>
      </c>
      <c r="F58" s="271">
        <f>SUM(F59,F65,F76,F101,F114)</f>
        <v>37800</v>
      </c>
      <c r="G58" s="271">
        <f>SUM(G59,G65,G76,G101,G114)</f>
        <v>183800</v>
      </c>
      <c r="H58" s="271">
        <f>SUM(H59,H65,H76,H101,H114)</f>
        <v>5000750</v>
      </c>
      <c r="I58" s="271">
        <f>SUM(I59,I65,I76,I101,I114)</f>
        <v>60</v>
      </c>
      <c r="J58" s="271">
        <f aca="true" t="shared" si="60" ref="J58:P58">SUM(J59,J65,J76,J101,J114,)</f>
        <v>5000810</v>
      </c>
      <c r="K58" s="271">
        <f t="shared" si="60"/>
        <v>-300</v>
      </c>
      <c r="L58" s="271">
        <f t="shared" si="60"/>
        <v>5000510</v>
      </c>
      <c r="M58" s="271">
        <f t="shared" si="60"/>
        <v>0</v>
      </c>
      <c r="N58" s="271">
        <f t="shared" si="60"/>
        <v>5000510</v>
      </c>
      <c r="O58" s="271">
        <f t="shared" si="60"/>
        <v>-250</v>
      </c>
      <c r="P58" s="271">
        <f t="shared" si="60"/>
        <v>5000260</v>
      </c>
      <c r="Q58" s="271">
        <f aca="true" t="shared" si="61" ref="Q58:V58">SUM(Q59,Q65,Q76,Q101,Q114,)</f>
        <v>21593</v>
      </c>
      <c r="R58" s="271">
        <f t="shared" si="61"/>
        <v>5021853</v>
      </c>
      <c r="S58" s="271">
        <f t="shared" si="61"/>
        <v>0</v>
      </c>
      <c r="T58" s="271">
        <f t="shared" si="61"/>
        <v>5021853</v>
      </c>
      <c r="U58" s="271">
        <f t="shared" si="61"/>
        <v>0</v>
      </c>
      <c r="V58" s="271">
        <f t="shared" si="61"/>
        <v>5021853</v>
      </c>
      <c r="W58" s="271">
        <f aca="true" t="shared" si="62" ref="W58:AB58">SUM(W59,W65,W76,W101,W114,)</f>
        <v>0</v>
      </c>
      <c r="X58" s="271">
        <f t="shared" si="62"/>
        <v>5021853</v>
      </c>
      <c r="Y58" s="271">
        <f t="shared" si="62"/>
        <v>7300</v>
      </c>
      <c r="Z58" s="271">
        <f t="shared" si="62"/>
        <v>5029153</v>
      </c>
      <c r="AA58" s="271">
        <f t="shared" si="62"/>
        <v>-1890</v>
      </c>
      <c r="AB58" s="271">
        <f t="shared" si="62"/>
        <v>5027263</v>
      </c>
      <c r="AC58" s="271">
        <f aca="true" t="shared" si="63" ref="AC58:AH58">SUM(AC59,AC65,AC76,AC101,AC114,)</f>
        <v>0</v>
      </c>
      <c r="AD58" s="271">
        <f t="shared" si="63"/>
        <v>5027263</v>
      </c>
      <c r="AE58" s="271">
        <f t="shared" si="63"/>
        <v>-650</v>
      </c>
      <c r="AF58" s="271">
        <f t="shared" si="63"/>
        <v>5026613</v>
      </c>
      <c r="AG58" s="271">
        <f t="shared" si="63"/>
        <v>-125244</v>
      </c>
      <c r="AH58" s="271">
        <f t="shared" si="63"/>
        <v>4901369</v>
      </c>
    </row>
    <row r="59" spans="1:34" s="27" customFormat="1" ht="21.75" customHeight="1">
      <c r="A59" s="76"/>
      <c r="B59" s="75">
        <v>75011</v>
      </c>
      <c r="C59" s="58"/>
      <c r="D59" s="14" t="s">
        <v>271</v>
      </c>
      <c r="E59" s="74">
        <f>SUM(E60:E64)</f>
        <v>144800</v>
      </c>
      <c r="F59" s="74">
        <f>SUM(F60:F64)</f>
        <v>0</v>
      </c>
      <c r="G59" s="74">
        <f>SUM(G60:G64)</f>
        <v>0</v>
      </c>
      <c r="H59" s="74">
        <f aca="true" t="shared" si="64" ref="H59:H100">E59+F59-G59</f>
        <v>144800</v>
      </c>
      <c r="I59" s="74">
        <f aca="true" t="shared" si="65" ref="I59:N59">SUM(I60:I64)</f>
        <v>0</v>
      </c>
      <c r="J59" s="74">
        <f t="shared" si="65"/>
        <v>144800</v>
      </c>
      <c r="K59" s="74">
        <f t="shared" si="65"/>
        <v>0</v>
      </c>
      <c r="L59" s="74">
        <f t="shared" si="65"/>
        <v>144800</v>
      </c>
      <c r="M59" s="74">
        <f t="shared" si="65"/>
        <v>0</v>
      </c>
      <c r="N59" s="74">
        <f t="shared" si="65"/>
        <v>144800</v>
      </c>
      <c r="O59" s="74">
        <f aca="true" t="shared" si="66" ref="O59:T59">SUM(O60:O64)</f>
        <v>0</v>
      </c>
      <c r="P59" s="74">
        <f t="shared" si="66"/>
        <v>144800</v>
      </c>
      <c r="Q59" s="74">
        <f t="shared" si="66"/>
        <v>0</v>
      </c>
      <c r="R59" s="74">
        <f t="shared" si="66"/>
        <v>144800</v>
      </c>
      <c r="S59" s="74">
        <f t="shared" si="66"/>
        <v>0</v>
      </c>
      <c r="T59" s="74">
        <f t="shared" si="66"/>
        <v>144800</v>
      </c>
      <c r="U59" s="74">
        <f aca="true" t="shared" si="67" ref="U59:Z59">SUM(U60:U64)</f>
        <v>0</v>
      </c>
      <c r="V59" s="74">
        <f t="shared" si="67"/>
        <v>144800</v>
      </c>
      <c r="W59" s="74">
        <f t="shared" si="67"/>
        <v>0</v>
      </c>
      <c r="X59" s="74">
        <f t="shared" si="67"/>
        <v>144800</v>
      </c>
      <c r="Y59" s="74">
        <f t="shared" si="67"/>
        <v>7300</v>
      </c>
      <c r="Z59" s="74">
        <f t="shared" si="67"/>
        <v>152100</v>
      </c>
      <c r="AA59" s="74">
        <f aca="true" t="shared" si="68" ref="AA59:AF59">SUM(AA60:AA64)</f>
        <v>0</v>
      </c>
      <c r="AB59" s="74">
        <f t="shared" si="68"/>
        <v>152100</v>
      </c>
      <c r="AC59" s="74">
        <f t="shared" si="68"/>
        <v>0</v>
      </c>
      <c r="AD59" s="74">
        <f t="shared" si="68"/>
        <v>152100</v>
      </c>
      <c r="AE59" s="74">
        <f t="shared" si="68"/>
        <v>0</v>
      </c>
      <c r="AF59" s="74">
        <f t="shared" si="68"/>
        <v>152100</v>
      </c>
      <c r="AG59" s="74">
        <f>SUM(AG60:AG64)</f>
        <v>0</v>
      </c>
      <c r="AH59" s="74">
        <f>SUM(AH60:AH64)</f>
        <v>152100</v>
      </c>
    </row>
    <row r="60" spans="1:36" s="27" customFormat="1" ht="21" customHeight="1">
      <c r="A60" s="76"/>
      <c r="B60" s="82"/>
      <c r="C60" s="76">
        <v>4010</v>
      </c>
      <c r="D60" s="14" t="s">
        <v>345</v>
      </c>
      <c r="E60" s="74">
        <v>98200</v>
      </c>
      <c r="F60" s="74"/>
      <c r="G60" s="74"/>
      <c r="H60" s="74">
        <f t="shared" si="64"/>
        <v>98200</v>
      </c>
      <c r="I60" s="74"/>
      <c r="J60" s="74">
        <f t="shared" si="5"/>
        <v>98200</v>
      </c>
      <c r="K60" s="74">
        <v>0</v>
      </c>
      <c r="L60" s="74">
        <f t="shared" si="6"/>
        <v>98200</v>
      </c>
      <c r="M60" s="74">
        <v>0</v>
      </c>
      <c r="N60" s="74">
        <f>SUM(L60:M60)</f>
        <v>98200</v>
      </c>
      <c r="O60" s="74">
        <v>0</v>
      </c>
      <c r="P60" s="74">
        <f>SUM(N60:O60)</f>
        <v>98200</v>
      </c>
      <c r="Q60" s="74">
        <v>0</v>
      </c>
      <c r="R60" s="74">
        <f>SUM(P60:Q60)</f>
        <v>98200</v>
      </c>
      <c r="S60" s="74">
        <v>0</v>
      </c>
      <c r="T60" s="74">
        <f>SUM(R60:S60)</f>
        <v>98200</v>
      </c>
      <c r="U60" s="74">
        <v>0</v>
      </c>
      <c r="V60" s="74">
        <f>SUM(T60:U60)</f>
        <v>98200</v>
      </c>
      <c r="W60" s="74">
        <v>0</v>
      </c>
      <c r="X60" s="74">
        <f>SUM(V60:W60)</f>
        <v>98200</v>
      </c>
      <c r="Y60" s="74">
        <v>6096</v>
      </c>
      <c r="Z60" s="74">
        <f>SUM(X60:Y60)</f>
        <v>104296</v>
      </c>
      <c r="AA60" s="74">
        <v>639</v>
      </c>
      <c r="AB60" s="74">
        <f>SUM(Z60:AA60)</f>
        <v>104935</v>
      </c>
      <c r="AC60" s="74">
        <v>0</v>
      </c>
      <c r="AD60" s="74">
        <f>SUM(AB60:AC60)</f>
        <v>104935</v>
      </c>
      <c r="AE60" s="74">
        <v>0</v>
      </c>
      <c r="AF60" s="74">
        <f>SUM(AD60:AE60)</f>
        <v>104935</v>
      </c>
      <c r="AG60" s="74">
        <v>-160</v>
      </c>
      <c r="AH60" s="74">
        <f>SUM(AF60:AG60)</f>
        <v>104775</v>
      </c>
      <c r="AI60" s="119"/>
      <c r="AJ60" s="119"/>
    </row>
    <row r="61" spans="1:36" s="27" customFormat="1" ht="21" customHeight="1">
      <c r="A61" s="76"/>
      <c r="B61" s="82"/>
      <c r="C61" s="76">
        <v>4040</v>
      </c>
      <c r="D61" s="14" t="s">
        <v>346</v>
      </c>
      <c r="E61" s="74">
        <v>16500</v>
      </c>
      <c r="F61" s="74"/>
      <c r="G61" s="74"/>
      <c r="H61" s="74">
        <f t="shared" si="64"/>
        <v>16500</v>
      </c>
      <c r="I61" s="74"/>
      <c r="J61" s="74">
        <f t="shared" si="5"/>
        <v>16500</v>
      </c>
      <c r="K61" s="74">
        <v>0</v>
      </c>
      <c r="L61" s="74">
        <f t="shared" si="6"/>
        <v>16500</v>
      </c>
      <c r="M61" s="74">
        <v>0</v>
      </c>
      <c r="N61" s="74">
        <f>SUM(L61:M61)</f>
        <v>16500</v>
      </c>
      <c r="O61" s="74">
        <v>0</v>
      </c>
      <c r="P61" s="74">
        <f>SUM(N61:O61)</f>
        <v>16500</v>
      </c>
      <c r="Q61" s="74">
        <v>0</v>
      </c>
      <c r="R61" s="74">
        <f>SUM(P61:Q61)</f>
        <v>16500</v>
      </c>
      <c r="S61" s="74">
        <v>0</v>
      </c>
      <c r="T61" s="74">
        <f>SUM(R61:S61)</f>
        <v>16500</v>
      </c>
      <c r="U61" s="74">
        <v>0</v>
      </c>
      <c r="V61" s="74">
        <f>SUM(T61:U61)</f>
        <v>16500</v>
      </c>
      <c r="W61" s="74">
        <v>0</v>
      </c>
      <c r="X61" s="74">
        <f>SUM(V61:W61)</f>
        <v>16500</v>
      </c>
      <c r="Y61" s="74">
        <v>0</v>
      </c>
      <c r="Z61" s="74">
        <f>SUM(X61:Y61)</f>
        <v>16500</v>
      </c>
      <c r="AA61" s="74">
        <v>-639</v>
      </c>
      <c r="AB61" s="74">
        <f>SUM(Z61:AA61)</f>
        <v>15861</v>
      </c>
      <c r="AC61" s="74">
        <v>0</v>
      </c>
      <c r="AD61" s="74">
        <f>SUM(AB61:AC61)</f>
        <v>15861</v>
      </c>
      <c r="AE61" s="74">
        <v>0</v>
      </c>
      <c r="AF61" s="74">
        <f>SUM(AD61:AE61)</f>
        <v>15861</v>
      </c>
      <c r="AG61" s="74">
        <v>0</v>
      </c>
      <c r="AH61" s="74">
        <f>SUM(AF61:AG61)</f>
        <v>15861</v>
      </c>
      <c r="AI61" s="119"/>
      <c r="AJ61" s="119"/>
    </row>
    <row r="62" spans="1:36" s="27" customFormat="1" ht="21" customHeight="1">
      <c r="A62" s="76"/>
      <c r="B62" s="82"/>
      <c r="C62" s="76">
        <v>4110</v>
      </c>
      <c r="D62" s="14" t="s">
        <v>347</v>
      </c>
      <c r="E62" s="74">
        <v>19950</v>
      </c>
      <c r="F62" s="74"/>
      <c r="G62" s="74"/>
      <c r="H62" s="74">
        <f t="shared" si="64"/>
        <v>19950</v>
      </c>
      <c r="I62" s="74"/>
      <c r="J62" s="74">
        <f t="shared" si="5"/>
        <v>19950</v>
      </c>
      <c r="K62" s="74">
        <v>0</v>
      </c>
      <c r="L62" s="74">
        <f t="shared" si="6"/>
        <v>19950</v>
      </c>
      <c r="M62" s="74">
        <v>0</v>
      </c>
      <c r="N62" s="74">
        <f>SUM(L62:M62)</f>
        <v>19950</v>
      </c>
      <c r="O62" s="74">
        <v>0</v>
      </c>
      <c r="P62" s="74">
        <f>SUM(N62:O62)</f>
        <v>19950</v>
      </c>
      <c r="Q62" s="74">
        <v>0</v>
      </c>
      <c r="R62" s="74">
        <f>SUM(P62:Q62)</f>
        <v>19950</v>
      </c>
      <c r="S62" s="74">
        <v>0</v>
      </c>
      <c r="T62" s="74">
        <f>SUM(R62:S62)</f>
        <v>19950</v>
      </c>
      <c r="U62" s="74">
        <v>0</v>
      </c>
      <c r="V62" s="74">
        <f>SUM(T62:U62)</f>
        <v>19950</v>
      </c>
      <c r="W62" s="74">
        <v>0</v>
      </c>
      <c r="X62" s="74">
        <f>SUM(V62:W62)</f>
        <v>19950</v>
      </c>
      <c r="Y62" s="74">
        <v>1054</v>
      </c>
      <c r="Z62" s="74">
        <f>SUM(X62:Y62)</f>
        <v>21004</v>
      </c>
      <c r="AA62" s="74">
        <v>0</v>
      </c>
      <c r="AB62" s="74">
        <f>SUM(Z62:AA62)</f>
        <v>21004</v>
      </c>
      <c r="AC62" s="74">
        <v>0</v>
      </c>
      <c r="AD62" s="74">
        <f>SUM(AB62:AC62)</f>
        <v>21004</v>
      </c>
      <c r="AE62" s="74">
        <v>0</v>
      </c>
      <c r="AF62" s="74">
        <f>SUM(AD62:AE62)</f>
        <v>21004</v>
      </c>
      <c r="AG62" s="74">
        <v>0</v>
      </c>
      <c r="AH62" s="74">
        <f>SUM(AF62:AG62)</f>
        <v>21004</v>
      </c>
      <c r="AI62" s="119"/>
      <c r="AJ62" s="119"/>
    </row>
    <row r="63" spans="1:36" s="27" customFormat="1" ht="21" customHeight="1">
      <c r="A63" s="76"/>
      <c r="B63" s="82"/>
      <c r="C63" s="76">
        <v>4120</v>
      </c>
      <c r="D63" s="14" t="s">
        <v>348</v>
      </c>
      <c r="E63" s="74">
        <v>2800</v>
      </c>
      <c r="F63" s="74"/>
      <c r="G63" s="74"/>
      <c r="H63" s="74">
        <f t="shared" si="64"/>
        <v>2800</v>
      </c>
      <c r="I63" s="74"/>
      <c r="J63" s="74">
        <f t="shared" si="5"/>
        <v>2800</v>
      </c>
      <c r="K63" s="74">
        <v>0</v>
      </c>
      <c r="L63" s="74">
        <f t="shared" si="6"/>
        <v>2800</v>
      </c>
      <c r="M63" s="74">
        <v>0</v>
      </c>
      <c r="N63" s="74">
        <f>SUM(L63:M63)</f>
        <v>2800</v>
      </c>
      <c r="O63" s="74">
        <v>0</v>
      </c>
      <c r="P63" s="74">
        <f>SUM(N63:O63)</f>
        <v>2800</v>
      </c>
      <c r="Q63" s="74">
        <v>0</v>
      </c>
      <c r="R63" s="74">
        <f>SUM(P63:Q63)</f>
        <v>2800</v>
      </c>
      <c r="S63" s="74">
        <v>0</v>
      </c>
      <c r="T63" s="74">
        <f>SUM(R63:S63)</f>
        <v>2800</v>
      </c>
      <c r="U63" s="74">
        <v>0</v>
      </c>
      <c r="V63" s="74">
        <f>SUM(T63:U63)</f>
        <v>2800</v>
      </c>
      <c r="W63" s="74">
        <v>0</v>
      </c>
      <c r="X63" s="74">
        <f>SUM(V63:W63)</f>
        <v>2800</v>
      </c>
      <c r="Y63" s="74">
        <v>150</v>
      </c>
      <c r="Z63" s="74">
        <f>SUM(X63:Y63)</f>
        <v>2950</v>
      </c>
      <c r="AA63" s="74">
        <v>0</v>
      </c>
      <c r="AB63" s="74">
        <f>SUM(Z63:AA63)</f>
        <v>2950</v>
      </c>
      <c r="AC63" s="74">
        <v>0</v>
      </c>
      <c r="AD63" s="74">
        <f>SUM(AB63:AC63)</f>
        <v>2950</v>
      </c>
      <c r="AE63" s="74">
        <v>0</v>
      </c>
      <c r="AF63" s="74">
        <f>SUM(AD63:AE63)</f>
        <v>2950</v>
      </c>
      <c r="AG63" s="74">
        <v>0</v>
      </c>
      <c r="AH63" s="74">
        <f>SUM(AF63:AG63)</f>
        <v>2950</v>
      </c>
      <c r="AI63" s="119"/>
      <c r="AJ63" s="119"/>
    </row>
    <row r="64" spans="1:34" s="27" customFormat="1" ht="21" customHeight="1">
      <c r="A64" s="76"/>
      <c r="B64" s="82"/>
      <c r="C64" s="85">
        <v>4440</v>
      </c>
      <c r="D64" s="14" t="s">
        <v>349</v>
      </c>
      <c r="E64" s="74">
        <v>7350</v>
      </c>
      <c r="F64" s="74"/>
      <c r="G64" s="74"/>
      <c r="H64" s="74">
        <f t="shared" si="64"/>
        <v>7350</v>
      </c>
      <c r="I64" s="74"/>
      <c r="J64" s="74">
        <f t="shared" si="5"/>
        <v>7350</v>
      </c>
      <c r="K64" s="74">
        <v>0</v>
      </c>
      <c r="L64" s="74">
        <f t="shared" si="6"/>
        <v>7350</v>
      </c>
      <c r="M64" s="74">
        <v>0</v>
      </c>
      <c r="N64" s="74">
        <f>SUM(L64:M64)</f>
        <v>7350</v>
      </c>
      <c r="O64" s="74">
        <v>0</v>
      </c>
      <c r="P64" s="74">
        <f>SUM(N64:O64)</f>
        <v>7350</v>
      </c>
      <c r="Q64" s="74">
        <v>0</v>
      </c>
      <c r="R64" s="74">
        <f>SUM(P64:Q64)</f>
        <v>7350</v>
      </c>
      <c r="S64" s="74">
        <v>0</v>
      </c>
      <c r="T64" s="74">
        <f>SUM(R64:S64)</f>
        <v>7350</v>
      </c>
      <c r="U64" s="74">
        <v>0</v>
      </c>
      <c r="V64" s="74">
        <f>SUM(T64:U64)</f>
        <v>7350</v>
      </c>
      <c r="W64" s="74">
        <v>0</v>
      </c>
      <c r="X64" s="74">
        <f>SUM(V64:W64)</f>
        <v>7350</v>
      </c>
      <c r="Y64" s="74">
        <v>0</v>
      </c>
      <c r="Z64" s="74">
        <f>SUM(X64:Y64)</f>
        <v>7350</v>
      </c>
      <c r="AA64" s="74">
        <v>0</v>
      </c>
      <c r="AB64" s="74">
        <f>SUM(Z64:AA64)</f>
        <v>7350</v>
      </c>
      <c r="AC64" s="74">
        <v>0</v>
      </c>
      <c r="AD64" s="74">
        <f>SUM(AB64:AC64)</f>
        <v>7350</v>
      </c>
      <c r="AE64" s="74">
        <v>0</v>
      </c>
      <c r="AF64" s="74">
        <f>SUM(AD64:AE64)</f>
        <v>7350</v>
      </c>
      <c r="AG64" s="74">
        <v>160</v>
      </c>
      <c r="AH64" s="74">
        <f>SUM(AF64:AG64)</f>
        <v>7510</v>
      </c>
    </row>
    <row r="65" spans="1:34" s="27" customFormat="1" ht="21.75" customHeight="1">
      <c r="A65" s="58"/>
      <c r="B65" s="75" t="s">
        <v>353</v>
      </c>
      <c r="C65" s="58"/>
      <c r="D65" s="14" t="s">
        <v>426</v>
      </c>
      <c r="E65" s="74">
        <f>SUM(E66:E75)</f>
        <v>278200</v>
      </c>
      <c r="F65" s="74">
        <f>SUM(F66:F75)</f>
        <v>17800</v>
      </c>
      <c r="G65" s="74">
        <f>SUM(G66:G75)</f>
        <v>0</v>
      </c>
      <c r="H65" s="74">
        <f t="shared" si="64"/>
        <v>296000</v>
      </c>
      <c r="I65" s="74">
        <f aca="true" t="shared" si="69" ref="I65:N65">SUM(I66:I75)</f>
        <v>0</v>
      </c>
      <c r="J65" s="74">
        <f t="shared" si="69"/>
        <v>296000</v>
      </c>
      <c r="K65" s="74">
        <f t="shared" si="69"/>
        <v>0</v>
      </c>
      <c r="L65" s="74">
        <f t="shared" si="69"/>
        <v>296000</v>
      </c>
      <c r="M65" s="74">
        <f t="shared" si="69"/>
        <v>0</v>
      </c>
      <c r="N65" s="74">
        <f t="shared" si="69"/>
        <v>296000</v>
      </c>
      <c r="O65" s="74">
        <f aca="true" t="shared" si="70" ref="O65:T65">SUM(O66:O75)</f>
        <v>0</v>
      </c>
      <c r="P65" s="74">
        <f t="shared" si="70"/>
        <v>296000</v>
      </c>
      <c r="Q65" s="74">
        <f t="shared" si="70"/>
        <v>0</v>
      </c>
      <c r="R65" s="74">
        <f t="shared" si="70"/>
        <v>296000</v>
      </c>
      <c r="S65" s="74">
        <f t="shared" si="70"/>
        <v>0</v>
      </c>
      <c r="T65" s="74">
        <f t="shared" si="70"/>
        <v>296000</v>
      </c>
      <c r="U65" s="74">
        <f aca="true" t="shared" si="71" ref="U65:Z65">SUM(U66:U75)</f>
        <v>0</v>
      </c>
      <c r="V65" s="74">
        <f t="shared" si="71"/>
        <v>296000</v>
      </c>
      <c r="W65" s="74">
        <f t="shared" si="71"/>
        <v>0</v>
      </c>
      <c r="X65" s="74">
        <f t="shared" si="71"/>
        <v>296000</v>
      </c>
      <c r="Y65" s="74">
        <f t="shared" si="71"/>
        <v>0</v>
      </c>
      <c r="Z65" s="74">
        <f t="shared" si="71"/>
        <v>296000</v>
      </c>
      <c r="AA65" s="74">
        <f aca="true" t="shared" si="72" ref="AA65:AF65">SUM(AA66:AA75)</f>
        <v>0</v>
      </c>
      <c r="AB65" s="74">
        <f t="shared" si="72"/>
        <v>296000</v>
      </c>
      <c r="AC65" s="74">
        <f t="shared" si="72"/>
        <v>0</v>
      </c>
      <c r="AD65" s="74">
        <f t="shared" si="72"/>
        <v>296000</v>
      </c>
      <c r="AE65" s="74">
        <f t="shared" si="72"/>
        <v>0</v>
      </c>
      <c r="AF65" s="74">
        <f t="shared" si="72"/>
        <v>296000</v>
      </c>
      <c r="AG65" s="74">
        <f>SUM(AG66:AG75)</f>
        <v>-31628</v>
      </c>
      <c r="AH65" s="74">
        <f>SUM(AH66:AH75)</f>
        <v>264372</v>
      </c>
    </row>
    <row r="66" spans="1:34" s="27" customFormat="1" ht="21" customHeight="1">
      <c r="A66" s="58"/>
      <c r="B66" s="75"/>
      <c r="C66" s="76">
        <v>3030</v>
      </c>
      <c r="D66" s="14" t="s">
        <v>350</v>
      </c>
      <c r="E66" s="74">
        <v>230200</v>
      </c>
      <c r="F66" s="74"/>
      <c r="G66" s="74"/>
      <c r="H66" s="74">
        <f t="shared" si="64"/>
        <v>230200</v>
      </c>
      <c r="I66" s="74"/>
      <c r="J66" s="74">
        <f t="shared" si="5"/>
        <v>230200</v>
      </c>
      <c r="K66" s="74">
        <v>0</v>
      </c>
      <c r="L66" s="74">
        <f t="shared" si="6"/>
        <v>230200</v>
      </c>
      <c r="M66" s="74">
        <v>0</v>
      </c>
      <c r="N66" s="74">
        <f aca="true" t="shared" si="73" ref="N66:N75">SUM(L66:M66)</f>
        <v>230200</v>
      </c>
      <c r="O66" s="74">
        <v>0</v>
      </c>
      <c r="P66" s="74">
        <f aca="true" t="shared" si="74" ref="P66:P75">SUM(N66:O66)</f>
        <v>230200</v>
      </c>
      <c r="Q66" s="74">
        <v>0</v>
      </c>
      <c r="R66" s="74">
        <f aca="true" t="shared" si="75" ref="R66:R75">SUM(P66:Q66)</f>
        <v>230200</v>
      </c>
      <c r="S66" s="74">
        <v>0</v>
      </c>
      <c r="T66" s="74">
        <f aca="true" t="shared" si="76" ref="T66:T75">SUM(R66:S66)</f>
        <v>230200</v>
      </c>
      <c r="U66" s="74">
        <v>0</v>
      </c>
      <c r="V66" s="74">
        <f aca="true" t="shared" si="77" ref="V66:V75">SUM(T66:U66)</f>
        <v>230200</v>
      </c>
      <c r="W66" s="74">
        <v>0</v>
      </c>
      <c r="X66" s="74">
        <f aca="true" t="shared" si="78" ref="X66:X75">SUM(V66:W66)</f>
        <v>230200</v>
      </c>
      <c r="Y66" s="74">
        <v>0</v>
      </c>
      <c r="Z66" s="74">
        <f aca="true" t="shared" si="79" ref="Z66:Z75">SUM(X66:Y66)</f>
        <v>230200</v>
      </c>
      <c r="AA66" s="74">
        <v>0</v>
      </c>
      <c r="AB66" s="74">
        <f aca="true" t="shared" si="80" ref="AB66:AB75">SUM(Z66:AA66)</f>
        <v>230200</v>
      </c>
      <c r="AC66" s="74">
        <v>0</v>
      </c>
      <c r="AD66" s="74">
        <f aca="true" t="shared" si="81" ref="AD66:AD75">SUM(AB66:AC66)</f>
        <v>230200</v>
      </c>
      <c r="AE66" s="74">
        <v>0</v>
      </c>
      <c r="AF66" s="74">
        <f aca="true" t="shared" si="82" ref="AF66:AF75">SUM(AD66:AE66)</f>
        <v>230200</v>
      </c>
      <c r="AG66" s="74">
        <v>-23128</v>
      </c>
      <c r="AH66" s="74">
        <f aca="true" t="shared" si="83" ref="AH66:AH75">SUM(AF66:AG66)</f>
        <v>207072</v>
      </c>
    </row>
    <row r="67" spans="1:36" s="27" customFormat="1" ht="21" customHeight="1">
      <c r="A67" s="58"/>
      <c r="B67" s="75"/>
      <c r="C67" s="76">
        <v>4170</v>
      </c>
      <c r="D67" s="14" t="s">
        <v>478</v>
      </c>
      <c r="E67" s="74">
        <v>2000</v>
      </c>
      <c r="F67" s="74"/>
      <c r="G67" s="74"/>
      <c r="H67" s="74">
        <f t="shared" si="64"/>
        <v>2000</v>
      </c>
      <c r="I67" s="74"/>
      <c r="J67" s="74">
        <f t="shared" si="5"/>
        <v>2000</v>
      </c>
      <c r="K67" s="74">
        <v>0</v>
      </c>
      <c r="L67" s="74">
        <f t="shared" si="6"/>
        <v>2000</v>
      </c>
      <c r="M67" s="74">
        <v>0</v>
      </c>
      <c r="N67" s="74">
        <f t="shared" si="73"/>
        <v>2000</v>
      </c>
      <c r="O67" s="74">
        <v>0</v>
      </c>
      <c r="P67" s="74">
        <f t="shared" si="74"/>
        <v>2000</v>
      </c>
      <c r="Q67" s="74">
        <v>0</v>
      </c>
      <c r="R67" s="74">
        <f t="shared" si="75"/>
        <v>2000</v>
      </c>
      <c r="S67" s="74">
        <v>0</v>
      </c>
      <c r="T67" s="74">
        <f t="shared" si="76"/>
        <v>2000</v>
      </c>
      <c r="U67" s="74">
        <v>0</v>
      </c>
      <c r="V67" s="74">
        <f t="shared" si="77"/>
        <v>2000</v>
      </c>
      <c r="W67" s="74">
        <v>0</v>
      </c>
      <c r="X67" s="74">
        <f t="shared" si="78"/>
        <v>2000</v>
      </c>
      <c r="Y67" s="74">
        <v>0</v>
      </c>
      <c r="Z67" s="74">
        <f t="shared" si="79"/>
        <v>2000</v>
      </c>
      <c r="AA67" s="74">
        <v>0</v>
      </c>
      <c r="AB67" s="74">
        <f t="shared" si="80"/>
        <v>2000</v>
      </c>
      <c r="AC67" s="74">
        <v>0</v>
      </c>
      <c r="AD67" s="74">
        <f t="shared" si="81"/>
        <v>2000</v>
      </c>
      <c r="AE67" s="74">
        <v>0</v>
      </c>
      <c r="AF67" s="74">
        <f t="shared" si="82"/>
        <v>2000</v>
      </c>
      <c r="AG67" s="74">
        <v>-2000</v>
      </c>
      <c r="AH67" s="74">
        <f t="shared" si="83"/>
        <v>0</v>
      </c>
      <c r="AI67" s="119"/>
      <c r="AJ67" s="119"/>
    </row>
    <row r="68" spans="1:34" s="27" customFormat="1" ht="21" customHeight="1">
      <c r="A68" s="58"/>
      <c r="B68" s="75"/>
      <c r="C68" s="76">
        <v>4210</v>
      </c>
      <c r="D68" s="14" t="s">
        <v>354</v>
      </c>
      <c r="E68" s="74">
        <v>14500</v>
      </c>
      <c r="F68" s="74">
        <v>8800</v>
      </c>
      <c r="G68" s="74"/>
      <c r="H68" s="74">
        <f t="shared" si="64"/>
        <v>23300</v>
      </c>
      <c r="I68" s="74"/>
      <c r="J68" s="74">
        <f t="shared" si="5"/>
        <v>23300</v>
      </c>
      <c r="K68" s="74">
        <v>0</v>
      </c>
      <c r="L68" s="74">
        <f t="shared" si="6"/>
        <v>23300</v>
      </c>
      <c r="M68" s="74">
        <v>0</v>
      </c>
      <c r="N68" s="74">
        <f t="shared" si="73"/>
        <v>23300</v>
      </c>
      <c r="O68" s="74">
        <v>0</v>
      </c>
      <c r="P68" s="74">
        <f t="shared" si="74"/>
        <v>23300</v>
      </c>
      <c r="Q68" s="74">
        <v>0</v>
      </c>
      <c r="R68" s="74">
        <f t="shared" si="75"/>
        <v>23300</v>
      </c>
      <c r="S68" s="74">
        <v>0</v>
      </c>
      <c r="T68" s="74">
        <f t="shared" si="76"/>
        <v>23300</v>
      </c>
      <c r="U68" s="74">
        <v>0</v>
      </c>
      <c r="V68" s="74">
        <f t="shared" si="77"/>
        <v>23300</v>
      </c>
      <c r="W68" s="74">
        <v>0</v>
      </c>
      <c r="X68" s="74">
        <f t="shared" si="78"/>
        <v>23300</v>
      </c>
      <c r="Y68" s="74">
        <v>0</v>
      </c>
      <c r="Z68" s="74">
        <f t="shared" si="79"/>
        <v>23300</v>
      </c>
      <c r="AA68" s="74">
        <v>0</v>
      </c>
      <c r="AB68" s="74">
        <f t="shared" si="80"/>
        <v>23300</v>
      </c>
      <c r="AC68" s="74">
        <v>0</v>
      </c>
      <c r="AD68" s="74">
        <f t="shared" si="81"/>
        <v>23300</v>
      </c>
      <c r="AE68" s="74">
        <v>0</v>
      </c>
      <c r="AF68" s="74">
        <f t="shared" si="82"/>
        <v>23300</v>
      </c>
      <c r="AG68" s="74"/>
      <c r="AH68" s="74">
        <f t="shared" si="83"/>
        <v>23300</v>
      </c>
    </row>
    <row r="69" spans="1:34" s="27" customFormat="1" ht="21" customHeight="1">
      <c r="A69" s="58"/>
      <c r="B69" s="75"/>
      <c r="C69" s="76">
        <v>4300</v>
      </c>
      <c r="D69" s="14" t="s">
        <v>340</v>
      </c>
      <c r="E69" s="74">
        <v>19000</v>
      </c>
      <c r="F69" s="74"/>
      <c r="G69" s="74"/>
      <c r="H69" s="74">
        <f t="shared" si="64"/>
        <v>19000</v>
      </c>
      <c r="I69" s="74">
        <v>5000</v>
      </c>
      <c r="J69" s="74">
        <f t="shared" si="5"/>
        <v>24000</v>
      </c>
      <c r="K69" s="74">
        <v>0</v>
      </c>
      <c r="L69" s="74">
        <f t="shared" si="6"/>
        <v>24000</v>
      </c>
      <c r="M69" s="74">
        <v>0</v>
      </c>
      <c r="N69" s="74">
        <f t="shared" si="73"/>
        <v>24000</v>
      </c>
      <c r="O69" s="74">
        <v>0</v>
      </c>
      <c r="P69" s="74">
        <f t="shared" si="74"/>
        <v>24000</v>
      </c>
      <c r="Q69" s="74">
        <v>0</v>
      </c>
      <c r="R69" s="74">
        <f t="shared" si="75"/>
        <v>24000</v>
      </c>
      <c r="S69" s="74">
        <v>0</v>
      </c>
      <c r="T69" s="74">
        <f t="shared" si="76"/>
        <v>24000</v>
      </c>
      <c r="U69" s="74">
        <v>0</v>
      </c>
      <c r="V69" s="74">
        <f t="shared" si="77"/>
        <v>24000</v>
      </c>
      <c r="W69" s="74">
        <v>0</v>
      </c>
      <c r="X69" s="74">
        <f t="shared" si="78"/>
        <v>24000</v>
      </c>
      <c r="Y69" s="74">
        <v>0</v>
      </c>
      <c r="Z69" s="74">
        <f t="shared" si="79"/>
        <v>24000</v>
      </c>
      <c r="AA69" s="74">
        <v>0</v>
      </c>
      <c r="AB69" s="74">
        <f t="shared" si="80"/>
        <v>24000</v>
      </c>
      <c r="AC69" s="74">
        <v>0</v>
      </c>
      <c r="AD69" s="74">
        <f t="shared" si="81"/>
        <v>24000</v>
      </c>
      <c r="AE69" s="74">
        <v>0</v>
      </c>
      <c r="AF69" s="74">
        <f t="shared" si="82"/>
        <v>24000</v>
      </c>
      <c r="AG69" s="74"/>
      <c r="AH69" s="74">
        <f t="shared" si="83"/>
        <v>24000</v>
      </c>
    </row>
    <row r="70" spans="1:34" s="27" customFormat="1" ht="24">
      <c r="A70" s="58"/>
      <c r="B70" s="75"/>
      <c r="C70" s="76">
        <v>4370</v>
      </c>
      <c r="D70" s="14" t="s">
        <v>568</v>
      </c>
      <c r="E70" s="74">
        <v>2000</v>
      </c>
      <c r="F70" s="74"/>
      <c r="G70" s="74"/>
      <c r="H70" s="74">
        <f t="shared" si="64"/>
        <v>2000</v>
      </c>
      <c r="I70" s="74"/>
      <c r="J70" s="74">
        <f t="shared" si="5"/>
        <v>2000</v>
      </c>
      <c r="K70" s="74">
        <v>0</v>
      </c>
      <c r="L70" s="74">
        <f t="shared" si="6"/>
        <v>2000</v>
      </c>
      <c r="M70" s="74">
        <v>0</v>
      </c>
      <c r="N70" s="74">
        <f t="shared" si="73"/>
        <v>2000</v>
      </c>
      <c r="O70" s="74">
        <v>0</v>
      </c>
      <c r="P70" s="74">
        <f t="shared" si="74"/>
        <v>2000</v>
      </c>
      <c r="Q70" s="74">
        <v>0</v>
      </c>
      <c r="R70" s="74">
        <f t="shared" si="75"/>
        <v>2000</v>
      </c>
      <c r="S70" s="74">
        <v>0</v>
      </c>
      <c r="T70" s="74">
        <f t="shared" si="76"/>
        <v>2000</v>
      </c>
      <c r="U70" s="74">
        <v>0</v>
      </c>
      <c r="V70" s="74">
        <f t="shared" si="77"/>
        <v>2000</v>
      </c>
      <c r="W70" s="74">
        <v>0</v>
      </c>
      <c r="X70" s="74">
        <f t="shared" si="78"/>
        <v>2000</v>
      </c>
      <c r="Y70" s="74">
        <v>0</v>
      </c>
      <c r="Z70" s="74">
        <f t="shared" si="79"/>
        <v>2000</v>
      </c>
      <c r="AA70" s="74">
        <v>0</v>
      </c>
      <c r="AB70" s="74">
        <f t="shared" si="80"/>
        <v>2000</v>
      </c>
      <c r="AC70" s="74">
        <v>500</v>
      </c>
      <c r="AD70" s="74">
        <f t="shared" si="81"/>
        <v>2500</v>
      </c>
      <c r="AE70" s="74">
        <v>0</v>
      </c>
      <c r="AF70" s="74">
        <f t="shared" si="82"/>
        <v>2500</v>
      </c>
      <c r="AG70" s="74">
        <v>0</v>
      </c>
      <c r="AH70" s="74">
        <f t="shared" si="83"/>
        <v>2500</v>
      </c>
    </row>
    <row r="71" spans="1:34" s="27" customFormat="1" ht="21.75" customHeight="1">
      <c r="A71" s="58"/>
      <c r="B71" s="75"/>
      <c r="C71" s="76">
        <v>4410</v>
      </c>
      <c r="D71" s="14" t="s">
        <v>352</v>
      </c>
      <c r="E71" s="74">
        <v>2000</v>
      </c>
      <c r="F71" s="74">
        <v>9000</v>
      </c>
      <c r="G71" s="74"/>
      <c r="H71" s="74">
        <f t="shared" si="64"/>
        <v>11000</v>
      </c>
      <c r="I71" s="74"/>
      <c r="J71" s="74">
        <f t="shared" si="5"/>
        <v>11000</v>
      </c>
      <c r="K71" s="74">
        <v>0</v>
      </c>
      <c r="L71" s="74">
        <f t="shared" si="6"/>
        <v>11000</v>
      </c>
      <c r="M71" s="74">
        <v>0</v>
      </c>
      <c r="N71" s="74">
        <f t="shared" si="73"/>
        <v>11000</v>
      </c>
      <c r="O71" s="74">
        <v>0</v>
      </c>
      <c r="P71" s="74">
        <f t="shared" si="74"/>
        <v>11000</v>
      </c>
      <c r="Q71" s="74">
        <v>0</v>
      </c>
      <c r="R71" s="74">
        <f t="shared" si="75"/>
        <v>11000</v>
      </c>
      <c r="S71" s="74">
        <v>0</v>
      </c>
      <c r="T71" s="74">
        <f t="shared" si="76"/>
        <v>11000</v>
      </c>
      <c r="U71" s="74">
        <v>0</v>
      </c>
      <c r="V71" s="74">
        <f t="shared" si="77"/>
        <v>11000</v>
      </c>
      <c r="W71" s="74">
        <v>0</v>
      </c>
      <c r="X71" s="74">
        <f t="shared" si="78"/>
        <v>11000</v>
      </c>
      <c r="Y71" s="74">
        <v>0</v>
      </c>
      <c r="Z71" s="74">
        <f t="shared" si="79"/>
        <v>11000</v>
      </c>
      <c r="AA71" s="74">
        <v>0</v>
      </c>
      <c r="AB71" s="74">
        <f t="shared" si="80"/>
        <v>11000</v>
      </c>
      <c r="AC71" s="74">
        <v>-500</v>
      </c>
      <c r="AD71" s="74">
        <f t="shared" si="81"/>
        <v>10500</v>
      </c>
      <c r="AE71" s="74">
        <v>0</v>
      </c>
      <c r="AF71" s="74">
        <f t="shared" si="82"/>
        <v>10500</v>
      </c>
      <c r="AG71" s="74">
        <v>-6000</v>
      </c>
      <c r="AH71" s="74">
        <f t="shared" si="83"/>
        <v>4500</v>
      </c>
    </row>
    <row r="72" spans="1:34" s="27" customFormat="1" ht="21" customHeight="1">
      <c r="A72" s="58"/>
      <c r="B72" s="75"/>
      <c r="C72" s="85">
        <v>4430</v>
      </c>
      <c r="D72" s="14" t="s">
        <v>356</v>
      </c>
      <c r="E72" s="74">
        <v>500</v>
      </c>
      <c r="F72" s="74"/>
      <c r="G72" s="74"/>
      <c r="H72" s="74">
        <f t="shared" si="64"/>
        <v>500</v>
      </c>
      <c r="I72" s="74"/>
      <c r="J72" s="74">
        <f t="shared" si="5"/>
        <v>500</v>
      </c>
      <c r="K72" s="74">
        <v>0</v>
      </c>
      <c r="L72" s="74">
        <f t="shared" si="6"/>
        <v>500</v>
      </c>
      <c r="M72" s="74">
        <v>0</v>
      </c>
      <c r="N72" s="74">
        <f t="shared" si="73"/>
        <v>500</v>
      </c>
      <c r="O72" s="74">
        <v>0</v>
      </c>
      <c r="P72" s="74">
        <f t="shared" si="74"/>
        <v>500</v>
      </c>
      <c r="Q72" s="74">
        <v>0</v>
      </c>
      <c r="R72" s="74">
        <f t="shared" si="75"/>
        <v>500</v>
      </c>
      <c r="S72" s="74">
        <v>0</v>
      </c>
      <c r="T72" s="74">
        <f t="shared" si="76"/>
        <v>500</v>
      </c>
      <c r="U72" s="74">
        <v>0</v>
      </c>
      <c r="V72" s="74">
        <f t="shared" si="77"/>
        <v>500</v>
      </c>
      <c r="W72" s="74">
        <v>0</v>
      </c>
      <c r="X72" s="74">
        <f t="shared" si="78"/>
        <v>500</v>
      </c>
      <c r="Y72" s="74">
        <v>0</v>
      </c>
      <c r="Z72" s="74">
        <f t="shared" si="79"/>
        <v>500</v>
      </c>
      <c r="AA72" s="74">
        <v>0</v>
      </c>
      <c r="AB72" s="74">
        <f t="shared" si="80"/>
        <v>500</v>
      </c>
      <c r="AC72" s="74">
        <v>0</v>
      </c>
      <c r="AD72" s="74">
        <f t="shared" si="81"/>
        <v>500</v>
      </c>
      <c r="AE72" s="74">
        <v>0</v>
      </c>
      <c r="AF72" s="74">
        <f t="shared" si="82"/>
        <v>500</v>
      </c>
      <c r="AG72" s="74">
        <v>-500</v>
      </c>
      <c r="AH72" s="74">
        <f t="shared" si="83"/>
        <v>0</v>
      </c>
    </row>
    <row r="73" spans="1:34" s="27" customFormat="1" ht="21" customHeight="1">
      <c r="A73" s="58"/>
      <c r="B73" s="75"/>
      <c r="C73" s="85">
        <v>4700</v>
      </c>
      <c r="D73" s="14" t="s">
        <v>571</v>
      </c>
      <c r="E73" s="74">
        <v>5000</v>
      </c>
      <c r="F73" s="74"/>
      <c r="G73" s="74"/>
      <c r="H73" s="74">
        <f t="shared" si="64"/>
        <v>5000</v>
      </c>
      <c r="I73" s="74">
        <v>-5000</v>
      </c>
      <c r="J73" s="74">
        <f t="shared" si="5"/>
        <v>0</v>
      </c>
      <c r="K73" s="74">
        <v>0</v>
      </c>
      <c r="L73" s="74">
        <f t="shared" si="6"/>
        <v>0</v>
      </c>
      <c r="M73" s="74">
        <v>0</v>
      </c>
      <c r="N73" s="74">
        <f t="shared" si="73"/>
        <v>0</v>
      </c>
      <c r="O73" s="74">
        <v>0</v>
      </c>
      <c r="P73" s="74">
        <f t="shared" si="74"/>
        <v>0</v>
      </c>
      <c r="Q73" s="74">
        <v>0</v>
      </c>
      <c r="R73" s="74">
        <f t="shared" si="75"/>
        <v>0</v>
      </c>
      <c r="S73" s="74">
        <v>0</v>
      </c>
      <c r="T73" s="74">
        <f t="shared" si="76"/>
        <v>0</v>
      </c>
      <c r="U73" s="74">
        <v>0</v>
      </c>
      <c r="V73" s="74">
        <f t="shared" si="77"/>
        <v>0</v>
      </c>
      <c r="W73" s="74">
        <v>0</v>
      </c>
      <c r="X73" s="74">
        <f t="shared" si="78"/>
        <v>0</v>
      </c>
      <c r="Y73" s="74">
        <v>0</v>
      </c>
      <c r="Z73" s="74">
        <f t="shared" si="79"/>
        <v>0</v>
      </c>
      <c r="AA73" s="74">
        <v>0</v>
      </c>
      <c r="AB73" s="74">
        <f t="shared" si="80"/>
        <v>0</v>
      </c>
      <c r="AC73" s="74">
        <v>0</v>
      </c>
      <c r="AD73" s="74">
        <f t="shared" si="81"/>
        <v>0</v>
      </c>
      <c r="AE73" s="74">
        <v>0</v>
      </c>
      <c r="AF73" s="74">
        <f t="shared" si="82"/>
        <v>0</v>
      </c>
      <c r="AG73" s="74">
        <v>0</v>
      </c>
      <c r="AH73" s="74">
        <f t="shared" si="83"/>
        <v>0</v>
      </c>
    </row>
    <row r="74" spans="1:34" s="27" customFormat="1" ht="24">
      <c r="A74" s="58"/>
      <c r="B74" s="75"/>
      <c r="C74" s="85">
        <v>4740</v>
      </c>
      <c r="D74" s="14" t="s">
        <v>185</v>
      </c>
      <c r="E74" s="74">
        <v>2000</v>
      </c>
      <c r="F74" s="74"/>
      <c r="G74" s="74"/>
      <c r="H74" s="74">
        <f t="shared" si="64"/>
        <v>2000</v>
      </c>
      <c r="I74" s="74"/>
      <c r="J74" s="74">
        <f t="shared" si="5"/>
        <v>2000</v>
      </c>
      <c r="K74" s="74">
        <v>0</v>
      </c>
      <c r="L74" s="74">
        <f t="shared" si="6"/>
        <v>2000</v>
      </c>
      <c r="M74" s="74">
        <v>0</v>
      </c>
      <c r="N74" s="74">
        <f t="shared" si="73"/>
        <v>2000</v>
      </c>
      <c r="O74" s="74">
        <v>0</v>
      </c>
      <c r="P74" s="74">
        <f t="shared" si="74"/>
        <v>2000</v>
      </c>
      <c r="Q74" s="74">
        <v>0</v>
      </c>
      <c r="R74" s="74">
        <f t="shared" si="75"/>
        <v>2000</v>
      </c>
      <c r="S74" s="74">
        <v>0</v>
      </c>
      <c r="T74" s="74">
        <f t="shared" si="76"/>
        <v>2000</v>
      </c>
      <c r="U74" s="74">
        <v>0</v>
      </c>
      <c r="V74" s="74">
        <f t="shared" si="77"/>
        <v>2000</v>
      </c>
      <c r="W74" s="74">
        <v>0</v>
      </c>
      <c r="X74" s="74">
        <f t="shared" si="78"/>
        <v>2000</v>
      </c>
      <c r="Y74" s="74">
        <v>0</v>
      </c>
      <c r="Z74" s="74">
        <f t="shared" si="79"/>
        <v>2000</v>
      </c>
      <c r="AA74" s="74">
        <v>0</v>
      </c>
      <c r="AB74" s="74">
        <f t="shared" si="80"/>
        <v>2000</v>
      </c>
      <c r="AC74" s="74">
        <v>0</v>
      </c>
      <c r="AD74" s="74">
        <f t="shared" si="81"/>
        <v>2000</v>
      </c>
      <c r="AE74" s="74">
        <v>0</v>
      </c>
      <c r="AF74" s="74">
        <f t="shared" si="82"/>
        <v>2000</v>
      </c>
      <c r="AG74" s="74">
        <v>0</v>
      </c>
      <c r="AH74" s="74">
        <f t="shared" si="83"/>
        <v>2000</v>
      </c>
    </row>
    <row r="75" spans="1:34" s="27" customFormat="1" ht="21" customHeight="1">
      <c r="A75" s="58"/>
      <c r="B75" s="75"/>
      <c r="C75" s="85">
        <v>4750</v>
      </c>
      <c r="D75" s="14" t="s">
        <v>572</v>
      </c>
      <c r="E75" s="74">
        <v>1000</v>
      </c>
      <c r="F75" s="74"/>
      <c r="G75" s="74"/>
      <c r="H75" s="74">
        <f t="shared" si="64"/>
        <v>1000</v>
      </c>
      <c r="I75" s="74"/>
      <c r="J75" s="74">
        <f t="shared" si="5"/>
        <v>1000</v>
      </c>
      <c r="K75" s="74">
        <v>0</v>
      </c>
      <c r="L75" s="74">
        <f t="shared" si="6"/>
        <v>1000</v>
      </c>
      <c r="M75" s="74">
        <v>0</v>
      </c>
      <c r="N75" s="74">
        <f t="shared" si="73"/>
        <v>1000</v>
      </c>
      <c r="O75" s="74">
        <v>0</v>
      </c>
      <c r="P75" s="74">
        <f t="shared" si="74"/>
        <v>1000</v>
      </c>
      <c r="Q75" s="74">
        <v>0</v>
      </c>
      <c r="R75" s="74">
        <f t="shared" si="75"/>
        <v>1000</v>
      </c>
      <c r="S75" s="74">
        <v>0</v>
      </c>
      <c r="T75" s="74">
        <f t="shared" si="76"/>
        <v>1000</v>
      </c>
      <c r="U75" s="74">
        <v>0</v>
      </c>
      <c r="V75" s="74">
        <f t="shared" si="77"/>
        <v>1000</v>
      </c>
      <c r="W75" s="74">
        <v>0</v>
      </c>
      <c r="X75" s="74">
        <f t="shared" si="78"/>
        <v>1000</v>
      </c>
      <c r="Y75" s="74">
        <v>0</v>
      </c>
      <c r="Z75" s="74">
        <f t="shared" si="79"/>
        <v>1000</v>
      </c>
      <c r="AA75" s="74">
        <v>0</v>
      </c>
      <c r="AB75" s="74">
        <f t="shared" si="80"/>
        <v>1000</v>
      </c>
      <c r="AC75" s="74">
        <v>0</v>
      </c>
      <c r="AD75" s="74">
        <f t="shared" si="81"/>
        <v>1000</v>
      </c>
      <c r="AE75" s="74">
        <v>0</v>
      </c>
      <c r="AF75" s="74">
        <f t="shared" si="82"/>
        <v>1000</v>
      </c>
      <c r="AG75" s="74">
        <v>0</v>
      </c>
      <c r="AH75" s="74">
        <f t="shared" si="83"/>
        <v>1000</v>
      </c>
    </row>
    <row r="76" spans="1:34" s="27" customFormat="1" ht="21.75" customHeight="1">
      <c r="A76" s="58"/>
      <c r="B76" s="75" t="s">
        <v>272</v>
      </c>
      <c r="C76" s="58"/>
      <c r="D76" s="14" t="s">
        <v>273</v>
      </c>
      <c r="E76" s="74">
        <f>SUM(E77:E100)</f>
        <v>4383550</v>
      </c>
      <c r="F76" s="74">
        <f>SUM(F77:F100)</f>
        <v>0</v>
      </c>
      <c r="G76" s="74">
        <f>SUM(G77:G100)</f>
        <v>17800</v>
      </c>
      <c r="H76" s="74">
        <f t="shared" si="64"/>
        <v>4365750</v>
      </c>
      <c r="I76" s="74">
        <f aca="true" t="shared" si="84" ref="I76:N76">SUM(I77:I100)</f>
        <v>60</v>
      </c>
      <c r="J76" s="74">
        <f t="shared" si="84"/>
        <v>4365810</v>
      </c>
      <c r="K76" s="74">
        <f t="shared" si="84"/>
        <v>0</v>
      </c>
      <c r="L76" s="74">
        <f t="shared" si="84"/>
        <v>4365810</v>
      </c>
      <c r="M76" s="74">
        <f t="shared" si="84"/>
        <v>0</v>
      </c>
      <c r="N76" s="74">
        <f t="shared" si="84"/>
        <v>4365810</v>
      </c>
      <c r="O76" s="74">
        <f aca="true" t="shared" si="85" ref="O76:T76">SUM(O77:O100)</f>
        <v>0</v>
      </c>
      <c r="P76" s="74">
        <f t="shared" si="85"/>
        <v>4365810</v>
      </c>
      <c r="Q76" s="74">
        <f t="shared" si="85"/>
        <v>11393</v>
      </c>
      <c r="R76" s="74">
        <f t="shared" si="85"/>
        <v>4377203</v>
      </c>
      <c r="S76" s="74">
        <f t="shared" si="85"/>
        <v>0</v>
      </c>
      <c r="T76" s="74">
        <f t="shared" si="85"/>
        <v>4377203</v>
      </c>
      <c r="U76" s="74">
        <f aca="true" t="shared" si="86" ref="U76:Z76">SUM(U77:U100)</f>
        <v>0</v>
      </c>
      <c r="V76" s="74">
        <f t="shared" si="86"/>
        <v>4377203</v>
      </c>
      <c r="W76" s="74">
        <f t="shared" si="86"/>
        <v>300</v>
      </c>
      <c r="X76" s="74">
        <f t="shared" si="86"/>
        <v>4377503</v>
      </c>
      <c r="Y76" s="74">
        <f t="shared" si="86"/>
        <v>0</v>
      </c>
      <c r="Z76" s="74">
        <f t="shared" si="86"/>
        <v>4377503</v>
      </c>
      <c r="AA76" s="74">
        <f aca="true" t="shared" si="87" ref="AA76:AF76">SUM(AA77:AA100)</f>
        <v>-1890</v>
      </c>
      <c r="AB76" s="74">
        <f t="shared" si="87"/>
        <v>4375613</v>
      </c>
      <c r="AC76" s="74">
        <f t="shared" si="87"/>
        <v>0</v>
      </c>
      <c r="AD76" s="74">
        <f t="shared" si="87"/>
        <v>4375613</v>
      </c>
      <c r="AE76" s="74">
        <f t="shared" si="87"/>
        <v>0</v>
      </c>
      <c r="AF76" s="74">
        <f t="shared" si="87"/>
        <v>4375613</v>
      </c>
      <c r="AG76" s="74">
        <f>SUM(AG77:AG100)</f>
        <v>-92443</v>
      </c>
      <c r="AH76" s="74">
        <f>SUM(AH77:AH100)</f>
        <v>4283170</v>
      </c>
    </row>
    <row r="77" spans="1:34" s="27" customFormat="1" ht="21" customHeight="1">
      <c r="A77" s="58"/>
      <c r="B77" s="75"/>
      <c r="C77" s="76">
        <v>3020</v>
      </c>
      <c r="D77" s="14" t="s">
        <v>474</v>
      </c>
      <c r="E77" s="74">
        <v>33500</v>
      </c>
      <c r="F77" s="74"/>
      <c r="G77" s="74"/>
      <c r="H77" s="74">
        <f t="shared" si="64"/>
        <v>33500</v>
      </c>
      <c r="I77" s="74"/>
      <c r="J77" s="74">
        <f t="shared" si="5"/>
        <v>33500</v>
      </c>
      <c r="K77" s="74">
        <v>0</v>
      </c>
      <c r="L77" s="74">
        <f t="shared" si="6"/>
        <v>33500</v>
      </c>
      <c r="M77" s="74">
        <v>0</v>
      </c>
      <c r="N77" s="74">
        <f aca="true" t="shared" si="88" ref="N77:N100">SUM(L77:M77)</f>
        <v>33500</v>
      </c>
      <c r="O77" s="74">
        <v>0</v>
      </c>
      <c r="P77" s="74">
        <f aca="true" t="shared" si="89" ref="P77:P100">SUM(N77:O77)</f>
        <v>33500</v>
      </c>
      <c r="Q77" s="74">
        <v>0</v>
      </c>
      <c r="R77" s="74">
        <f aca="true" t="shared" si="90" ref="R77:R100">SUM(P77:Q77)</f>
        <v>33500</v>
      </c>
      <c r="S77" s="74">
        <v>0</v>
      </c>
      <c r="T77" s="74">
        <f aca="true" t="shared" si="91" ref="T77:T100">SUM(R77:S77)</f>
        <v>33500</v>
      </c>
      <c r="U77" s="74">
        <v>0</v>
      </c>
      <c r="V77" s="74">
        <f aca="true" t="shared" si="92" ref="V77:V100">SUM(T77:U77)</f>
        <v>33500</v>
      </c>
      <c r="W77" s="74">
        <v>0</v>
      </c>
      <c r="X77" s="74">
        <f aca="true" t="shared" si="93" ref="X77:X100">SUM(V77:W77)</f>
        <v>33500</v>
      </c>
      <c r="Y77" s="74">
        <v>0</v>
      </c>
      <c r="Z77" s="74">
        <f aca="true" t="shared" si="94" ref="Z77:Z100">SUM(X77:Y77)</f>
        <v>33500</v>
      </c>
      <c r="AA77" s="74">
        <v>-6000</v>
      </c>
      <c r="AB77" s="74">
        <f aca="true" t="shared" si="95" ref="AB77:AB100">SUM(Z77:AA77)</f>
        <v>27500</v>
      </c>
      <c r="AC77" s="74">
        <v>0</v>
      </c>
      <c r="AD77" s="74">
        <f aca="true" t="shared" si="96" ref="AD77:AD100">SUM(AB77:AC77)</f>
        <v>27500</v>
      </c>
      <c r="AE77" s="74">
        <v>0</v>
      </c>
      <c r="AF77" s="74">
        <f aca="true" t="shared" si="97" ref="AF77:AF100">SUM(AD77:AE77)</f>
        <v>27500</v>
      </c>
      <c r="AG77" s="74">
        <v>-10400</v>
      </c>
      <c r="AH77" s="74">
        <f aca="true" t="shared" si="98" ref="AH77:AH100">SUM(AF77:AG77)</f>
        <v>17100</v>
      </c>
    </row>
    <row r="78" spans="1:34" s="27" customFormat="1" ht="21" customHeight="1">
      <c r="A78" s="58"/>
      <c r="B78" s="75"/>
      <c r="C78" s="76">
        <v>3030</v>
      </c>
      <c r="D78" s="14" t="s">
        <v>350</v>
      </c>
      <c r="E78" s="74">
        <v>60000</v>
      </c>
      <c r="F78" s="74"/>
      <c r="G78" s="74"/>
      <c r="H78" s="74">
        <f t="shared" si="64"/>
        <v>60000</v>
      </c>
      <c r="I78" s="74"/>
      <c r="J78" s="74">
        <f t="shared" si="5"/>
        <v>60000</v>
      </c>
      <c r="K78" s="74">
        <v>0</v>
      </c>
      <c r="L78" s="74">
        <f t="shared" si="6"/>
        <v>60000</v>
      </c>
      <c r="M78" s="74">
        <v>0</v>
      </c>
      <c r="N78" s="74">
        <f t="shared" si="88"/>
        <v>60000</v>
      </c>
      <c r="O78" s="74">
        <v>0</v>
      </c>
      <c r="P78" s="74">
        <f t="shared" si="89"/>
        <v>60000</v>
      </c>
      <c r="Q78" s="74">
        <v>0</v>
      </c>
      <c r="R78" s="74">
        <f t="shared" si="90"/>
        <v>60000</v>
      </c>
      <c r="S78" s="74">
        <v>0</v>
      </c>
      <c r="T78" s="74">
        <f t="shared" si="91"/>
        <v>60000</v>
      </c>
      <c r="U78" s="74">
        <v>0</v>
      </c>
      <c r="V78" s="74">
        <f t="shared" si="92"/>
        <v>60000</v>
      </c>
      <c r="W78" s="74">
        <v>0</v>
      </c>
      <c r="X78" s="74">
        <f t="shared" si="93"/>
        <v>60000</v>
      </c>
      <c r="Y78" s="74">
        <v>0</v>
      </c>
      <c r="Z78" s="74">
        <f t="shared" si="94"/>
        <v>60000</v>
      </c>
      <c r="AA78" s="74">
        <v>0</v>
      </c>
      <c r="AB78" s="74">
        <f t="shared" si="95"/>
        <v>60000</v>
      </c>
      <c r="AC78" s="74">
        <v>0</v>
      </c>
      <c r="AD78" s="74">
        <f t="shared" si="96"/>
        <v>60000</v>
      </c>
      <c r="AE78" s="74">
        <v>0</v>
      </c>
      <c r="AF78" s="74">
        <f t="shared" si="97"/>
        <v>60000</v>
      </c>
      <c r="AG78" s="74">
        <v>-890</v>
      </c>
      <c r="AH78" s="74">
        <f t="shared" si="98"/>
        <v>59110</v>
      </c>
    </row>
    <row r="79" spans="1:36" s="27" customFormat="1" ht="21" customHeight="1">
      <c r="A79" s="58"/>
      <c r="B79" s="75"/>
      <c r="C79" s="76">
        <v>4010</v>
      </c>
      <c r="D79" s="14" t="s">
        <v>345</v>
      </c>
      <c r="E79" s="74">
        <v>2308200</v>
      </c>
      <c r="F79" s="74"/>
      <c r="G79" s="74"/>
      <c r="H79" s="74">
        <f t="shared" si="64"/>
        <v>2308200</v>
      </c>
      <c r="I79" s="74"/>
      <c r="J79" s="74">
        <f t="shared" si="5"/>
        <v>2308200</v>
      </c>
      <c r="K79" s="74">
        <v>0</v>
      </c>
      <c r="L79" s="74">
        <f t="shared" si="6"/>
        <v>2308200</v>
      </c>
      <c r="M79" s="74">
        <v>0</v>
      </c>
      <c r="N79" s="74">
        <f t="shared" si="88"/>
        <v>2308200</v>
      </c>
      <c r="O79" s="74">
        <v>0</v>
      </c>
      <c r="P79" s="74">
        <f t="shared" si="89"/>
        <v>2308200</v>
      </c>
      <c r="Q79" s="74">
        <f>3542+5444</f>
        <v>8986</v>
      </c>
      <c r="R79" s="74">
        <f t="shared" si="90"/>
        <v>2317186</v>
      </c>
      <c r="S79" s="74">
        <v>0</v>
      </c>
      <c r="T79" s="74">
        <f t="shared" si="91"/>
        <v>2317186</v>
      </c>
      <c r="U79" s="74">
        <v>0</v>
      </c>
      <c r="V79" s="74">
        <f t="shared" si="92"/>
        <v>2317186</v>
      </c>
      <c r="W79" s="74">
        <v>0</v>
      </c>
      <c r="X79" s="74">
        <f t="shared" si="93"/>
        <v>2317186</v>
      </c>
      <c r="Y79" s="74">
        <v>0</v>
      </c>
      <c r="Z79" s="74">
        <f t="shared" si="94"/>
        <v>2317186</v>
      </c>
      <c r="AA79" s="74">
        <v>7176</v>
      </c>
      <c r="AB79" s="74">
        <f t="shared" si="95"/>
        <v>2324362</v>
      </c>
      <c r="AC79" s="74">
        <v>0</v>
      </c>
      <c r="AD79" s="74">
        <f t="shared" si="96"/>
        <v>2324362</v>
      </c>
      <c r="AE79" s="74">
        <v>0</v>
      </c>
      <c r="AF79" s="74">
        <f t="shared" si="97"/>
        <v>2324362</v>
      </c>
      <c r="AG79" s="74">
        <v>0</v>
      </c>
      <c r="AH79" s="74">
        <f t="shared" si="98"/>
        <v>2324362</v>
      </c>
      <c r="AI79" s="119"/>
      <c r="AJ79" s="119"/>
    </row>
    <row r="80" spans="1:36" s="27" customFormat="1" ht="21" customHeight="1">
      <c r="A80" s="58"/>
      <c r="B80" s="75"/>
      <c r="C80" s="76">
        <v>4040</v>
      </c>
      <c r="D80" s="14" t="s">
        <v>346</v>
      </c>
      <c r="E80" s="74">
        <v>154000</v>
      </c>
      <c r="F80" s="74"/>
      <c r="G80" s="74"/>
      <c r="H80" s="74">
        <f t="shared" si="64"/>
        <v>154000</v>
      </c>
      <c r="I80" s="74"/>
      <c r="J80" s="74">
        <f t="shared" si="5"/>
        <v>154000</v>
      </c>
      <c r="K80" s="74">
        <v>0</v>
      </c>
      <c r="L80" s="74">
        <f t="shared" si="6"/>
        <v>154000</v>
      </c>
      <c r="M80" s="74">
        <v>0</v>
      </c>
      <c r="N80" s="74">
        <f t="shared" si="88"/>
        <v>154000</v>
      </c>
      <c r="O80" s="74">
        <v>0</v>
      </c>
      <c r="P80" s="74">
        <f t="shared" si="89"/>
        <v>154000</v>
      </c>
      <c r="Q80" s="74">
        <v>0</v>
      </c>
      <c r="R80" s="74">
        <f t="shared" si="90"/>
        <v>154000</v>
      </c>
      <c r="S80" s="74">
        <v>0</v>
      </c>
      <c r="T80" s="74">
        <f t="shared" si="91"/>
        <v>154000</v>
      </c>
      <c r="U80" s="74">
        <v>0</v>
      </c>
      <c r="V80" s="74">
        <f t="shared" si="92"/>
        <v>154000</v>
      </c>
      <c r="W80" s="74">
        <v>0</v>
      </c>
      <c r="X80" s="74">
        <f t="shared" si="93"/>
        <v>154000</v>
      </c>
      <c r="Y80" s="74">
        <v>0</v>
      </c>
      <c r="Z80" s="74">
        <f t="shared" si="94"/>
        <v>154000</v>
      </c>
      <c r="AA80" s="74">
        <v>-6566</v>
      </c>
      <c r="AB80" s="74">
        <f t="shared" si="95"/>
        <v>147434</v>
      </c>
      <c r="AC80" s="74">
        <v>0</v>
      </c>
      <c r="AD80" s="74">
        <f t="shared" si="96"/>
        <v>147434</v>
      </c>
      <c r="AE80" s="74">
        <v>0</v>
      </c>
      <c r="AF80" s="74">
        <f t="shared" si="97"/>
        <v>147434</v>
      </c>
      <c r="AG80" s="74">
        <v>0</v>
      </c>
      <c r="AH80" s="74">
        <f t="shared" si="98"/>
        <v>147434</v>
      </c>
      <c r="AI80" s="119"/>
      <c r="AJ80" s="119"/>
    </row>
    <row r="81" spans="1:36" s="27" customFormat="1" ht="21" customHeight="1">
      <c r="A81" s="58"/>
      <c r="B81" s="75"/>
      <c r="C81" s="76">
        <v>4110</v>
      </c>
      <c r="D81" s="14" t="s">
        <v>347</v>
      </c>
      <c r="E81" s="74">
        <v>428050</v>
      </c>
      <c r="F81" s="74"/>
      <c r="G81" s="74"/>
      <c r="H81" s="74">
        <f t="shared" si="64"/>
        <v>428050</v>
      </c>
      <c r="I81" s="74"/>
      <c r="J81" s="74">
        <f t="shared" si="5"/>
        <v>428050</v>
      </c>
      <c r="K81" s="74">
        <v>0</v>
      </c>
      <c r="L81" s="74">
        <f t="shared" si="6"/>
        <v>428050</v>
      </c>
      <c r="M81" s="74">
        <v>0</v>
      </c>
      <c r="N81" s="74">
        <f t="shared" si="88"/>
        <v>428050</v>
      </c>
      <c r="O81" s="74">
        <v>0</v>
      </c>
      <c r="P81" s="74">
        <f t="shared" si="89"/>
        <v>428050</v>
      </c>
      <c r="Q81" s="74">
        <f>1553</f>
        <v>1553</v>
      </c>
      <c r="R81" s="74">
        <f t="shared" si="90"/>
        <v>429603</v>
      </c>
      <c r="S81" s="74">
        <v>0</v>
      </c>
      <c r="T81" s="74">
        <f t="shared" si="91"/>
        <v>429603</v>
      </c>
      <c r="U81" s="74">
        <v>0</v>
      </c>
      <c r="V81" s="74">
        <f t="shared" si="92"/>
        <v>429603</v>
      </c>
      <c r="W81" s="74">
        <v>0</v>
      </c>
      <c r="X81" s="74">
        <f t="shared" si="93"/>
        <v>429603</v>
      </c>
      <c r="Y81" s="74">
        <v>0</v>
      </c>
      <c r="Z81" s="74">
        <f t="shared" si="94"/>
        <v>429603</v>
      </c>
      <c r="AA81" s="74">
        <v>0</v>
      </c>
      <c r="AB81" s="74">
        <f t="shared" si="95"/>
        <v>429603</v>
      </c>
      <c r="AC81" s="74">
        <v>0</v>
      </c>
      <c r="AD81" s="74">
        <f t="shared" si="96"/>
        <v>429603</v>
      </c>
      <c r="AE81" s="74">
        <v>0</v>
      </c>
      <c r="AF81" s="74">
        <f t="shared" si="97"/>
        <v>429603</v>
      </c>
      <c r="AG81" s="74">
        <v>0</v>
      </c>
      <c r="AH81" s="74">
        <f t="shared" si="98"/>
        <v>429603</v>
      </c>
      <c r="AI81" s="119"/>
      <c r="AJ81" s="119"/>
    </row>
    <row r="82" spans="1:36" s="27" customFormat="1" ht="21" customHeight="1">
      <c r="A82" s="58"/>
      <c r="B82" s="75"/>
      <c r="C82" s="76">
        <v>4120</v>
      </c>
      <c r="D82" s="14" t="s">
        <v>348</v>
      </c>
      <c r="E82" s="74">
        <v>60500</v>
      </c>
      <c r="F82" s="74"/>
      <c r="G82" s="74"/>
      <c r="H82" s="74">
        <f t="shared" si="64"/>
        <v>60500</v>
      </c>
      <c r="I82" s="74"/>
      <c r="J82" s="74">
        <f t="shared" si="5"/>
        <v>60500</v>
      </c>
      <c r="K82" s="74">
        <v>0</v>
      </c>
      <c r="L82" s="74">
        <f t="shared" si="6"/>
        <v>60500</v>
      </c>
      <c r="M82" s="74">
        <v>0</v>
      </c>
      <c r="N82" s="74">
        <f t="shared" si="88"/>
        <v>60500</v>
      </c>
      <c r="O82" s="74">
        <v>0</v>
      </c>
      <c r="P82" s="74">
        <f t="shared" si="89"/>
        <v>60500</v>
      </c>
      <c r="Q82" s="74">
        <v>221</v>
      </c>
      <c r="R82" s="74">
        <f t="shared" si="90"/>
        <v>60721</v>
      </c>
      <c r="S82" s="74">
        <v>0</v>
      </c>
      <c r="T82" s="74">
        <f t="shared" si="91"/>
        <v>60721</v>
      </c>
      <c r="U82" s="74">
        <v>0</v>
      </c>
      <c r="V82" s="74">
        <f t="shared" si="92"/>
        <v>60721</v>
      </c>
      <c r="W82" s="74">
        <v>0</v>
      </c>
      <c r="X82" s="74">
        <f t="shared" si="93"/>
        <v>60721</v>
      </c>
      <c r="Y82" s="74">
        <v>0</v>
      </c>
      <c r="Z82" s="74">
        <f t="shared" si="94"/>
        <v>60721</v>
      </c>
      <c r="AA82" s="74">
        <v>0</v>
      </c>
      <c r="AB82" s="74">
        <f t="shared" si="95"/>
        <v>60721</v>
      </c>
      <c r="AC82" s="74">
        <v>0</v>
      </c>
      <c r="AD82" s="74">
        <f t="shared" si="96"/>
        <v>60721</v>
      </c>
      <c r="AE82" s="74">
        <v>0</v>
      </c>
      <c r="AF82" s="74">
        <f t="shared" si="97"/>
        <v>60721</v>
      </c>
      <c r="AG82" s="74">
        <v>0</v>
      </c>
      <c r="AH82" s="74">
        <f t="shared" si="98"/>
        <v>60721</v>
      </c>
      <c r="AI82" s="119"/>
      <c r="AJ82" s="119"/>
    </row>
    <row r="83" spans="1:36" s="27" customFormat="1" ht="21" customHeight="1">
      <c r="A83" s="58"/>
      <c r="B83" s="75"/>
      <c r="C83" s="76">
        <v>4170</v>
      </c>
      <c r="D83" s="14" t="s">
        <v>478</v>
      </c>
      <c r="E83" s="74">
        <v>10000</v>
      </c>
      <c r="F83" s="74"/>
      <c r="G83" s="74"/>
      <c r="H83" s="74">
        <f t="shared" si="64"/>
        <v>10000</v>
      </c>
      <c r="I83" s="74"/>
      <c r="J83" s="74">
        <f t="shared" si="5"/>
        <v>10000</v>
      </c>
      <c r="K83" s="74">
        <v>0</v>
      </c>
      <c r="L83" s="74">
        <f t="shared" si="6"/>
        <v>10000</v>
      </c>
      <c r="M83" s="74">
        <v>0</v>
      </c>
      <c r="N83" s="74">
        <f t="shared" si="88"/>
        <v>10000</v>
      </c>
      <c r="O83" s="74">
        <v>0</v>
      </c>
      <c r="P83" s="74">
        <f t="shared" si="89"/>
        <v>10000</v>
      </c>
      <c r="Q83" s="74">
        <v>0</v>
      </c>
      <c r="R83" s="74">
        <f t="shared" si="90"/>
        <v>10000</v>
      </c>
      <c r="S83" s="74">
        <v>0</v>
      </c>
      <c r="T83" s="74">
        <f t="shared" si="91"/>
        <v>10000</v>
      </c>
      <c r="U83" s="74">
        <v>0</v>
      </c>
      <c r="V83" s="74">
        <f t="shared" si="92"/>
        <v>10000</v>
      </c>
      <c r="W83" s="74">
        <v>0</v>
      </c>
      <c r="X83" s="74">
        <f t="shared" si="93"/>
        <v>10000</v>
      </c>
      <c r="Y83" s="74">
        <v>0</v>
      </c>
      <c r="Z83" s="74">
        <f t="shared" si="94"/>
        <v>10000</v>
      </c>
      <c r="AA83" s="74">
        <v>0</v>
      </c>
      <c r="AB83" s="74">
        <f t="shared" si="95"/>
        <v>10000</v>
      </c>
      <c r="AC83" s="74">
        <v>0</v>
      </c>
      <c r="AD83" s="74">
        <f t="shared" si="96"/>
        <v>10000</v>
      </c>
      <c r="AE83" s="74">
        <v>0</v>
      </c>
      <c r="AF83" s="74">
        <f t="shared" si="97"/>
        <v>10000</v>
      </c>
      <c r="AG83" s="74">
        <v>0</v>
      </c>
      <c r="AH83" s="74">
        <f t="shared" si="98"/>
        <v>10000</v>
      </c>
      <c r="AI83" s="119"/>
      <c r="AJ83" s="119"/>
    </row>
    <row r="84" spans="1:34" s="27" customFormat="1" ht="21" customHeight="1">
      <c r="A84" s="58"/>
      <c r="B84" s="75"/>
      <c r="C84" s="76">
        <v>4210</v>
      </c>
      <c r="D84" s="14" t="s">
        <v>354</v>
      </c>
      <c r="E84" s="74">
        <f>177700+1400</f>
        <v>179100</v>
      </c>
      <c r="F84" s="74"/>
      <c r="G84" s="74"/>
      <c r="H84" s="74">
        <f t="shared" si="64"/>
        <v>179100</v>
      </c>
      <c r="I84" s="74">
        <v>60</v>
      </c>
      <c r="J84" s="74">
        <f t="shared" si="5"/>
        <v>179160</v>
      </c>
      <c r="K84" s="74">
        <v>0</v>
      </c>
      <c r="L84" s="74">
        <f t="shared" si="6"/>
        <v>179160</v>
      </c>
      <c r="M84" s="74">
        <v>0</v>
      </c>
      <c r="N84" s="74">
        <f t="shared" si="88"/>
        <v>179160</v>
      </c>
      <c r="O84" s="74">
        <v>0</v>
      </c>
      <c r="P84" s="74">
        <f t="shared" si="89"/>
        <v>179160</v>
      </c>
      <c r="Q84" s="74">
        <v>0</v>
      </c>
      <c r="R84" s="74">
        <f t="shared" si="90"/>
        <v>179160</v>
      </c>
      <c r="S84" s="74">
        <v>0</v>
      </c>
      <c r="T84" s="74">
        <f t="shared" si="91"/>
        <v>179160</v>
      </c>
      <c r="U84" s="74">
        <v>0</v>
      </c>
      <c r="V84" s="74">
        <f t="shared" si="92"/>
        <v>179160</v>
      </c>
      <c r="W84" s="74">
        <v>0</v>
      </c>
      <c r="X84" s="74">
        <f t="shared" si="93"/>
        <v>179160</v>
      </c>
      <c r="Y84" s="74">
        <v>0</v>
      </c>
      <c r="Z84" s="74">
        <f t="shared" si="94"/>
        <v>179160</v>
      </c>
      <c r="AA84" s="74">
        <v>0</v>
      </c>
      <c r="AB84" s="74">
        <f t="shared" si="95"/>
        <v>179160</v>
      </c>
      <c r="AC84" s="74">
        <v>0</v>
      </c>
      <c r="AD84" s="74">
        <f t="shared" si="96"/>
        <v>179160</v>
      </c>
      <c r="AE84" s="74">
        <v>-5000</v>
      </c>
      <c r="AF84" s="74">
        <f t="shared" si="97"/>
        <v>174160</v>
      </c>
      <c r="AG84" s="74">
        <v>-15000</v>
      </c>
      <c r="AH84" s="74">
        <f t="shared" si="98"/>
        <v>159160</v>
      </c>
    </row>
    <row r="85" spans="1:34" s="27" customFormat="1" ht="21" customHeight="1">
      <c r="A85" s="58"/>
      <c r="B85" s="75"/>
      <c r="C85" s="76">
        <v>4260</v>
      </c>
      <c r="D85" s="14" t="s">
        <v>357</v>
      </c>
      <c r="E85" s="74">
        <v>89500</v>
      </c>
      <c r="F85" s="74"/>
      <c r="G85" s="74"/>
      <c r="H85" s="74">
        <f t="shared" si="64"/>
        <v>89500</v>
      </c>
      <c r="I85" s="74">
        <v>-2418</v>
      </c>
      <c r="J85" s="74">
        <f t="shared" si="5"/>
        <v>87082</v>
      </c>
      <c r="K85" s="74">
        <v>0</v>
      </c>
      <c r="L85" s="74">
        <f t="shared" si="6"/>
        <v>87082</v>
      </c>
      <c r="M85" s="74">
        <v>0</v>
      </c>
      <c r="N85" s="74">
        <f t="shared" si="88"/>
        <v>87082</v>
      </c>
      <c r="O85" s="74">
        <v>0</v>
      </c>
      <c r="P85" s="74">
        <f t="shared" si="89"/>
        <v>87082</v>
      </c>
      <c r="Q85" s="74">
        <v>0</v>
      </c>
      <c r="R85" s="74">
        <f t="shared" si="90"/>
        <v>87082</v>
      </c>
      <c r="S85" s="74">
        <v>0</v>
      </c>
      <c r="T85" s="74">
        <f t="shared" si="91"/>
        <v>87082</v>
      </c>
      <c r="U85" s="74">
        <v>0</v>
      </c>
      <c r="V85" s="74">
        <f t="shared" si="92"/>
        <v>87082</v>
      </c>
      <c r="W85" s="74">
        <v>0</v>
      </c>
      <c r="X85" s="74">
        <f t="shared" si="93"/>
        <v>87082</v>
      </c>
      <c r="Y85" s="74">
        <v>0</v>
      </c>
      <c r="Z85" s="74">
        <f t="shared" si="94"/>
        <v>87082</v>
      </c>
      <c r="AA85" s="74">
        <v>0</v>
      </c>
      <c r="AB85" s="74">
        <f t="shared" si="95"/>
        <v>87082</v>
      </c>
      <c r="AC85" s="74">
        <v>0</v>
      </c>
      <c r="AD85" s="74">
        <f t="shared" si="96"/>
        <v>87082</v>
      </c>
      <c r="AE85" s="74">
        <v>0</v>
      </c>
      <c r="AF85" s="74">
        <f t="shared" si="97"/>
        <v>87082</v>
      </c>
      <c r="AG85" s="74">
        <v>-12600</v>
      </c>
      <c r="AH85" s="74">
        <f t="shared" si="98"/>
        <v>74482</v>
      </c>
    </row>
    <row r="86" spans="1:34" s="27" customFormat="1" ht="21" customHeight="1">
      <c r="A86" s="58"/>
      <c r="B86" s="75"/>
      <c r="C86" s="76">
        <v>4270</v>
      </c>
      <c r="D86" s="14" t="s">
        <v>339</v>
      </c>
      <c r="E86" s="74">
        <v>411000</v>
      </c>
      <c r="F86" s="74"/>
      <c r="G86" s="74"/>
      <c r="H86" s="74">
        <f t="shared" si="64"/>
        <v>411000</v>
      </c>
      <c r="I86" s="74"/>
      <c r="J86" s="74">
        <f t="shared" si="5"/>
        <v>411000</v>
      </c>
      <c r="K86" s="74">
        <v>0</v>
      </c>
      <c r="L86" s="74">
        <f t="shared" si="6"/>
        <v>411000</v>
      </c>
      <c r="M86" s="74">
        <v>0</v>
      </c>
      <c r="N86" s="74">
        <f t="shared" si="88"/>
        <v>411000</v>
      </c>
      <c r="O86" s="74">
        <v>0</v>
      </c>
      <c r="P86" s="74">
        <f t="shared" si="89"/>
        <v>411000</v>
      </c>
      <c r="Q86" s="74">
        <v>0</v>
      </c>
      <c r="R86" s="74">
        <f t="shared" si="90"/>
        <v>411000</v>
      </c>
      <c r="S86" s="74">
        <v>0</v>
      </c>
      <c r="T86" s="74">
        <f t="shared" si="91"/>
        <v>411000</v>
      </c>
      <c r="U86" s="74">
        <v>0</v>
      </c>
      <c r="V86" s="74">
        <f t="shared" si="92"/>
        <v>411000</v>
      </c>
      <c r="W86" s="74">
        <v>0</v>
      </c>
      <c r="X86" s="74">
        <f t="shared" si="93"/>
        <v>411000</v>
      </c>
      <c r="Y86" s="74">
        <v>0</v>
      </c>
      <c r="Z86" s="74">
        <f t="shared" si="94"/>
        <v>411000</v>
      </c>
      <c r="AA86" s="74">
        <v>0</v>
      </c>
      <c r="AB86" s="74">
        <f t="shared" si="95"/>
        <v>411000</v>
      </c>
      <c r="AC86" s="74">
        <v>0</v>
      </c>
      <c r="AD86" s="74">
        <f t="shared" si="96"/>
        <v>411000</v>
      </c>
      <c r="AE86" s="74">
        <v>0</v>
      </c>
      <c r="AF86" s="74">
        <f t="shared" si="97"/>
        <v>411000</v>
      </c>
      <c r="AG86" s="74">
        <f>-192900+180000</f>
        <v>-12900</v>
      </c>
      <c r="AH86" s="74">
        <f t="shared" si="98"/>
        <v>398100</v>
      </c>
    </row>
    <row r="87" spans="1:34" s="27" customFormat="1" ht="21" customHeight="1">
      <c r="A87" s="58"/>
      <c r="B87" s="75"/>
      <c r="C87" s="76">
        <v>4280</v>
      </c>
      <c r="D87" s="14" t="s">
        <v>546</v>
      </c>
      <c r="E87" s="74">
        <v>8000</v>
      </c>
      <c r="F87" s="74"/>
      <c r="G87" s="74"/>
      <c r="H87" s="74">
        <f t="shared" si="64"/>
        <v>8000</v>
      </c>
      <c r="I87" s="74"/>
      <c r="J87" s="74">
        <f t="shared" si="5"/>
        <v>8000</v>
      </c>
      <c r="K87" s="74">
        <v>0</v>
      </c>
      <c r="L87" s="74">
        <f t="shared" si="6"/>
        <v>8000</v>
      </c>
      <c r="M87" s="74">
        <v>0</v>
      </c>
      <c r="N87" s="74">
        <f t="shared" si="88"/>
        <v>8000</v>
      </c>
      <c r="O87" s="74">
        <v>0</v>
      </c>
      <c r="P87" s="74">
        <f t="shared" si="89"/>
        <v>8000</v>
      </c>
      <c r="Q87" s="74">
        <v>280</v>
      </c>
      <c r="R87" s="74">
        <f t="shared" si="90"/>
        <v>8280</v>
      </c>
      <c r="S87" s="74">
        <v>0</v>
      </c>
      <c r="T87" s="74">
        <f t="shared" si="91"/>
        <v>8280</v>
      </c>
      <c r="U87" s="74">
        <v>0</v>
      </c>
      <c r="V87" s="74">
        <f t="shared" si="92"/>
        <v>8280</v>
      </c>
      <c r="W87" s="74">
        <v>0</v>
      </c>
      <c r="X87" s="74">
        <f t="shared" si="93"/>
        <v>8280</v>
      </c>
      <c r="Y87" s="74">
        <v>0</v>
      </c>
      <c r="Z87" s="74">
        <f t="shared" si="94"/>
        <v>8280</v>
      </c>
      <c r="AA87" s="74">
        <v>0</v>
      </c>
      <c r="AB87" s="74">
        <f t="shared" si="95"/>
        <v>8280</v>
      </c>
      <c r="AC87" s="74">
        <v>0</v>
      </c>
      <c r="AD87" s="74">
        <f t="shared" si="96"/>
        <v>8280</v>
      </c>
      <c r="AE87" s="74">
        <v>0</v>
      </c>
      <c r="AF87" s="74">
        <f t="shared" si="97"/>
        <v>8280</v>
      </c>
      <c r="AG87" s="74">
        <v>-1500</v>
      </c>
      <c r="AH87" s="74">
        <f t="shared" si="98"/>
        <v>6780</v>
      </c>
    </row>
    <row r="88" spans="1:34" s="27" customFormat="1" ht="21" customHeight="1">
      <c r="A88" s="58"/>
      <c r="B88" s="75"/>
      <c r="C88" s="76">
        <v>4300</v>
      </c>
      <c r="D88" s="14" t="s">
        <v>340</v>
      </c>
      <c r="E88" s="74">
        <v>242200</v>
      </c>
      <c r="F88" s="74"/>
      <c r="G88" s="74">
        <v>17800</v>
      </c>
      <c r="H88" s="74">
        <f t="shared" si="64"/>
        <v>224400</v>
      </c>
      <c r="I88" s="74"/>
      <c r="J88" s="74">
        <f aca="true" t="shared" si="99" ref="J88:J166">SUM(H88:I88)</f>
        <v>224400</v>
      </c>
      <c r="K88" s="74">
        <v>0</v>
      </c>
      <c r="L88" s="74">
        <f aca="true" t="shared" si="100" ref="L88:L166">SUM(J88:K88)</f>
        <v>224400</v>
      </c>
      <c r="M88" s="74">
        <v>0</v>
      </c>
      <c r="N88" s="74">
        <f t="shared" si="88"/>
        <v>224400</v>
      </c>
      <c r="O88" s="74">
        <v>6785</v>
      </c>
      <c r="P88" s="74">
        <f t="shared" si="89"/>
        <v>231185</v>
      </c>
      <c r="Q88" s="74">
        <v>0</v>
      </c>
      <c r="R88" s="74">
        <f t="shared" si="90"/>
        <v>231185</v>
      </c>
      <c r="S88" s="74">
        <v>0</v>
      </c>
      <c r="T88" s="74">
        <f t="shared" si="91"/>
        <v>231185</v>
      </c>
      <c r="U88" s="74">
        <v>0</v>
      </c>
      <c r="V88" s="74">
        <f t="shared" si="92"/>
        <v>231185</v>
      </c>
      <c r="W88" s="74">
        <v>300</v>
      </c>
      <c r="X88" s="74">
        <f t="shared" si="93"/>
        <v>231485</v>
      </c>
      <c r="Y88" s="74">
        <v>0</v>
      </c>
      <c r="Z88" s="74">
        <f t="shared" si="94"/>
        <v>231485</v>
      </c>
      <c r="AA88" s="74">
        <v>3500</v>
      </c>
      <c r="AB88" s="74">
        <f t="shared" si="95"/>
        <v>234985</v>
      </c>
      <c r="AC88" s="74">
        <v>0</v>
      </c>
      <c r="AD88" s="74">
        <f t="shared" si="96"/>
        <v>234985</v>
      </c>
      <c r="AE88" s="74">
        <f>15000-10000</f>
        <v>5000</v>
      </c>
      <c r="AF88" s="74">
        <f t="shared" si="97"/>
        <v>239985</v>
      </c>
      <c r="AG88" s="74">
        <v>-24865</v>
      </c>
      <c r="AH88" s="74">
        <f t="shared" si="98"/>
        <v>215120</v>
      </c>
    </row>
    <row r="89" spans="1:34" s="27" customFormat="1" ht="21" customHeight="1">
      <c r="A89" s="58"/>
      <c r="B89" s="75"/>
      <c r="C89" s="76">
        <v>4350</v>
      </c>
      <c r="D89" s="14" t="s">
        <v>529</v>
      </c>
      <c r="E89" s="74">
        <v>4000</v>
      </c>
      <c r="F89" s="74"/>
      <c r="G89" s="74"/>
      <c r="H89" s="74">
        <f t="shared" si="64"/>
        <v>4000</v>
      </c>
      <c r="I89" s="74"/>
      <c r="J89" s="74">
        <f t="shared" si="99"/>
        <v>4000</v>
      </c>
      <c r="K89" s="74">
        <v>0</v>
      </c>
      <c r="L89" s="74">
        <f t="shared" si="100"/>
        <v>4000</v>
      </c>
      <c r="M89" s="74">
        <v>0</v>
      </c>
      <c r="N89" s="74">
        <f t="shared" si="88"/>
        <v>4000</v>
      </c>
      <c r="O89" s="74">
        <v>0</v>
      </c>
      <c r="P89" s="74">
        <f t="shared" si="89"/>
        <v>4000</v>
      </c>
      <c r="Q89" s="74">
        <v>0</v>
      </c>
      <c r="R89" s="74">
        <f t="shared" si="90"/>
        <v>4000</v>
      </c>
      <c r="S89" s="74">
        <v>0</v>
      </c>
      <c r="T89" s="74">
        <f t="shared" si="91"/>
        <v>4000</v>
      </c>
      <c r="U89" s="74">
        <v>0</v>
      </c>
      <c r="V89" s="74">
        <f t="shared" si="92"/>
        <v>4000</v>
      </c>
      <c r="W89" s="74">
        <v>0</v>
      </c>
      <c r="X89" s="74">
        <f t="shared" si="93"/>
        <v>4000</v>
      </c>
      <c r="Y89" s="74">
        <v>0</v>
      </c>
      <c r="Z89" s="74">
        <f t="shared" si="94"/>
        <v>4000</v>
      </c>
      <c r="AA89" s="74">
        <v>0</v>
      </c>
      <c r="AB89" s="74">
        <f t="shared" si="95"/>
        <v>4000</v>
      </c>
      <c r="AC89" s="74">
        <v>0</v>
      </c>
      <c r="AD89" s="74">
        <f t="shared" si="96"/>
        <v>4000</v>
      </c>
      <c r="AE89" s="74">
        <v>0</v>
      </c>
      <c r="AF89" s="74">
        <f t="shared" si="97"/>
        <v>4000</v>
      </c>
      <c r="AG89" s="74">
        <v>0</v>
      </c>
      <c r="AH89" s="74">
        <f t="shared" si="98"/>
        <v>4000</v>
      </c>
    </row>
    <row r="90" spans="1:34" s="27" customFormat="1" ht="24">
      <c r="A90" s="58"/>
      <c r="B90" s="75"/>
      <c r="C90" s="76">
        <v>4360</v>
      </c>
      <c r="D90" s="14" t="s">
        <v>573</v>
      </c>
      <c r="E90" s="74">
        <v>24000</v>
      </c>
      <c r="F90" s="74"/>
      <c r="G90" s="74"/>
      <c r="H90" s="74">
        <f t="shared" si="64"/>
        <v>24000</v>
      </c>
      <c r="I90" s="74"/>
      <c r="J90" s="74">
        <f t="shared" si="99"/>
        <v>24000</v>
      </c>
      <c r="K90" s="74">
        <v>0</v>
      </c>
      <c r="L90" s="74">
        <f t="shared" si="100"/>
        <v>24000</v>
      </c>
      <c r="M90" s="74">
        <v>0</v>
      </c>
      <c r="N90" s="74">
        <f t="shared" si="88"/>
        <v>24000</v>
      </c>
      <c r="O90" s="74">
        <v>0</v>
      </c>
      <c r="P90" s="74">
        <f t="shared" si="89"/>
        <v>24000</v>
      </c>
      <c r="Q90" s="74">
        <v>0</v>
      </c>
      <c r="R90" s="74">
        <f t="shared" si="90"/>
        <v>24000</v>
      </c>
      <c r="S90" s="74">
        <v>0</v>
      </c>
      <c r="T90" s="74">
        <f t="shared" si="91"/>
        <v>24000</v>
      </c>
      <c r="U90" s="74">
        <v>0</v>
      </c>
      <c r="V90" s="74">
        <f t="shared" si="92"/>
        <v>24000</v>
      </c>
      <c r="W90" s="74">
        <v>0</v>
      </c>
      <c r="X90" s="74">
        <f t="shared" si="93"/>
        <v>24000</v>
      </c>
      <c r="Y90" s="74">
        <v>0</v>
      </c>
      <c r="Z90" s="74">
        <f t="shared" si="94"/>
        <v>24000</v>
      </c>
      <c r="AA90" s="74">
        <v>0</v>
      </c>
      <c r="AB90" s="74">
        <f t="shared" si="95"/>
        <v>24000</v>
      </c>
      <c r="AC90" s="74">
        <v>0</v>
      </c>
      <c r="AD90" s="74">
        <f t="shared" si="96"/>
        <v>24000</v>
      </c>
      <c r="AE90" s="74">
        <v>0</v>
      </c>
      <c r="AF90" s="74">
        <f t="shared" si="97"/>
        <v>24000</v>
      </c>
      <c r="AG90" s="74">
        <v>0</v>
      </c>
      <c r="AH90" s="74">
        <f t="shared" si="98"/>
        <v>24000</v>
      </c>
    </row>
    <row r="91" spans="1:34" s="27" customFormat="1" ht="24">
      <c r="A91" s="58"/>
      <c r="B91" s="75"/>
      <c r="C91" s="76">
        <v>4370</v>
      </c>
      <c r="D91" s="14" t="s">
        <v>568</v>
      </c>
      <c r="E91" s="74">
        <v>48100</v>
      </c>
      <c r="F91" s="74"/>
      <c r="G91" s="74"/>
      <c r="H91" s="74">
        <f t="shared" si="64"/>
        <v>48100</v>
      </c>
      <c r="I91" s="74"/>
      <c r="J91" s="74">
        <f t="shared" si="99"/>
        <v>48100</v>
      </c>
      <c r="K91" s="74">
        <v>0</v>
      </c>
      <c r="L91" s="74">
        <f t="shared" si="100"/>
        <v>48100</v>
      </c>
      <c r="M91" s="74">
        <v>0</v>
      </c>
      <c r="N91" s="74">
        <f t="shared" si="88"/>
        <v>48100</v>
      </c>
      <c r="O91" s="74">
        <v>0</v>
      </c>
      <c r="P91" s="74">
        <f t="shared" si="89"/>
        <v>48100</v>
      </c>
      <c r="Q91" s="74">
        <v>0</v>
      </c>
      <c r="R91" s="74">
        <f t="shared" si="90"/>
        <v>48100</v>
      </c>
      <c r="S91" s="74">
        <v>0</v>
      </c>
      <c r="T91" s="74">
        <f t="shared" si="91"/>
        <v>48100</v>
      </c>
      <c r="U91" s="74">
        <v>0</v>
      </c>
      <c r="V91" s="74">
        <f t="shared" si="92"/>
        <v>48100</v>
      </c>
      <c r="W91" s="74">
        <v>0</v>
      </c>
      <c r="X91" s="74">
        <f t="shared" si="93"/>
        <v>48100</v>
      </c>
      <c r="Y91" s="74">
        <v>0</v>
      </c>
      <c r="Z91" s="74">
        <f t="shared" si="94"/>
        <v>48100</v>
      </c>
      <c r="AA91" s="74">
        <v>0</v>
      </c>
      <c r="AB91" s="74">
        <f t="shared" si="95"/>
        <v>48100</v>
      </c>
      <c r="AC91" s="74">
        <v>0</v>
      </c>
      <c r="AD91" s="74">
        <f t="shared" si="96"/>
        <v>48100</v>
      </c>
      <c r="AE91" s="74">
        <v>0</v>
      </c>
      <c r="AF91" s="74">
        <f t="shared" si="97"/>
        <v>48100</v>
      </c>
      <c r="AG91" s="74">
        <v>0</v>
      </c>
      <c r="AH91" s="74">
        <f t="shared" si="98"/>
        <v>48100</v>
      </c>
    </row>
    <row r="92" spans="1:34" s="27" customFormat="1" ht="24">
      <c r="A92" s="58"/>
      <c r="B92" s="75"/>
      <c r="C92" s="76">
        <v>4400</v>
      </c>
      <c r="D92" s="14" t="s">
        <v>95</v>
      </c>
      <c r="E92" s="74"/>
      <c r="F92" s="74"/>
      <c r="G92" s="74"/>
      <c r="H92" s="74"/>
      <c r="I92" s="74"/>
      <c r="J92" s="74"/>
      <c r="K92" s="74"/>
      <c r="L92" s="74"/>
      <c r="M92" s="74"/>
      <c r="N92" s="74">
        <v>0</v>
      </c>
      <c r="O92" s="74">
        <v>535</v>
      </c>
      <c r="P92" s="74">
        <f t="shared" si="89"/>
        <v>535</v>
      </c>
      <c r="Q92" s="74">
        <v>0</v>
      </c>
      <c r="R92" s="74">
        <f t="shared" si="90"/>
        <v>535</v>
      </c>
      <c r="S92" s="74">
        <v>0</v>
      </c>
      <c r="T92" s="74">
        <f t="shared" si="91"/>
        <v>535</v>
      </c>
      <c r="U92" s="74">
        <v>0</v>
      </c>
      <c r="V92" s="74">
        <f t="shared" si="92"/>
        <v>535</v>
      </c>
      <c r="W92" s="74">
        <v>0</v>
      </c>
      <c r="X92" s="74">
        <f t="shared" si="93"/>
        <v>535</v>
      </c>
      <c r="Y92" s="74">
        <v>0</v>
      </c>
      <c r="Z92" s="74">
        <f t="shared" si="94"/>
        <v>535</v>
      </c>
      <c r="AA92" s="74">
        <v>0</v>
      </c>
      <c r="AB92" s="74">
        <f t="shared" si="95"/>
        <v>535</v>
      </c>
      <c r="AC92" s="74">
        <v>0</v>
      </c>
      <c r="AD92" s="74">
        <f t="shared" si="96"/>
        <v>535</v>
      </c>
      <c r="AE92" s="74">
        <v>0</v>
      </c>
      <c r="AF92" s="74">
        <f t="shared" si="97"/>
        <v>535</v>
      </c>
      <c r="AG92" s="74">
        <v>-222</v>
      </c>
      <c r="AH92" s="74">
        <f t="shared" si="98"/>
        <v>313</v>
      </c>
    </row>
    <row r="93" spans="1:34" s="27" customFormat="1" ht="21" customHeight="1">
      <c r="A93" s="58"/>
      <c r="B93" s="75"/>
      <c r="C93" s="76">
        <v>4410</v>
      </c>
      <c r="D93" s="14" t="s">
        <v>352</v>
      </c>
      <c r="E93" s="74">
        <v>54000</v>
      </c>
      <c r="F93" s="74"/>
      <c r="G93" s="74"/>
      <c r="H93" s="74">
        <f t="shared" si="64"/>
        <v>54000</v>
      </c>
      <c r="I93" s="74"/>
      <c r="J93" s="74">
        <f t="shared" si="99"/>
        <v>54000</v>
      </c>
      <c r="K93" s="74">
        <v>0</v>
      </c>
      <c r="L93" s="74">
        <f t="shared" si="100"/>
        <v>54000</v>
      </c>
      <c r="M93" s="74">
        <v>0</v>
      </c>
      <c r="N93" s="74">
        <f t="shared" si="88"/>
        <v>54000</v>
      </c>
      <c r="O93" s="74">
        <v>0</v>
      </c>
      <c r="P93" s="74">
        <f t="shared" si="89"/>
        <v>54000</v>
      </c>
      <c r="Q93" s="74">
        <v>0</v>
      </c>
      <c r="R93" s="74">
        <f t="shared" si="90"/>
        <v>54000</v>
      </c>
      <c r="S93" s="74">
        <v>0</v>
      </c>
      <c r="T93" s="74">
        <f t="shared" si="91"/>
        <v>54000</v>
      </c>
      <c r="U93" s="74">
        <v>0</v>
      </c>
      <c r="V93" s="74">
        <f t="shared" si="92"/>
        <v>54000</v>
      </c>
      <c r="W93" s="74">
        <v>0</v>
      </c>
      <c r="X93" s="74">
        <f t="shared" si="93"/>
        <v>54000</v>
      </c>
      <c r="Y93" s="74">
        <v>0</v>
      </c>
      <c r="Z93" s="74">
        <f t="shared" si="94"/>
        <v>54000</v>
      </c>
      <c r="AA93" s="74">
        <v>0</v>
      </c>
      <c r="AB93" s="74">
        <f t="shared" si="95"/>
        <v>54000</v>
      </c>
      <c r="AC93" s="74">
        <v>0</v>
      </c>
      <c r="AD93" s="74">
        <f t="shared" si="96"/>
        <v>54000</v>
      </c>
      <c r="AE93" s="74">
        <v>0</v>
      </c>
      <c r="AF93" s="74">
        <f t="shared" si="97"/>
        <v>54000</v>
      </c>
      <c r="AG93" s="74">
        <v>0</v>
      </c>
      <c r="AH93" s="74">
        <f t="shared" si="98"/>
        <v>54000</v>
      </c>
    </row>
    <row r="94" spans="1:34" s="27" customFormat="1" ht="21" customHeight="1">
      <c r="A94" s="58"/>
      <c r="B94" s="75"/>
      <c r="C94" s="58">
        <v>4420</v>
      </c>
      <c r="D94" s="14" t="s">
        <v>355</v>
      </c>
      <c r="E94" s="74">
        <v>5000</v>
      </c>
      <c r="F94" s="74"/>
      <c r="G94" s="74"/>
      <c r="H94" s="74">
        <f t="shared" si="64"/>
        <v>5000</v>
      </c>
      <c r="I94" s="74"/>
      <c r="J94" s="74">
        <f t="shared" si="99"/>
        <v>5000</v>
      </c>
      <c r="K94" s="74">
        <v>0</v>
      </c>
      <c r="L94" s="74">
        <f t="shared" si="100"/>
        <v>5000</v>
      </c>
      <c r="M94" s="74">
        <v>0</v>
      </c>
      <c r="N94" s="74">
        <f t="shared" si="88"/>
        <v>5000</v>
      </c>
      <c r="O94" s="74">
        <v>0</v>
      </c>
      <c r="P94" s="74">
        <f t="shared" si="89"/>
        <v>5000</v>
      </c>
      <c r="Q94" s="74">
        <v>0</v>
      </c>
      <c r="R94" s="74">
        <f t="shared" si="90"/>
        <v>5000</v>
      </c>
      <c r="S94" s="74">
        <v>0</v>
      </c>
      <c r="T94" s="74">
        <f t="shared" si="91"/>
        <v>5000</v>
      </c>
      <c r="U94" s="74">
        <v>0</v>
      </c>
      <c r="V94" s="74">
        <f t="shared" si="92"/>
        <v>5000</v>
      </c>
      <c r="W94" s="74">
        <v>0</v>
      </c>
      <c r="X94" s="74">
        <f t="shared" si="93"/>
        <v>5000</v>
      </c>
      <c r="Y94" s="74">
        <v>0</v>
      </c>
      <c r="Z94" s="74">
        <f t="shared" si="94"/>
        <v>5000</v>
      </c>
      <c r="AA94" s="74">
        <v>0</v>
      </c>
      <c r="AB94" s="74">
        <f t="shared" si="95"/>
        <v>5000</v>
      </c>
      <c r="AC94" s="74">
        <v>0</v>
      </c>
      <c r="AD94" s="74">
        <f t="shared" si="96"/>
        <v>5000</v>
      </c>
      <c r="AE94" s="74">
        <v>0</v>
      </c>
      <c r="AF94" s="74">
        <f t="shared" si="97"/>
        <v>5000</v>
      </c>
      <c r="AG94" s="74">
        <v>-3000</v>
      </c>
      <c r="AH94" s="74">
        <f t="shared" si="98"/>
        <v>2000</v>
      </c>
    </row>
    <row r="95" spans="1:34" s="27" customFormat="1" ht="21" customHeight="1">
      <c r="A95" s="58"/>
      <c r="B95" s="75"/>
      <c r="C95" s="85">
        <v>4430</v>
      </c>
      <c r="D95" s="14" t="s">
        <v>356</v>
      </c>
      <c r="E95" s="74">
        <v>52800</v>
      </c>
      <c r="F95" s="74"/>
      <c r="G95" s="74"/>
      <c r="H95" s="74">
        <f t="shared" si="64"/>
        <v>52800</v>
      </c>
      <c r="I95" s="74">
        <v>2418</v>
      </c>
      <c r="J95" s="74">
        <f t="shared" si="99"/>
        <v>55218</v>
      </c>
      <c r="K95" s="74">
        <v>0</v>
      </c>
      <c r="L95" s="74">
        <f t="shared" si="100"/>
        <v>55218</v>
      </c>
      <c r="M95" s="74">
        <v>0</v>
      </c>
      <c r="N95" s="74">
        <f t="shared" si="88"/>
        <v>55218</v>
      </c>
      <c r="O95" s="74">
        <v>-7320</v>
      </c>
      <c r="P95" s="74">
        <f t="shared" si="89"/>
        <v>47898</v>
      </c>
      <c r="Q95" s="74">
        <v>0</v>
      </c>
      <c r="R95" s="74">
        <f t="shared" si="90"/>
        <v>47898</v>
      </c>
      <c r="S95" s="74">
        <v>0</v>
      </c>
      <c r="T95" s="74">
        <f t="shared" si="91"/>
        <v>47898</v>
      </c>
      <c r="U95" s="74">
        <v>0</v>
      </c>
      <c r="V95" s="74">
        <f t="shared" si="92"/>
        <v>47898</v>
      </c>
      <c r="W95" s="74">
        <v>0</v>
      </c>
      <c r="X95" s="74">
        <f t="shared" si="93"/>
        <v>47898</v>
      </c>
      <c r="Y95" s="74">
        <v>0</v>
      </c>
      <c r="Z95" s="74">
        <f t="shared" si="94"/>
        <v>47898</v>
      </c>
      <c r="AA95" s="74">
        <v>0</v>
      </c>
      <c r="AB95" s="74">
        <f t="shared" si="95"/>
        <v>47898</v>
      </c>
      <c r="AC95" s="74">
        <v>0</v>
      </c>
      <c r="AD95" s="74">
        <f t="shared" si="96"/>
        <v>47898</v>
      </c>
      <c r="AE95" s="74">
        <v>0</v>
      </c>
      <c r="AF95" s="74">
        <f t="shared" si="97"/>
        <v>47898</v>
      </c>
      <c r="AG95" s="74">
        <v>-2066</v>
      </c>
      <c r="AH95" s="74">
        <f t="shared" si="98"/>
        <v>45832</v>
      </c>
    </row>
    <row r="96" spans="1:34" s="27" customFormat="1" ht="21" customHeight="1">
      <c r="A96" s="58"/>
      <c r="B96" s="75"/>
      <c r="C96" s="85">
        <v>4440</v>
      </c>
      <c r="D96" s="14" t="s">
        <v>349</v>
      </c>
      <c r="E96" s="74">
        <v>75100</v>
      </c>
      <c r="F96" s="74"/>
      <c r="G96" s="74"/>
      <c r="H96" s="74">
        <f t="shared" si="64"/>
        <v>75100</v>
      </c>
      <c r="I96" s="74"/>
      <c r="J96" s="74">
        <f t="shared" si="99"/>
        <v>75100</v>
      </c>
      <c r="K96" s="74">
        <v>0</v>
      </c>
      <c r="L96" s="74">
        <f t="shared" si="100"/>
        <v>75100</v>
      </c>
      <c r="M96" s="74">
        <v>0</v>
      </c>
      <c r="N96" s="74">
        <f t="shared" si="88"/>
        <v>75100</v>
      </c>
      <c r="O96" s="74">
        <v>0</v>
      </c>
      <c r="P96" s="74">
        <f t="shared" si="89"/>
        <v>75100</v>
      </c>
      <c r="Q96" s="74">
        <v>353</v>
      </c>
      <c r="R96" s="74">
        <f t="shared" si="90"/>
        <v>75453</v>
      </c>
      <c r="S96" s="74">
        <v>0</v>
      </c>
      <c r="T96" s="74">
        <f t="shared" si="91"/>
        <v>75453</v>
      </c>
      <c r="U96" s="74">
        <v>0</v>
      </c>
      <c r="V96" s="74">
        <f t="shared" si="92"/>
        <v>75453</v>
      </c>
      <c r="W96" s="74">
        <v>0</v>
      </c>
      <c r="X96" s="74">
        <f t="shared" si="93"/>
        <v>75453</v>
      </c>
      <c r="Y96" s="74">
        <v>0</v>
      </c>
      <c r="Z96" s="74">
        <f t="shared" si="94"/>
        <v>75453</v>
      </c>
      <c r="AA96" s="74">
        <v>0</v>
      </c>
      <c r="AB96" s="74">
        <f t="shared" si="95"/>
        <v>75453</v>
      </c>
      <c r="AC96" s="74">
        <v>0</v>
      </c>
      <c r="AD96" s="74">
        <f t="shared" si="96"/>
        <v>75453</v>
      </c>
      <c r="AE96" s="74">
        <v>0</v>
      </c>
      <c r="AF96" s="74">
        <f t="shared" si="97"/>
        <v>75453</v>
      </c>
      <c r="AG96" s="74">
        <v>0</v>
      </c>
      <c r="AH96" s="74">
        <f t="shared" si="98"/>
        <v>75453</v>
      </c>
    </row>
    <row r="97" spans="1:34" s="27" customFormat="1" ht="21" customHeight="1">
      <c r="A97" s="58"/>
      <c r="B97" s="75"/>
      <c r="C97" s="85">
        <v>4700</v>
      </c>
      <c r="D97" s="14" t="s">
        <v>571</v>
      </c>
      <c r="E97" s="74">
        <v>28000</v>
      </c>
      <c r="F97" s="74"/>
      <c r="G97" s="74"/>
      <c r="H97" s="74">
        <f t="shared" si="64"/>
        <v>28000</v>
      </c>
      <c r="I97" s="74"/>
      <c r="J97" s="74">
        <f t="shared" si="99"/>
        <v>28000</v>
      </c>
      <c r="K97" s="74">
        <v>0</v>
      </c>
      <c r="L97" s="74">
        <f t="shared" si="100"/>
        <v>28000</v>
      </c>
      <c r="M97" s="74">
        <v>0</v>
      </c>
      <c r="N97" s="74">
        <f t="shared" si="88"/>
        <v>28000</v>
      </c>
      <c r="O97" s="74">
        <v>0</v>
      </c>
      <c r="P97" s="74">
        <f t="shared" si="89"/>
        <v>28000</v>
      </c>
      <c r="Q97" s="74">
        <v>0</v>
      </c>
      <c r="R97" s="74">
        <f t="shared" si="90"/>
        <v>28000</v>
      </c>
      <c r="S97" s="74">
        <v>0</v>
      </c>
      <c r="T97" s="74">
        <f t="shared" si="91"/>
        <v>28000</v>
      </c>
      <c r="U97" s="74">
        <v>0</v>
      </c>
      <c r="V97" s="74">
        <f t="shared" si="92"/>
        <v>28000</v>
      </c>
      <c r="W97" s="74">
        <v>0</v>
      </c>
      <c r="X97" s="74">
        <f t="shared" si="93"/>
        <v>28000</v>
      </c>
      <c r="Y97" s="74">
        <v>0</v>
      </c>
      <c r="Z97" s="74">
        <f t="shared" si="94"/>
        <v>28000</v>
      </c>
      <c r="AA97" s="74">
        <v>0</v>
      </c>
      <c r="AB97" s="74">
        <f t="shared" si="95"/>
        <v>28000</v>
      </c>
      <c r="AC97" s="74">
        <v>0</v>
      </c>
      <c r="AD97" s="74">
        <f t="shared" si="96"/>
        <v>28000</v>
      </c>
      <c r="AE97" s="74">
        <v>0</v>
      </c>
      <c r="AF97" s="74">
        <f t="shared" si="97"/>
        <v>28000</v>
      </c>
      <c r="AG97" s="74">
        <v>-1000</v>
      </c>
      <c r="AH97" s="74">
        <f t="shared" si="98"/>
        <v>27000</v>
      </c>
    </row>
    <row r="98" spans="1:34" s="27" customFormat="1" ht="24">
      <c r="A98" s="58"/>
      <c r="B98" s="75"/>
      <c r="C98" s="85">
        <v>4740</v>
      </c>
      <c r="D98" s="14" t="s">
        <v>185</v>
      </c>
      <c r="E98" s="74">
        <v>20000</v>
      </c>
      <c r="F98" s="74"/>
      <c r="G98" s="74"/>
      <c r="H98" s="74">
        <f t="shared" si="64"/>
        <v>20000</v>
      </c>
      <c r="I98" s="74"/>
      <c r="J98" s="74">
        <f t="shared" si="99"/>
        <v>20000</v>
      </c>
      <c r="K98" s="74">
        <v>0</v>
      </c>
      <c r="L98" s="74">
        <f t="shared" si="100"/>
        <v>20000</v>
      </c>
      <c r="M98" s="74">
        <v>0</v>
      </c>
      <c r="N98" s="74">
        <f t="shared" si="88"/>
        <v>20000</v>
      </c>
      <c r="O98" s="74">
        <v>0</v>
      </c>
      <c r="P98" s="74">
        <f t="shared" si="89"/>
        <v>20000</v>
      </c>
      <c r="Q98" s="74">
        <v>0</v>
      </c>
      <c r="R98" s="74">
        <f t="shared" si="90"/>
        <v>20000</v>
      </c>
      <c r="S98" s="74">
        <v>0</v>
      </c>
      <c r="T98" s="74">
        <f t="shared" si="91"/>
        <v>20000</v>
      </c>
      <c r="U98" s="74">
        <v>0</v>
      </c>
      <c r="V98" s="74">
        <f t="shared" si="92"/>
        <v>20000</v>
      </c>
      <c r="W98" s="74">
        <v>0</v>
      </c>
      <c r="X98" s="74">
        <f t="shared" si="93"/>
        <v>20000</v>
      </c>
      <c r="Y98" s="74">
        <v>0</v>
      </c>
      <c r="Z98" s="74">
        <f t="shared" si="94"/>
        <v>20000</v>
      </c>
      <c r="AA98" s="74">
        <v>0</v>
      </c>
      <c r="AB98" s="74">
        <f t="shared" si="95"/>
        <v>20000</v>
      </c>
      <c r="AC98" s="74">
        <v>0</v>
      </c>
      <c r="AD98" s="74">
        <f t="shared" si="96"/>
        <v>20000</v>
      </c>
      <c r="AE98" s="74">
        <v>0</v>
      </c>
      <c r="AF98" s="74">
        <f t="shared" si="97"/>
        <v>20000</v>
      </c>
      <c r="AG98" s="74">
        <v>-8000</v>
      </c>
      <c r="AH98" s="74">
        <f t="shared" si="98"/>
        <v>12000</v>
      </c>
    </row>
    <row r="99" spans="1:34" s="27" customFormat="1" ht="21" customHeight="1">
      <c r="A99" s="58"/>
      <c r="B99" s="75"/>
      <c r="C99" s="85">
        <v>4750</v>
      </c>
      <c r="D99" s="14" t="s">
        <v>572</v>
      </c>
      <c r="E99" s="74">
        <v>36700</v>
      </c>
      <c r="F99" s="74"/>
      <c r="G99" s="74"/>
      <c r="H99" s="74">
        <f t="shared" si="64"/>
        <v>36700</v>
      </c>
      <c r="I99" s="74"/>
      <c r="J99" s="74">
        <f t="shared" si="99"/>
        <v>36700</v>
      </c>
      <c r="K99" s="74">
        <v>0</v>
      </c>
      <c r="L99" s="74">
        <f t="shared" si="100"/>
        <v>36700</v>
      </c>
      <c r="M99" s="74">
        <v>0</v>
      </c>
      <c r="N99" s="74">
        <f t="shared" si="88"/>
        <v>36700</v>
      </c>
      <c r="O99" s="74">
        <v>0</v>
      </c>
      <c r="P99" s="74">
        <f t="shared" si="89"/>
        <v>36700</v>
      </c>
      <c r="Q99" s="74">
        <v>0</v>
      </c>
      <c r="R99" s="74">
        <f t="shared" si="90"/>
        <v>36700</v>
      </c>
      <c r="S99" s="74">
        <v>0</v>
      </c>
      <c r="T99" s="74">
        <f t="shared" si="91"/>
        <v>36700</v>
      </c>
      <c r="U99" s="74">
        <v>0</v>
      </c>
      <c r="V99" s="74">
        <f t="shared" si="92"/>
        <v>36700</v>
      </c>
      <c r="W99" s="74">
        <v>0</v>
      </c>
      <c r="X99" s="74">
        <f t="shared" si="93"/>
        <v>36700</v>
      </c>
      <c r="Y99" s="74">
        <v>0</v>
      </c>
      <c r="Z99" s="74">
        <f t="shared" si="94"/>
        <v>36700</v>
      </c>
      <c r="AA99" s="74">
        <v>0</v>
      </c>
      <c r="AB99" s="74">
        <f t="shared" si="95"/>
        <v>36700</v>
      </c>
      <c r="AC99" s="74">
        <v>0</v>
      </c>
      <c r="AD99" s="74">
        <f t="shared" si="96"/>
        <v>36700</v>
      </c>
      <c r="AE99" s="74">
        <v>0</v>
      </c>
      <c r="AF99" s="74">
        <f t="shared" si="97"/>
        <v>36700</v>
      </c>
      <c r="AG99" s="74">
        <v>0</v>
      </c>
      <c r="AH99" s="74">
        <f t="shared" si="98"/>
        <v>36700</v>
      </c>
    </row>
    <row r="100" spans="1:38" s="27" customFormat="1" ht="21" customHeight="1">
      <c r="A100" s="58"/>
      <c r="B100" s="75"/>
      <c r="C100" s="85">
        <v>6060</v>
      </c>
      <c r="D100" s="14" t="s">
        <v>358</v>
      </c>
      <c r="E100" s="74">
        <v>51800</v>
      </c>
      <c r="F100" s="74"/>
      <c r="G100" s="74"/>
      <c r="H100" s="74">
        <f t="shared" si="64"/>
        <v>51800</v>
      </c>
      <c r="I100" s="74"/>
      <c r="J100" s="74">
        <f t="shared" si="99"/>
        <v>51800</v>
      </c>
      <c r="K100" s="74">
        <v>0</v>
      </c>
      <c r="L100" s="74">
        <f t="shared" si="100"/>
        <v>51800</v>
      </c>
      <c r="M100" s="74">
        <v>0</v>
      </c>
      <c r="N100" s="74">
        <f t="shared" si="88"/>
        <v>51800</v>
      </c>
      <c r="O100" s="74">
        <v>0</v>
      </c>
      <c r="P100" s="74">
        <f t="shared" si="89"/>
        <v>51800</v>
      </c>
      <c r="Q100" s="74">
        <v>0</v>
      </c>
      <c r="R100" s="74">
        <f t="shared" si="90"/>
        <v>51800</v>
      </c>
      <c r="S100" s="74">
        <v>0</v>
      </c>
      <c r="T100" s="74">
        <f t="shared" si="91"/>
        <v>51800</v>
      </c>
      <c r="U100" s="74">
        <v>0</v>
      </c>
      <c r="V100" s="74">
        <f t="shared" si="92"/>
        <v>51800</v>
      </c>
      <c r="W100" s="74">
        <v>0</v>
      </c>
      <c r="X100" s="74">
        <f t="shared" si="93"/>
        <v>51800</v>
      </c>
      <c r="Y100" s="74">
        <v>0</v>
      </c>
      <c r="Z100" s="74">
        <f t="shared" si="94"/>
        <v>51800</v>
      </c>
      <c r="AA100" s="74">
        <v>0</v>
      </c>
      <c r="AB100" s="74">
        <f t="shared" si="95"/>
        <v>51800</v>
      </c>
      <c r="AC100" s="74">
        <v>0</v>
      </c>
      <c r="AD100" s="74">
        <f t="shared" si="96"/>
        <v>51800</v>
      </c>
      <c r="AE100" s="74">
        <v>0</v>
      </c>
      <c r="AF100" s="74">
        <f t="shared" si="97"/>
        <v>51800</v>
      </c>
      <c r="AG100" s="74">
        <v>0</v>
      </c>
      <c r="AH100" s="74">
        <f t="shared" si="98"/>
        <v>51800</v>
      </c>
      <c r="AK100" s="119"/>
      <c r="AL100" s="119"/>
    </row>
    <row r="101" spans="1:34" s="27" customFormat="1" ht="24" customHeight="1">
      <c r="A101" s="58"/>
      <c r="B101" s="75">
        <v>75075</v>
      </c>
      <c r="C101" s="58"/>
      <c r="D101" s="14" t="s">
        <v>523</v>
      </c>
      <c r="E101" s="74">
        <f>SUM(E102:E111)</f>
        <v>340200</v>
      </c>
      <c r="F101" s="74">
        <f>SUM(F102:F111)</f>
        <v>0</v>
      </c>
      <c r="G101" s="74">
        <f>SUM(G102:G111)</f>
        <v>166000</v>
      </c>
      <c r="H101" s="74">
        <f aca="true" t="shared" si="101" ref="H101:N101">SUM(H102:H113)</f>
        <v>174200</v>
      </c>
      <c r="I101" s="74">
        <f t="shared" si="101"/>
        <v>0</v>
      </c>
      <c r="J101" s="74">
        <f t="shared" si="101"/>
        <v>174200</v>
      </c>
      <c r="K101" s="74">
        <f t="shared" si="101"/>
        <v>-300</v>
      </c>
      <c r="L101" s="74">
        <f t="shared" si="101"/>
        <v>173900</v>
      </c>
      <c r="M101" s="74">
        <f t="shared" si="101"/>
        <v>0</v>
      </c>
      <c r="N101" s="74">
        <f t="shared" si="101"/>
        <v>173900</v>
      </c>
      <c r="O101" s="74">
        <f aca="true" t="shared" si="102" ref="O101:T101">SUM(O102:O113)</f>
        <v>-250</v>
      </c>
      <c r="P101" s="74">
        <f t="shared" si="102"/>
        <v>173650</v>
      </c>
      <c r="Q101" s="74">
        <f t="shared" si="102"/>
        <v>10200</v>
      </c>
      <c r="R101" s="74">
        <f t="shared" si="102"/>
        <v>183850</v>
      </c>
      <c r="S101" s="74">
        <f t="shared" si="102"/>
        <v>0</v>
      </c>
      <c r="T101" s="74">
        <f t="shared" si="102"/>
        <v>183850</v>
      </c>
      <c r="U101" s="74">
        <f aca="true" t="shared" si="103" ref="U101:Z101">SUM(U102:U113)</f>
        <v>0</v>
      </c>
      <c r="V101" s="74">
        <f t="shared" si="103"/>
        <v>183850</v>
      </c>
      <c r="W101" s="74">
        <f t="shared" si="103"/>
        <v>-300</v>
      </c>
      <c r="X101" s="74">
        <f t="shared" si="103"/>
        <v>183550</v>
      </c>
      <c r="Y101" s="74">
        <f t="shared" si="103"/>
        <v>0</v>
      </c>
      <c r="Z101" s="74">
        <f t="shared" si="103"/>
        <v>183550</v>
      </c>
      <c r="AA101" s="74">
        <f aca="true" t="shared" si="104" ref="AA101:AF101">SUM(AA102:AA113)</f>
        <v>0</v>
      </c>
      <c r="AB101" s="74">
        <f t="shared" si="104"/>
        <v>183550</v>
      </c>
      <c r="AC101" s="74">
        <f t="shared" si="104"/>
        <v>0</v>
      </c>
      <c r="AD101" s="74">
        <f t="shared" si="104"/>
        <v>183550</v>
      </c>
      <c r="AE101" s="74">
        <f t="shared" si="104"/>
        <v>-650</v>
      </c>
      <c r="AF101" s="74">
        <f t="shared" si="104"/>
        <v>182900</v>
      </c>
      <c r="AG101" s="74">
        <f>SUM(AG102:AG113)</f>
        <v>-698</v>
      </c>
      <c r="AH101" s="74">
        <f>SUM(AH102:AH113)</f>
        <v>182202</v>
      </c>
    </row>
    <row r="102" spans="1:34" s="27" customFormat="1" ht="21" customHeight="1">
      <c r="A102" s="58"/>
      <c r="B102" s="75"/>
      <c r="C102" s="58">
        <v>3020</v>
      </c>
      <c r="D102" s="14" t="s">
        <v>474</v>
      </c>
      <c r="E102" s="74">
        <f>11000</f>
        <v>11000</v>
      </c>
      <c r="F102" s="74"/>
      <c r="G102" s="74"/>
      <c r="H102" s="74">
        <f aca="true" t="shared" si="105" ref="H102:H111">E102+F102-G102</f>
        <v>11000</v>
      </c>
      <c r="I102" s="74"/>
      <c r="J102" s="74">
        <f t="shared" si="99"/>
        <v>11000</v>
      </c>
      <c r="K102" s="74">
        <v>0</v>
      </c>
      <c r="L102" s="74">
        <f t="shared" si="100"/>
        <v>11000</v>
      </c>
      <c r="M102" s="74">
        <v>0</v>
      </c>
      <c r="N102" s="74">
        <f aca="true" t="shared" si="106" ref="N102:N113">SUM(L102:M102)</f>
        <v>11000</v>
      </c>
      <c r="O102" s="74">
        <v>0</v>
      </c>
      <c r="P102" s="74">
        <f aca="true" t="shared" si="107" ref="P102:P113">SUM(N102:O102)</f>
        <v>11000</v>
      </c>
      <c r="Q102" s="74">
        <v>0</v>
      </c>
      <c r="R102" s="74">
        <f aca="true" t="shared" si="108" ref="R102:R113">SUM(P102:Q102)</f>
        <v>11000</v>
      </c>
      <c r="S102" s="74">
        <v>0</v>
      </c>
      <c r="T102" s="74">
        <f aca="true" t="shared" si="109" ref="T102:T113">SUM(R102:S102)</f>
        <v>11000</v>
      </c>
      <c r="U102" s="74">
        <v>0</v>
      </c>
      <c r="V102" s="74">
        <f aca="true" t="shared" si="110" ref="V102:V113">SUM(T102:U102)</f>
        <v>11000</v>
      </c>
      <c r="W102" s="74">
        <v>0</v>
      </c>
      <c r="X102" s="74">
        <f aca="true" t="shared" si="111" ref="X102:X113">SUM(V102:W102)</f>
        <v>11000</v>
      </c>
      <c r="Y102" s="74">
        <v>0</v>
      </c>
      <c r="Z102" s="74">
        <f aca="true" t="shared" si="112" ref="Z102:Z113">SUM(X102:Y102)</f>
        <v>11000</v>
      </c>
      <c r="AA102" s="74">
        <v>0</v>
      </c>
      <c r="AB102" s="74">
        <f aca="true" t="shared" si="113" ref="AB102:AB113">SUM(Z102:AA102)</f>
        <v>11000</v>
      </c>
      <c r="AC102" s="74">
        <v>0</v>
      </c>
      <c r="AD102" s="74">
        <f aca="true" t="shared" si="114" ref="AD102:AD113">SUM(AB102:AC102)</f>
        <v>11000</v>
      </c>
      <c r="AE102" s="74">
        <v>-3000</v>
      </c>
      <c r="AF102" s="74">
        <f aca="true" t="shared" si="115" ref="AF102:AF113">SUM(AD102:AE102)</f>
        <v>8000</v>
      </c>
      <c r="AG102" s="74">
        <v>-1600</v>
      </c>
      <c r="AH102" s="74">
        <f aca="true" t="shared" si="116" ref="AH102:AH113">SUM(AF102:AG102)</f>
        <v>6400</v>
      </c>
    </row>
    <row r="103" spans="1:36" s="27" customFormat="1" ht="21" customHeight="1">
      <c r="A103" s="58"/>
      <c r="B103" s="75"/>
      <c r="C103" s="58">
        <v>4110</v>
      </c>
      <c r="D103" s="14" t="s">
        <v>347</v>
      </c>
      <c r="E103" s="74">
        <v>1000</v>
      </c>
      <c r="F103" s="74"/>
      <c r="G103" s="74"/>
      <c r="H103" s="74">
        <f t="shared" si="105"/>
        <v>1000</v>
      </c>
      <c r="I103" s="74"/>
      <c r="J103" s="74">
        <f t="shared" si="99"/>
        <v>1000</v>
      </c>
      <c r="K103" s="74">
        <v>0</v>
      </c>
      <c r="L103" s="74">
        <f t="shared" si="100"/>
        <v>1000</v>
      </c>
      <c r="M103" s="74">
        <v>0</v>
      </c>
      <c r="N103" s="74">
        <f t="shared" si="106"/>
        <v>1000</v>
      </c>
      <c r="O103" s="74">
        <v>0</v>
      </c>
      <c r="P103" s="74">
        <f t="shared" si="107"/>
        <v>1000</v>
      </c>
      <c r="Q103" s="74">
        <v>0</v>
      </c>
      <c r="R103" s="74">
        <f t="shared" si="108"/>
        <v>1000</v>
      </c>
      <c r="S103" s="74">
        <v>0</v>
      </c>
      <c r="T103" s="74">
        <f t="shared" si="109"/>
        <v>1000</v>
      </c>
      <c r="U103" s="74">
        <v>0</v>
      </c>
      <c r="V103" s="74">
        <f t="shared" si="110"/>
        <v>1000</v>
      </c>
      <c r="W103" s="74">
        <v>0</v>
      </c>
      <c r="X103" s="74">
        <f t="shared" si="111"/>
        <v>1000</v>
      </c>
      <c r="Y103" s="74">
        <v>0</v>
      </c>
      <c r="Z103" s="74">
        <f t="shared" si="112"/>
        <v>1000</v>
      </c>
      <c r="AA103" s="74">
        <v>0</v>
      </c>
      <c r="AB103" s="74">
        <f t="shared" si="113"/>
        <v>1000</v>
      </c>
      <c r="AC103" s="74">
        <v>0</v>
      </c>
      <c r="AD103" s="74">
        <f t="shared" si="114"/>
        <v>1000</v>
      </c>
      <c r="AE103" s="74">
        <v>0</v>
      </c>
      <c r="AF103" s="74">
        <f t="shared" si="115"/>
        <v>1000</v>
      </c>
      <c r="AG103" s="74">
        <v>-1000</v>
      </c>
      <c r="AH103" s="74">
        <f t="shared" si="116"/>
        <v>0</v>
      </c>
      <c r="AI103" s="119"/>
      <c r="AJ103" s="119"/>
    </row>
    <row r="104" spans="1:36" s="27" customFormat="1" ht="21" customHeight="1">
      <c r="A104" s="58"/>
      <c r="B104" s="75"/>
      <c r="C104" s="58">
        <v>4120</v>
      </c>
      <c r="D104" s="14" t="s">
        <v>348</v>
      </c>
      <c r="E104" s="74">
        <v>100</v>
      </c>
      <c r="F104" s="74"/>
      <c r="G104" s="74"/>
      <c r="H104" s="74">
        <f t="shared" si="105"/>
        <v>100</v>
      </c>
      <c r="I104" s="74"/>
      <c r="J104" s="74">
        <f t="shared" si="99"/>
        <v>100</v>
      </c>
      <c r="K104" s="74">
        <v>0</v>
      </c>
      <c r="L104" s="74">
        <f t="shared" si="100"/>
        <v>100</v>
      </c>
      <c r="M104" s="74">
        <v>0</v>
      </c>
      <c r="N104" s="74">
        <f t="shared" si="106"/>
        <v>100</v>
      </c>
      <c r="O104" s="74">
        <v>0</v>
      </c>
      <c r="P104" s="74">
        <f t="shared" si="107"/>
        <v>100</v>
      </c>
      <c r="Q104" s="74">
        <v>0</v>
      </c>
      <c r="R104" s="74">
        <f t="shared" si="108"/>
        <v>100</v>
      </c>
      <c r="S104" s="74">
        <v>0</v>
      </c>
      <c r="T104" s="74">
        <f t="shared" si="109"/>
        <v>100</v>
      </c>
      <c r="U104" s="74">
        <v>0</v>
      </c>
      <c r="V104" s="74">
        <f t="shared" si="110"/>
        <v>100</v>
      </c>
      <c r="W104" s="74">
        <v>0</v>
      </c>
      <c r="X104" s="74">
        <f t="shared" si="111"/>
        <v>100</v>
      </c>
      <c r="Y104" s="74">
        <v>0</v>
      </c>
      <c r="Z104" s="74">
        <f t="shared" si="112"/>
        <v>100</v>
      </c>
      <c r="AA104" s="74">
        <v>0</v>
      </c>
      <c r="AB104" s="74">
        <f t="shared" si="113"/>
        <v>100</v>
      </c>
      <c r="AC104" s="74">
        <v>0</v>
      </c>
      <c r="AD104" s="74">
        <f t="shared" si="114"/>
        <v>100</v>
      </c>
      <c r="AE104" s="74">
        <v>0</v>
      </c>
      <c r="AF104" s="74">
        <f t="shared" si="115"/>
        <v>100</v>
      </c>
      <c r="AG104" s="74">
        <v>-100</v>
      </c>
      <c r="AH104" s="74">
        <f t="shared" si="116"/>
        <v>0</v>
      </c>
      <c r="AI104" s="119"/>
      <c r="AJ104" s="119"/>
    </row>
    <row r="105" spans="1:36" s="27" customFormat="1" ht="21" customHeight="1">
      <c r="A105" s="58"/>
      <c r="B105" s="75"/>
      <c r="C105" s="58">
        <v>4170</v>
      </c>
      <c r="D105" s="14" t="s">
        <v>478</v>
      </c>
      <c r="E105" s="74">
        <v>6000</v>
      </c>
      <c r="F105" s="74"/>
      <c r="G105" s="74"/>
      <c r="H105" s="74">
        <f t="shared" si="105"/>
        <v>6000</v>
      </c>
      <c r="I105" s="74"/>
      <c r="J105" s="74">
        <f t="shared" si="99"/>
        <v>6000</v>
      </c>
      <c r="K105" s="74">
        <v>0</v>
      </c>
      <c r="L105" s="74">
        <f t="shared" si="100"/>
        <v>6000</v>
      </c>
      <c r="M105" s="74">
        <v>0</v>
      </c>
      <c r="N105" s="74">
        <f t="shared" si="106"/>
        <v>6000</v>
      </c>
      <c r="O105" s="74">
        <v>0</v>
      </c>
      <c r="P105" s="74">
        <f t="shared" si="107"/>
        <v>6000</v>
      </c>
      <c r="Q105" s="74">
        <v>0</v>
      </c>
      <c r="R105" s="74">
        <f t="shared" si="108"/>
        <v>6000</v>
      </c>
      <c r="S105" s="74">
        <v>0</v>
      </c>
      <c r="T105" s="74">
        <f t="shared" si="109"/>
        <v>6000</v>
      </c>
      <c r="U105" s="74">
        <v>0</v>
      </c>
      <c r="V105" s="74">
        <f t="shared" si="110"/>
        <v>6000</v>
      </c>
      <c r="W105" s="74">
        <v>700</v>
      </c>
      <c r="X105" s="74">
        <f t="shared" si="111"/>
        <v>6700</v>
      </c>
      <c r="Y105" s="74">
        <v>0</v>
      </c>
      <c r="Z105" s="74">
        <f t="shared" si="112"/>
        <v>6700</v>
      </c>
      <c r="AA105" s="74">
        <v>0</v>
      </c>
      <c r="AB105" s="74">
        <f t="shared" si="113"/>
        <v>6700</v>
      </c>
      <c r="AC105" s="74">
        <v>0</v>
      </c>
      <c r="AD105" s="74">
        <f t="shared" si="114"/>
        <v>6700</v>
      </c>
      <c r="AE105" s="74">
        <v>0</v>
      </c>
      <c r="AF105" s="74">
        <f t="shared" si="115"/>
        <v>6700</v>
      </c>
      <c r="AG105" s="74">
        <v>-3523</v>
      </c>
      <c r="AH105" s="74">
        <f t="shared" si="116"/>
        <v>3177</v>
      </c>
      <c r="AI105" s="119"/>
      <c r="AJ105" s="119"/>
    </row>
    <row r="106" spans="1:34" s="27" customFormat="1" ht="21" customHeight="1">
      <c r="A106" s="58"/>
      <c r="B106" s="75"/>
      <c r="C106" s="58">
        <v>4210</v>
      </c>
      <c r="D106" s="14" t="s">
        <v>354</v>
      </c>
      <c r="E106" s="74">
        <f>100000+15900</f>
        <v>115900</v>
      </c>
      <c r="F106" s="74"/>
      <c r="G106" s="74">
        <f>20000+10000+30000</f>
        <v>60000</v>
      </c>
      <c r="H106" s="74">
        <f t="shared" si="105"/>
        <v>55900</v>
      </c>
      <c r="I106" s="74">
        <f>-1400+400-900</f>
        <v>-1900</v>
      </c>
      <c r="J106" s="74">
        <f t="shared" si="99"/>
        <v>54000</v>
      </c>
      <c r="K106" s="74">
        <v>-300</v>
      </c>
      <c r="L106" s="74">
        <f t="shared" si="100"/>
        <v>53700</v>
      </c>
      <c r="M106" s="74"/>
      <c r="N106" s="74">
        <f t="shared" si="106"/>
        <v>53700</v>
      </c>
      <c r="O106" s="74">
        <f>1750-2000</f>
        <v>-250</v>
      </c>
      <c r="P106" s="74">
        <f t="shared" si="107"/>
        <v>53450</v>
      </c>
      <c r="Q106" s="74">
        <v>-500</v>
      </c>
      <c r="R106" s="74">
        <f t="shared" si="108"/>
        <v>52950</v>
      </c>
      <c r="S106" s="74">
        <v>0</v>
      </c>
      <c r="T106" s="74">
        <f t="shared" si="109"/>
        <v>52950</v>
      </c>
      <c r="U106" s="74">
        <v>0</v>
      </c>
      <c r="V106" s="74">
        <f t="shared" si="110"/>
        <v>52950</v>
      </c>
      <c r="W106" s="74">
        <v>-1032</v>
      </c>
      <c r="X106" s="74">
        <f t="shared" si="111"/>
        <v>51918</v>
      </c>
      <c r="Y106" s="74">
        <v>0</v>
      </c>
      <c r="Z106" s="74">
        <f t="shared" si="112"/>
        <v>51918</v>
      </c>
      <c r="AA106" s="74">
        <v>0</v>
      </c>
      <c r="AB106" s="74">
        <f t="shared" si="113"/>
        <v>51918</v>
      </c>
      <c r="AC106" s="74">
        <v>0</v>
      </c>
      <c r="AD106" s="74">
        <f t="shared" si="114"/>
        <v>51918</v>
      </c>
      <c r="AE106" s="74">
        <v>-300</v>
      </c>
      <c r="AF106" s="74">
        <f t="shared" si="115"/>
        <v>51618</v>
      </c>
      <c r="AG106" s="74">
        <f>2000-698</f>
        <v>1302</v>
      </c>
      <c r="AH106" s="74">
        <f t="shared" si="116"/>
        <v>52920</v>
      </c>
    </row>
    <row r="107" spans="1:34" s="27" customFormat="1" ht="21" customHeight="1">
      <c r="A107" s="58"/>
      <c r="B107" s="75"/>
      <c r="C107" s="76">
        <v>4300</v>
      </c>
      <c r="D107" s="14" t="s">
        <v>340</v>
      </c>
      <c r="E107" s="74">
        <f>186900+3700+1600</f>
        <v>192200</v>
      </c>
      <c r="F107" s="74"/>
      <c r="G107" s="74">
        <f>30000+30000+46000</f>
        <v>106000</v>
      </c>
      <c r="H107" s="74">
        <f t="shared" si="105"/>
        <v>86200</v>
      </c>
      <c r="I107" s="74">
        <f>-400+900</f>
        <v>500</v>
      </c>
      <c r="J107" s="74">
        <f t="shared" si="99"/>
        <v>86700</v>
      </c>
      <c r="K107" s="74">
        <v>0</v>
      </c>
      <c r="L107" s="74">
        <f t="shared" si="100"/>
        <v>86700</v>
      </c>
      <c r="M107" s="74">
        <v>0</v>
      </c>
      <c r="N107" s="74">
        <f t="shared" si="106"/>
        <v>86700</v>
      </c>
      <c r="O107" s="74">
        <v>0</v>
      </c>
      <c r="P107" s="74">
        <f t="shared" si="107"/>
        <v>86700</v>
      </c>
      <c r="Q107" s="210">
        <f>10000+1500-800</f>
        <v>10700</v>
      </c>
      <c r="R107" s="74">
        <f t="shared" si="108"/>
        <v>97400</v>
      </c>
      <c r="S107" s="138">
        <v>0</v>
      </c>
      <c r="T107" s="74">
        <f t="shared" si="109"/>
        <v>97400</v>
      </c>
      <c r="U107" s="138">
        <v>0</v>
      </c>
      <c r="V107" s="74">
        <f t="shared" si="110"/>
        <v>97400</v>
      </c>
      <c r="W107" s="138">
        <f>732-700</f>
        <v>32</v>
      </c>
      <c r="X107" s="74">
        <f t="shared" si="111"/>
        <v>97432</v>
      </c>
      <c r="Y107" s="138">
        <v>0</v>
      </c>
      <c r="Z107" s="74">
        <f t="shared" si="112"/>
        <v>97432</v>
      </c>
      <c r="AA107" s="138">
        <v>0</v>
      </c>
      <c r="AB107" s="74">
        <f t="shared" si="113"/>
        <v>97432</v>
      </c>
      <c r="AC107" s="138">
        <v>0</v>
      </c>
      <c r="AD107" s="74">
        <f t="shared" si="114"/>
        <v>97432</v>
      </c>
      <c r="AE107" s="138">
        <f>-350+11000</f>
        <v>10650</v>
      </c>
      <c r="AF107" s="74">
        <f t="shared" si="115"/>
        <v>108082</v>
      </c>
      <c r="AG107" s="74">
        <v>7170</v>
      </c>
      <c r="AH107" s="74">
        <f t="shared" si="116"/>
        <v>115252</v>
      </c>
    </row>
    <row r="108" spans="1:34" s="27" customFormat="1" ht="21" customHeight="1">
      <c r="A108" s="58"/>
      <c r="B108" s="75"/>
      <c r="C108" s="76">
        <v>4350</v>
      </c>
      <c r="D108" s="14" t="s">
        <v>525</v>
      </c>
      <c r="E108" s="74">
        <v>5000</v>
      </c>
      <c r="F108" s="74"/>
      <c r="G108" s="74"/>
      <c r="H108" s="74">
        <f t="shared" si="105"/>
        <v>5000</v>
      </c>
      <c r="I108" s="74"/>
      <c r="J108" s="74">
        <f t="shared" si="99"/>
        <v>5000</v>
      </c>
      <c r="K108" s="74">
        <v>0</v>
      </c>
      <c r="L108" s="74">
        <f t="shared" si="100"/>
        <v>5000</v>
      </c>
      <c r="M108" s="74">
        <v>0</v>
      </c>
      <c r="N108" s="74">
        <f t="shared" si="106"/>
        <v>5000</v>
      </c>
      <c r="O108" s="74">
        <v>0</v>
      </c>
      <c r="P108" s="74">
        <f t="shared" si="107"/>
        <v>5000</v>
      </c>
      <c r="Q108" s="74">
        <v>0</v>
      </c>
      <c r="R108" s="74">
        <f t="shared" si="108"/>
        <v>5000</v>
      </c>
      <c r="S108" s="74">
        <v>0</v>
      </c>
      <c r="T108" s="74">
        <f t="shared" si="109"/>
        <v>5000</v>
      </c>
      <c r="U108" s="74">
        <v>0</v>
      </c>
      <c r="V108" s="74">
        <f t="shared" si="110"/>
        <v>5000</v>
      </c>
      <c r="W108" s="74">
        <v>0</v>
      </c>
      <c r="X108" s="74">
        <f t="shared" si="111"/>
        <v>5000</v>
      </c>
      <c r="Y108" s="74">
        <v>0</v>
      </c>
      <c r="Z108" s="74">
        <f t="shared" si="112"/>
        <v>5000</v>
      </c>
      <c r="AA108" s="74">
        <v>0</v>
      </c>
      <c r="AB108" s="74">
        <f t="shared" si="113"/>
        <v>5000</v>
      </c>
      <c r="AC108" s="74">
        <v>0</v>
      </c>
      <c r="AD108" s="74">
        <f t="shared" si="114"/>
        <v>5000</v>
      </c>
      <c r="AE108" s="74">
        <v>-3000</v>
      </c>
      <c r="AF108" s="74">
        <f t="shared" si="115"/>
        <v>2000</v>
      </c>
      <c r="AG108" s="74">
        <v>-1500</v>
      </c>
      <c r="AH108" s="74">
        <f t="shared" si="116"/>
        <v>500</v>
      </c>
    </row>
    <row r="109" spans="1:34" s="27" customFormat="1" ht="21" customHeight="1">
      <c r="A109" s="58"/>
      <c r="B109" s="75"/>
      <c r="C109" s="76">
        <v>4410</v>
      </c>
      <c r="D109" s="14" t="s">
        <v>352</v>
      </c>
      <c r="E109" s="74">
        <v>3000</v>
      </c>
      <c r="F109" s="74"/>
      <c r="G109" s="74"/>
      <c r="H109" s="74">
        <f t="shared" si="105"/>
        <v>3000</v>
      </c>
      <c r="I109" s="74"/>
      <c r="J109" s="74">
        <f t="shared" si="99"/>
        <v>3000</v>
      </c>
      <c r="K109" s="74">
        <v>0</v>
      </c>
      <c r="L109" s="74">
        <f t="shared" si="100"/>
        <v>3000</v>
      </c>
      <c r="M109" s="74">
        <v>0</v>
      </c>
      <c r="N109" s="74">
        <f t="shared" si="106"/>
        <v>3000</v>
      </c>
      <c r="O109" s="74">
        <v>0</v>
      </c>
      <c r="P109" s="74">
        <f t="shared" si="107"/>
        <v>3000</v>
      </c>
      <c r="Q109" s="74">
        <v>0</v>
      </c>
      <c r="R109" s="74">
        <f t="shared" si="108"/>
        <v>3000</v>
      </c>
      <c r="S109" s="74">
        <v>0</v>
      </c>
      <c r="T109" s="74">
        <f t="shared" si="109"/>
        <v>3000</v>
      </c>
      <c r="U109" s="74">
        <v>0</v>
      </c>
      <c r="V109" s="74">
        <f t="shared" si="110"/>
        <v>3000</v>
      </c>
      <c r="W109" s="74">
        <v>0</v>
      </c>
      <c r="X109" s="74">
        <f t="shared" si="111"/>
        <v>3000</v>
      </c>
      <c r="Y109" s="74">
        <v>0</v>
      </c>
      <c r="Z109" s="74">
        <f t="shared" si="112"/>
        <v>3000</v>
      </c>
      <c r="AA109" s="74">
        <v>0</v>
      </c>
      <c r="AB109" s="74">
        <f t="shared" si="113"/>
        <v>3000</v>
      </c>
      <c r="AC109" s="74">
        <v>0</v>
      </c>
      <c r="AD109" s="74">
        <f t="shared" si="114"/>
        <v>3000</v>
      </c>
      <c r="AE109" s="74">
        <v>-3000</v>
      </c>
      <c r="AF109" s="74">
        <f t="shared" si="115"/>
        <v>0</v>
      </c>
      <c r="AG109" s="74">
        <v>0</v>
      </c>
      <c r="AH109" s="74">
        <f t="shared" si="116"/>
        <v>0</v>
      </c>
    </row>
    <row r="110" spans="1:34" s="27" customFormat="1" ht="21" customHeight="1">
      <c r="A110" s="58"/>
      <c r="B110" s="75"/>
      <c r="C110" s="58">
        <v>4420</v>
      </c>
      <c r="D110" s="14" t="s">
        <v>355</v>
      </c>
      <c r="E110" s="74">
        <v>3000</v>
      </c>
      <c r="F110" s="74"/>
      <c r="G110" s="74"/>
      <c r="H110" s="74">
        <f t="shared" si="105"/>
        <v>3000</v>
      </c>
      <c r="I110" s="74"/>
      <c r="J110" s="74">
        <f t="shared" si="99"/>
        <v>3000</v>
      </c>
      <c r="K110" s="74">
        <v>0</v>
      </c>
      <c r="L110" s="74">
        <f t="shared" si="100"/>
        <v>3000</v>
      </c>
      <c r="M110" s="74">
        <v>0</v>
      </c>
      <c r="N110" s="74">
        <f t="shared" si="106"/>
        <v>3000</v>
      </c>
      <c r="O110" s="74">
        <v>0</v>
      </c>
      <c r="P110" s="74">
        <f t="shared" si="107"/>
        <v>3000</v>
      </c>
      <c r="Q110" s="74">
        <v>0</v>
      </c>
      <c r="R110" s="74">
        <f t="shared" si="108"/>
        <v>3000</v>
      </c>
      <c r="S110" s="74">
        <v>0</v>
      </c>
      <c r="T110" s="74">
        <f t="shared" si="109"/>
        <v>3000</v>
      </c>
      <c r="U110" s="74">
        <v>0</v>
      </c>
      <c r="V110" s="74">
        <f t="shared" si="110"/>
        <v>3000</v>
      </c>
      <c r="W110" s="74">
        <v>0</v>
      </c>
      <c r="X110" s="74">
        <f t="shared" si="111"/>
        <v>3000</v>
      </c>
      <c r="Y110" s="74">
        <v>0</v>
      </c>
      <c r="Z110" s="74">
        <f t="shared" si="112"/>
        <v>3000</v>
      </c>
      <c r="AA110" s="74">
        <v>0</v>
      </c>
      <c r="AB110" s="74">
        <f t="shared" si="113"/>
        <v>3000</v>
      </c>
      <c r="AC110" s="74">
        <v>0</v>
      </c>
      <c r="AD110" s="74">
        <f t="shared" si="114"/>
        <v>3000</v>
      </c>
      <c r="AE110" s="74">
        <v>0</v>
      </c>
      <c r="AF110" s="74">
        <f t="shared" si="115"/>
        <v>3000</v>
      </c>
      <c r="AG110" s="74">
        <v>-1447</v>
      </c>
      <c r="AH110" s="74">
        <f t="shared" si="116"/>
        <v>1553</v>
      </c>
    </row>
    <row r="111" spans="1:34" s="27" customFormat="1" ht="21" customHeight="1">
      <c r="A111" s="58"/>
      <c r="B111" s="75"/>
      <c r="C111" s="76">
        <v>4430</v>
      </c>
      <c r="D111" s="14" t="s">
        <v>356</v>
      </c>
      <c r="E111" s="74">
        <v>3000</v>
      </c>
      <c r="F111" s="74"/>
      <c r="G111" s="74"/>
      <c r="H111" s="74">
        <f t="shared" si="105"/>
        <v>3000</v>
      </c>
      <c r="I111" s="74"/>
      <c r="J111" s="74">
        <f t="shared" si="99"/>
        <v>3000</v>
      </c>
      <c r="K111" s="74">
        <v>0</v>
      </c>
      <c r="L111" s="74">
        <f t="shared" si="100"/>
        <v>3000</v>
      </c>
      <c r="M111" s="74">
        <v>0</v>
      </c>
      <c r="N111" s="74">
        <f t="shared" si="106"/>
        <v>3000</v>
      </c>
      <c r="O111" s="74">
        <v>0</v>
      </c>
      <c r="P111" s="74">
        <f t="shared" si="107"/>
        <v>3000</v>
      </c>
      <c r="Q111" s="74">
        <v>0</v>
      </c>
      <c r="R111" s="74">
        <f t="shared" si="108"/>
        <v>3000</v>
      </c>
      <c r="S111" s="74">
        <v>0</v>
      </c>
      <c r="T111" s="74">
        <f t="shared" si="109"/>
        <v>3000</v>
      </c>
      <c r="U111" s="74">
        <v>0</v>
      </c>
      <c r="V111" s="74">
        <f t="shared" si="110"/>
        <v>3000</v>
      </c>
      <c r="W111" s="74">
        <v>0</v>
      </c>
      <c r="X111" s="74">
        <f t="shared" si="111"/>
        <v>3000</v>
      </c>
      <c r="Y111" s="74">
        <v>0</v>
      </c>
      <c r="Z111" s="74">
        <f t="shared" si="112"/>
        <v>3000</v>
      </c>
      <c r="AA111" s="74">
        <v>0</v>
      </c>
      <c r="AB111" s="74">
        <f t="shared" si="113"/>
        <v>3000</v>
      </c>
      <c r="AC111" s="74">
        <v>0</v>
      </c>
      <c r="AD111" s="74">
        <f t="shared" si="114"/>
        <v>3000</v>
      </c>
      <c r="AE111" s="74">
        <v>-2000</v>
      </c>
      <c r="AF111" s="74">
        <f t="shared" si="115"/>
        <v>1000</v>
      </c>
      <c r="AG111" s="74">
        <v>0</v>
      </c>
      <c r="AH111" s="74">
        <f t="shared" si="116"/>
        <v>1000</v>
      </c>
    </row>
    <row r="112" spans="1:34" s="27" customFormat="1" ht="24">
      <c r="A112" s="58"/>
      <c r="B112" s="75"/>
      <c r="C112" s="76">
        <v>4740</v>
      </c>
      <c r="D112" s="14" t="s">
        <v>185</v>
      </c>
      <c r="E112" s="74"/>
      <c r="F112" s="74"/>
      <c r="G112" s="74"/>
      <c r="H112" s="74"/>
      <c r="I112" s="74">
        <v>300</v>
      </c>
      <c r="J112" s="74">
        <f t="shared" si="99"/>
        <v>300</v>
      </c>
      <c r="K112" s="74">
        <v>0</v>
      </c>
      <c r="L112" s="74">
        <f t="shared" si="100"/>
        <v>300</v>
      </c>
      <c r="M112" s="74">
        <v>0</v>
      </c>
      <c r="N112" s="74">
        <f t="shared" si="106"/>
        <v>300</v>
      </c>
      <c r="O112" s="74">
        <v>0</v>
      </c>
      <c r="P112" s="74">
        <f t="shared" si="107"/>
        <v>300</v>
      </c>
      <c r="Q112" s="74">
        <v>0</v>
      </c>
      <c r="R112" s="74">
        <f t="shared" si="108"/>
        <v>300</v>
      </c>
      <c r="S112" s="74">
        <v>0</v>
      </c>
      <c r="T112" s="74">
        <f t="shared" si="109"/>
        <v>300</v>
      </c>
      <c r="U112" s="74">
        <v>0</v>
      </c>
      <c r="V112" s="74">
        <f t="shared" si="110"/>
        <v>300</v>
      </c>
      <c r="W112" s="74">
        <v>0</v>
      </c>
      <c r="X112" s="74">
        <f t="shared" si="111"/>
        <v>300</v>
      </c>
      <c r="Y112" s="74">
        <v>0</v>
      </c>
      <c r="Z112" s="74">
        <f t="shared" si="112"/>
        <v>300</v>
      </c>
      <c r="AA112" s="74">
        <v>0</v>
      </c>
      <c r="AB112" s="74">
        <f t="shared" si="113"/>
        <v>300</v>
      </c>
      <c r="AC112" s="74">
        <v>0</v>
      </c>
      <c r="AD112" s="74">
        <f t="shared" si="114"/>
        <v>300</v>
      </c>
      <c r="AE112" s="74">
        <v>0</v>
      </c>
      <c r="AF112" s="74">
        <f t="shared" si="115"/>
        <v>300</v>
      </c>
      <c r="AG112" s="74">
        <v>0</v>
      </c>
      <c r="AH112" s="74">
        <f t="shared" si="116"/>
        <v>300</v>
      </c>
    </row>
    <row r="113" spans="1:34" s="27" customFormat="1" ht="24">
      <c r="A113" s="58"/>
      <c r="B113" s="75"/>
      <c r="C113" s="76">
        <v>4750</v>
      </c>
      <c r="D113" s="14" t="s">
        <v>572</v>
      </c>
      <c r="E113" s="74"/>
      <c r="F113" s="74"/>
      <c r="G113" s="74"/>
      <c r="H113" s="74">
        <v>0</v>
      </c>
      <c r="I113" s="74">
        <v>1100</v>
      </c>
      <c r="J113" s="74">
        <f t="shared" si="99"/>
        <v>1100</v>
      </c>
      <c r="K113" s="74">
        <v>0</v>
      </c>
      <c r="L113" s="74">
        <f t="shared" si="100"/>
        <v>1100</v>
      </c>
      <c r="M113" s="74">
        <v>0</v>
      </c>
      <c r="N113" s="74">
        <f t="shared" si="106"/>
        <v>1100</v>
      </c>
      <c r="O113" s="74">
        <v>0</v>
      </c>
      <c r="P113" s="74">
        <f t="shared" si="107"/>
        <v>1100</v>
      </c>
      <c r="Q113" s="74">
        <v>0</v>
      </c>
      <c r="R113" s="74">
        <f t="shared" si="108"/>
        <v>1100</v>
      </c>
      <c r="S113" s="74">
        <v>0</v>
      </c>
      <c r="T113" s="74">
        <f t="shared" si="109"/>
        <v>1100</v>
      </c>
      <c r="U113" s="74">
        <v>0</v>
      </c>
      <c r="V113" s="74">
        <f t="shared" si="110"/>
        <v>1100</v>
      </c>
      <c r="W113" s="74">
        <v>0</v>
      </c>
      <c r="X113" s="74">
        <f t="shared" si="111"/>
        <v>1100</v>
      </c>
      <c r="Y113" s="74">
        <v>0</v>
      </c>
      <c r="Z113" s="74">
        <f t="shared" si="112"/>
        <v>1100</v>
      </c>
      <c r="AA113" s="74">
        <v>0</v>
      </c>
      <c r="AB113" s="74">
        <f t="shared" si="113"/>
        <v>1100</v>
      </c>
      <c r="AC113" s="74">
        <v>0</v>
      </c>
      <c r="AD113" s="74">
        <f t="shared" si="114"/>
        <v>1100</v>
      </c>
      <c r="AE113" s="74">
        <v>0</v>
      </c>
      <c r="AF113" s="74">
        <f t="shared" si="115"/>
        <v>1100</v>
      </c>
      <c r="AG113" s="74">
        <v>0</v>
      </c>
      <c r="AH113" s="74">
        <f t="shared" si="116"/>
        <v>1100</v>
      </c>
    </row>
    <row r="114" spans="1:34" s="27" customFormat="1" ht="21" customHeight="1">
      <c r="A114" s="58"/>
      <c r="B114" s="75">
        <v>75095</v>
      </c>
      <c r="C114" s="76"/>
      <c r="D114" s="14" t="s">
        <v>250</v>
      </c>
      <c r="E114" s="74">
        <f>SUM(E115)</f>
        <v>0</v>
      </c>
      <c r="F114" s="74">
        <f>SUM(F115)</f>
        <v>20000</v>
      </c>
      <c r="G114" s="74">
        <f>SUM(G115)</f>
        <v>0</v>
      </c>
      <c r="H114" s="74">
        <f aca="true" t="shared" si="117" ref="H114:H158">E114+F114-G114</f>
        <v>20000</v>
      </c>
      <c r="I114" s="74">
        <f aca="true" t="shared" si="118" ref="I114:AH114">SUM(I115)</f>
        <v>0</v>
      </c>
      <c r="J114" s="74">
        <f t="shared" si="118"/>
        <v>20000</v>
      </c>
      <c r="K114" s="74">
        <f t="shared" si="118"/>
        <v>0</v>
      </c>
      <c r="L114" s="74">
        <f t="shared" si="118"/>
        <v>20000</v>
      </c>
      <c r="M114" s="74">
        <f t="shared" si="118"/>
        <v>0</v>
      </c>
      <c r="N114" s="74">
        <f t="shared" si="118"/>
        <v>20000</v>
      </c>
      <c r="O114" s="74">
        <f t="shared" si="118"/>
        <v>0</v>
      </c>
      <c r="P114" s="74">
        <f t="shared" si="118"/>
        <v>20000</v>
      </c>
      <c r="Q114" s="74">
        <f t="shared" si="118"/>
        <v>0</v>
      </c>
      <c r="R114" s="74">
        <f t="shared" si="118"/>
        <v>20000</v>
      </c>
      <c r="S114" s="74">
        <f t="shared" si="118"/>
        <v>0</v>
      </c>
      <c r="T114" s="74">
        <f t="shared" si="118"/>
        <v>20000</v>
      </c>
      <c r="U114" s="74">
        <f t="shared" si="118"/>
        <v>0</v>
      </c>
      <c r="V114" s="74">
        <f t="shared" si="118"/>
        <v>20000</v>
      </c>
      <c r="W114" s="74">
        <f t="shared" si="118"/>
        <v>0</v>
      </c>
      <c r="X114" s="74">
        <f t="shared" si="118"/>
        <v>20000</v>
      </c>
      <c r="Y114" s="74">
        <f t="shared" si="118"/>
        <v>0</v>
      </c>
      <c r="Z114" s="74">
        <f t="shared" si="118"/>
        <v>20000</v>
      </c>
      <c r="AA114" s="74">
        <f t="shared" si="118"/>
        <v>0</v>
      </c>
      <c r="AB114" s="74">
        <f t="shared" si="118"/>
        <v>20000</v>
      </c>
      <c r="AC114" s="74">
        <f t="shared" si="118"/>
        <v>0</v>
      </c>
      <c r="AD114" s="74">
        <f t="shared" si="118"/>
        <v>20000</v>
      </c>
      <c r="AE114" s="74">
        <f t="shared" si="118"/>
        <v>0</v>
      </c>
      <c r="AF114" s="74">
        <f t="shared" si="118"/>
        <v>20000</v>
      </c>
      <c r="AG114" s="74">
        <f t="shared" si="118"/>
        <v>-475</v>
      </c>
      <c r="AH114" s="74">
        <f t="shared" si="118"/>
        <v>19525</v>
      </c>
    </row>
    <row r="115" spans="1:34" s="27" customFormat="1" ht="21" customHeight="1">
      <c r="A115" s="58"/>
      <c r="B115" s="75"/>
      <c r="C115" s="76">
        <v>4300</v>
      </c>
      <c r="D115" s="14" t="s">
        <v>340</v>
      </c>
      <c r="E115" s="74">
        <v>0</v>
      </c>
      <c r="F115" s="74">
        <v>20000</v>
      </c>
      <c r="G115" s="74"/>
      <c r="H115" s="74">
        <f t="shared" si="117"/>
        <v>20000</v>
      </c>
      <c r="I115" s="74"/>
      <c r="J115" s="74">
        <f t="shared" si="99"/>
        <v>20000</v>
      </c>
      <c r="K115" s="74">
        <v>0</v>
      </c>
      <c r="L115" s="74">
        <f t="shared" si="100"/>
        <v>20000</v>
      </c>
      <c r="M115" s="74">
        <v>0</v>
      </c>
      <c r="N115" s="74">
        <f>SUM(L115:M115)</f>
        <v>20000</v>
      </c>
      <c r="O115" s="74">
        <v>0</v>
      </c>
      <c r="P115" s="74">
        <f>SUM(N115:O115)</f>
        <v>20000</v>
      </c>
      <c r="Q115" s="74">
        <v>0</v>
      </c>
      <c r="R115" s="74">
        <f>SUM(P115:Q115)</f>
        <v>20000</v>
      </c>
      <c r="S115" s="74">
        <v>0</v>
      </c>
      <c r="T115" s="74">
        <f>SUM(R115:S115)</f>
        <v>20000</v>
      </c>
      <c r="U115" s="74">
        <v>0</v>
      </c>
      <c r="V115" s="74">
        <f>SUM(T115:U115)</f>
        <v>20000</v>
      </c>
      <c r="W115" s="74">
        <v>0</v>
      </c>
      <c r="X115" s="74">
        <f>SUM(V115:W115)</f>
        <v>20000</v>
      </c>
      <c r="Y115" s="74">
        <v>0</v>
      </c>
      <c r="Z115" s="74">
        <f>SUM(X115:Y115)</f>
        <v>20000</v>
      </c>
      <c r="AA115" s="74">
        <v>0</v>
      </c>
      <c r="AB115" s="74">
        <f>SUM(Z115:AA115)</f>
        <v>20000</v>
      </c>
      <c r="AC115" s="74">
        <v>0</v>
      </c>
      <c r="AD115" s="74">
        <f>SUM(AB115:AC115)</f>
        <v>20000</v>
      </c>
      <c r="AE115" s="74">
        <v>0</v>
      </c>
      <c r="AF115" s="74">
        <f>SUM(AD115:AE115)</f>
        <v>20000</v>
      </c>
      <c r="AG115" s="74">
        <v>-475</v>
      </c>
      <c r="AH115" s="74">
        <f>SUM(AF115:AG115)</f>
        <v>19525</v>
      </c>
    </row>
    <row r="116" spans="1:34" s="7" customFormat="1" ht="45" customHeight="1">
      <c r="A116" s="36">
        <v>751</v>
      </c>
      <c r="B116" s="6"/>
      <c r="C116" s="5"/>
      <c r="D116" s="22" t="s">
        <v>360</v>
      </c>
      <c r="E116" s="271">
        <f>SUM(E117)</f>
        <v>3809</v>
      </c>
      <c r="F116" s="271">
        <f>SUM(F117)</f>
        <v>0</v>
      </c>
      <c r="G116" s="271">
        <f>SUM(G117)</f>
        <v>0</v>
      </c>
      <c r="H116" s="271">
        <f t="shared" si="117"/>
        <v>3809</v>
      </c>
      <c r="I116" s="271">
        <f aca="true" t="shared" si="119" ref="I116:U116">SUM(I117)</f>
        <v>0</v>
      </c>
      <c r="J116" s="271">
        <f t="shared" si="119"/>
        <v>3809</v>
      </c>
      <c r="K116" s="271">
        <f t="shared" si="119"/>
        <v>0</v>
      </c>
      <c r="L116" s="271">
        <f t="shared" si="119"/>
        <v>3809</v>
      </c>
      <c r="M116" s="271">
        <f t="shared" si="119"/>
        <v>0</v>
      </c>
      <c r="N116" s="271">
        <f t="shared" si="119"/>
        <v>3809</v>
      </c>
      <c r="O116" s="271">
        <f t="shared" si="119"/>
        <v>0</v>
      </c>
      <c r="P116" s="271">
        <f t="shared" si="119"/>
        <v>3809</v>
      </c>
      <c r="Q116" s="271">
        <f t="shared" si="119"/>
        <v>0</v>
      </c>
      <c r="R116" s="271">
        <f t="shared" si="119"/>
        <v>3809</v>
      </c>
      <c r="S116" s="271">
        <f t="shared" si="119"/>
        <v>0</v>
      </c>
      <c r="T116" s="271">
        <f t="shared" si="119"/>
        <v>3809</v>
      </c>
      <c r="U116" s="271">
        <f t="shared" si="119"/>
        <v>0</v>
      </c>
      <c r="V116" s="271">
        <f aca="true" t="shared" si="120" ref="V116:AB116">SUM(V117,V121)</f>
        <v>3809</v>
      </c>
      <c r="W116" s="271">
        <f t="shared" si="120"/>
        <v>6644</v>
      </c>
      <c r="X116" s="271">
        <f t="shared" si="120"/>
        <v>10453</v>
      </c>
      <c r="Y116" s="271">
        <f t="shared" si="120"/>
        <v>31767</v>
      </c>
      <c r="Z116" s="271">
        <f t="shared" si="120"/>
        <v>42220</v>
      </c>
      <c r="AA116" s="271">
        <f t="shared" si="120"/>
        <v>0</v>
      </c>
      <c r="AB116" s="271">
        <f t="shared" si="120"/>
        <v>42220</v>
      </c>
      <c r="AC116" s="271">
        <f aca="true" t="shared" si="121" ref="AC116:AH116">SUM(AC117,AC121)</f>
        <v>0</v>
      </c>
      <c r="AD116" s="271">
        <f t="shared" si="121"/>
        <v>42220</v>
      </c>
      <c r="AE116" s="271">
        <f t="shared" si="121"/>
        <v>0</v>
      </c>
      <c r="AF116" s="271">
        <f t="shared" si="121"/>
        <v>42220</v>
      </c>
      <c r="AG116" s="271">
        <f t="shared" si="121"/>
        <v>0</v>
      </c>
      <c r="AH116" s="271">
        <f t="shared" si="121"/>
        <v>42220</v>
      </c>
    </row>
    <row r="117" spans="1:34" s="27" customFormat="1" ht="32.25" customHeight="1">
      <c r="A117" s="58"/>
      <c r="B117" s="75">
        <v>75101</v>
      </c>
      <c r="C117" s="58"/>
      <c r="D117" s="14" t="s">
        <v>275</v>
      </c>
      <c r="E117" s="74">
        <f>SUM(E118:E120)</f>
        <v>3809</v>
      </c>
      <c r="F117" s="74">
        <f>SUM(F118:F120)</f>
        <v>0</v>
      </c>
      <c r="G117" s="74">
        <f>SUM(G118:G120)</f>
        <v>0</v>
      </c>
      <c r="H117" s="74">
        <f t="shared" si="117"/>
        <v>3809</v>
      </c>
      <c r="I117" s="74">
        <f aca="true" t="shared" si="122" ref="I117:N117">SUM(I118:I120)</f>
        <v>0</v>
      </c>
      <c r="J117" s="74">
        <f t="shared" si="122"/>
        <v>3809</v>
      </c>
      <c r="K117" s="74">
        <f t="shared" si="122"/>
        <v>0</v>
      </c>
      <c r="L117" s="74">
        <f t="shared" si="122"/>
        <v>3809</v>
      </c>
      <c r="M117" s="74">
        <f t="shared" si="122"/>
        <v>0</v>
      </c>
      <c r="N117" s="74">
        <f t="shared" si="122"/>
        <v>3809</v>
      </c>
      <c r="O117" s="74">
        <f aca="true" t="shared" si="123" ref="O117:T117">SUM(O118:O120)</f>
        <v>0</v>
      </c>
      <c r="P117" s="74">
        <f t="shared" si="123"/>
        <v>3809</v>
      </c>
      <c r="Q117" s="74">
        <f t="shared" si="123"/>
        <v>0</v>
      </c>
      <c r="R117" s="74">
        <f t="shared" si="123"/>
        <v>3809</v>
      </c>
      <c r="S117" s="74">
        <f t="shared" si="123"/>
        <v>0</v>
      </c>
      <c r="T117" s="74">
        <f t="shared" si="123"/>
        <v>3809</v>
      </c>
      <c r="U117" s="74">
        <f aca="true" t="shared" si="124" ref="U117:Z117">SUM(U118:U120)</f>
        <v>0</v>
      </c>
      <c r="V117" s="74">
        <f t="shared" si="124"/>
        <v>3809</v>
      </c>
      <c r="W117" s="74">
        <f t="shared" si="124"/>
        <v>0</v>
      </c>
      <c r="X117" s="74">
        <f t="shared" si="124"/>
        <v>3809</v>
      </c>
      <c r="Y117" s="74">
        <f t="shared" si="124"/>
        <v>0</v>
      </c>
      <c r="Z117" s="74">
        <f t="shared" si="124"/>
        <v>3809</v>
      </c>
      <c r="AA117" s="74">
        <f aca="true" t="shared" si="125" ref="AA117:AF117">SUM(AA118:AA120)</f>
        <v>0</v>
      </c>
      <c r="AB117" s="74">
        <f t="shared" si="125"/>
        <v>3809</v>
      </c>
      <c r="AC117" s="74">
        <f t="shared" si="125"/>
        <v>0</v>
      </c>
      <c r="AD117" s="74">
        <f t="shared" si="125"/>
        <v>3809</v>
      </c>
      <c r="AE117" s="74">
        <f t="shared" si="125"/>
        <v>0</v>
      </c>
      <c r="AF117" s="74">
        <f t="shared" si="125"/>
        <v>3809</v>
      </c>
      <c r="AG117" s="74">
        <f>SUM(AG118:AG120)</f>
        <v>0</v>
      </c>
      <c r="AH117" s="74">
        <f>SUM(AH118:AH120)</f>
        <v>3809</v>
      </c>
    </row>
    <row r="118" spans="1:34" s="27" customFormat="1" ht="21" customHeight="1">
      <c r="A118" s="58"/>
      <c r="B118" s="75"/>
      <c r="C118" s="76">
        <v>4210</v>
      </c>
      <c r="D118" s="14" t="s">
        <v>354</v>
      </c>
      <c r="E118" s="74">
        <v>1009</v>
      </c>
      <c r="F118" s="74"/>
      <c r="G118" s="74"/>
      <c r="H118" s="74">
        <f t="shared" si="117"/>
        <v>1009</v>
      </c>
      <c r="I118" s="74"/>
      <c r="J118" s="74">
        <f t="shared" si="99"/>
        <v>1009</v>
      </c>
      <c r="K118" s="74">
        <v>0</v>
      </c>
      <c r="L118" s="74">
        <f t="shared" si="100"/>
        <v>1009</v>
      </c>
      <c r="M118" s="74">
        <v>0</v>
      </c>
      <c r="N118" s="74">
        <f>SUM(L118:M118)</f>
        <v>1009</v>
      </c>
      <c r="O118" s="74">
        <v>0</v>
      </c>
      <c r="P118" s="74">
        <f>SUM(N118:O118)</f>
        <v>1009</v>
      </c>
      <c r="Q118" s="74">
        <v>800</v>
      </c>
      <c r="R118" s="74">
        <f>SUM(P118:Q118)</f>
        <v>1809</v>
      </c>
      <c r="S118" s="74">
        <v>0</v>
      </c>
      <c r="T118" s="74">
        <f>SUM(R118:S118)</f>
        <v>1809</v>
      </c>
      <c r="U118" s="74">
        <v>0</v>
      </c>
      <c r="V118" s="74">
        <f>SUM(T118:U118)</f>
        <v>1809</v>
      </c>
      <c r="W118" s="74">
        <v>0</v>
      </c>
      <c r="X118" s="74">
        <f>SUM(V118:W118)</f>
        <v>1809</v>
      </c>
      <c r="Y118" s="74">
        <v>0</v>
      </c>
      <c r="Z118" s="74">
        <f>SUM(X118:Y118)</f>
        <v>1809</v>
      </c>
      <c r="AA118" s="74">
        <v>0</v>
      </c>
      <c r="AB118" s="74">
        <f>SUM(Z118:AA118)</f>
        <v>1809</v>
      </c>
      <c r="AC118" s="74">
        <v>0</v>
      </c>
      <c r="AD118" s="74">
        <f>SUM(AB118:AC118)</f>
        <v>1809</v>
      </c>
      <c r="AE118" s="74">
        <v>412</v>
      </c>
      <c r="AF118" s="74">
        <f>SUM(AD118:AE118)</f>
        <v>2221</v>
      </c>
      <c r="AG118" s="74">
        <v>0</v>
      </c>
      <c r="AH118" s="74">
        <f>SUM(AF118:AG118)</f>
        <v>2221</v>
      </c>
    </row>
    <row r="119" spans="1:34" s="27" customFormat="1" ht="25.5" customHeight="1">
      <c r="A119" s="58"/>
      <c r="B119" s="75"/>
      <c r="C119" s="76">
        <v>4700</v>
      </c>
      <c r="D119" s="14" t="s">
        <v>571</v>
      </c>
      <c r="E119" s="74">
        <v>1600</v>
      </c>
      <c r="F119" s="74"/>
      <c r="G119" s="74"/>
      <c r="H119" s="74">
        <f t="shared" si="117"/>
        <v>1600</v>
      </c>
      <c r="I119" s="74"/>
      <c r="J119" s="74">
        <f t="shared" si="99"/>
        <v>1600</v>
      </c>
      <c r="K119" s="74">
        <v>0</v>
      </c>
      <c r="L119" s="74">
        <f t="shared" si="100"/>
        <v>1600</v>
      </c>
      <c r="M119" s="74">
        <v>0</v>
      </c>
      <c r="N119" s="74">
        <f>SUM(L119:M119)</f>
        <v>1600</v>
      </c>
      <c r="O119" s="74">
        <v>0</v>
      </c>
      <c r="P119" s="74">
        <f>SUM(N119:O119)</f>
        <v>1600</v>
      </c>
      <c r="Q119" s="74">
        <v>-800</v>
      </c>
      <c r="R119" s="74">
        <f>SUM(P119:Q119)</f>
        <v>800</v>
      </c>
      <c r="S119" s="74">
        <v>0</v>
      </c>
      <c r="T119" s="74">
        <f>SUM(R119:S119)</f>
        <v>800</v>
      </c>
      <c r="U119" s="74">
        <v>0</v>
      </c>
      <c r="V119" s="74">
        <f>SUM(T119:U119)</f>
        <v>800</v>
      </c>
      <c r="W119" s="74">
        <v>0</v>
      </c>
      <c r="X119" s="74">
        <f>SUM(V119:W119)</f>
        <v>800</v>
      </c>
      <c r="Y119" s="74">
        <v>0</v>
      </c>
      <c r="Z119" s="74">
        <f>SUM(X119:Y119)</f>
        <v>800</v>
      </c>
      <c r="AA119" s="74">
        <v>0</v>
      </c>
      <c r="AB119" s="74">
        <f>SUM(Z119:AA119)</f>
        <v>800</v>
      </c>
      <c r="AC119" s="74">
        <v>0</v>
      </c>
      <c r="AD119" s="74">
        <f>SUM(AB119:AC119)</f>
        <v>800</v>
      </c>
      <c r="AE119" s="74">
        <v>-412</v>
      </c>
      <c r="AF119" s="74">
        <f>SUM(AD119:AE119)</f>
        <v>388</v>
      </c>
      <c r="AG119" s="74">
        <v>0</v>
      </c>
      <c r="AH119" s="74">
        <f>SUM(AF119:AG119)</f>
        <v>388</v>
      </c>
    </row>
    <row r="120" spans="1:34" s="27" customFormat="1" ht="24">
      <c r="A120" s="58"/>
      <c r="B120" s="75"/>
      <c r="C120" s="76">
        <v>4740</v>
      </c>
      <c r="D120" s="14" t="s">
        <v>570</v>
      </c>
      <c r="E120" s="74">
        <v>1200</v>
      </c>
      <c r="F120" s="74"/>
      <c r="G120" s="74"/>
      <c r="H120" s="74">
        <f t="shared" si="117"/>
        <v>1200</v>
      </c>
      <c r="I120" s="74"/>
      <c r="J120" s="74">
        <f t="shared" si="99"/>
        <v>1200</v>
      </c>
      <c r="K120" s="74">
        <v>0</v>
      </c>
      <c r="L120" s="74">
        <f t="shared" si="100"/>
        <v>1200</v>
      </c>
      <c r="M120" s="74">
        <v>0</v>
      </c>
      <c r="N120" s="74">
        <f>SUM(L120:M120)</f>
        <v>1200</v>
      </c>
      <c r="O120" s="74">
        <v>0</v>
      </c>
      <c r="P120" s="74">
        <f>SUM(N120:O120)</f>
        <v>1200</v>
      </c>
      <c r="Q120" s="74">
        <v>0</v>
      </c>
      <c r="R120" s="74">
        <f>SUM(P120:Q120)</f>
        <v>1200</v>
      </c>
      <c r="S120" s="74">
        <v>0</v>
      </c>
      <c r="T120" s="74">
        <f>SUM(R120:S120)</f>
        <v>1200</v>
      </c>
      <c r="U120" s="74">
        <v>0</v>
      </c>
      <c r="V120" s="74">
        <f>SUM(T120:U120)</f>
        <v>1200</v>
      </c>
      <c r="W120" s="74">
        <v>0</v>
      </c>
      <c r="X120" s="74">
        <f>SUM(V120:W120)</f>
        <v>1200</v>
      </c>
      <c r="Y120" s="74">
        <v>0</v>
      </c>
      <c r="Z120" s="74">
        <f>SUM(X120:Y120)</f>
        <v>1200</v>
      </c>
      <c r="AA120" s="74">
        <v>0</v>
      </c>
      <c r="AB120" s="74">
        <f>SUM(Z120:AA120)</f>
        <v>1200</v>
      </c>
      <c r="AC120" s="74">
        <v>0</v>
      </c>
      <c r="AD120" s="74">
        <f>SUM(AB120:AC120)</f>
        <v>1200</v>
      </c>
      <c r="AE120" s="74">
        <v>0</v>
      </c>
      <c r="AF120" s="74">
        <f>SUM(AD120:AE120)</f>
        <v>1200</v>
      </c>
      <c r="AG120" s="74">
        <v>0</v>
      </c>
      <c r="AH120" s="74">
        <f>SUM(AF120:AG120)</f>
        <v>1200</v>
      </c>
    </row>
    <row r="121" spans="1:34" s="27" customFormat="1" ht="21" customHeight="1">
      <c r="A121" s="58"/>
      <c r="B121" s="75">
        <v>75108</v>
      </c>
      <c r="C121" s="76"/>
      <c r="D121" s="14" t="s">
        <v>598</v>
      </c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>
        <f>SUM(V126:V127)</f>
        <v>0</v>
      </c>
      <c r="W121" s="74">
        <f>SUM(W126:W127)</f>
        <v>6644</v>
      </c>
      <c r="X121" s="74">
        <f aca="true" t="shared" si="126" ref="X121:AD121">SUM(X122:X130)</f>
        <v>6644</v>
      </c>
      <c r="Y121" s="74">
        <f t="shared" si="126"/>
        <v>31767</v>
      </c>
      <c r="Z121" s="74">
        <f t="shared" si="126"/>
        <v>38411</v>
      </c>
      <c r="AA121" s="74">
        <f t="shared" si="126"/>
        <v>0</v>
      </c>
      <c r="AB121" s="74">
        <f t="shared" si="126"/>
        <v>38411</v>
      </c>
      <c r="AC121" s="74">
        <f t="shared" si="126"/>
        <v>0</v>
      </c>
      <c r="AD121" s="74">
        <f t="shared" si="126"/>
        <v>38411</v>
      </c>
      <c r="AE121" s="74">
        <f>SUM(AE122:AE130)</f>
        <v>0</v>
      </c>
      <c r="AF121" s="74">
        <f>SUM(AF122:AF130)</f>
        <v>38411</v>
      </c>
      <c r="AG121" s="74">
        <f>SUM(AG122:AG130)</f>
        <v>0</v>
      </c>
      <c r="AH121" s="74">
        <f>SUM(AH122:AH130)</f>
        <v>38411</v>
      </c>
    </row>
    <row r="122" spans="1:34" s="27" customFormat="1" ht="21" customHeight="1">
      <c r="A122" s="58"/>
      <c r="B122" s="76"/>
      <c r="C122" s="77">
        <v>3030</v>
      </c>
      <c r="D122" s="14" t="s">
        <v>350</v>
      </c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>
        <v>0</v>
      </c>
      <c r="Y122" s="74">
        <v>19125</v>
      </c>
      <c r="Z122" s="74">
        <f aca="true" t="shared" si="127" ref="Z122:Z130">SUM(X122:Y122)</f>
        <v>19125</v>
      </c>
      <c r="AA122" s="74">
        <v>0</v>
      </c>
      <c r="AB122" s="74">
        <f aca="true" t="shared" si="128" ref="AB122:AB130">SUM(Z122:AA122)</f>
        <v>19125</v>
      </c>
      <c r="AC122" s="74">
        <v>0</v>
      </c>
      <c r="AD122" s="74">
        <f aca="true" t="shared" si="129" ref="AD122:AD130">SUM(AB122:AC122)</f>
        <v>19125</v>
      </c>
      <c r="AE122" s="74">
        <v>0</v>
      </c>
      <c r="AF122" s="74">
        <f aca="true" t="shared" si="130" ref="AF122:AF130">SUM(AD122:AE122)</f>
        <v>19125</v>
      </c>
      <c r="AG122" s="74">
        <v>0</v>
      </c>
      <c r="AH122" s="74">
        <f aca="true" t="shared" si="131" ref="AH122:AH130">SUM(AF122:AG122)</f>
        <v>19125</v>
      </c>
    </row>
    <row r="123" spans="1:36" s="27" customFormat="1" ht="21" customHeight="1">
      <c r="A123" s="58"/>
      <c r="B123" s="76"/>
      <c r="C123" s="77">
        <v>4110</v>
      </c>
      <c r="D123" s="81" t="s">
        <v>347</v>
      </c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>
        <v>0</v>
      </c>
      <c r="Y123" s="74">
        <v>814</v>
      </c>
      <c r="Z123" s="74">
        <f t="shared" si="127"/>
        <v>814</v>
      </c>
      <c r="AA123" s="74">
        <v>0</v>
      </c>
      <c r="AB123" s="74">
        <f t="shared" si="128"/>
        <v>814</v>
      </c>
      <c r="AC123" s="74">
        <v>0</v>
      </c>
      <c r="AD123" s="74">
        <f t="shared" si="129"/>
        <v>814</v>
      </c>
      <c r="AE123" s="74">
        <v>0</v>
      </c>
      <c r="AF123" s="74">
        <f t="shared" si="130"/>
        <v>814</v>
      </c>
      <c r="AG123" s="74">
        <v>0</v>
      </c>
      <c r="AH123" s="74">
        <f t="shared" si="131"/>
        <v>814</v>
      </c>
      <c r="AI123" s="119"/>
      <c r="AJ123" s="119"/>
    </row>
    <row r="124" spans="1:36" s="27" customFormat="1" ht="21" customHeight="1">
      <c r="A124" s="58"/>
      <c r="B124" s="76"/>
      <c r="C124" s="77">
        <v>4120</v>
      </c>
      <c r="D124" s="81" t="s">
        <v>348</v>
      </c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>
        <v>0</v>
      </c>
      <c r="Y124" s="74">
        <v>117</v>
      </c>
      <c r="Z124" s="74">
        <f t="shared" si="127"/>
        <v>117</v>
      </c>
      <c r="AA124" s="74">
        <v>0</v>
      </c>
      <c r="AB124" s="74">
        <f t="shared" si="128"/>
        <v>117</v>
      </c>
      <c r="AC124" s="74">
        <v>0</v>
      </c>
      <c r="AD124" s="74">
        <f t="shared" si="129"/>
        <v>117</v>
      </c>
      <c r="AE124" s="74">
        <v>0</v>
      </c>
      <c r="AF124" s="74">
        <f t="shared" si="130"/>
        <v>117</v>
      </c>
      <c r="AG124" s="74">
        <v>0</v>
      </c>
      <c r="AH124" s="74">
        <f t="shared" si="131"/>
        <v>117</v>
      </c>
      <c r="AI124" s="119"/>
      <c r="AJ124" s="119"/>
    </row>
    <row r="125" spans="1:36" s="27" customFormat="1" ht="21" customHeight="1">
      <c r="A125" s="58"/>
      <c r="B125" s="76"/>
      <c r="C125" s="77">
        <v>4170</v>
      </c>
      <c r="D125" s="81" t="s">
        <v>478</v>
      </c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>
        <v>0</v>
      </c>
      <c r="Y125" s="74">
        <v>7300</v>
      </c>
      <c r="Z125" s="74">
        <f t="shared" si="127"/>
        <v>7300</v>
      </c>
      <c r="AA125" s="74">
        <v>0</v>
      </c>
      <c r="AB125" s="74">
        <f t="shared" si="128"/>
        <v>7300</v>
      </c>
      <c r="AC125" s="74">
        <v>0</v>
      </c>
      <c r="AD125" s="74">
        <f t="shared" si="129"/>
        <v>7300</v>
      </c>
      <c r="AE125" s="74">
        <v>0</v>
      </c>
      <c r="AF125" s="74">
        <f t="shared" si="130"/>
        <v>7300</v>
      </c>
      <c r="AG125" s="74">
        <v>0</v>
      </c>
      <c r="AH125" s="74">
        <f t="shared" si="131"/>
        <v>7300</v>
      </c>
      <c r="AI125" s="119"/>
      <c r="AJ125" s="119"/>
    </row>
    <row r="126" spans="1:34" s="27" customFormat="1" ht="22.5" customHeight="1">
      <c r="A126" s="58"/>
      <c r="B126" s="75"/>
      <c r="C126" s="76">
        <v>4210</v>
      </c>
      <c r="D126" s="14" t="s">
        <v>354</v>
      </c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>
        <v>0</v>
      </c>
      <c r="W126" s="74">
        <v>6000</v>
      </c>
      <c r="X126" s="74">
        <f>SUM(V126:W126)</f>
        <v>6000</v>
      </c>
      <c r="Y126" s="74">
        <v>-789</v>
      </c>
      <c r="Z126" s="74">
        <f t="shared" si="127"/>
        <v>5211</v>
      </c>
      <c r="AA126" s="74">
        <v>0</v>
      </c>
      <c r="AB126" s="74">
        <f t="shared" si="128"/>
        <v>5211</v>
      </c>
      <c r="AC126" s="74">
        <v>1487</v>
      </c>
      <c r="AD126" s="74">
        <f t="shared" si="129"/>
        <v>6698</v>
      </c>
      <c r="AE126" s="74">
        <v>58</v>
      </c>
      <c r="AF126" s="74">
        <f t="shared" si="130"/>
        <v>6756</v>
      </c>
      <c r="AG126" s="74">
        <v>0</v>
      </c>
      <c r="AH126" s="74">
        <f t="shared" si="131"/>
        <v>6756</v>
      </c>
    </row>
    <row r="127" spans="1:34" s="27" customFormat="1" ht="23.25" customHeight="1">
      <c r="A127" s="58"/>
      <c r="B127" s="75"/>
      <c r="C127" s="76">
        <v>4300</v>
      </c>
      <c r="D127" s="14" t="s">
        <v>340</v>
      </c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>
        <v>0</v>
      </c>
      <c r="W127" s="74">
        <v>644</v>
      </c>
      <c r="X127" s="74">
        <f>SUM(V127:W127)</f>
        <v>644</v>
      </c>
      <c r="Y127" s="74">
        <v>800</v>
      </c>
      <c r="Z127" s="74">
        <f t="shared" si="127"/>
        <v>1444</v>
      </c>
      <c r="AA127" s="74">
        <v>0</v>
      </c>
      <c r="AB127" s="74">
        <f t="shared" si="128"/>
        <v>1444</v>
      </c>
      <c r="AC127" s="74">
        <v>-330</v>
      </c>
      <c r="AD127" s="74">
        <f t="shared" si="129"/>
        <v>1114</v>
      </c>
      <c r="AE127" s="74">
        <v>0</v>
      </c>
      <c r="AF127" s="74">
        <f t="shared" si="130"/>
        <v>1114</v>
      </c>
      <c r="AG127" s="74">
        <v>0</v>
      </c>
      <c r="AH127" s="74">
        <f t="shared" si="131"/>
        <v>1114</v>
      </c>
    </row>
    <row r="128" spans="1:34" s="27" customFormat="1" ht="23.25" customHeight="1">
      <c r="A128" s="58"/>
      <c r="B128" s="76"/>
      <c r="C128" s="77">
        <v>4410</v>
      </c>
      <c r="D128" s="14" t="s">
        <v>352</v>
      </c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>
        <v>0</v>
      </c>
      <c r="Y128" s="74">
        <v>2500</v>
      </c>
      <c r="Z128" s="74">
        <f t="shared" si="127"/>
        <v>2500</v>
      </c>
      <c r="AA128" s="74">
        <v>0</v>
      </c>
      <c r="AB128" s="74">
        <f t="shared" si="128"/>
        <v>2500</v>
      </c>
      <c r="AC128" s="74">
        <v>-1186</v>
      </c>
      <c r="AD128" s="74">
        <f t="shared" si="129"/>
        <v>1314</v>
      </c>
      <c r="AE128" s="74">
        <v>-58</v>
      </c>
      <c r="AF128" s="74">
        <f t="shared" si="130"/>
        <v>1256</v>
      </c>
      <c r="AG128" s="74">
        <v>0</v>
      </c>
      <c r="AH128" s="74">
        <f t="shared" si="131"/>
        <v>1256</v>
      </c>
    </row>
    <row r="129" spans="1:34" s="27" customFormat="1" ht="23.25" customHeight="1">
      <c r="A129" s="58"/>
      <c r="B129" s="76"/>
      <c r="C129" s="77">
        <v>4740</v>
      </c>
      <c r="D129" s="14" t="s">
        <v>185</v>
      </c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>
        <v>0</v>
      </c>
      <c r="Y129" s="74">
        <v>700</v>
      </c>
      <c r="Z129" s="74">
        <f t="shared" si="127"/>
        <v>700</v>
      </c>
      <c r="AA129" s="74">
        <v>0</v>
      </c>
      <c r="AB129" s="74">
        <f t="shared" si="128"/>
        <v>700</v>
      </c>
      <c r="AC129" s="74">
        <v>207</v>
      </c>
      <c r="AD129" s="74">
        <f t="shared" si="129"/>
        <v>907</v>
      </c>
      <c r="AE129" s="74">
        <v>0</v>
      </c>
      <c r="AF129" s="74">
        <f t="shared" si="130"/>
        <v>907</v>
      </c>
      <c r="AG129" s="74">
        <v>0</v>
      </c>
      <c r="AH129" s="74">
        <f t="shared" si="131"/>
        <v>907</v>
      </c>
    </row>
    <row r="130" spans="1:34" s="27" customFormat="1" ht="23.25" customHeight="1">
      <c r="A130" s="58"/>
      <c r="B130" s="76"/>
      <c r="C130" s="77">
        <v>4750</v>
      </c>
      <c r="D130" s="14" t="s">
        <v>572</v>
      </c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>
        <v>0</v>
      </c>
      <c r="Y130" s="74">
        <v>1200</v>
      </c>
      <c r="Z130" s="74">
        <f t="shared" si="127"/>
        <v>1200</v>
      </c>
      <c r="AA130" s="74">
        <v>0</v>
      </c>
      <c r="AB130" s="74">
        <f t="shared" si="128"/>
        <v>1200</v>
      </c>
      <c r="AC130" s="74">
        <v>-178</v>
      </c>
      <c r="AD130" s="74">
        <f t="shared" si="129"/>
        <v>1022</v>
      </c>
      <c r="AE130" s="74">
        <v>0</v>
      </c>
      <c r="AF130" s="74">
        <f t="shared" si="130"/>
        <v>1022</v>
      </c>
      <c r="AG130" s="74">
        <v>0</v>
      </c>
      <c r="AH130" s="74">
        <f t="shared" si="131"/>
        <v>1022</v>
      </c>
    </row>
    <row r="131" spans="1:34" s="7" customFormat="1" ht="24.75" customHeight="1">
      <c r="A131" s="36" t="s">
        <v>276</v>
      </c>
      <c r="B131" s="6"/>
      <c r="C131" s="5"/>
      <c r="D131" s="22" t="s">
        <v>361</v>
      </c>
      <c r="E131" s="271">
        <f>SUM(E135,E148,E165,)</f>
        <v>472000</v>
      </c>
      <c r="F131" s="271">
        <f>SUM(F135,F148,F165,)</f>
        <v>20000</v>
      </c>
      <c r="G131" s="271">
        <f>SUM(G135,G148,G165,)</f>
        <v>0</v>
      </c>
      <c r="H131" s="271">
        <f t="shared" si="117"/>
        <v>492000</v>
      </c>
      <c r="I131" s="271">
        <f aca="true" t="shared" si="132" ref="I131:N131">SUM(I135,I148,I165,)</f>
        <v>0</v>
      </c>
      <c r="J131" s="271">
        <f t="shared" si="132"/>
        <v>492000</v>
      </c>
      <c r="K131" s="271">
        <f t="shared" si="132"/>
        <v>900</v>
      </c>
      <c r="L131" s="271">
        <f t="shared" si="132"/>
        <v>492900</v>
      </c>
      <c r="M131" s="271">
        <f t="shared" si="132"/>
        <v>0</v>
      </c>
      <c r="N131" s="271">
        <f t="shared" si="132"/>
        <v>492900</v>
      </c>
      <c r="O131" s="271">
        <f>SUM(O135,O148,O165,)</f>
        <v>0</v>
      </c>
      <c r="P131" s="271">
        <f aca="true" t="shared" si="133" ref="P131:V131">SUM(P135,P148,P165,P132)</f>
        <v>492900</v>
      </c>
      <c r="Q131" s="271">
        <f t="shared" si="133"/>
        <v>25000</v>
      </c>
      <c r="R131" s="271">
        <f t="shared" si="133"/>
        <v>517900</v>
      </c>
      <c r="S131" s="271">
        <f t="shared" si="133"/>
        <v>0</v>
      </c>
      <c r="T131" s="271">
        <f t="shared" si="133"/>
        <v>517900</v>
      </c>
      <c r="U131" s="271">
        <f t="shared" si="133"/>
        <v>0</v>
      </c>
      <c r="V131" s="271">
        <f t="shared" si="133"/>
        <v>517900</v>
      </c>
      <c r="W131" s="271">
        <f aca="true" t="shared" si="134" ref="W131:AB131">SUM(W135,W148,W165,W132)</f>
        <v>0</v>
      </c>
      <c r="X131" s="271">
        <f t="shared" si="134"/>
        <v>517900</v>
      </c>
      <c r="Y131" s="271">
        <f t="shared" si="134"/>
        <v>0</v>
      </c>
      <c r="Z131" s="271">
        <f t="shared" si="134"/>
        <v>517900</v>
      </c>
      <c r="AA131" s="271">
        <f t="shared" si="134"/>
        <v>2890</v>
      </c>
      <c r="AB131" s="271">
        <f t="shared" si="134"/>
        <v>520790</v>
      </c>
      <c r="AC131" s="271">
        <f aca="true" t="shared" si="135" ref="AC131:AH131">SUM(AC135,AC148,AC165,AC132)</f>
        <v>0</v>
      </c>
      <c r="AD131" s="271">
        <f t="shared" si="135"/>
        <v>520790</v>
      </c>
      <c r="AE131" s="271">
        <f t="shared" si="135"/>
        <v>0</v>
      </c>
      <c r="AF131" s="271">
        <f t="shared" si="135"/>
        <v>520790</v>
      </c>
      <c r="AG131" s="271">
        <f t="shared" si="135"/>
        <v>-16600</v>
      </c>
      <c r="AH131" s="271">
        <f t="shared" si="135"/>
        <v>504190</v>
      </c>
    </row>
    <row r="132" spans="1:34" s="27" customFormat="1" ht="24.75" customHeight="1">
      <c r="A132" s="76"/>
      <c r="B132" s="82">
        <v>75411</v>
      </c>
      <c r="C132" s="58"/>
      <c r="D132" s="14" t="s">
        <v>214</v>
      </c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>
        <f aca="true" t="shared" si="136" ref="P132:U132">SUM(P133)</f>
        <v>0</v>
      </c>
      <c r="Q132" s="74">
        <f t="shared" si="136"/>
        <v>25000</v>
      </c>
      <c r="R132" s="74">
        <f t="shared" si="136"/>
        <v>25000</v>
      </c>
      <c r="S132" s="74">
        <f t="shared" si="136"/>
        <v>0</v>
      </c>
      <c r="T132" s="74">
        <f t="shared" si="136"/>
        <v>25000</v>
      </c>
      <c r="U132" s="74">
        <f t="shared" si="136"/>
        <v>0</v>
      </c>
      <c r="V132" s="74">
        <f aca="true" t="shared" si="137" ref="V132:AB132">SUM(V133:V134)</f>
        <v>25000</v>
      </c>
      <c r="W132" s="74">
        <f t="shared" si="137"/>
        <v>0</v>
      </c>
      <c r="X132" s="74">
        <f t="shared" si="137"/>
        <v>25000</v>
      </c>
      <c r="Y132" s="74">
        <f t="shared" si="137"/>
        <v>0</v>
      </c>
      <c r="Z132" s="74">
        <f t="shared" si="137"/>
        <v>25000</v>
      </c>
      <c r="AA132" s="74">
        <f t="shared" si="137"/>
        <v>0</v>
      </c>
      <c r="AB132" s="74">
        <f t="shared" si="137"/>
        <v>25000</v>
      </c>
      <c r="AC132" s="74">
        <f aca="true" t="shared" si="138" ref="AC132:AH132">SUM(AC133:AC134)</f>
        <v>0</v>
      </c>
      <c r="AD132" s="74">
        <f t="shared" si="138"/>
        <v>25000</v>
      </c>
      <c r="AE132" s="74">
        <f t="shared" si="138"/>
        <v>0</v>
      </c>
      <c r="AF132" s="74">
        <f t="shared" si="138"/>
        <v>25000</v>
      </c>
      <c r="AG132" s="74">
        <f t="shared" si="138"/>
        <v>0</v>
      </c>
      <c r="AH132" s="74">
        <f t="shared" si="138"/>
        <v>25000</v>
      </c>
    </row>
    <row r="133" spans="1:38" s="27" customFormat="1" ht="48">
      <c r="A133" s="76"/>
      <c r="B133" s="82"/>
      <c r="C133" s="58">
        <v>6220</v>
      </c>
      <c r="D133" s="14" t="s">
        <v>218</v>
      </c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>
        <v>0</v>
      </c>
      <c r="Q133" s="210">
        <v>25000</v>
      </c>
      <c r="R133" s="74">
        <f>SUM(P133:Q133)</f>
        <v>25000</v>
      </c>
      <c r="S133" s="138">
        <v>0</v>
      </c>
      <c r="T133" s="74">
        <f>SUM(R133:S133)</f>
        <v>25000</v>
      </c>
      <c r="U133" s="138">
        <v>0</v>
      </c>
      <c r="V133" s="74">
        <f>SUM(T133:U133)</f>
        <v>25000</v>
      </c>
      <c r="W133" s="138">
        <v>-25000</v>
      </c>
      <c r="X133" s="74">
        <f>SUM(V133:W133)</f>
        <v>0</v>
      </c>
      <c r="Y133" s="138">
        <v>0</v>
      </c>
      <c r="Z133" s="74">
        <f>SUM(X133:Y133)</f>
        <v>0</v>
      </c>
      <c r="AA133" s="138">
        <v>0</v>
      </c>
      <c r="AB133" s="74">
        <f>SUM(Z133:AA133)</f>
        <v>0</v>
      </c>
      <c r="AC133" s="138">
        <v>0</v>
      </c>
      <c r="AD133" s="74">
        <f>SUM(AB133:AC133)</f>
        <v>0</v>
      </c>
      <c r="AE133" s="138">
        <v>0</v>
      </c>
      <c r="AF133" s="74">
        <f>SUM(AD133:AE133)</f>
        <v>0</v>
      </c>
      <c r="AG133" s="138">
        <v>0</v>
      </c>
      <c r="AH133" s="74">
        <f>SUM(AF133:AG133)</f>
        <v>0</v>
      </c>
      <c r="AK133" s="119"/>
      <c r="AL133" s="119"/>
    </row>
    <row r="134" spans="1:38" s="27" customFormat="1" ht="48">
      <c r="A134" s="76"/>
      <c r="B134" s="82"/>
      <c r="C134" s="58">
        <v>6620</v>
      </c>
      <c r="D134" s="14" t="s">
        <v>109</v>
      </c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210"/>
      <c r="R134" s="74"/>
      <c r="S134" s="138"/>
      <c r="T134" s="74"/>
      <c r="U134" s="138"/>
      <c r="V134" s="74">
        <v>0</v>
      </c>
      <c r="W134" s="138">
        <v>25000</v>
      </c>
      <c r="X134" s="74">
        <f>SUM(V134:W134)</f>
        <v>25000</v>
      </c>
      <c r="Y134" s="138">
        <v>0</v>
      </c>
      <c r="Z134" s="74">
        <f>SUM(X134:Y134)</f>
        <v>25000</v>
      </c>
      <c r="AA134" s="138">
        <v>0</v>
      </c>
      <c r="AB134" s="74">
        <f>SUM(Z134:AA134)</f>
        <v>25000</v>
      </c>
      <c r="AC134" s="138">
        <v>0</v>
      </c>
      <c r="AD134" s="74">
        <f>SUM(AB134:AC134)</f>
        <v>25000</v>
      </c>
      <c r="AE134" s="138">
        <v>0</v>
      </c>
      <c r="AF134" s="74">
        <f>SUM(AD134:AE134)</f>
        <v>25000</v>
      </c>
      <c r="AG134" s="138">
        <v>0</v>
      </c>
      <c r="AH134" s="74">
        <f>SUM(AF134:AG134)</f>
        <v>25000</v>
      </c>
      <c r="AK134" s="119"/>
      <c r="AL134" s="119"/>
    </row>
    <row r="135" spans="1:34" s="27" customFormat="1" ht="21.75" customHeight="1">
      <c r="A135" s="58"/>
      <c r="B135" s="75" t="s">
        <v>362</v>
      </c>
      <c r="C135" s="58"/>
      <c r="D135" s="14" t="s">
        <v>363</v>
      </c>
      <c r="E135" s="74">
        <f>SUM(E136:E147)</f>
        <v>202000</v>
      </c>
      <c r="F135" s="74">
        <f>SUM(F136:F147)</f>
        <v>0</v>
      </c>
      <c r="G135" s="74">
        <f>SUM(G136:G147)</f>
        <v>0</v>
      </c>
      <c r="H135" s="74">
        <f t="shared" si="117"/>
        <v>202000</v>
      </c>
      <c r="I135" s="74">
        <f aca="true" t="shared" si="139" ref="I135:N135">SUM(I136:I147)</f>
        <v>0</v>
      </c>
      <c r="J135" s="74">
        <f t="shared" si="139"/>
        <v>202000</v>
      </c>
      <c r="K135" s="74">
        <f t="shared" si="139"/>
        <v>900</v>
      </c>
      <c r="L135" s="74">
        <f t="shared" si="139"/>
        <v>202900</v>
      </c>
      <c r="M135" s="74">
        <f t="shared" si="139"/>
        <v>0</v>
      </c>
      <c r="N135" s="74">
        <f t="shared" si="139"/>
        <v>202900</v>
      </c>
      <c r="O135" s="74">
        <f aca="true" t="shared" si="140" ref="O135:T135">SUM(O136:O147)</f>
        <v>0</v>
      </c>
      <c r="P135" s="74">
        <f t="shared" si="140"/>
        <v>202900</v>
      </c>
      <c r="Q135" s="74">
        <f t="shared" si="140"/>
        <v>0</v>
      </c>
      <c r="R135" s="74">
        <f t="shared" si="140"/>
        <v>202900</v>
      </c>
      <c r="S135" s="74">
        <f t="shared" si="140"/>
        <v>0</v>
      </c>
      <c r="T135" s="74">
        <f t="shared" si="140"/>
        <v>202900</v>
      </c>
      <c r="U135" s="74">
        <f aca="true" t="shared" si="141" ref="U135:Z135">SUM(U136:U147)</f>
        <v>0</v>
      </c>
      <c r="V135" s="74">
        <f t="shared" si="141"/>
        <v>202900</v>
      </c>
      <c r="W135" s="74">
        <f t="shared" si="141"/>
        <v>0</v>
      </c>
      <c r="X135" s="74">
        <f t="shared" si="141"/>
        <v>202900</v>
      </c>
      <c r="Y135" s="74">
        <f t="shared" si="141"/>
        <v>0</v>
      </c>
      <c r="Z135" s="74">
        <f t="shared" si="141"/>
        <v>202900</v>
      </c>
      <c r="AA135" s="74">
        <f aca="true" t="shared" si="142" ref="AA135:AF135">SUM(AA136:AA147)</f>
        <v>3500</v>
      </c>
      <c r="AB135" s="74">
        <f t="shared" si="142"/>
        <v>206400</v>
      </c>
      <c r="AC135" s="74">
        <f t="shared" si="142"/>
        <v>0</v>
      </c>
      <c r="AD135" s="74">
        <f t="shared" si="142"/>
        <v>206400</v>
      </c>
      <c r="AE135" s="74">
        <f t="shared" si="142"/>
        <v>0</v>
      </c>
      <c r="AF135" s="74">
        <f t="shared" si="142"/>
        <v>206400</v>
      </c>
      <c r="AG135" s="74">
        <f>SUM(AG136:AG147)</f>
        <v>-5500</v>
      </c>
      <c r="AH135" s="74">
        <f>SUM(AH136:AH147)</f>
        <v>200900</v>
      </c>
    </row>
    <row r="136" spans="1:34" s="27" customFormat="1" ht="21" customHeight="1">
      <c r="A136" s="58"/>
      <c r="B136" s="75"/>
      <c r="C136" s="58">
        <v>3020</v>
      </c>
      <c r="D136" s="14" t="s">
        <v>474</v>
      </c>
      <c r="E136" s="74">
        <v>18800</v>
      </c>
      <c r="F136" s="74"/>
      <c r="G136" s="74"/>
      <c r="H136" s="74">
        <f t="shared" si="117"/>
        <v>18800</v>
      </c>
      <c r="I136" s="74"/>
      <c r="J136" s="74">
        <f t="shared" si="99"/>
        <v>18800</v>
      </c>
      <c r="K136" s="74">
        <v>0</v>
      </c>
      <c r="L136" s="74">
        <f t="shared" si="100"/>
        <v>18800</v>
      </c>
      <c r="M136" s="74">
        <v>0</v>
      </c>
      <c r="N136" s="74">
        <f aca="true" t="shared" si="143" ref="N136:N147">SUM(L136:M136)</f>
        <v>18800</v>
      </c>
      <c r="O136" s="74">
        <v>0</v>
      </c>
      <c r="P136" s="74">
        <f aca="true" t="shared" si="144" ref="P136:P147">SUM(N136:O136)</f>
        <v>18800</v>
      </c>
      <c r="Q136" s="74">
        <v>0</v>
      </c>
      <c r="R136" s="74">
        <f aca="true" t="shared" si="145" ref="R136:R147">SUM(P136:Q136)</f>
        <v>18800</v>
      </c>
      <c r="S136" s="74">
        <v>0</v>
      </c>
      <c r="T136" s="74">
        <f aca="true" t="shared" si="146" ref="T136:T147">SUM(R136:S136)</f>
        <v>18800</v>
      </c>
      <c r="U136" s="74">
        <v>0</v>
      </c>
      <c r="V136" s="74">
        <f aca="true" t="shared" si="147" ref="V136:V147">SUM(T136:U136)</f>
        <v>18800</v>
      </c>
      <c r="W136" s="74">
        <v>0</v>
      </c>
      <c r="X136" s="74">
        <f aca="true" t="shared" si="148" ref="X136:X147">SUM(V136:W136)</f>
        <v>18800</v>
      </c>
      <c r="Y136" s="74">
        <v>0</v>
      </c>
      <c r="Z136" s="74">
        <f aca="true" t="shared" si="149" ref="Z136:Z147">SUM(X136:Y136)</f>
        <v>18800</v>
      </c>
      <c r="AA136" s="74">
        <v>0</v>
      </c>
      <c r="AB136" s="74">
        <f aca="true" t="shared" si="150" ref="AB136:AB147">SUM(Z136:AA136)</f>
        <v>18800</v>
      </c>
      <c r="AC136" s="74">
        <v>0</v>
      </c>
      <c r="AD136" s="74">
        <f aca="true" t="shared" si="151" ref="AD136:AD147">SUM(AB136:AC136)</f>
        <v>18800</v>
      </c>
      <c r="AE136" s="74">
        <v>-2000</v>
      </c>
      <c r="AF136" s="74">
        <f aca="true" t="shared" si="152" ref="AF136:AF147">SUM(AD136:AE136)</f>
        <v>16800</v>
      </c>
      <c r="AG136" s="74">
        <v>0</v>
      </c>
      <c r="AH136" s="74">
        <f aca="true" t="shared" si="153" ref="AH136:AH147">SUM(AF136:AG136)</f>
        <v>16800</v>
      </c>
    </row>
    <row r="137" spans="1:36" s="27" customFormat="1" ht="21" customHeight="1">
      <c r="A137" s="58"/>
      <c r="B137" s="75"/>
      <c r="C137" s="58">
        <v>4110</v>
      </c>
      <c r="D137" s="14" t="s">
        <v>347</v>
      </c>
      <c r="E137" s="74">
        <v>4200</v>
      </c>
      <c r="F137" s="74"/>
      <c r="G137" s="74"/>
      <c r="H137" s="74">
        <f t="shared" si="117"/>
        <v>4200</v>
      </c>
      <c r="I137" s="74"/>
      <c r="J137" s="74">
        <f t="shared" si="99"/>
        <v>4200</v>
      </c>
      <c r="K137" s="74">
        <v>0</v>
      </c>
      <c r="L137" s="74">
        <f t="shared" si="100"/>
        <v>4200</v>
      </c>
      <c r="M137" s="74">
        <v>0</v>
      </c>
      <c r="N137" s="74">
        <f t="shared" si="143"/>
        <v>4200</v>
      </c>
      <c r="O137" s="74">
        <v>0</v>
      </c>
      <c r="P137" s="74">
        <f t="shared" si="144"/>
        <v>4200</v>
      </c>
      <c r="Q137" s="74">
        <v>0</v>
      </c>
      <c r="R137" s="74">
        <f t="shared" si="145"/>
        <v>4200</v>
      </c>
      <c r="S137" s="74">
        <v>0</v>
      </c>
      <c r="T137" s="74">
        <f t="shared" si="146"/>
        <v>4200</v>
      </c>
      <c r="U137" s="74">
        <v>0</v>
      </c>
      <c r="V137" s="74">
        <f t="shared" si="147"/>
        <v>4200</v>
      </c>
      <c r="W137" s="74">
        <v>-2300</v>
      </c>
      <c r="X137" s="74">
        <f t="shared" si="148"/>
        <v>1900</v>
      </c>
      <c r="Y137" s="74">
        <v>0</v>
      </c>
      <c r="Z137" s="74">
        <f t="shared" si="149"/>
        <v>1900</v>
      </c>
      <c r="AA137" s="74">
        <v>0</v>
      </c>
      <c r="AB137" s="74">
        <f t="shared" si="150"/>
        <v>1900</v>
      </c>
      <c r="AC137" s="74">
        <v>0</v>
      </c>
      <c r="AD137" s="74">
        <f t="shared" si="151"/>
        <v>1900</v>
      </c>
      <c r="AE137" s="74">
        <v>0</v>
      </c>
      <c r="AF137" s="74">
        <f t="shared" si="152"/>
        <v>1900</v>
      </c>
      <c r="AG137" s="74">
        <v>0</v>
      </c>
      <c r="AH137" s="74">
        <f t="shared" si="153"/>
        <v>1900</v>
      </c>
      <c r="AI137" s="119"/>
      <c r="AJ137" s="119"/>
    </row>
    <row r="138" spans="1:36" s="27" customFormat="1" ht="21" customHeight="1">
      <c r="A138" s="58"/>
      <c r="B138" s="75"/>
      <c r="C138" s="58">
        <v>4120</v>
      </c>
      <c r="D138" s="14" t="s">
        <v>547</v>
      </c>
      <c r="E138" s="74">
        <v>600</v>
      </c>
      <c r="F138" s="74"/>
      <c r="G138" s="74"/>
      <c r="H138" s="74">
        <f t="shared" si="117"/>
        <v>600</v>
      </c>
      <c r="I138" s="74"/>
      <c r="J138" s="74">
        <f t="shared" si="99"/>
        <v>600</v>
      </c>
      <c r="K138" s="74">
        <v>0</v>
      </c>
      <c r="L138" s="74">
        <f t="shared" si="100"/>
        <v>600</v>
      </c>
      <c r="M138" s="74">
        <v>0</v>
      </c>
      <c r="N138" s="74">
        <f t="shared" si="143"/>
        <v>600</v>
      </c>
      <c r="O138" s="74">
        <v>0</v>
      </c>
      <c r="P138" s="74">
        <f t="shared" si="144"/>
        <v>600</v>
      </c>
      <c r="Q138" s="74">
        <v>0</v>
      </c>
      <c r="R138" s="74">
        <f t="shared" si="145"/>
        <v>600</v>
      </c>
      <c r="S138" s="74">
        <v>0</v>
      </c>
      <c r="T138" s="74">
        <f t="shared" si="146"/>
        <v>600</v>
      </c>
      <c r="U138" s="74">
        <v>0</v>
      </c>
      <c r="V138" s="74">
        <f t="shared" si="147"/>
        <v>600</v>
      </c>
      <c r="W138" s="74">
        <v>-600</v>
      </c>
      <c r="X138" s="74">
        <f t="shared" si="148"/>
        <v>0</v>
      </c>
      <c r="Y138" s="74">
        <v>0</v>
      </c>
      <c r="Z138" s="74">
        <f t="shared" si="149"/>
        <v>0</v>
      </c>
      <c r="AA138" s="74">
        <v>0</v>
      </c>
      <c r="AB138" s="74">
        <f t="shared" si="150"/>
        <v>0</v>
      </c>
      <c r="AC138" s="74">
        <v>0</v>
      </c>
      <c r="AD138" s="74">
        <f t="shared" si="151"/>
        <v>0</v>
      </c>
      <c r="AE138" s="74">
        <v>0</v>
      </c>
      <c r="AF138" s="74">
        <f t="shared" si="152"/>
        <v>0</v>
      </c>
      <c r="AG138" s="74">
        <v>0</v>
      </c>
      <c r="AH138" s="74">
        <f t="shared" si="153"/>
        <v>0</v>
      </c>
      <c r="AI138" s="119"/>
      <c r="AJ138" s="119"/>
    </row>
    <row r="139" spans="1:36" s="27" customFormat="1" ht="21" customHeight="1">
      <c r="A139" s="58"/>
      <c r="B139" s="75"/>
      <c r="C139" s="76">
        <v>4170</v>
      </c>
      <c r="D139" s="14" t="s">
        <v>478</v>
      </c>
      <c r="E139" s="74">
        <v>24000</v>
      </c>
      <c r="F139" s="74"/>
      <c r="G139" s="74"/>
      <c r="H139" s="74">
        <f t="shared" si="117"/>
        <v>24000</v>
      </c>
      <c r="I139" s="74"/>
      <c r="J139" s="74">
        <f t="shared" si="99"/>
        <v>24000</v>
      </c>
      <c r="K139" s="74">
        <v>0</v>
      </c>
      <c r="L139" s="74">
        <f t="shared" si="100"/>
        <v>24000</v>
      </c>
      <c r="M139" s="74">
        <v>0</v>
      </c>
      <c r="N139" s="74">
        <f t="shared" si="143"/>
        <v>24000</v>
      </c>
      <c r="O139" s="74">
        <v>0</v>
      </c>
      <c r="P139" s="74">
        <f t="shared" si="144"/>
        <v>24000</v>
      </c>
      <c r="Q139" s="74">
        <v>0</v>
      </c>
      <c r="R139" s="74">
        <f t="shared" si="145"/>
        <v>24000</v>
      </c>
      <c r="S139" s="74">
        <v>0</v>
      </c>
      <c r="T139" s="74">
        <f t="shared" si="146"/>
        <v>24000</v>
      </c>
      <c r="U139" s="74">
        <v>0</v>
      </c>
      <c r="V139" s="74">
        <f t="shared" si="147"/>
        <v>24000</v>
      </c>
      <c r="W139" s="74">
        <v>-1800</v>
      </c>
      <c r="X139" s="74">
        <f t="shared" si="148"/>
        <v>22200</v>
      </c>
      <c r="Y139" s="74">
        <v>0</v>
      </c>
      <c r="Z139" s="74">
        <f t="shared" si="149"/>
        <v>22200</v>
      </c>
      <c r="AA139" s="74">
        <v>0</v>
      </c>
      <c r="AB139" s="74">
        <f t="shared" si="150"/>
        <v>22200</v>
      </c>
      <c r="AC139" s="74">
        <v>0</v>
      </c>
      <c r="AD139" s="74">
        <f t="shared" si="151"/>
        <v>22200</v>
      </c>
      <c r="AE139" s="74">
        <v>0</v>
      </c>
      <c r="AF139" s="74">
        <f t="shared" si="152"/>
        <v>22200</v>
      </c>
      <c r="AG139" s="74">
        <v>0</v>
      </c>
      <c r="AH139" s="74">
        <f t="shared" si="153"/>
        <v>22200</v>
      </c>
      <c r="AI139" s="119"/>
      <c r="AJ139" s="119"/>
    </row>
    <row r="140" spans="1:34" s="27" customFormat="1" ht="21" customHeight="1">
      <c r="A140" s="58"/>
      <c r="B140" s="75"/>
      <c r="C140" s="76">
        <v>4210</v>
      </c>
      <c r="D140" s="14" t="s">
        <v>354</v>
      </c>
      <c r="E140" s="74">
        <f>23730+5000</f>
        <v>28730</v>
      </c>
      <c r="F140" s="74"/>
      <c r="G140" s="74"/>
      <c r="H140" s="74">
        <f t="shared" si="117"/>
        <v>28730</v>
      </c>
      <c r="I140" s="74"/>
      <c r="J140" s="74">
        <f t="shared" si="99"/>
        <v>28730</v>
      </c>
      <c r="K140" s="74">
        <v>0</v>
      </c>
      <c r="L140" s="74">
        <f t="shared" si="100"/>
        <v>28730</v>
      </c>
      <c r="M140" s="74">
        <v>0</v>
      </c>
      <c r="N140" s="74">
        <f t="shared" si="143"/>
        <v>28730</v>
      </c>
      <c r="O140" s="74">
        <v>0</v>
      </c>
      <c r="P140" s="74">
        <f t="shared" si="144"/>
        <v>28730</v>
      </c>
      <c r="Q140" s="74">
        <v>1000</v>
      </c>
      <c r="R140" s="74">
        <f t="shared" si="145"/>
        <v>29730</v>
      </c>
      <c r="S140" s="74">
        <v>0</v>
      </c>
      <c r="T140" s="74">
        <f t="shared" si="146"/>
        <v>29730</v>
      </c>
      <c r="U140" s="74">
        <v>0</v>
      </c>
      <c r="V140" s="74">
        <f t="shared" si="147"/>
        <v>29730</v>
      </c>
      <c r="W140" s="74">
        <v>4700</v>
      </c>
      <c r="X140" s="74">
        <f t="shared" si="148"/>
        <v>34430</v>
      </c>
      <c r="Y140" s="74">
        <v>0</v>
      </c>
      <c r="Z140" s="74">
        <f t="shared" si="149"/>
        <v>34430</v>
      </c>
      <c r="AA140" s="74">
        <f>2500+1000</f>
        <v>3500</v>
      </c>
      <c r="AB140" s="74">
        <f t="shared" si="150"/>
        <v>37930</v>
      </c>
      <c r="AC140" s="74">
        <v>0</v>
      </c>
      <c r="AD140" s="74">
        <f t="shared" si="151"/>
        <v>37930</v>
      </c>
      <c r="AE140" s="74">
        <v>10300</v>
      </c>
      <c r="AF140" s="74">
        <f t="shared" si="152"/>
        <v>48230</v>
      </c>
      <c r="AG140" s="74">
        <v>0</v>
      </c>
      <c r="AH140" s="74">
        <f t="shared" si="153"/>
        <v>48230</v>
      </c>
    </row>
    <row r="141" spans="1:34" s="27" customFormat="1" ht="21" customHeight="1">
      <c r="A141" s="58"/>
      <c r="B141" s="75"/>
      <c r="C141" s="76">
        <v>4260</v>
      </c>
      <c r="D141" s="14" t="s">
        <v>357</v>
      </c>
      <c r="E141" s="74">
        <v>10000</v>
      </c>
      <c r="F141" s="74"/>
      <c r="G141" s="74"/>
      <c r="H141" s="74">
        <f t="shared" si="117"/>
        <v>10000</v>
      </c>
      <c r="I141" s="74"/>
      <c r="J141" s="74">
        <f t="shared" si="99"/>
        <v>10000</v>
      </c>
      <c r="K141" s="74">
        <v>0</v>
      </c>
      <c r="L141" s="74">
        <f t="shared" si="100"/>
        <v>10000</v>
      </c>
      <c r="M141" s="74">
        <v>0</v>
      </c>
      <c r="N141" s="74">
        <f t="shared" si="143"/>
        <v>10000</v>
      </c>
      <c r="O141" s="74">
        <v>0</v>
      </c>
      <c r="P141" s="74">
        <f t="shared" si="144"/>
        <v>10000</v>
      </c>
      <c r="Q141" s="74">
        <v>0</v>
      </c>
      <c r="R141" s="74">
        <f t="shared" si="145"/>
        <v>10000</v>
      </c>
      <c r="S141" s="74">
        <v>0</v>
      </c>
      <c r="T141" s="74">
        <f t="shared" si="146"/>
        <v>10000</v>
      </c>
      <c r="U141" s="74">
        <v>0</v>
      </c>
      <c r="V141" s="74">
        <f t="shared" si="147"/>
        <v>10000</v>
      </c>
      <c r="W141" s="74">
        <v>0</v>
      </c>
      <c r="X141" s="74">
        <f t="shared" si="148"/>
        <v>10000</v>
      </c>
      <c r="Y141" s="74">
        <v>0</v>
      </c>
      <c r="Z141" s="74">
        <f t="shared" si="149"/>
        <v>10000</v>
      </c>
      <c r="AA141" s="74">
        <v>0</v>
      </c>
      <c r="AB141" s="74">
        <f t="shared" si="150"/>
        <v>10000</v>
      </c>
      <c r="AC141" s="74">
        <v>0</v>
      </c>
      <c r="AD141" s="74">
        <f t="shared" si="151"/>
        <v>10000</v>
      </c>
      <c r="AE141" s="74">
        <v>1700</v>
      </c>
      <c r="AF141" s="74">
        <f t="shared" si="152"/>
        <v>11700</v>
      </c>
      <c r="AG141" s="74">
        <v>0</v>
      </c>
      <c r="AH141" s="74">
        <f t="shared" si="153"/>
        <v>11700</v>
      </c>
    </row>
    <row r="142" spans="1:34" s="27" customFormat="1" ht="21" customHeight="1">
      <c r="A142" s="58"/>
      <c r="B142" s="75"/>
      <c r="C142" s="76">
        <v>4270</v>
      </c>
      <c r="D142" s="14" t="s">
        <v>339</v>
      </c>
      <c r="E142" s="74">
        <v>14000</v>
      </c>
      <c r="F142" s="74"/>
      <c r="G142" s="74"/>
      <c r="H142" s="74">
        <f t="shared" si="117"/>
        <v>14000</v>
      </c>
      <c r="I142" s="74"/>
      <c r="J142" s="74">
        <f t="shared" si="99"/>
        <v>14000</v>
      </c>
      <c r="K142" s="74">
        <v>0</v>
      </c>
      <c r="L142" s="74">
        <f t="shared" si="100"/>
        <v>14000</v>
      </c>
      <c r="M142" s="74">
        <v>0</v>
      </c>
      <c r="N142" s="74">
        <f t="shared" si="143"/>
        <v>14000</v>
      </c>
      <c r="O142" s="74">
        <v>0</v>
      </c>
      <c r="P142" s="74">
        <f t="shared" si="144"/>
        <v>14000</v>
      </c>
      <c r="Q142" s="74">
        <v>0</v>
      </c>
      <c r="R142" s="74">
        <f t="shared" si="145"/>
        <v>14000</v>
      </c>
      <c r="S142" s="74">
        <v>0</v>
      </c>
      <c r="T142" s="74">
        <f t="shared" si="146"/>
        <v>14000</v>
      </c>
      <c r="U142" s="74">
        <v>0</v>
      </c>
      <c r="V142" s="74">
        <f t="shared" si="147"/>
        <v>14000</v>
      </c>
      <c r="W142" s="74">
        <v>0</v>
      </c>
      <c r="X142" s="74">
        <f t="shared" si="148"/>
        <v>14000</v>
      </c>
      <c r="Y142" s="74">
        <v>0</v>
      </c>
      <c r="Z142" s="74">
        <f t="shared" si="149"/>
        <v>14000</v>
      </c>
      <c r="AA142" s="74">
        <v>0</v>
      </c>
      <c r="AB142" s="74">
        <f t="shared" si="150"/>
        <v>14000</v>
      </c>
      <c r="AC142" s="74">
        <v>0</v>
      </c>
      <c r="AD142" s="74">
        <f t="shared" si="151"/>
        <v>14000</v>
      </c>
      <c r="AE142" s="74">
        <v>-8000</v>
      </c>
      <c r="AF142" s="74">
        <f t="shared" si="152"/>
        <v>6000</v>
      </c>
      <c r="AG142" s="74">
        <v>0</v>
      </c>
      <c r="AH142" s="74">
        <f t="shared" si="153"/>
        <v>6000</v>
      </c>
    </row>
    <row r="143" spans="1:34" s="27" customFormat="1" ht="21" customHeight="1">
      <c r="A143" s="58"/>
      <c r="B143" s="75"/>
      <c r="C143" s="76">
        <v>4280</v>
      </c>
      <c r="D143" s="14" t="s">
        <v>546</v>
      </c>
      <c r="E143" s="74">
        <v>3600</v>
      </c>
      <c r="F143" s="74"/>
      <c r="G143" s="74"/>
      <c r="H143" s="74">
        <f t="shared" si="117"/>
        <v>3600</v>
      </c>
      <c r="I143" s="74"/>
      <c r="J143" s="74">
        <f t="shared" si="99"/>
        <v>3600</v>
      </c>
      <c r="K143" s="74">
        <v>0</v>
      </c>
      <c r="L143" s="74">
        <f t="shared" si="100"/>
        <v>3600</v>
      </c>
      <c r="M143" s="74">
        <v>0</v>
      </c>
      <c r="N143" s="74">
        <f t="shared" si="143"/>
        <v>3600</v>
      </c>
      <c r="O143" s="74">
        <v>0</v>
      </c>
      <c r="P143" s="74">
        <f t="shared" si="144"/>
        <v>3600</v>
      </c>
      <c r="Q143" s="74">
        <v>0</v>
      </c>
      <c r="R143" s="74">
        <f t="shared" si="145"/>
        <v>3600</v>
      </c>
      <c r="S143" s="74">
        <v>0</v>
      </c>
      <c r="T143" s="74">
        <f t="shared" si="146"/>
        <v>3600</v>
      </c>
      <c r="U143" s="74">
        <v>0</v>
      </c>
      <c r="V143" s="74">
        <f t="shared" si="147"/>
        <v>3600</v>
      </c>
      <c r="W143" s="74">
        <v>0</v>
      </c>
      <c r="X143" s="74">
        <f t="shared" si="148"/>
        <v>3600</v>
      </c>
      <c r="Y143" s="74">
        <v>0</v>
      </c>
      <c r="Z143" s="74">
        <f t="shared" si="149"/>
        <v>3600</v>
      </c>
      <c r="AA143" s="74">
        <v>0</v>
      </c>
      <c r="AB143" s="74">
        <f t="shared" si="150"/>
        <v>3600</v>
      </c>
      <c r="AC143" s="74">
        <v>0</v>
      </c>
      <c r="AD143" s="74">
        <f t="shared" si="151"/>
        <v>3600</v>
      </c>
      <c r="AE143" s="74">
        <v>0</v>
      </c>
      <c r="AF143" s="74">
        <f t="shared" si="152"/>
        <v>3600</v>
      </c>
      <c r="AG143" s="74">
        <v>0</v>
      </c>
      <c r="AH143" s="74">
        <f t="shared" si="153"/>
        <v>3600</v>
      </c>
    </row>
    <row r="144" spans="1:34" s="27" customFormat="1" ht="21" customHeight="1">
      <c r="A144" s="58"/>
      <c r="B144" s="75"/>
      <c r="C144" s="76">
        <v>4300</v>
      </c>
      <c r="D144" s="14" t="s">
        <v>340</v>
      </c>
      <c r="E144" s="74">
        <v>16500</v>
      </c>
      <c r="F144" s="74"/>
      <c r="G144" s="74"/>
      <c r="H144" s="74">
        <f t="shared" si="117"/>
        <v>16500</v>
      </c>
      <c r="I144" s="74"/>
      <c r="J144" s="74">
        <f t="shared" si="99"/>
        <v>16500</v>
      </c>
      <c r="K144" s="74">
        <v>900</v>
      </c>
      <c r="L144" s="74">
        <f t="shared" si="100"/>
        <v>17400</v>
      </c>
      <c r="M144" s="74">
        <v>0</v>
      </c>
      <c r="N144" s="74">
        <f t="shared" si="143"/>
        <v>17400</v>
      </c>
      <c r="O144" s="74">
        <v>0</v>
      </c>
      <c r="P144" s="74">
        <f t="shared" si="144"/>
        <v>17400</v>
      </c>
      <c r="Q144" s="74">
        <v>0</v>
      </c>
      <c r="R144" s="74">
        <f t="shared" si="145"/>
        <v>17400</v>
      </c>
      <c r="S144" s="74">
        <v>0</v>
      </c>
      <c r="T144" s="74">
        <f t="shared" si="146"/>
        <v>17400</v>
      </c>
      <c r="U144" s="74">
        <v>0</v>
      </c>
      <c r="V144" s="74">
        <f t="shared" si="147"/>
        <v>17400</v>
      </c>
      <c r="W144" s="74">
        <v>0</v>
      </c>
      <c r="X144" s="74">
        <f t="shared" si="148"/>
        <v>17400</v>
      </c>
      <c r="Y144" s="74">
        <v>0</v>
      </c>
      <c r="Z144" s="74">
        <f t="shared" si="149"/>
        <v>17400</v>
      </c>
      <c r="AA144" s="74">
        <v>-9000</v>
      </c>
      <c r="AB144" s="74">
        <f t="shared" si="150"/>
        <v>8400</v>
      </c>
      <c r="AC144" s="74">
        <v>0</v>
      </c>
      <c r="AD144" s="74">
        <f t="shared" si="151"/>
        <v>8400</v>
      </c>
      <c r="AE144" s="74">
        <v>500</v>
      </c>
      <c r="AF144" s="74">
        <f t="shared" si="152"/>
        <v>8900</v>
      </c>
      <c r="AG144" s="74">
        <v>0</v>
      </c>
      <c r="AH144" s="74">
        <f t="shared" si="153"/>
        <v>8900</v>
      </c>
    </row>
    <row r="145" spans="1:34" s="27" customFormat="1" ht="21" customHeight="1">
      <c r="A145" s="58"/>
      <c r="B145" s="75"/>
      <c r="C145" s="76">
        <v>4410</v>
      </c>
      <c r="D145" s="14" t="s">
        <v>352</v>
      </c>
      <c r="E145" s="74">
        <v>3400</v>
      </c>
      <c r="F145" s="74"/>
      <c r="G145" s="74"/>
      <c r="H145" s="74">
        <f t="shared" si="117"/>
        <v>3400</v>
      </c>
      <c r="I145" s="74"/>
      <c r="J145" s="74">
        <f t="shared" si="99"/>
        <v>3400</v>
      </c>
      <c r="K145" s="74">
        <v>0</v>
      </c>
      <c r="L145" s="74">
        <f t="shared" si="100"/>
        <v>3400</v>
      </c>
      <c r="M145" s="74">
        <v>0</v>
      </c>
      <c r="N145" s="74">
        <f t="shared" si="143"/>
        <v>3400</v>
      </c>
      <c r="O145" s="74">
        <v>0</v>
      </c>
      <c r="P145" s="74">
        <f t="shared" si="144"/>
        <v>3400</v>
      </c>
      <c r="Q145" s="74">
        <v>0</v>
      </c>
      <c r="R145" s="74">
        <f t="shared" si="145"/>
        <v>3400</v>
      </c>
      <c r="S145" s="74">
        <v>0</v>
      </c>
      <c r="T145" s="74">
        <f t="shared" si="146"/>
        <v>3400</v>
      </c>
      <c r="U145" s="74">
        <v>0</v>
      </c>
      <c r="V145" s="74">
        <f t="shared" si="147"/>
        <v>3400</v>
      </c>
      <c r="W145" s="74">
        <v>0</v>
      </c>
      <c r="X145" s="74">
        <f t="shared" si="148"/>
        <v>3400</v>
      </c>
      <c r="Y145" s="74">
        <v>0</v>
      </c>
      <c r="Z145" s="74">
        <f t="shared" si="149"/>
        <v>3400</v>
      </c>
      <c r="AA145" s="74">
        <v>0</v>
      </c>
      <c r="AB145" s="74">
        <f t="shared" si="150"/>
        <v>3400</v>
      </c>
      <c r="AC145" s="74">
        <v>0</v>
      </c>
      <c r="AD145" s="74">
        <f t="shared" si="151"/>
        <v>3400</v>
      </c>
      <c r="AE145" s="74">
        <v>0</v>
      </c>
      <c r="AF145" s="74">
        <f t="shared" si="152"/>
        <v>3400</v>
      </c>
      <c r="AG145" s="74">
        <v>0</v>
      </c>
      <c r="AH145" s="74">
        <f t="shared" si="153"/>
        <v>3400</v>
      </c>
    </row>
    <row r="146" spans="1:34" s="27" customFormat="1" ht="21" customHeight="1">
      <c r="A146" s="58"/>
      <c r="B146" s="75"/>
      <c r="C146" s="76">
        <v>4430</v>
      </c>
      <c r="D146" s="14" t="s">
        <v>356</v>
      </c>
      <c r="E146" s="74">
        <v>10000</v>
      </c>
      <c r="F146" s="74"/>
      <c r="G146" s="74"/>
      <c r="H146" s="74">
        <f t="shared" si="117"/>
        <v>10000</v>
      </c>
      <c r="I146" s="74"/>
      <c r="J146" s="74">
        <f t="shared" si="99"/>
        <v>10000</v>
      </c>
      <c r="K146" s="74">
        <v>0</v>
      </c>
      <c r="L146" s="74">
        <f t="shared" si="100"/>
        <v>10000</v>
      </c>
      <c r="M146" s="74">
        <v>0</v>
      </c>
      <c r="N146" s="74">
        <f t="shared" si="143"/>
        <v>10000</v>
      </c>
      <c r="O146" s="74">
        <v>0</v>
      </c>
      <c r="P146" s="74">
        <f t="shared" si="144"/>
        <v>10000</v>
      </c>
      <c r="Q146" s="74">
        <v>-1000</v>
      </c>
      <c r="R146" s="74">
        <f t="shared" si="145"/>
        <v>9000</v>
      </c>
      <c r="S146" s="74">
        <v>0</v>
      </c>
      <c r="T146" s="74">
        <f t="shared" si="146"/>
        <v>9000</v>
      </c>
      <c r="U146" s="74">
        <v>0</v>
      </c>
      <c r="V146" s="74">
        <f t="shared" si="147"/>
        <v>9000</v>
      </c>
      <c r="W146" s="74">
        <v>0</v>
      </c>
      <c r="X146" s="74">
        <f t="shared" si="148"/>
        <v>9000</v>
      </c>
      <c r="Y146" s="74">
        <v>0</v>
      </c>
      <c r="Z146" s="74">
        <f t="shared" si="149"/>
        <v>9000</v>
      </c>
      <c r="AA146" s="74">
        <v>0</v>
      </c>
      <c r="AB146" s="74">
        <f t="shared" si="150"/>
        <v>9000</v>
      </c>
      <c r="AC146" s="74">
        <v>0</v>
      </c>
      <c r="AD146" s="74">
        <f t="shared" si="151"/>
        <v>9000</v>
      </c>
      <c r="AE146" s="74">
        <v>-2500</v>
      </c>
      <c r="AF146" s="74">
        <f t="shared" si="152"/>
        <v>6500</v>
      </c>
      <c r="AG146" s="74">
        <v>0</v>
      </c>
      <c r="AH146" s="74">
        <f t="shared" si="153"/>
        <v>6500</v>
      </c>
    </row>
    <row r="147" spans="1:38" s="27" customFormat="1" ht="21" customHeight="1">
      <c r="A147" s="58"/>
      <c r="B147" s="75"/>
      <c r="C147" s="76">
        <v>6050</v>
      </c>
      <c r="D147" s="14" t="s">
        <v>334</v>
      </c>
      <c r="E147" s="74">
        <v>68170</v>
      </c>
      <c r="F147" s="74"/>
      <c r="G147" s="74"/>
      <c r="H147" s="74">
        <f t="shared" si="117"/>
        <v>68170</v>
      </c>
      <c r="I147" s="74"/>
      <c r="J147" s="74">
        <f t="shared" si="99"/>
        <v>68170</v>
      </c>
      <c r="K147" s="74">
        <v>0</v>
      </c>
      <c r="L147" s="74">
        <f t="shared" si="100"/>
        <v>68170</v>
      </c>
      <c r="M147" s="74">
        <v>0</v>
      </c>
      <c r="N147" s="74">
        <f t="shared" si="143"/>
        <v>68170</v>
      </c>
      <c r="O147" s="74">
        <v>0</v>
      </c>
      <c r="P147" s="74">
        <f t="shared" si="144"/>
        <v>68170</v>
      </c>
      <c r="Q147" s="210">
        <f>-31213+31213</f>
        <v>0</v>
      </c>
      <c r="R147" s="74">
        <f t="shared" si="145"/>
        <v>68170</v>
      </c>
      <c r="S147" s="138">
        <v>0</v>
      </c>
      <c r="T147" s="74">
        <f t="shared" si="146"/>
        <v>68170</v>
      </c>
      <c r="U147" s="138">
        <v>0</v>
      </c>
      <c r="V147" s="74">
        <f t="shared" si="147"/>
        <v>68170</v>
      </c>
      <c r="W147" s="138">
        <v>0</v>
      </c>
      <c r="X147" s="74">
        <f t="shared" si="148"/>
        <v>68170</v>
      </c>
      <c r="Y147" s="138">
        <v>0</v>
      </c>
      <c r="Z147" s="74">
        <f t="shared" si="149"/>
        <v>68170</v>
      </c>
      <c r="AA147" s="138">
        <v>9000</v>
      </c>
      <c r="AB147" s="74">
        <f t="shared" si="150"/>
        <v>77170</v>
      </c>
      <c r="AC147" s="138">
        <v>0</v>
      </c>
      <c r="AD147" s="74">
        <f t="shared" si="151"/>
        <v>77170</v>
      </c>
      <c r="AE147" s="138">
        <v>0</v>
      </c>
      <c r="AF147" s="74">
        <f t="shared" si="152"/>
        <v>77170</v>
      </c>
      <c r="AG147" s="138">
        <v>-5500</v>
      </c>
      <c r="AH147" s="74">
        <f t="shared" si="153"/>
        <v>71670</v>
      </c>
      <c r="AK147" s="119"/>
      <c r="AL147" s="119"/>
    </row>
    <row r="148" spans="1:34" s="27" customFormat="1" ht="21.75" customHeight="1">
      <c r="A148" s="58"/>
      <c r="B148" s="75">
        <v>75416</v>
      </c>
      <c r="C148" s="58"/>
      <c r="D148" s="14" t="s">
        <v>279</v>
      </c>
      <c r="E148" s="74">
        <f>SUM(E149:E164)</f>
        <v>265000</v>
      </c>
      <c r="F148" s="74">
        <f>SUM(F149:F164)</f>
        <v>0</v>
      </c>
      <c r="G148" s="74">
        <f>SUM(G149:G164)</f>
        <v>0</v>
      </c>
      <c r="H148" s="74">
        <f t="shared" si="117"/>
        <v>265000</v>
      </c>
      <c r="I148" s="74">
        <f aca="true" t="shared" si="154" ref="I148:N148">SUM(I149:I164)</f>
        <v>0</v>
      </c>
      <c r="J148" s="74">
        <f t="shared" si="154"/>
        <v>265000</v>
      </c>
      <c r="K148" s="74">
        <f t="shared" si="154"/>
        <v>0</v>
      </c>
      <c r="L148" s="74">
        <f t="shared" si="154"/>
        <v>265000</v>
      </c>
      <c r="M148" s="74">
        <f t="shared" si="154"/>
        <v>0</v>
      </c>
      <c r="N148" s="74">
        <f t="shared" si="154"/>
        <v>265000</v>
      </c>
      <c r="O148" s="74">
        <f aca="true" t="shared" si="155" ref="O148:T148">SUM(O149:O164)</f>
        <v>0</v>
      </c>
      <c r="P148" s="74">
        <f t="shared" si="155"/>
        <v>265000</v>
      </c>
      <c r="Q148" s="74">
        <f t="shared" si="155"/>
        <v>0</v>
      </c>
      <c r="R148" s="74">
        <f t="shared" si="155"/>
        <v>265000</v>
      </c>
      <c r="S148" s="74">
        <f t="shared" si="155"/>
        <v>0</v>
      </c>
      <c r="T148" s="74">
        <f t="shared" si="155"/>
        <v>265000</v>
      </c>
      <c r="U148" s="74">
        <f aca="true" t="shared" si="156" ref="U148:Z148">SUM(U149:U164)</f>
        <v>0</v>
      </c>
      <c r="V148" s="74">
        <f t="shared" si="156"/>
        <v>265000</v>
      </c>
      <c r="W148" s="74">
        <f t="shared" si="156"/>
        <v>0</v>
      </c>
      <c r="X148" s="74">
        <f t="shared" si="156"/>
        <v>265000</v>
      </c>
      <c r="Y148" s="74">
        <f t="shared" si="156"/>
        <v>0</v>
      </c>
      <c r="Z148" s="74">
        <f t="shared" si="156"/>
        <v>265000</v>
      </c>
      <c r="AA148" s="74">
        <f aca="true" t="shared" si="157" ref="AA148:AF148">SUM(AA149:AA164)</f>
        <v>-610</v>
      </c>
      <c r="AB148" s="74">
        <f t="shared" si="157"/>
        <v>264390</v>
      </c>
      <c r="AC148" s="74">
        <f t="shared" si="157"/>
        <v>0</v>
      </c>
      <c r="AD148" s="74">
        <f t="shared" si="157"/>
        <v>264390</v>
      </c>
      <c r="AE148" s="74">
        <f t="shared" si="157"/>
        <v>0</v>
      </c>
      <c r="AF148" s="74">
        <f t="shared" si="157"/>
        <v>264390</v>
      </c>
      <c r="AG148" s="74">
        <f>SUM(AG149:AG164)</f>
        <v>-11100</v>
      </c>
      <c r="AH148" s="74">
        <f>SUM(AH149:AH164)</f>
        <v>253290</v>
      </c>
    </row>
    <row r="149" spans="1:34" s="27" customFormat="1" ht="21" customHeight="1">
      <c r="A149" s="58"/>
      <c r="B149" s="75"/>
      <c r="C149" s="76">
        <v>3020</v>
      </c>
      <c r="D149" s="14" t="s">
        <v>474</v>
      </c>
      <c r="E149" s="74">
        <f>10400+3500</f>
        <v>13900</v>
      </c>
      <c r="F149" s="74"/>
      <c r="G149" s="74"/>
      <c r="H149" s="74">
        <f t="shared" si="117"/>
        <v>13900</v>
      </c>
      <c r="I149" s="74"/>
      <c r="J149" s="74">
        <f t="shared" si="99"/>
        <v>13900</v>
      </c>
      <c r="K149" s="74">
        <v>0</v>
      </c>
      <c r="L149" s="74">
        <f t="shared" si="100"/>
        <v>13900</v>
      </c>
      <c r="M149" s="74">
        <v>0</v>
      </c>
      <c r="N149" s="74">
        <f aca="true" t="shared" si="158" ref="N149:N164">SUM(L149:M149)</f>
        <v>13900</v>
      </c>
      <c r="O149" s="74">
        <v>0</v>
      </c>
      <c r="P149" s="74">
        <f aca="true" t="shared" si="159" ref="P149:P164">SUM(N149:O149)</f>
        <v>13900</v>
      </c>
      <c r="Q149" s="74">
        <v>0</v>
      </c>
      <c r="R149" s="74">
        <f aca="true" t="shared" si="160" ref="R149:R164">SUM(P149:Q149)</f>
        <v>13900</v>
      </c>
      <c r="S149" s="74">
        <v>0</v>
      </c>
      <c r="T149" s="74">
        <f aca="true" t="shared" si="161" ref="T149:T164">SUM(R149:S149)</f>
        <v>13900</v>
      </c>
      <c r="U149" s="74">
        <v>0</v>
      </c>
      <c r="V149" s="74">
        <f aca="true" t="shared" si="162" ref="V149:V164">SUM(T149:U149)</f>
        <v>13900</v>
      </c>
      <c r="W149" s="74">
        <v>0</v>
      </c>
      <c r="X149" s="74">
        <f aca="true" t="shared" si="163" ref="X149:X164">SUM(V149:W149)</f>
        <v>13900</v>
      </c>
      <c r="Y149" s="74">
        <v>0</v>
      </c>
      <c r="Z149" s="74">
        <f aca="true" t="shared" si="164" ref="Z149:Z164">SUM(X149:Y149)</f>
        <v>13900</v>
      </c>
      <c r="AA149" s="74">
        <v>0</v>
      </c>
      <c r="AB149" s="74">
        <f aca="true" t="shared" si="165" ref="AB149:AB164">SUM(Z149:AA149)</f>
        <v>13900</v>
      </c>
      <c r="AC149" s="74">
        <v>0</v>
      </c>
      <c r="AD149" s="74">
        <f aca="true" t="shared" si="166" ref="AD149:AD164">SUM(AB149:AC149)</f>
        <v>13900</v>
      </c>
      <c r="AE149" s="74">
        <v>0</v>
      </c>
      <c r="AF149" s="74">
        <f aca="true" t="shared" si="167" ref="AF149:AF164">SUM(AD149:AE149)</f>
        <v>13900</v>
      </c>
      <c r="AG149" s="74">
        <v>-600</v>
      </c>
      <c r="AH149" s="74">
        <f aca="true" t="shared" si="168" ref="AH149:AH164">SUM(AF149:AG149)</f>
        <v>13300</v>
      </c>
    </row>
    <row r="150" spans="1:36" s="27" customFormat="1" ht="21" customHeight="1">
      <c r="A150" s="58"/>
      <c r="B150" s="75"/>
      <c r="C150" s="76">
        <v>4010</v>
      </c>
      <c r="D150" s="14" t="s">
        <v>345</v>
      </c>
      <c r="E150" s="74">
        <f>126900+43000</f>
        <v>169900</v>
      </c>
      <c r="F150" s="74"/>
      <c r="G150" s="74"/>
      <c r="H150" s="74">
        <f t="shared" si="117"/>
        <v>169900</v>
      </c>
      <c r="I150" s="74"/>
      <c r="J150" s="74">
        <f t="shared" si="99"/>
        <v>169900</v>
      </c>
      <c r="K150" s="74">
        <v>0</v>
      </c>
      <c r="L150" s="74">
        <f t="shared" si="100"/>
        <v>169900</v>
      </c>
      <c r="M150" s="74">
        <v>0</v>
      </c>
      <c r="N150" s="74">
        <f t="shared" si="158"/>
        <v>169900</v>
      </c>
      <c r="O150" s="74">
        <v>0</v>
      </c>
      <c r="P150" s="74">
        <f t="shared" si="159"/>
        <v>169900</v>
      </c>
      <c r="Q150" s="74">
        <v>0</v>
      </c>
      <c r="R150" s="74">
        <f t="shared" si="160"/>
        <v>169900</v>
      </c>
      <c r="S150" s="74">
        <v>0</v>
      </c>
      <c r="T150" s="74">
        <f t="shared" si="161"/>
        <v>169900</v>
      </c>
      <c r="U150" s="74">
        <v>0</v>
      </c>
      <c r="V150" s="74">
        <f t="shared" si="162"/>
        <v>169900</v>
      </c>
      <c r="W150" s="74">
        <v>0</v>
      </c>
      <c r="X150" s="74">
        <f t="shared" si="163"/>
        <v>169900</v>
      </c>
      <c r="Y150" s="74">
        <v>0</v>
      </c>
      <c r="Z150" s="74">
        <f t="shared" si="164"/>
        <v>169900</v>
      </c>
      <c r="AA150" s="74">
        <v>0</v>
      </c>
      <c r="AB150" s="74">
        <f t="shared" si="165"/>
        <v>169900</v>
      </c>
      <c r="AC150" s="74">
        <v>0</v>
      </c>
      <c r="AD150" s="74">
        <f t="shared" si="166"/>
        <v>169900</v>
      </c>
      <c r="AE150" s="74">
        <v>0</v>
      </c>
      <c r="AF150" s="74">
        <f t="shared" si="167"/>
        <v>169900</v>
      </c>
      <c r="AG150" s="74">
        <v>0</v>
      </c>
      <c r="AH150" s="74">
        <f t="shared" si="168"/>
        <v>169900</v>
      </c>
      <c r="AI150" s="119"/>
      <c r="AJ150" s="119"/>
    </row>
    <row r="151" spans="1:36" s="27" customFormat="1" ht="21" customHeight="1">
      <c r="A151" s="58"/>
      <c r="B151" s="75"/>
      <c r="C151" s="76">
        <v>4040</v>
      </c>
      <c r="D151" s="14" t="s">
        <v>346</v>
      </c>
      <c r="E151" s="74">
        <v>6300</v>
      </c>
      <c r="F151" s="74"/>
      <c r="G151" s="74"/>
      <c r="H151" s="74">
        <f t="shared" si="117"/>
        <v>6300</v>
      </c>
      <c r="I151" s="74"/>
      <c r="J151" s="74">
        <f t="shared" si="99"/>
        <v>6300</v>
      </c>
      <c r="K151" s="74">
        <v>0</v>
      </c>
      <c r="L151" s="74">
        <f t="shared" si="100"/>
        <v>6300</v>
      </c>
      <c r="M151" s="74">
        <v>0</v>
      </c>
      <c r="N151" s="74">
        <f t="shared" si="158"/>
        <v>6300</v>
      </c>
      <c r="O151" s="74">
        <v>0</v>
      </c>
      <c r="P151" s="74">
        <f t="shared" si="159"/>
        <v>6300</v>
      </c>
      <c r="Q151" s="74">
        <v>0</v>
      </c>
      <c r="R151" s="74">
        <f t="shared" si="160"/>
        <v>6300</v>
      </c>
      <c r="S151" s="74">
        <v>0</v>
      </c>
      <c r="T151" s="74">
        <f t="shared" si="161"/>
        <v>6300</v>
      </c>
      <c r="U151" s="74">
        <v>0</v>
      </c>
      <c r="V151" s="74">
        <f t="shared" si="162"/>
        <v>6300</v>
      </c>
      <c r="W151" s="74">
        <v>0</v>
      </c>
      <c r="X151" s="74">
        <f t="shared" si="163"/>
        <v>6300</v>
      </c>
      <c r="Y151" s="74">
        <v>0</v>
      </c>
      <c r="Z151" s="74">
        <f t="shared" si="164"/>
        <v>6300</v>
      </c>
      <c r="AA151" s="74">
        <v>-610</v>
      </c>
      <c r="AB151" s="74">
        <f t="shared" si="165"/>
        <v>5690</v>
      </c>
      <c r="AC151" s="74">
        <v>0</v>
      </c>
      <c r="AD151" s="74">
        <f t="shared" si="166"/>
        <v>5690</v>
      </c>
      <c r="AE151" s="74">
        <v>0</v>
      </c>
      <c r="AF151" s="74">
        <f t="shared" si="167"/>
        <v>5690</v>
      </c>
      <c r="AG151" s="74">
        <v>0</v>
      </c>
      <c r="AH151" s="74">
        <f t="shared" si="168"/>
        <v>5690</v>
      </c>
      <c r="AI151" s="119"/>
      <c r="AJ151" s="119"/>
    </row>
    <row r="152" spans="1:36" s="27" customFormat="1" ht="21" customHeight="1">
      <c r="A152" s="58"/>
      <c r="B152" s="75"/>
      <c r="C152" s="76">
        <v>4110</v>
      </c>
      <c r="D152" s="14" t="s">
        <v>347</v>
      </c>
      <c r="E152" s="74">
        <f>23200+7400</f>
        <v>30600</v>
      </c>
      <c r="F152" s="74"/>
      <c r="G152" s="74"/>
      <c r="H152" s="74">
        <f t="shared" si="117"/>
        <v>30600</v>
      </c>
      <c r="I152" s="74"/>
      <c r="J152" s="74">
        <f t="shared" si="99"/>
        <v>30600</v>
      </c>
      <c r="K152" s="74">
        <v>0</v>
      </c>
      <c r="L152" s="74">
        <f t="shared" si="100"/>
        <v>30600</v>
      </c>
      <c r="M152" s="74">
        <v>0</v>
      </c>
      <c r="N152" s="74">
        <f t="shared" si="158"/>
        <v>30600</v>
      </c>
      <c r="O152" s="74">
        <v>0</v>
      </c>
      <c r="P152" s="74">
        <f t="shared" si="159"/>
        <v>30600</v>
      </c>
      <c r="Q152" s="74">
        <v>0</v>
      </c>
      <c r="R152" s="74">
        <f t="shared" si="160"/>
        <v>30600</v>
      </c>
      <c r="S152" s="74">
        <v>0</v>
      </c>
      <c r="T152" s="74">
        <f t="shared" si="161"/>
        <v>30600</v>
      </c>
      <c r="U152" s="74">
        <v>0</v>
      </c>
      <c r="V152" s="74">
        <f t="shared" si="162"/>
        <v>30600</v>
      </c>
      <c r="W152" s="74">
        <v>0</v>
      </c>
      <c r="X152" s="74">
        <f t="shared" si="163"/>
        <v>30600</v>
      </c>
      <c r="Y152" s="74">
        <v>0</v>
      </c>
      <c r="Z152" s="74">
        <f t="shared" si="164"/>
        <v>30600</v>
      </c>
      <c r="AA152" s="74">
        <v>0</v>
      </c>
      <c r="AB152" s="74">
        <f t="shared" si="165"/>
        <v>30600</v>
      </c>
      <c r="AC152" s="74">
        <v>0</v>
      </c>
      <c r="AD152" s="74">
        <f t="shared" si="166"/>
        <v>30600</v>
      </c>
      <c r="AE152" s="74">
        <v>0</v>
      </c>
      <c r="AF152" s="74">
        <f t="shared" si="167"/>
        <v>30600</v>
      </c>
      <c r="AG152" s="74">
        <v>0</v>
      </c>
      <c r="AH152" s="74">
        <f t="shared" si="168"/>
        <v>30600</v>
      </c>
      <c r="AI152" s="119"/>
      <c r="AJ152" s="119"/>
    </row>
    <row r="153" spans="1:36" s="27" customFormat="1" ht="21" customHeight="1">
      <c r="A153" s="58"/>
      <c r="B153" s="75"/>
      <c r="C153" s="76">
        <v>4120</v>
      </c>
      <c r="D153" s="14" t="s">
        <v>348</v>
      </c>
      <c r="E153" s="74">
        <f>3300+1000</f>
        <v>4300</v>
      </c>
      <c r="F153" s="74"/>
      <c r="G153" s="74"/>
      <c r="H153" s="74">
        <f t="shared" si="117"/>
        <v>4300</v>
      </c>
      <c r="I153" s="74"/>
      <c r="J153" s="74">
        <f t="shared" si="99"/>
        <v>4300</v>
      </c>
      <c r="K153" s="74">
        <v>0</v>
      </c>
      <c r="L153" s="74">
        <f t="shared" si="100"/>
        <v>4300</v>
      </c>
      <c r="M153" s="74">
        <v>0</v>
      </c>
      <c r="N153" s="74">
        <f t="shared" si="158"/>
        <v>4300</v>
      </c>
      <c r="O153" s="74">
        <v>0</v>
      </c>
      <c r="P153" s="74">
        <f t="shared" si="159"/>
        <v>4300</v>
      </c>
      <c r="Q153" s="74">
        <v>0</v>
      </c>
      <c r="R153" s="74">
        <f t="shared" si="160"/>
        <v>4300</v>
      </c>
      <c r="S153" s="74">
        <v>0</v>
      </c>
      <c r="T153" s="74">
        <f t="shared" si="161"/>
        <v>4300</v>
      </c>
      <c r="U153" s="74">
        <v>0</v>
      </c>
      <c r="V153" s="74">
        <f t="shared" si="162"/>
        <v>4300</v>
      </c>
      <c r="W153" s="74">
        <v>0</v>
      </c>
      <c r="X153" s="74">
        <f t="shared" si="163"/>
        <v>4300</v>
      </c>
      <c r="Y153" s="74">
        <v>0</v>
      </c>
      <c r="Z153" s="74">
        <f t="shared" si="164"/>
        <v>4300</v>
      </c>
      <c r="AA153" s="74">
        <v>0</v>
      </c>
      <c r="AB153" s="74">
        <f t="shared" si="165"/>
        <v>4300</v>
      </c>
      <c r="AC153" s="74">
        <v>0</v>
      </c>
      <c r="AD153" s="74">
        <f t="shared" si="166"/>
        <v>4300</v>
      </c>
      <c r="AE153" s="74">
        <v>0</v>
      </c>
      <c r="AF153" s="74">
        <f t="shared" si="167"/>
        <v>4300</v>
      </c>
      <c r="AG153" s="74">
        <v>0</v>
      </c>
      <c r="AH153" s="74">
        <f t="shared" si="168"/>
        <v>4300</v>
      </c>
      <c r="AI153" s="119"/>
      <c r="AJ153" s="119"/>
    </row>
    <row r="154" spans="1:34" s="27" customFormat="1" ht="21" customHeight="1">
      <c r="A154" s="58"/>
      <c r="B154" s="75"/>
      <c r="C154" s="76">
        <v>4210</v>
      </c>
      <c r="D154" s="14" t="s">
        <v>354</v>
      </c>
      <c r="E154" s="74">
        <v>8500</v>
      </c>
      <c r="F154" s="74"/>
      <c r="G154" s="74"/>
      <c r="H154" s="74">
        <f t="shared" si="117"/>
        <v>8500</v>
      </c>
      <c r="I154" s="74"/>
      <c r="J154" s="74">
        <f t="shared" si="99"/>
        <v>8500</v>
      </c>
      <c r="K154" s="74">
        <v>0</v>
      </c>
      <c r="L154" s="74">
        <f t="shared" si="100"/>
        <v>8500</v>
      </c>
      <c r="M154" s="74">
        <v>0</v>
      </c>
      <c r="N154" s="74">
        <f t="shared" si="158"/>
        <v>8500</v>
      </c>
      <c r="O154" s="74">
        <v>0</v>
      </c>
      <c r="P154" s="74">
        <f t="shared" si="159"/>
        <v>8500</v>
      </c>
      <c r="Q154" s="74">
        <v>0</v>
      </c>
      <c r="R154" s="74">
        <f t="shared" si="160"/>
        <v>8500</v>
      </c>
      <c r="S154" s="74">
        <v>0</v>
      </c>
      <c r="T154" s="74">
        <f t="shared" si="161"/>
        <v>8500</v>
      </c>
      <c r="U154" s="74">
        <v>0</v>
      </c>
      <c r="V154" s="74">
        <f t="shared" si="162"/>
        <v>8500</v>
      </c>
      <c r="W154" s="74">
        <v>0</v>
      </c>
      <c r="X154" s="74">
        <f t="shared" si="163"/>
        <v>8500</v>
      </c>
      <c r="Y154" s="74">
        <v>0</v>
      </c>
      <c r="Z154" s="74">
        <f t="shared" si="164"/>
        <v>8500</v>
      </c>
      <c r="AA154" s="74">
        <v>0</v>
      </c>
      <c r="AB154" s="74">
        <f t="shared" si="165"/>
        <v>8500</v>
      </c>
      <c r="AC154" s="74">
        <v>0</v>
      </c>
      <c r="AD154" s="74">
        <f t="shared" si="166"/>
        <v>8500</v>
      </c>
      <c r="AE154" s="74">
        <v>0</v>
      </c>
      <c r="AF154" s="74">
        <f t="shared" si="167"/>
        <v>8500</v>
      </c>
      <c r="AG154" s="74">
        <v>-1000</v>
      </c>
      <c r="AH154" s="74">
        <f t="shared" si="168"/>
        <v>7500</v>
      </c>
    </row>
    <row r="155" spans="1:34" s="27" customFormat="1" ht="21" customHeight="1">
      <c r="A155" s="58"/>
      <c r="B155" s="75"/>
      <c r="C155" s="76">
        <v>4270</v>
      </c>
      <c r="D155" s="14" t="s">
        <v>339</v>
      </c>
      <c r="E155" s="74">
        <v>4000</v>
      </c>
      <c r="F155" s="74"/>
      <c r="G155" s="74"/>
      <c r="H155" s="74">
        <f t="shared" si="117"/>
        <v>4000</v>
      </c>
      <c r="I155" s="74"/>
      <c r="J155" s="74">
        <f t="shared" si="99"/>
        <v>4000</v>
      </c>
      <c r="K155" s="74">
        <v>0</v>
      </c>
      <c r="L155" s="74">
        <f t="shared" si="100"/>
        <v>4000</v>
      </c>
      <c r="M155" s="74">
        <v>0</v>
      </c>
      <c r="N155" s="74">
        <f t="shared" si="158"/>
        <v>4000</v>
      </c>
      <c r="O155" s="74">
        <v>0</v>
      </c>
      <c r="P155" s="74">
        <f t="shared" si="159"/>
        <v>4000</v>
      </c>
      <c r="Q155" s="74">
        <v>0</v>
      </c>
      <c r="R155" s="74">
        <f t="shared" si="160"/>
        <v>4000</v>
      </c>
      <c r="S155" s="74">
        <v>0</v>
      </c>
      <c r="T155" s="74">
        <f t="shared" si="161"/>
        <v>4000</v>
      </c>
      <c r="U155" s="74">
        <v>0</v>
      </c>
      <c r="V155" s="74">
        <f t="shared" si="162"/>
        <v>4000</v>
      </c>
      <c r="W155" s="74">
        <v>0</v>
      </c>
      <c r="X155" s="74">
        <f t="shared" si="163"/>
        <v>4000</v>
      </c>
      <c r="Y155" s="74">
        <v>0</v>
      </c>
      <c r="Z155" s="74">
        <f t="shared" si="164"/>
        <v>4000</v>
      </c>
      <c r="AA155" s="74">
        <v>0</v>
      </c>
      <c r="AB155" s="74">
        <f t="shared" si="165"/>
        <v>4000</v>
      </c>
      <c r="AC155" s="74">
        <v>0</v>
      </c>
      <c r="AD155" s="74">
        <f t="shared" si="166"/>
        <v>4000</v>
      </c>
      <c r="AE155" s="74">
        <v>0</v>
      </c>
      <c r="AF155" s="74">
        <f t="shared" si="167"/>
        <v>4000</v>
      </c>
      <c r="AG155" s="74">
        <v>-3000</v>
      </c>
      <c r="AH155" s="74">
        <f t="shared" si="168"/>
        <v>1000</v>
      </c>
    </row>
    <row r="156" spans="1:34" s="27" customFormat="1" ht="21" customHeight="1">
      <c r="A156" s="58"/>
      <c r="B156" s="75"/>
      <c r="C156" s="76">
        <v>4280</v>
      </c>
      <c r="D156" s="14" t="s">
        <v>546</v>
      </c>
      <c r="E156" s="74">
        <f>1200+500</f>
        <v>1700</v>
      </c>
      <c r="F156" s="74"/>
      <c r="G156" s="74"/>
      <c r="H156" s="74">
        <f t="shared" si="117"/>
        <v>1700</v>
      </c>
      <c r="I156" s="74"/>
      <c r="J156" s="74">
        <f t="shared" si="99"/>
        <v>1700</v>
      </c>
      <c r="K156" s="74">
        <v>0</v>
      </c>
      <c r="L156" s="74">
        <f t="shared" si="100"/>
        <v>1700</v>
      </c>
      <c r="M156" s="74">
        <v>0</v>
      </c>
      <c r="N156" s="74">
        <f t="shared" si="158"/>
        <v>1700</v>
      </c>
      <c r="O156" s="74">
        <v>0</v>
      </c>
      <c r="P156" s="74">
        <f t="shared" si="159"/>
        <v>1700</v>
      </c>
      <c r="Q156" s="74">
        <v>0</v>
      </c>
      <c r="R156" s="74">
        <f t="shared" si="160"/>
        <v>1700</v>
      </c>
      <c r="S156" s="74">
        <v>0</v>
      </c>
      <c r="T156" s="74">
        <f t="shared" si="161"/>
        <v>1700</v>
      </c>
      <c r="U156" s="74">
        <v>0</v>
      </c>
      <c r="V156" s="74">
        <f t="shared" si="162"/>
        <v>1700</v>
      </c>
      <c r="W156" s="74">
        <v>0</v>
      </c>
      <c r="X156" s="74">
        <f t="shared" si="163"/>
        <v>1700</v>
      </c>
      <c r="Y156" s="74">
        <v>0</v>
      </c>
      <c r="Z156" s="74">
        <f t="shared" si="164"/>
        <v>1700</v>
      </c>
      <c r="AA156" s="74">
        <v>0</v>
      </c>
      <c r="AB156" s="74">
        <f t="shared" si="165"/>
        <v>1700</v>
      </c>
      <c r="AC156" s="74">
        <v>0</v>
      </c>
      <c r="AD156" s="74">
        <f t="shared" si="166"/>
        <v>1700</v>
      </c>
      <c r="AE156" s="74">
        <v>0</v>
      </c>
      <c r="AF156" s="74">
        <f t="shared" si="167"/>
        <v>1700</v>
      </c>
      <c r="AG156" s="74">
        <v>-1200</v>
      </c>
      <c r="AH156" s="74">
        <f t="shared" si="168"/>
        <v>500</v>
      </c>
    </row>
    <row r="157" spans="1:34" s="27" customFormat="1" ht="21" customHeight="1">
      <c r="A157" s="58"/>
      <c r="B157" s="75"/>
      <c r="C157" s="76">
        <v>4300</v>
      </c>
      <c r="D157" s="14" t="s">
        <v>340</v>
      </c>
      <c r="E157" s="74">
        <v>4000</v>
      </c>
      <c r="F157" s="74"/>
      <c r="G157" s="74"/>
      <c r="H157" s="74">
        <f t="shared" si="117"/>
        <v>4000</v>
      </c>
      <c r="I157" s="74"/>
      <c r="J157" s="74">
        <f t="shared" si="99"/>
        <v>4000</v>
      </c>
      <c r="K157" s="74">
        <v>0</v>
      </c>
      <c r="L157" s="74">
        <f t="shared" si="100"/>
        <v>4000</v>
      </c>
      <c r="M157" s="74">
        <v>0</v>
      </c>
      <c r="N157" s="74">
        <f t="shared" si="158"/>
        <v>4000</v>
      </c>
      <c r="O157" s="74">
        <v>-558</v>
      </c>
      <c r="P157" s="74">
        <f t="shared" si="159"/>
        <v>3442</v>
      </c>
      <c r="Q157" s="74"/>
      <c r="R157" s="74">
        <f t="shared" si="160"/>
        <v>3442</v>
      </c>
      <c r="S157" s="74">
        <v>0</v>
      </c>
      <c r="T157" s="74">
        <f t="shared" si="161"/>
        <v>3442</v>
      </c>
      <c r="U157" s="74">
        <v>0</v>
      </c>
      <c r="V157" s="74">
        <f t="shared" si="162"/>
        <v>3442</v>
      </c>
      <c r="W157" s="74">
        <v>0</v>
      </c>
      <c r="X157" s="74">
        <f t="shared" si="163"/>
        <v>3442</v>
      </c>
      <c r="Y157" s="74">
        <v>0</v>
      </c>
      <c r="Z157" s="74">
        <f t="shared" si="164"/>
        <v>3442</v>
      </c>
      <c r="AA157" s="74">
        <v>0</v>
      </c>
      <c r="AB157" s="74">
        <f t="shared" si="165"/>
        <v>3442</v>
      </c>
      <c r="AC157" s="74">
        <v>0</v>
      </c>
      <c r="AD157" s="74">
        <f t="shared" si="166"/>
        <v>3442</v>
      </c>
      <c r="AE157" s="74">
        <v>0</v>
      </c>
      <c r="AF157" s="74">
        <f t="shared" si="167"/>
        <v>3442</v>
      </c>
      <c r="AG157" s="74">
        <v>-1900</v>
      </c>
      <c r="AH157" s="74">
        <f t="shared" si="168"/>
        <v>1542</v>
      </c>
    </row>
    <row r="158" spans="1:34" s="27" customFormat="1" ht="26.25" customHeight="1">
      <c r="A158" s="58"/>
      <c r="B158" s="75"/>
      <c r="C158" s="76">
        <v>4360</v>
      </c>
      <c r="D158" s="14" t="s">
        <v>573</v>
      </c>
      <c r="E158" s="74">
        <v>2000</v>
      </c>
      <c r="F158" s="74"/>
      <c r="G158" s="74"/>
      <c r="H158" s="74">
        <f t="shared" si="117"/>
        <v>2000</v>
      </c>
      <c r="I158" s="74"/>
      <c r="J158" s="74">
        <f t="shared" si="99"/>
        <v>2000</v>
      </c>
      <c r="K158" s="74">
        <v>0</v>
      </c>
      <c r="L158" s="74">
        <f t="shared" si="100"/>
        <v>2000</v>
      </c>
      <c r="M158" s="74">
        <v>0</v>
      </c>
      <c r="N158" s="74">
        <f t="shared" si="158"/>
        <v>2000</v>
      </c>
      <c r="O158" s="74">
        <v>0</v>
      </c>
      <c r="P158" s="74">
        <f t="shared" si="159"/>
        <v>2000</v>
      </c>
      <c r="Q158" s="74">
        <v>0</v>
      </c>
      <c r="R158" s="74">
        <f t="shared" si="160"/>
        <v>2000</v>
      </c>
      <c r="S158" s="74">
        <v>0</v>
      </c>
      <c r="T158" s="74">
        <f t="shared" si="161"/>
        <v>2000</v>
      </c>
      <c r="U158" s="74">
        <v>0</v>
      </c>
      <c r="V158" s="74">
        <f t="shared" si="162"/>
        <v>2000</v>
      </c>
      <c r="W158" s="74">
        <v>0</v>
      </c>
      <c r="X158" s="74">
        <f t="shared" si="163"/>
        <v>2000</v>
      </c>
      <c r="Y158" s="74">
        <v>0</v>
      </c>
      <c r="Z158" s="74">
        <f t="shared" si="164"/>
        <v>2000</v>
      </c>
      <c r="AA158" s="74">
        <v>0</v>
      </c>
      <c r="AB158" s="74">
        <f t="shared" si="165"/>
        <v>2000</v>
      </c>
      <c r="AC158" s="74">
        <v>0</v>
      </c>
      <c r="AD158" s="74">
        <f t="shared" si="166"/>
        <v>2000</v>
      </c>
      <c r="AE158" s="74">
        <v>0</v>
      </c>
      <c r="AF158" s="74">
        <f t="shared" si="167"/>
        <v>2000</v>
      </c>
      <c r="AG158" s="74">
        <v>-1000</v>
      </c>
      <c r="AH158" s="74">
        <f t="shared" si="168"/>
        <v>1000</v>
      </c>
    </row>
    <row r="159" spans="1:34" s="27" customFormat="1" ht="25.5" customHeight="1">
      <c r="A159" s="58"/>
      <c r="B159" s="75"/>
      <c r="C159" s="76">
        <v>4370</v>
      </c>
      <c r="D159" s="14" t="s">
        <v>568</v>
      </c>
      <c r="E159" s="74">
        <v>1000</v>
      </c>
      <c r="F159" s="74"/>
      <c r="G159" s="74"/>
      <c r="H159" s="74">
        <f aca="true" t="shared" si="169" ref="H159:H192">E159+F159-G159</f>
        <v>1000</v>
      </c>
      <c r="I159" s="74"/>
      <c r="J159" s="74">
        <f t="shared" si="99"/>
        <v>1000</v>
      </c>
      <c r="K159" s="74">
        <v>0</v>
      </c>
      <c r="L159" s="74">
        <f t="shared" si="100"/>
        <v>1000</v>
      </c>
      <c r="M159" s="74">
        <v>0</v>
      </c>
      <c r="N159" s="74">
        <f t="shared" si="158"/>
        <v>1000</v>
      </c>
      <c r="O159" s="74">
        <v>0</v>
      </c>
      <c r="P159" s="74">
        <f t="shared" si="159"/>
        <v>1000</v>
      </c>
      <c r="Q159" s="74">
        <v>0</v>
      </c>
      <c r="R159" s="74">
        <f t="shared" si="160"/>
        <v>1000</v>
      </c>
      <c r="S159" s="74">
        <v>0</v>
      </c>
      <c r="T159" s="74">
        <f t="shared" si="161"/>
        <v>1000</v>
      </c>
      <c r="U159" s="74">
        <v>0</v>
      </c>
      <c r="V159" s="74">
        <f t="shared" si="162"/>
        <v>1000</v>
      </c>
      <c r="W159" s="74">
        <v>0</v>
      </c>
      <c r="X159" s="74">
        <f t="shared" si="163"/>
        <v>1000</v>
      </c>
      <c r="Y159" s="74">
        <v>0</v>
      </c>
      <c r="Z159" s="74">
        <f t="shared" si="164"/>
        <v>1000</v>
      </c>
      <c r="AA159" s="74">
        <v>0</v>
      </c>
      <c r="AB159" s="74">
        <f t="shared" si="165"/>
        <v>1000</v>
      </c>
      <c r="AC159" s="74">
        <v>0</v>
      </c>
      <c r="AD159" s="74">
        <f t="shared" si="166"/>
        <v>1000</v>
      </c>
      <c r="AE159" s="74">
        <v>0</v>
      </c>
      <c r="AF159" s="74">
        <f t="shared" si="167"/>
        <v>1000</v>
      </c>
      <c r="AG159" s="74">
        <v>0</v>
      </c>
      <c r="AH159" s="74">
        <f t="shared" si="168"/>
        <v>1000</v>
      </c>
    </row>
    <row r="160" spans="1:34" s="27" customFormat="1" ht="25.5" customHeight="1">
      <c r="A160" s="58"/>
      <c r="B160" s="75"/>
      <c r="C160" s="76">
        <v>4400</v>
      </c>
      <c r="D160" s="14" t="s">
        <v>95</v>
      </c>
      <c r="E160" s="74"/>
      <c r="F160" s="74"/>
      <c r="G160" s="74"/>
      <c r="H160" s="74"/>
      <c r="I160" s="74"/>
      <c r="J160" s="74"/>
      <c r="K160" s="74"/>
      <c r="L160" s="74"/>
      <c r="M160" s="74"/>
      <c r="N160" s="74">
        <v>0</v>
      </c>
      <c r="O160" s="74">
        <v>558</v>
      </c>
      <c r="P160" s="74">
        <f t="shared" si="159"/>
        <v>558</v>
      </c>
      <c r="Q160" s="74"/>
      <c r="R160" s="74">
        <f t="shared" si="160"/>
        <v>558</v>
      </c>
      <c r="S160" s="74">
        <v>0</v>
      </c>
      <c r="T160" s="74">
        <f t="shared" si="161"/>
        <v>558</v>
      </c>
      <c r="U160" s="74">
        <v>0</v>
      </c>
      <c r="V160" s="74">
        <f t="shared" si="162"/>
        <v>558</v>
      </c>
      <c r="W160" s="74">
        <v>0</v>
      </c>
      <c r="X160" s="74">
        <f t="shared" si="163"/>
        <v>558</v>
      </c>
      <c r="Y160" s="74">
        <v>0</v>
      </c>
      <c r="Z160" s="74">
        <f t="shared" si="164"/>
        <v>558</v>
      </c>
      <c r="AA160" s="74">
        <v>0</v>
      </c>
      <c r="AB160" s="74">
        <f t="shared" si="165"/>
        <v>558</v>
      </c>
      <c r="AC160" s="74">
        <v>0</v>
      </c>
      <c r="AD160" s="74">
        <f t="shared" si="166"/>
        <v>558</v>
      </c>
      <c r="AE160" s="74">
        <v>0</v>
      </c>
      <c r="AF160" s="74">
        <f t="shared" si="167"/>
        <v>558</v>
      </c>
      <c r="AG160" s="74">
        <v>0</v>
      </c>
      <c r="AH160" s="74">
        <f t="shared" si="168"/>
        <v>558</v>
      </c>
    </row>
    <row r="161" spans="1:34" s="27" customFormat="1" ht="21" customHeight="1">
      <c r="A161" s="58"/>
      <c r="B161" s="75"/>
      <c r="C161" s="76">
        <v>4410</v>
      </c>
      <c r="D161" s="14" t="s">
        <v>352</v>
      </c>
      <c r="E161" s="74">
        <v>500</v>
      </c>
      <c r="F161" s="74"/>
      <c r="G161" s="74"/>
      <c r="H161" s="74">
        <f t="shared" si="169"/>
        <v>500</v>
      </c>
      <c r="I161" s="74"/>
      <c r="J161" s="74">
        <f t="shared" si="99"/>
        <v>500</v>
      </c>
      <c r="K161" s="74">
        <v>0</v>
      </c>
      <c r="L161" s="74">
        <f t="shared" si="100"/>
        <v>500</v>
      </c>
      <c r="M161" s="74">
        <v>0</v>
      </c>
      <c r="N161" s="74">
        <f t="shared" si="158"/>
        <v>500</v>
      </c>
      <c r="O161" s="74">
        <v>0</v>
      </c>
      <c r="P161" s="74">
        <f t="shared" si="159"/>
        <v>500</v>
      </c>
      <c r="Q161" s="74">
        <v>0</v>
      </c>
      <c r="R161" s="74">
        <f t="shared" si="160"/>
        <v>500</v>
      </c>
      <c r="S161" s="74">
        <v>0</v>
      </c>
      <c r="T161" s="74">
        <f t="shared" si="161"/>
        <v>500</v>
      </c>
      <c r="U161" s="74">
        <v>0</v>
      </c>
      <c r="V161" s="74">
        <f t="shared" si="162"/>
        <v>500</v>
      </c>
      <c r="W161" s="74">
        <v>0</v>
      </c>
      <c r="X161" s="74">
        <f t="shared" si="163"/>
        <v>500</v>
      </c>
      <c r="Y161" s="74">
        <v>0</v>
      </c>
      <c r="Z161" s="74">
        <f t="shared" si="164"/>
        <v>500</v>
      </c>
      <c r="AA161" s="74">
        <v>0</v>
      </c>
      <c r="AB161" s="74">
        <f t="shared" si="165"/>
        <v>500</v>
      </c>
      <c r="AC161" s="74">
        <v>0</v>
      </c>
      <c r="AD161" s="74">
        <f t="shared" si="166"/>
        <v>500</v>
      </c>
      <c r="AE161" s="74">
        <v>0</v>
      </c>
      <c r="AF161" s="74">
        <f t="shared" si="167"/>
        <v>500</v>
      </c>
      <c r="AG161" s="74">
        <v>0</v>
      </c>
      <c r="AH161" s="74">
        <f t="shared" si="168"/>
        <v>500</v>
      </c>
    </row>
    <row r="162" spans="1:34" s="27" customFormat="1" ht="16.5" customHeight="1">
      <c r="A162" s="58"/>
      <c r="B162" s="75"/>
      <c r="C162" s="85">
        <v>4430</v>
      </c>
      <c r="D162" s="14" t="s">
        <v>356</v>
      </c>
      <c r="E162" s="74">
        <v>3500</v>
      </c>
      <c r="F162" s="74"/>
      <c r="G162" s="74"/>
      <c r="H162" s="74">
        <f t="shared" si="169"/>
        <v>3500</v>
      </c>
      <c r="I162" s="74"/>
      <c r="J162" s="74">
        <f t="shared" si="99"/>
        <v>3500</v>
      </c>
      <c r="K162" s="74">
        <v>0</v>
      </c>
      <c r="L162" s="74">
        <f t="shared" si="100"/>
        <v>3500</v>
      </c>
      <c r="M162" s="74">
        <v>0</v>
      </c>
      <c r="N162" s="74">
        <f t="shared" si="158"/>
        <v>3500</v>
      </c>
      <c r="O162" s="74">
        <v>0</v>
      </c>
      <c r="P162" s="74">
        <f t="shared" si="159"/>
        <v>3500</v>
      </c>
      <c r="Q162" s="74">
        <v>0</v>
      </c>
      <c r="R162" s="74">
        <f t="shared" si="160"/>
        <v>3500</v>
      </c>
      <c r="S162" s="74">
        <v>0</v>
      </c>
      <c r="T162" s="74">
        <f t="shared" si="161"/>
        <v>3500</v>
      </c>
      <c r="U162" s="74">
        <v>0</v>
      </c>
      <c r="V162" s="74">
        <f t="shared" si="162"/>
        <v>3500</v>
      </c>
      <c r="W162" s="74">
        <v>0</v>
      </c>
      <c r="X162" s="74">
        <f t="shared" si="163"/>
        <v>3500</v>
      </c>
      <c r="Y162" s="74">
        <v>0</v>
      </c>
      <c r="Z162" s="74">
        <f t="shared" si="164"/>
        <v>3500</v>
      </c>
      <c r="AA162" s="74">
        <v>0</v>
      </c>
      <c r="AB162" s="74">
        <f t="shared" si="165"/>
        <v>3500</v>
      </c>
      <c r="AC162" s="74">
        <v>0</v>
      </c>
      <c r="AD162" s="74">
        <f t="shared" si="166"/>
        <v>3500</v>
      </c>
      <c r="AE162" s="74">
        <v>0</v>
      </c>
      <c r="AF162" s="74">
        <f t="shared" si="167"/>
        <v>3500</v>
      </c>
      <c r="AG162" s="74">
        <v>-2400</v>
      </c>
      <c r="AH162" s="74">
        <f t="shared" si="168"/>
        <v>1100</v>
      </c>
    </row>
    <row r="163" spans="1:34" s="27" customFormat="1" ht="21" customHeight="1">
      <c r="A163" s="58"/>
      <c r="B163" s="75"/>
      <c r="C163" s="85">
        <v>4440</v>
      </c>
      <c r="D163" s="14" t="s">
        <v>349</v>
      </c>
      <c r="E163" s="74">
        <f>4000+800</f>
        <v>4800</v>
      </c>
      <c r="F163" s="74"/>
      <c r="G163" s="74"/>
      <c r="H163" s="74">
        <f t="shared" si="169"/>
        <v>4800</v>
      </c>
      <c r="I163" s="74"/>
      <c r="J163" s="74">
        <f t="shared" si="99"/>
        <v>4800</v>
      </c>
      <c r="K163" s="74">
        <v>0</v>
      </c>
      <c r="L163" s="74">
        <f t="shared" si="100"/>
        <v>4800</v>
      </c>
      <c r="M163" s="74">
        <v>0</v>
      </c>
      <c r="N163" s="74">
        <f t="shared" si="158"/>
        <v>4800</v>
      </c>
      <c r="O163" s="74">
        <v>0</v>
      </c>
      <c r="P163" s="74">
        <f t="shared" si="159"/>
        <v>4800</v>
      </c>
      <c r="Q163" s="74">
        <v>0</v>
      </c>
      <c r="R163" s="74">
        <f t="shared" si="160"/>
        <v>4800</v>
      </c>
      <c r="S163" s="74">
        <v>0</v>
      </c>
      <c r="T163" s="74">
        <f t="shared" si="161"/>
        <v>4800</v>
      </c>
      <c r="U163" s="74">
        <v>0</v>
      </c>
      <c r="V163" s="74">
        <f t="shared" si="162"/>
        <v>4800</v>
      </c>
      <c r="W163" s="74">
        <v>0</v>
      </c>
      <c r="X163" s="74">
        <f t="shared" si="163"/>
        <v>4800</v>
      </c>
      <c r="Y163" s="74">
        <v>0</v>
      </c>
      <c r="Z163" s="74">
        <f t="shared" si="164"/>
        <v>4800</v>
      </c>
      <c r="AA163" s="74">
        <v>0</v>
      </c>
      <c r="AB163" s="74">
        <f t="shared" si="165"/>
        <v>4800</v>
      </c>
      <c r="AC163" s="74">
        <v>0</v>
      </c>
      <c r="AD163" s="74">
        <f t="shared" si="166"/>
        <v>4800</v>
      </c>
      <c r="AE163" s="74">
        <v>0</v>
      </c>
      <c r="AF163" s="74">
        <f t="shared" si="167"/>
        <v>4800</v>
      </c>
      <c r="AG163" s="74">
        <v>0</v>
      </c>
      <c r="AH163" s="74">
        <f t="shared" si="168"/>
        <v>4800</v>
      </c>
    </row>
    <row r="164" spans="1:34" s="27" customFormat="1" ht="21" customHeight="1">
      <c r="A164" s="58"/>
      <c r="B164" s="75"/>
      <c r="C164" s="85">
        <v>4700</v>
      </c>
      <c r="D164" s="14" t="s">
        <v>571</v>
      </c>
      <c r="E164" s="74">
        <f>7000+3000</f>
        <v>10000</v>
      </c>
      <c r="F164" s="74"/>
      <c r="G164" s="74"/>
      <c r="H164" s="74">
        <f t="shared" si="169"/>
        <v>10000</v>
      </c>
      <c r="I164" s="74"/>
      <c r="J164" s="74">
        <f t="shared" si="99"/>
        <v>10000</v>
      </c>
      <c r="K164" s="74">
        <v>0</v>
      </c>
      <c r="L164" s="74">
        <f t="shared" si="100"/>
        <v>10000</v>
      </c>
      <c r="M164" s="74">
        <v>0</v>
      </c>
      <c r="N164" s="74">
        <f t="shared" si="158"/>
        <v>10000</v>
      </c>
      <c r="O164" s="74">
        <v>0</v>
      </c>
      <c r="P164" s="74">
        <f t="shared" si="159"/>
        <v>10000</v>
      </c>
      <c r="Q164" s="74">
        <v>0</v>
      </c>
      <c r="R164" s="74">
        <f t="shared" si="160"/>
        <v>10000</v>
      </c>
      <c r="S164" s="74">
        <v>0</v>
      </c>
      <c r="T164" s="74">
        <f t="shared" si="161"/>
        <v>10000</v>
      </c>
      <c r="U164" s="74">
        <v>0</v>
      </c>
      <c r="V164" s="74">
        <f t="shared" si="162"/>
        <v>10000</v>
      </c>
      <c r="W164" s="74">
        <v>0</v>
      </c>
      <c r="X164" s="74">
        <f t="shared" si="163"/>
        <v>10000</v>
      </c>
      <c r="Y164" s="74">
        <v>0</v>
      </c>
      <c r="Z164" s="74">
        <f t="shared" si="164"/>
        <v>10000</v>
      </c>
      <c r="AA164" s="74">
        <v>0</v>
      </c>
      <c r="AB164" s="74">
        <f t="shared" si="165"/>
        <v>10000</v>
      </c>
      <c r="AC164" s="74">
        <v>0</v>
      </c>
      <c r="AD164" s="74">
        <f t="shared" si="166"/>
        <v>10000</v>
      </c>
      <c r="AE164" s="74">
        <v>0</v>
      </c>
      <c r="AF164" s="74">
        <f t="shared" si="167"/>
        <v>10000</v>
      </c>
      <c r="AG164" s="74">
        <v>0</v>
      </c>
      <c r="AH164" s="74">
        <f t="shared" si="168"/>
        <v>10000</v>
      </c>
    </row>
    <row r="165" spans="1:34" s="27" customFormat="1" ht="21.75" customHeight="1">
      <c r="A165" s="58"/>
      <c r="B165" s="75" t="s">
        <v>364</v>
      </c>
      <c r="C165" s="58"/>
      <c r="D165" s="14" t="s">
        <v>250</v>
      </c>
      <c r="E165" s="74">
        <f>SUM(E166:E167)</f>
        <v>5000</v>
      </c>
      <c r="F165" s="74">
        <f>SUM(F166:F167)</f>
        <v>20000</v>
      </c>
      <c r="G165" s="74">
        <f>SUM(G166:G167)</f>
        <v>0</v>
      </c>
      <c r="H165" s="74">
        <f t="shared" si="169"/>
        <v>25000</v>
      </c>
      <c r="I165" s="74">
        <f aca="true" t="shared" si="170" ref="I165:N165">SUM(I166:I167)</f>
        <v>0</v>
      </c>
      <c r="J165" s="74">
        <f t="shared" si="170"/>
        <v>25000</v>
      </c>
      <c r="K165" s="74">
        <f t="shared" si="170"/>
        <v>0</v>
      </c>
      <c r="L165" s="74">
        <f t="shared" si="170"/>
        <v>25000</v>
      </c>
      <c r="M165" s="74">
        <f t="shared" si="170"/>
        <v>0</v>
      </c>
      <c r="N165" s="74">
        <f t="shared" si="170"/>
        <v>25000</v>
      </c>
      <c r="O165" s="74">
        <f aca="true" t="shared" si="171" ref="O165:T165">SUM(O166:O167)</f>
        <v>0</v>
      </c>
      <c r="P165" s="74">
        <f t="shared" si="171"/>
        <v>25000</v>
      </c>
      <c r="Q165" s="74">
        <f t="shared" si="171"/>
        <v>0</v>
      </c>
      <c r="R165" s="74">
        <f t="shared" si="171"/>
        <v>25000</v>
      </c>
      <c r="S165" s="74">
        <f t="shared" si="171"/>
        <v>0</v>
      </c>
      <c r="T165" s="74">
        <f t="shared" si="171"/>
        <v>25000</v>
      </c>
      <c r="U165" s="74">
        <f aca="true" t="shared" si="172" ref="U165:Z165">SUM(U166:U167)</f>
        <v>0</v>
      </c>
      <c r="V165" s="74">
        <f t="shared" si="172"/>
        <v>25000</v>
      </c>
      <c r="W165" s="74">
        <f t="shared" si="172"/>
        <v>0</v>
      </c>
      <c r="X165" s="74">
        <f t="shared" si="172"/>
        <v>25000</v>
      </c>
      <c r="Y165" s="74">
        <f t="shared" si="172"/>
        <v>0</v>
      </c>
      <c r="Z165" s="74">
        <f t="shared" si="172"/>
        <v>25000</v>
      </c>
      <c r="AA165" s="74">
        <f aca="true" t="shared" si="173" ref="AA165:AF165">SUM(AA166:AA167)</f>
        <v>0</v>
      </c>
      <c r="AB165" s="74">
        <f t="shared" si="173"/>
        <v>25000</v>
      </c>
      <c r="AC165" s="74">
        <f t="shared" si="173"/>
        <v>0</v>
      </c>
      <c r="AD165" s="74">
        <f t="shared" si="173"/>
        <v>25000</v>
      </c>
      <c r="AE165" s="74">
        <f t="shared" si="173"/>
        <v>0</v>
      </c>
      <c r="AF165" s="74">
        <f t="shared" si="173"/>
        <v>25000</v>
      </c>
      <c r="AG165" s="74">
        <f>SUM(AG166:AG167)</f>
        <v>0</v>
      </c>
      <c r="AH165" s="74">
        <f>SUM(AH166:AH167)</f>
        <v>25000</v>
      </c>
    </row>
    <row r="166" spans="1:34" s="27" customFormat="1" ht="21.75" customHeight="1">
      <c r="A166" s="58"/>
      <c r="B166" s="75"/>
      <c r="C166" s="58">
        <v>4300</v>
      </c>
      <c r="D166" s="14" t="s">
        <v>340</v>
      </c>
      <c r="E166" s="74">
        <v>0</v>
      </c>
      <c r="F166" s="74">
        <v>20000</v>
      </c>
      <c r="G166" s="74"/>
      <c r="H166" s="74">
        <f t="shared" si="169"/>
        <v>20000</v>
      </c>
      <c r="I166" s="74"/>
      <c r="J166" s="74">
        <f t="shared" si="99"/>
        <v>20000</v>
      </c>
      <c r="K166" s="74">
        <v>0</v>
      </c>
      <c r="L166" s="74">
        <f t="shared" si="100"/>
        <v>20000</v>
      </c>
      <c r="M166" s="74">
        <v>0</v>
      </c>
      <c r="N166" s="74">
        <f>SUM(L166:M166)</f>
        <v>20000</v>
      </c>
      <c r="O166" s="74">
        <v>0</v>
      </c>
      <c r="P166" s="74">
        <f>SUM(N166:O166)</f>
        <v>20000</v>
      </c>
      <c r="Q166" s="74">
        <v>0</v>
      </c>
      <c r="R166" s="74">
        <f>SUM(P166:Q166)</f>
        <v>20000</v>
      </c>
      <c r="S166" s="74">
        <v>0</v>
      </c>
      <c r="T166" s="74">
        <f>SUM(R166:S166)</f>
        <v>20000</v>
      </c>
      <c r="U166" s="74">
        <v>0</v>
      </c>
      <c r="V166" s="74">
        <f>SUM(T166:U166)</f>
        <v>20000</v>
      </c>
      <c r="W166" s="74">
        <v>0</v>
      </c>
      <c r="X166" s="74">
        <f>SUM(V166:W166)</f>
        <v>20000</v>
      </c>
      <c r="Y166" s="74">
        <v>0</v>
      </c>
      <c r="Z166" s="74">
        <f>SUM(X166:Y166)</f>
        <v>20000</v>
      </c>
      <c r="AA166" s="74">
        <v>0</v>
      </c>
      <c r="AB166" s="74">
        <f>SUM(Z166:AA166)</f>
        <v>20000</v>
      </c>
      <c r="AC166" s="74">
        <v>0</v>
      </c>
      <c r="AD166" s="74">
        <f>SUM(AB166:AC166)</f>
        <v>20000</v>
      </c>
      <c r="AE166" s="74">
        <v>0</v>
      </c>
      <c r="AF166" s="74">
        <f>SUM(AD166:AE166)</f>
        <v>20000</v>
      </c>
      <c r="AG166" s="74">
        <v>0</v>
      </c>
      <c r="AH166" s="74">
        <f>SUM(AF166:AG166)</f>
        <v>20000</v>
      </c>
    </row>
    <row r="167" spans="1:34" s="27" customFormat="1" ht="21" customHeight="1">
      <c r="A167" s="58"/>
      <c r="B167" s="75"/>
      <c r="C167" s="85">
        <v>4430</v>
      </c>
      <c r="D167" s="14" t="s">
        <v>356</v>
      </c>
      <c r="E167" s="74">
        <v>5000</v>
      </c>
      <c r="F167" s="74"/>
      <c r="G167" s="74"/>
      <c r="H167" s="74">
        <f t="shared" si="169"/>
        <v>5000</v>
      </c>
      <c r="I167" s="74"/>
      <c r="J167" s="74">
        <f aca="true" t="shared" si="174" ref="J167:J231">SUM(H167:I167)</f>
        <v>5000</v>
      </c>
      <c r="K167" s="74">
        <v>0</v>
      </c>
      <c r="L167" s="74">
        <f aca="true" t="shared" si="175" ref="L167:L231">SUM(J167:K167)</f>
        <v>5000</v>
      </c>
      <c r="M167" s="74">
        <v>0</v>
      </c>
      <c r="N167" s="74">
        <f>SUM(L167:M167)</f>
        <v>5000</v>
      </c>
      <c r="O167" s="74">
        <v>0</v>
      </c>
      <c r="P167" s="74">
        <f>SUM(N167:O167)</f>
        <v>5000</v>
      </c>
      <c r="Q167" s="74">
        <v>0</v>
      </c>
      <c r="R167" s="74">
        <f>SUM(P167:Q167)</f>
        <v>5000</v>
      </c>
      <c r="S167" s="74">
        <v>0</v>
      </c>
      <c r="T167" s="74">
        <f>SUM(R167:S167)</f>
        <v>5000</v>
      </c>
      <c r="U167" s="74">
        <v>0</v>
      </c>
      <c r="V167" s="74">
        <f>SUM(T167:U167)</f>
        <v>5000</v>
      </c>
      <c r="W167" s="74">
        <v>0</v>
      </c>
      <c r="X167" s="74">
        <f>SUM(V167:W167)</f>
        <v>5000</v>
      </c>
      <c r="Y167" s="74">
        <v>0</v>
      </c>
      <c r="Z167" s="74">
        <f>SUM(X167:Y167)</f>
        <v>5000</v>
      </c>
      <c r="AA167" s="74">
        <v>0</v>
      </c>
      <c r="AB167" s="74">
        <f>SUM(Z167:AA167)</f>
        <v>5000</v>
      </c>
      <c r="AC167" s="74">
        <v>0</v>
      </c>
      <c r="AD167" s="74">
        <f>SUM(AB167:AC167)</f>
        <v>5000</v>
      </c>
      <c r="AE167" s="74">
        <v>0</v>
      </c>
      <c r="AF167" s="74">
        <f>SUM(AD167:AE167)</f>
        <v>5000</v>
      </c>
      <c r="AG167" s="74">
        <v>0</v>
      </c>
      <c r="AH167" s="74">
        <f>SUM(AF167:AG167)</f>
        <v>5000</v>
      </c>
    </row>
    <row r="168" spans="1:34" s="43" customFormat="1" ht="53.25" customHeight="1">
      <c r="A168" s="5">
        <v>756</v>
      </c>
      <c r="B168" s="33"/>
      <c r="C168" s="12"/>
      <c r="D168" s="22" t="s">
        <v>430</v>
      </c>
      <c r="E168" s="271">
        <f>SUM(E169)</f>
        <v>74800</v>
      </c>
      <c r="F168" s="271">
        <f>SUM(F169)</f>
        <v>0</v>
      </c>
      <c r="G168" s="271">
        <f>SUM(G169)</f>
        <v>0</v>
      </c>
      <c r="H168" s="271">
        <f t="shared" si="169"/>
        <v>74800</v>
      </c>
      <c r="I168" s="271">
        <f aca="true" t="shared" si="176" ref="I168:AH168">SUM(I169)</f>
        <v>0</v>
      </c>
      <c r="J168" s="271">
        <f t="shared" si="176"/>
        <v>82800</v>
      </c>
      <c r="K168" s="271">
        <f t="shared" si="176"/>
        <v>0</v>
      </c>
      <c r="L168" s="271">
        <f t="shared" si="176"/>
        <v>82800</v>
      </c>
      <c r="M168" s="271">
        <f t="shared" si="176"/>
        <v>0</v>
      </c>
      <c r="N168" s="271">
        <f t="shared" si="176"/>
        <v>82800</v>
      </c>
      <c r="O168" s="271">
        <f t="shared" si="176"/>
        <v>0</v>
      </c>
      <c r="P168" s="271">
        <f t="shared" si="176"/>
        <v>82800</v>
      </c>
      <c r="Q168" s="271">
        <f t="shared" si="176"/>
        <v>0</v>
      </c>
      <c r="R168" s="271">
        <f t="shared" si="176"/>
        <v>82800</v>
      </c>
      <c r="S168" s="271">
        <f t="shared" si="176"/>
        <v>0</v>
      </c>
      <c r="T168" s="271">
        <f t="shared" si="176"/>
        <v>82800</v>
      </c>
      <c r="U168" s="271">
        <f t="shared" si="176"/>
        <v>0</v>
      </c>
      <c r="V168" s="271">
        <f t="shared" si="176"/>
        <v>82800</v>
      </c>
      <c r="W168" s="271">
        <f t="shared" si="176"/>
        <v>0</v>
      </c>
      <c r="X168" s="271">
        <f t="shared" si="176"/>
        <v>82800</v>
      </c>
      <c r="Y168" s="271">
        <f t="shared" si="176"/>
        <v>0</v>
      </c>
      <c r="Z168" s="271">
        <f t="shared" si="176"/>
        <v>82800</v>
      </c>
      <c r="AA168" s="271">
        <f t="shared" si="176"/>
        <v>0</v>
      </c>
      <c r="AB168" s="271">
        <f t="shared" si="176"/>
        <v>82800</v>
      </c>
      <c r="AC168" s="271">
        <f t="shared" si="176"/>
        <v>0</v>
      </c>
      <c r="AD168" s="271">
        <f t="shared" si="176"/>
        <v>82800</v>
      </c>
      <c r="AE168" s="271">
        <f t="shared" si="176"/>
        <v>0</v>
      </c>
      <c r="AF168" s="271">
        <f t="shared" si="176"/>
        <v>82800</v>
      </c>
      <c r="AG168" s="271">
        <f t="shared" si="176"/>
        <v>-7400</v>
      </c>
      <c r="AH168" s="271">
        <f t="shared" si="176"/>
        <v>75400</v>
      </c>
    </row>
    <row r="169" spans="1:34" s="27" customFormat="1" ht="24.75" customHeight="1">
      <c r="A169" s="58"/>
      <c r="B169" s="75">
        <v>75647</v>
      </c>
      <c r="C169" s="85"/>
      <c r="D169" s="14" t="s">
        <v>461</v>
      </c>
      <c r="E169" s="74">
        <f>SUM(E170:E177)</f>
        <v>74800</v>
      </c>
      <c r="F169" s="74">
        <f>SUM(F170:F177)</f>
        <v>0</v>
      </c>
      <c r="G169" s="74">
        <f>SUM(G170:G177)</f>
        <v>0</v>
      </c>
      <c r="H169" s="74">
        <f t="shared" si="169"/>
        <v>74800</v>
      </c>
      <c r="I169" s="74">
        <f aca="true" t="shared" si="177" ref="I169:N169">SUM(I170:I177)</f>
        <v>0</v>
      </c>
      <c r="J169" s="74">
        <f t="shared" si="177"/>
        <v>82800</v>
      </c>
      <c r="K169" s="74">
        <f t="shared" si="177"/>
        <v>0</v>
      </c>
      <c r="L169" s="74">
        <f t="shared" si="177"/>
        <v>82800</v>
      </c>
      <c r="M169" s="74">
        <f t="shared" si="177"/>
        <v>0</v>
      </c>
      <c r="N169" s="74">
        <f t="shared" si="177"/>
        <v>82800</v>
      </c>
      <c r="O169" s="74">
        <f aca="true" t="shared" si="178" ref="O169:T169">SUM(O170:O177)</f>
        <v>0</v>
      </c>
      <c r="P169" s="74">
        <f t="shared" si="178"/>
        <v>82800</v>
      </c>
      <c r="Q169" s="74">
        <f t="shared" si="178"/>
        <v>0</v>
      </c>
      <c r="R169" s="74">
        <f t="shared" si="178"/>
        <v>82800</v>
      </c>
      <c r="S169" s="74">
        <f t="shared" si="178"/>
        <v>0</v>
      </c>
      <c r="T169" s="74">
        <f t="shared" si="178"/>
        <v>82800</v>
      </c>
      <c r="U169" s="74">
        <f aca="true" t="shared" si="179" ref="U169:Z169">SUM(U170:U177)</f>
        <v>0</v>
      </c>
      <c r="V169" s="74">
        <f t="shared" si="179"/>
        <v>82800</v>
      </c>
      <c r="W169" s="74">
        <f t="shared" si="179"/>
        <v>0</v>
      </c>
      <c r="X169" s="74">
        <f t="shared" si="179"/>
        <v>82800</v>
      </c>
      <c r="Y169" s="74">
        <f t="shared" si="179"/>
        <v>0</v>
      </c>
      <c r="Z169" s="74">
        <f t="shared" si="179"/>
        <v>82800</v>
      </c>
      <c r="AA169" s="74">
        <f aca="true" t="shared" si="180" ref="AA169:AF169">SUM(AA170:AA177)</f>
        <v>0</v>
      </c>
      <c r="AB169" s="74">
        <f t="shared" si="180"/>
        <v>82800</v>
      </c>
      <c r="AC169" s="74">
        <f t="shared" si="180"/>
        <v>0</v>
      </c>
      <c r="AD169" s="74">
        <f t="shared" si="180"/>
        <v>82800</v>
      </c>
      <c r="AE169" s="74">
        <f t="shared" si="180"/>
        <v>0</v>
      </c>
      <c r="AF169" s="74">
        <f t="shared" si="180"/>
        <v>82800</v>
      </c>
      <c r="AG169" s="74">
        <f>SUM(AG170:AG177)</f>
        <v>-7400</v>
      </c>
      <c r="AH169" s="74">
        <f>SUM(AH170:AH177)</f>
        <v>75400</v>
      </c>
    </row>
    <row r="170" spans="1:36" s="27" customFormat="1" ht="21" customHeight="1">
      <c r="A170" s="58"/>
      <c r="B170" s="75"/>
      <c r="C170" s="85">
        <v>4100</v>
      </c>
      <c r="D170" s="14" t="s">
        <v>359</v>
      </c>
      <c r="E170" s="74">
        <v>39000</v>
      </c>
      <c r="F170" s="74"/>
      <c r="G170" s="74"/>
      <c r="H170" s="74">
        <f t="shared" si="169"/>
        <v>39000</v>
      </c>
      <c r="I170" s="74"/>
      <c r="J170" s="74">
        <f t="shared" si="174"/>
        <v>39000</v>
      </c>
      <c r="K170" s="74">
        <v>0</v>
      </c>
      <c r="L170" s="74">
        <f t="shared" si="175"/>
        <v>39000</v>
      </c>
      <c r="M170" s="74">
        <v>0</v>
      </c>
      <c r="N170" s="74">
        <f aca="true" t="shared" si="181" ref="N170:N177">SUM(L170:M170)</f>
        <v>39000</v>
      </c>
      <c r="O170" s="74">
        <v>0</v>
      </c>
      <c r="P170" s="74">
        <f aca="true" t="shared" si="182" ref="P170:P177">SUM(N170:O170)</f>
        <v>39000</v>
      </c>
      <c r="Q170" s="74">
        <v>0</v>
      </c>
      <c r="R170" s="74">
        <f aca="true" t="shared" si="183" ref="R170:R177">SUM(P170:Q170)</f>
        <v>39000</v>
      </c>
      <c r="S170" s="74">
        <v>0</v>
      </c>
      <c r="T170" s="74">
        <f aca="true" t="shared" si="184" ref="T170:T177">SUM(R170:S170)</f>
        <v>39000</v>
      </c>
      <c r="U170" s="74">
        <v>0</v>
      </c>
      <c r="V170" s="74">
        <f aca="true" t="shared" si="185" ref="V170:V177">SUM(T170:U170)</f>
        <v>39000</v>
      </c>
      <c r="W170" s="74">
        <v>0</v>
      </c>
      <c r="X170" s="74">
        <f aca="true" t="shared" si="186" ref="X170:X177">SUM(V170:W170)</f>
        <v>39000</v>
      </c>
      <c r="Y170" s="74">
        <v>0</v>
      </c>
      <c r="Z170" s="74">
        <f aca="true" t="shared" si="187" ref="Z170:Z177">SUM(X170:Y170)</f>
        <v>39000</v>
      </c>
      <c r="AA170" s="74">
        <v>0</v>
      </c>
      <c r="AB170" s="74">
        <f aca="true" t="shared" si="188" ref="AB170:AB177">SUM(Z170:AA170)</f>
        <v>39000</v>
      </c>
      <c r="AC170" s="74">
        <v>0</v>
      </c>
      <c r="AD170" s="74">
        <f aca="true" t="shared" si="189" ref="AD170:AD177">SUM(AB170:AC170)</f>
        <v>39000</v>
      </c>
      <c r="AE170" s="74">
        <v>0</v>
      </c>
      <c r="AF170" s="74">
        <f aca="true" t="shared" si="190" ref="AF170:AF177">SUM(AD170:AE170)</f>
        <v>39000</v>
      </c>
      <c r="AG170" s="74">
        <v>-5000</v>
      </c>
      <c r="AH170" s="74">
        <f aca="true" t="shared" si="191" ref="AH170:AH177">SUM(AF170:AG170)</f>
        <v>34000</v>
      </c>
      <c r="AI170" s="119"/>
      <c r="AJ170" s="119"/>
    </row>
    <row r="171" spans="1:36" s="27" customFormat="1" ht="16.5" customHeight="1">
      <c r="A171" s="58"/>
      <c r="B171" s="75"/>
      <c r="C171" s="85">
        <v>4170</v>
      </c>
      <c r="D171" s="14" t="s">
        <v>478</v>
      </c>
      <c r="E171" s="74">
        <v>10800</v>
      </c>
      <c r="F171" s="74"/>
      <c r="G171" s="74"/>
      <c r="H171" s="74">
        <f t="shared" si="169"/>
        <v>10800</v>
      </c>
      <c r="I171" s="74"/>
      <c r="J171" s="74">
        <f t="shared" si="174"/>
        <v>10800</v>
      </c>
      <c r="K171" s="74">
        <v>0</v>
      </c>
      <c r="L171" s="74">
        <f t="shared" si="175"/>
        <v>10800</v>
      </c>
      <c r="M171" s="74">
        <v>0</v>
      </c>
      <c r="N171" s="74">
        <f t="shared" si="181"/>
        <v>10800</v>
      </c>
      <c r="O171" s="74">
        <v>0</v>
      </c>
      <c r="P171" s="74">
        <f t="shared" si="182"/>
        <v>10800</v>
      </c>
      <c r="Q171" s="74">
        <v>0</v>
      </c>
      <c r="R171" s="74">
        <f t="shared" si="183"/>
        <v>10800</v>
      </c>
      <c r="S171" s="74">
        <v>0</v>
      </c>
      <c r="T171" s="74">
        <f t="shared" si="184"/>
        <v>10800</v>
      </c>
      <c r="U171" s="74">
        <v>0</v>
      </c>
      <c r="V171" s="74">
        <f t="shared" si="185"/>
        <v>10800</v>
      </c>
      <c r="W171" s="74">
        <v>-8128</v>
      </c>
      <c r="X171" s="74">
        <f t="shared" si="186"/>
        <v>2672</v>
      </c>
      <c r="Y171" s="74">
        <v>0</v>
      </c>
      <c r="Z171" s="74">
        <f t="shared" si="187"/>
        <v>2672</v>
      </c>
      <c r="AA171" s="74">
        <v>0</v>
      </c>
      <c r="AB171" s="74">
        <f t="shared" si="188"/>
        <v>2672</v>
      </c>
      <c r="AC171" s="74">
        <v>0</v>
      </c>
      <c r="AD171" s="74">
        <f t="shared" si="189"/>
        <v>2672</v>
      </c>
      <c r="AE171" s="74">
        <v>0</v>
      </c>
      <c r="AF171" s="74">
        <f t="shared" si="190"/>
        <v>2672</v>
      </c>
      <c r="AG171" s="74">
        <v>-2400</v>
      </c>
      <c r="AH171" s="74">
        <f t="shared" si="191"/>
        <v>272</v>
      </c>
      <c r="AI171" s="119"/>
      <c r="AJ171" s="119"/>
    </row>
    <row r="172" spans="1:34" s="27" customFormat="1" ht="16.5" customHeight="1">
      <c r="A172" s="58"/>
      <c r="B172" s="75"/>
      <c r="C172" s="85">
        <v>4210</v>
      </c>
      <c r="D172" s="14" t="s">
        <v>333</v>
      </c>
      <c r="E172" s="74">
        <v>2000</v>
      </c>
      <c r="F172" s="74"/>
      <c r="G172" s="74"/>
      <c r="H172" s="74">
        <f t="shared" si="169"/>
        <v>2000</v>
      </c>
      <c r="I172" s="74"/>
      <c r="J172" s="74">
        <f t="shared" si="174"/>
        <v>2000</v>
      </c>
      <c r="K172" s="74">
        <v>0</v>
      </c>
      <c r="L172" s="74">
        <f t="shared" si="175"/>
        <v>2000</v>
      </c>
      <c r="M172" s="74">
        <v>0</v>
      </c>
      <c r="N172" s="74">
        <f t="shared" si="181"/>
        <v>2000</v>
      </c>
      <c r="O172" s="74">
        <v>0</v>
      </c>
      <c r="P172" s="74">
        <f t="shared" si="182"/>
        <v>2000</v>
      </c>
      <c r="Q172" s="74">
        <v>0</v>
      </c>
      <c r="R172" s="74">
        <f t="shared" si="183"/>
        <v>2000</v>
      </c>
      <c r="S172" s="74">
        <v>0</v>
      </c>
      <c r="T172" s="74">
        <f t="shared" si="184"/>
        <v>2000</v>
      </c>
      <c r="U172" s="74">
        <v>0</v>
      </c>
      <c r="V172" s="74">
        <f t="shared" si="185"/>
        <v>2000</v>
      </c>
      <c r="W172" s="74">
        <v>3000</v>
      </c>
      <c r="X172" s="74">
        <f t="shared" si="186"/>
        <v>5000</v>
      </c>
      <c r="Y172" s="74">
        <v>0</v>
      </c>
      <c r="Z172" s="74">
        <f t="shared" si="187"/>
        <v>5000</v>
      </c>
      <c r="AA172" s="74">
        <v>0</v>
      </c>
      <c r="AB172" s="74">
        <f t="shared" si="188"/>
        <v>5000</v>
      </c>
      <c r="AC172" s="74">
        <v>0</v>
      </c>
      <c r="AD172" s="74">
        <f t="shared" si="189"/>
        <v>5000</v>
      </c>
      <c r="AE172" s="74">
        <v>0</v>
      </c>
      <c r="AF172" s="74">
        <f t="shared" si="190"/>
        <v>5000</v>
      </c>
      <c r="AG172" s="74">
        <v>0</v>
      </c>
      <c r="AH172" s="74">
        <f t="shared" si="191"/>
        <v>5000</v>
      </c>
    </row>
    <row r="173" spans="1:34" s="27" customFormat="1" ht="17.25" customHeight="1">
      <c r="A173" s="58"/>
      <c r="B173" s="75"/>
      <c r="C173" s="85">
        <v>4300</v>
      </c>
      <c r="D173" s="14" t="s">
        <v>340</v>
      </c>
      <c r="E173" s="74">
        <v>18000</v>
      </c>
      <c r="F173" s="74"/>
      <c r="G173" s="74"/>
      <c r="H173" s="74">
        <f t="shared" si="169"/>
        <v>18000</v>
      </c>
      <c r="I173" s="74"/>
      <c r="J173" s="74">
        <f t="shared" si="174"/>
        <v>18000</v>
      </c>
      <c r="K173" s="74">
        <v>0</v>
      </c>
      <c r="L173" s="74">
        <f t="shared" si="175"/>
        <v>18000</v>
      </c>
      <c r="M173" s="74">
        <v>0</v>
      </c>
      <c r="N173" s="74">
        <f t="shared" si="181"/>
        <v>18000</v>
      </c>
      <c r="O173" s="74">
        <v>0</v>
      </c>
      <c r="P173" s="74">
        <f t="shared" si="182"/>
        <v>18000</v>
      </c>
      <c r="Q173" s="74">
        <v>0</v>
      </c>
      <c r="R173" s="74">
        <f t="shared" si="183"/>
        <v>18000</v>
      </c>
      <c r="S173" s="74">
        <v>0</v>
      </c>
      <c r="T173" s="74">
        <f t="shared" si="184"/>
        <v>18000</v>
      </c>
      <c r="U173" s="74">
        <v>0</v>
      </c>
      <c r="V173" s="74">
        <f t="shared" si="185"/>
        <v>18000</v>
      </c>
      <c r="W173" s="74">
        <v>0</v>
      </c>
      <c r="X173" s="74">
        <f t="shared" si="186"/>
        <v>18000</v>
      </c>
      <c r="Y173" s="74">
        <v>0</v>
      </c>
      <c r="Z173" s="74">
        <f t="shared" si="187"/>
        <v>18000</v>
      </c>
      <c r="AA173" s="74">
        <v>0</v>
      </c>
      <c r="AB173" s="74">
        <f t="shared" si="188"/>
        <v>18000</v>
      </c>
      <c r="AC173" s="74">
        <v>0</v>
      </c>
      <c r="AD173" s="74">
        <f t="shared" si="189"/>
        <v>18000</v>
      </c>
      <c r="AE173" s="74">
        <v>0</v>
      </c>
      <c r="AF173" s="74">
        <f t="shared" si="190"/>
        <v>18000</v>
      </c>
      <c r="AG173" s="74">
        <v>0</v>
      </c>
      <c r="AH173" s="74">
        <f t="shared" si="191"/>
        <v>18000</v>
      </c>
    </row>
    <row r="174" spans="1:34" s="27" customFormat="1" ht="18" customHeight="1">
      <c r="A174" s="58"/>
      <c r="B174" s="75"/>
      <c r="C174" s="85">
        <v>4430</v>
      </c>
      <c r="D174" s="14" t="s">
        <v>356</v>
      </c>
      <c r="E174" s="74">
        <v>1000</v>
      </c>
      <c r="F174" s="74"/>
      <c r="G174" s="74"/>
      <c r="H174" s="74">
        <f>E174+F174-G174</f>
        <v>1000</v>
      </c>
      <c r="I174" s="74"/>
      <c r="J174" s="74">
        <f>SUM(H174:I174)</f>
        <v>1000</v>
      </c>
      <c r="K174" s="74">
        <v>0</v>
      </c>
      <c r="L174" s="74">
        <f>SUM(J174:K174)</f>
        <v>1000</v>
      </c>
      <c r="M174" s="74">
        <v>0</v>
      </c>
      <c r="N174" s="74">
        <f t="shared" si="181"/>
        <v>1000</v>
      </c>
      <c r="O174" s="74">
        <v>0</v>
      </c>
      <c r="P174" s="74">
        <f t="shared" si="182"/>
        <v>1000</v>
      </c>
      <c r="Q174" s="74">
        <v>0</v>
      </c>
      <c r="R174" s="74">
        <f t="shared" si="183"/>
        <v>1000</v>
      </c>
      <c r="S174" s="74">
        <v>0</v>
      </c>
      <c r="T174" s="74">
        <f t="shared" si="184"/>
        <v>1000</v>
      </c>
      <c r="U174" s="74">
        <v>0</v>
      </c>
      <c r="V174" s="74">
        <f t="shared" si="185"/>
        <v>1000</v>
      </c>
      <c r="W174" s="74">
        <v>0</v>
      </c>
      <c r="X174" s="74">
        <f t="shared" si="186"/>
        <v>1000</v>
      </c>
      <c r="Y174" s="74">
        <v>0</v>
      </c>
      <c r="Z174" s="74">
        <f t="shared" si="187"/>
        <v>1000</v>
      </c>
      <c r="AA174" s="74">
        <v>0</v>
      </c>
      <c r="AB174" s="74">
        <f t="shared" si="188"/>
        <v>1000</v>
      </c>
      <c r="AC174" s="74">
        <v>0</v>
      </c>
      <c r="AD174" s="74">
        <f t="shared" si="189"/>
        <v>1000</v>
      </c>
      <c r="AE174" s="74">
        <v>0</v>
      </c>
      <c r="AF174" s="74">
        <f t="shared" si="190"/>
        <v>1000</v>
      </c>
      <c r="AG174" s="74">
        <v>0</v>
      </c>
      <c r="AH174" s="74">
        <f t="shared" si="191"/>
        <v>1000</v>
      </c>
    </row>
    <row r="175" spans="1:34" s="27" customFormat="1" ht="18" customHeight="1">
      <c r="A175" s="58"/>
      <c r="B175" s="75"/>
      <c r="C175" s="85">
        <v>4580</v>
      </c>
      <c r="D175" s="14" t="s">
        <v>264</v>
      </c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>
        <v>0</v>
      </c>
      <c r="W175" s="74">
        <v>128</v>
      </c>
      <c r="X175" s="74">
        <f t="shared" si="186"/>
        <v>128</v>
      </c>
      <c r="Y175" s="74">
        <v>0</v>
      </c>
      <c r="Z175" s="74">
        <f t="shared" si="187"/>
        <v>128</v>
      </c>
      <c r="AA175" s="74">
        <v>0</v>
      </c>
      <c r="AB175" s="74">
        <f t="shared" si="188"/>
        <v>128</v>
      </c>
      <c r="AC175" s="74">
        <v>0</v>
      </c>
      <c r="AD175" s="74">
        <f t="shared" si="189"/>
        <v>128</v>
      </c>
      <c r="AE175" s="74">
        <v>0</v>
      </c>
      <c r="AF175" s="74">
        <f t="shared" si="190"/>
        <v>128</v>
      </c>
      <c r="AG175" s="74">
        <v>0</v>
      </c>
      <c r="AH175" s="74">
        <f t="shared" si="191"/>
        <v>128</v>
      </c>
    </row>
    <row r="176" spans="1:34" s="27" customFormat="1" ht="24" customHeight="1">
      <c r="A176" s="58"/>
      <c r="B176" s="75"/>
      <c r="C176" s="85">
        <v>4610</v>
      </c>
      <c r="D176" s="14" t="s">
        <v>463</v>
      </c>
      <c r="E176" s="74"/>
      <c r="F176" s="74"/>
      <c r="G176" s="74"/>
      <c r="H176" s="74"/>
      <c r="I176" s="74"/>
      <c r="J176" s="74">
        <v>8000</v>
      </c>
      <c r="K176" s="74">
        <v>0</v>
      </c>
      <c r="L176" s="74">
        <f t="shared" si="175"/>
        <v>8000</v>
      </c>
      <c r="M176" s="74">
        <v>0</v>
      </c>
      <c r="N176" s="74">
        <f t="shared" si="181"/>
        <v>8000</v>
      </c>
      <c r="O176" s="74">
        <v>0</v>
      </c>
      <c r="P176" s="74">
        <f t="shared" si="182"/>
        <v>8000</v>
      </c>
      <c r="Q176" s="74">
        <v>0</v>
      </c>
      <c r="R176" s="74">
        <f t="shared" si="183"/>
        <v>8000</v>
      </c>
      <c r="S176" s="74">
        <v>0</v>
      </c>
      <c r="T176" s="74">
        <f t="shared" si="184"/>
        <v>8000</v>
      </c>
      <c r="U176" s="74">
        <v>0</v>
      </c>
      <c r="V176" s="74">
        <f t="shared" si="185"/>
        <v>8000</v>
      </c>
      <c r="W176" s="74">
        <v>5000</v>
      </c>
      <c r="X176" s="74">
        <f t="shared" si="186"/>
        <v>13000</v>
      </c>
      <c r="Y176" s="74">
        <v>0</v>
      </c>
      <c r="Z176" s="74">
        <f t="shared" si="187"/>
        <v>13000</v>
      </c>
      <c r="AA176" s="74">
        <v>0</v>
      </c>
      <c r="AB176" s="74">
        <f t="shared" si="188"/>
        <v>13000</v>
      </c>
      <c r="AC176" s="74">
        <v>0</v>
      </c>
      <c r="AD176" s="74">
        <f t="shared" si="189"/>
        <v>13000</v>
      </c>
      <c r="AE176" s="74">
        <v>0</v>
      </c>
      <c r="AF176" s="74">
        <f t="shared" si="190"/>
        <v>13000</v>
      </c>
      <c r="AG176" s="74">
        <v>0</v>
      </c>
      <c r="AH176" s="74">
        <f t="shared" si="191"/>
        <v>13000</v>
      </c>
    </row>
    <row r="177" spans="1:34" s="27" customFormat="1" ht="24">
      <c r="A177" s="58"/>
      <c r="B177" s="75"/>
      <c r="C177" s="85">
        <v>4740</v>
      </c>
      <c r="D177" s="14" t="s">
        <v>185</v>
      </c>
      <c r="E177" s="74">
        <v>4000</v>
      </c>
      <c r="F177" s="74"/>
      <c r="G177" s="74"/>
      <c r="H177" s="74">
        <f t="shared" si="169"/>
        <v>4000</v>
      </c>
      <c r="I177" s="74"/>
      <c r="J177" s="74">
        <f t="shared" si="174"/>
        <v>4000</v>
      </c>
      <c r="K177" s="74">
        <v>0</v>
      </c>
      <c r="L177" s="74">
        <f t="shared" si="175"/>
        <v>4000</v>
      </c>
      <c r="M177" s="74">
        <v>0</v>
      </c>
      <c r="N177" s="74">
        <f t="shared" si="181"/>
        <v>4000</v>
      </c>
      <c r="O177" s="74">
        <v>0</v>
      </c>
      <c r="P177" s="74">
        <f t="shared" si="182"/>
        <v>4000</v>
      </c>
      <c r="Q177" s="74">
        <v>0</v>
      </c>
      <c r="R177" s="74">
        <f t="shared" si="183"/>
        <v>4000</v>
      </c>
      <c r="S177" s="74">
        <v>0</v>
      </c>
      <c r="T177" s="74">
        <f t="shared" si="184"/>
        <v>4000</v>
      </c>
      <c r="U177" s="74">
        <v>0</v>
      </c>
      <c r="V177" s="74">
        <f t="shared" si="185"/>
        <v>4000</v>
      </c>
      <c r="W177" s="74">
        <v>0</v>
      </c>
      <c r="X177" s="74">
        <f t="shared" si="186"/>
        <v>4000</v>
      </c>
      <c r="Y177" s="74">
        <v>0</v>
      </c>
      <c r="Z177" s="74">
        <f t="shared" si="187"/>
        <v>4000</v>
      </c>
      <c r="AA177" s="74">
        <v>0</v>
      </c>
      <c r="AB177" s="74">
        <f t="shared" si="188"/>
        <v>4000</v>
      </c>
      <c r="AC177" s="74">
        <v>0</v>
      </c>
      <c r="AD177" s="74">
        <f t="shared" si="189"/>
        <v>4000</v>
      </c>
      <c r="AE177" s="74">
        <v>0</v>
      </c>
      <c r="AF177" s="74">
        <f t="shared" si="190"/>
        <v>4000</v>
      </c>
      <c r="AG177" s="74">
        <v>0</v>
      </c>
      <c r="AH177" s="74">
        <f t="shared" si="191"/>
        <v>4000</v>
      </c>
    </row>
    <row r="178" spans="1:34" s="7" customFormat="1" ht="17.25" customHeight="1">
      <c r="A178" s="36" t="s">
        <v>365</v>
      </c>
      <c r="B178" s="6"/>
      <c r="C178" s="5"/>
      <c r="D178" s="22" t="s">
        <v>366</v>
      </c>
      <c r="E178" s="271">
        <f>SUM(E179)</f>
        <v>573410</v>
      </c>
      <c r="F178" s="271">
        <f>SUM(F179)</f>
        <v>0</v>
      </c>
      <c r="G178" s="271">
        <f>SUM(G179)</f>
        <v>0</v>
      </c>
      <c r="H178" s="271">
        <f t="shared" si="169"/>
        <v>573410</v>
      </c>
      <c r="I178" s="271">
        <f aca="true" t="shared" si="192" ref="I178:AH178">SUM(I179)</f>
        <v>12237</v>
      </c>
      <c r="J178" s="271">
        <f t="shared" si="192"/>
        <v>585647</v>
      </c>
      <c r="K178" s="271">
        <f t="shared" si="192"/>
        <v>0</v>
      </c>
      <c r="L178" s="271">
        <f t="shared" si="192"/>
        <v>585647</v>
      </c>
      <c r="M178" s="271">
        <f t="shared" si="192"/>
        <v>0</v>
      </c>
      <c r="N178" s="271">
        <f t="shared" si="192"/>
        <v>585647</v>
      </c>
      <c r="O178" s="271">
        <f t="shared" si="192"/>
        <v>0</v>
      </c>
      <c r="P178" s="271">
        <f t="shared" si="192"/>
        <v>585647</v>
      </c>
      <c r="Q178" s="271">
        <f t="shared" si="192"/>
        <v>0</v>
      </c>
      <c r="R178" s="271">
        <f t="shared" si="192"/>
        <v>585647</v>
      </c>
      <c r="S178" s="271">
        <f t="shared" si="192"/>
        <v>0</v>
      </c>
      <c r="T178" s="271">
        <f t="shared" si="192"/>
        <v>585647</v>
      </c>
      <c r="U178" s="271">
        <f t="shared" si="192"/>
        <v>0</v>
      </c>
      <c r="V178" s="271">
        <f t="shared" si="192"/>
        <v>585647</v>
      </c>
      <c r="W178" s="271">
        <f t="shared" si="192"/>
        <v>0</v>
      </c>
      <c r="X178" s="271">
        <f t="shared" si="192"/>
        <v>585647</v>
      </c>
      <c r="Y178" s="271">
        <f t="shared" si="192"/>
        <v>0</v>
      </c>
      <c r="Z178" s="271">
        <f t="shared" si="192"/>
        <v>585647</v>
      </c>
      <c r="AA178" s="271">
        <f t="shared" si="192"/>
        <v>0</v>
      </c>
      <c r="AB178" s="271">
        <f t="shared" si="192"/>
        <v>585647</v>
      </c>
      <c r="AC178" s="271">
        <f t="shared" si="192"/>
        <v>0</v>
      </c>
      <c r="AD178" s="271">
        <f t="shared" si="192"/>
        <v>585647</v>
      </c>
      <c r="AE178" s="271">
        <f t="shared" si="192"/>
        <v>0</v>
      </c>
      <c r="AF178" s="271">
        <f t="shared" si="192"/>
        <v>585647</v>
      </c>
      <c r="AG178" s="271">
        <f t="shared" si="192"/>
        <v>-50000</v>
      </c>
      <c r="AH178" s="271">
        <f t="shared" si="192"/>
        <v>535647</v>
      </c>
    </row>
    <row r="179" spans="1:34" s="27" customFormat="1" ht="24">
      <c r="A179" s="76"/>
      <c r="B179" s="75" t="s">
        <v>367</v>
      </c>
      <c r="C179" s="58"/>
      <c r="D179" s="14" t="s">
        <v>368</v>
      </c>
      <c r="E179" s="74">
        <f>SUM(E180:E180)</f>
        <v>573410</v>
      </c>
      <c r="F179" s="74">
        <f>SUM(F180:F180)</f>
        <v>0</v>
      </c>
      <c r="G179" s="74">
        <f>SUM(G180:G180)</f>
        <v>0</v>
      </c>
      <c r="H179" s="74">
        <f t="shared" si="169"/>
        <v>573410</v>
      </c>
      <c r="I179" s="74">
        <f>SUM(I180:I180)</f>
        <v>12237</v>
      </c>
      <c r="J179" s="74">
        <f aca="true" t="shared" si="193" ref="J179:AH179">SUM(J180)</f>
        <v>585647</v>
      </c>
      <c r="K179" s="74">
        <f t="shared" si="193"/>
        <v>0</v>
      </c>
      <c r="L179" s="74">
        <f t="shared" si="193"/>
        <v>585647</v>
      </c>
      <c r="M179" s="74">
        <f t="shared" si="193"/>
        <v>0</v>
      </c>
      <c r="N179" s="74">
        <f t="shared" si="193"/>
        <v>585647</v>
      </c>
      <c r="O179" s="74">
        <f t="shared" si="193"/>
        <v>0</v>
      </c>
      <c r="P179" s="74">
        <f t="shared" si="193"/>
        <v>585647</v>
      </c>
      <c r="Q179" s="74">
        <f t="shared" si="193"/>
        <v>0</v>
      </c>
      <c r="R179" s="74">
        <f t="shared" si="193"/>
        <v>585647</v>
      </c>
      <c r="S179" s="74">
        <f t="shared" si="193"/>
        <v>0</v>
      </c>
      <c r="T179" s="74">
        <f t="shared" si="193"/>
        <v>585647</v>
      </c>
      <c r="U179" s="74">
        <f t="shared" si="193"/>
        <v>0</v>
      </c>
      <c r="V179" s="74">
        <f t="shared" si="193"/>
        <v>585647</v>
      </c>
      <c r="W179" s="74">
        <f t="shared" si="193"/>
        <v>0</v>
      </c>
      <c r="X179" s="74">
        <f t="shared" si="193"/>
        <v>585647</v>
      </c>
      <c r="Y179" s="74">
        <f t="shared" si="193"/>
        <v>0</v>
      </c>
      <c r="Z179" s="74">
        <f t="shared" si="193"/>
        <v>585647</v>
      </c>
      <c r="AA179" s="74">
        <f t="shared" si="193"/>
        <v>0</v>
      </c>
      <c r="AB179" s="74">
        <f t="shared" si="193"/>
        <v>585647</v>
      </c>
      <c r="AC179" s="74">
        <f t="shared" si="193"/>
        <v>0</v>
      </c>
      <c r="AD179" s="74">
        <f t="shared" si="193"/>
        <v>585647</v>
      </c>
      <c r="AE179" s="74">
        <f t="shared" si="193"/>
        <v>0</v>
      </c>
      <c r="AF179" s="74">
        <f t="shared" si="193"/>
        <v>585647</v>
      </c>
      <c r="AG179" s="74">
        <f t="shared" si="193"/>
        <v>-50000</v>
      </c>
      <c r="AH179" s="74">
        <f t="shared" si="193"/>
        <v>535647</v>
      </c>
    </row>
    <row r="180" spans="1:34" s="27" customFormat="1" ht="36" customHeight="1">
      <c r="A180" s="76"/>
      <c r="B180" s="82"/>
      <c r="C180" s="58">
        <v>8070</v>
      </c>
      <c r="D180" s="14" t="s">
        <v>369</v>
      </c>
      <c r="E180" s="74">
        <f>563410+10000</f>
        <v>573410</v>
      </c>
      <c r="F180" s="74"/>
      <c r="G180" s="74"/>
      <c r="H180" s="74">
        <f t="shared" si="169"/>
        <v>573410</v>
      </c>
      <c r="I180" s="74">
        <v>12237</v>
      </c>
      <c r="J180" s="74">
        <f t="shared" si="174"/>
        <v>585647</v>
      </c>
      <c r="K180" s="74">
        <v>0</v>
      </c>
      <c r="L180" s="74">
        <f t="shared" si="175"/>
        <v>585647</v>
      </c>
      <c r="M180" s="74">
        <v>0</v>
      </c>
      <c r="N180" s="74">
        <f>SUM(L180:M180)</f>
        <v>585647</v>
      </c>
      <c r="O180" s="74">
        <v>0</v>
      </c>
      <c r="P180" s="74">
        <f>SUM(N180:O180)</f>
        <v>585647</v>
      </c>
      <c r="Q180" s="74">
        <v>0</v>
      </c>
      <c r="R180" s="74">
        <f>SUM(P180:Q180)</f>
        <v>585647</v>
      </c>
      <c r="S180" s="74">
        <v>0</v>
      </c>
      <c r="T180" s="74">
        <f>SUM(R180:S180)</f>
        <v>585647</v>
      </c>
      <c r="U180" s="74">
        <v>0</v>
      </c>
      <c r="V180" s="74">
        <f>SUM(T180:U180)</f>
        <v>585647</v>
      </c>
      <c r="W180" s="74">
        <v>0</v>
      </c>
      <c r="X180" s="74">
        <f>SUM(V180:W180)</f>
        <v>585647</v>
      </c>
      <c r="Y180" s="74">
        <v>0</v>
      </c>
      <c r="Z180" s="74">
        <f>SUM(X180:Y180)</f>
        <v>585647</v>
      </c>
      <c r="AA180" s="74">
        <v>0</v>
      </c>
      <c r="AB180" s="74">
        <f>SUM(Z180:AA180)</f>
        <v>585647</v>
      </c>
      <c r="AC180" s="74">
        <v>0</v>
      </c>
      <c r="AD180" s="74">
        <f>SUM(AB180:AC180)</f>
        <v>585647</v>
      </c>
      <c r="AE180" s="74">
        <v>0</v>
      </c>
      <c r="AF180" s="74">
        <f>SUM(AD180:AE180)</f>
        <v>585647</v>
      </c>
      <c r="AG180" s="74">
        <v>-50000</v>
      </c>
      <c r="AH180" s="74">
        <f>SUM(AF180:AG180)</f>
        <v>535647</v>
      </c>
    </row>
    <row r="181" spans="1:34" s="7" customFormat="1" ht="24.75" customHeight="1">
      <c r="A181" s="36" t="s">
        <v>304</v>
      </c>
      <c r="B181" s="6"/>
      <c r="C181" s="5"/>
      <c r="D181" s="22" t="s">
        <v>305</v>
      </c>
      <c r="E181" s="271">
        <f aca="true" t="shared" si="194" ref="E181:G182">SUM(E182)</f>
        <v>300000</v>
      </c>
      <c r="F181" s="271">
        <f t="shared" si="194"/>
        <v>0</v>
      </c>
      <c r="G181" s="271">
        <f t="shared" si="194"/>
        <v>0</v>
      </c>
      <c r="H181" s="271">
        <f t="shared" si="169"/>
        <v>300000</v>
      </c>
      <c r="I181" s="271">
        <f aca="true" t="shared" si="195" ref="I181:AG182">SUM(I182)</f>
        <v>0</v>
      </c>
      <c r="J181" s="271">
        <f t="shared" si="195"/>
        <v>300000</v>
      </c>
      <c r="K181" s="271">
        <f t="shared" si="195"/>
        <v>0</v>
      </c>
      <c r="L181" s="271">
        <f t="shared" si="195"/>
        <v>300000</v>
      </c>
      <c r="M181" s="271">
        <f t="shared" si="195"/>
        <v>0</v>
      </c>
      <c r="N181" s="271">
        <f t="shared" si="195"/>
        <v>300000</v>
      </c>
      <c r="O181" s="271">
        <f t="shared" si="195"/>
        <v>0</v>
      </c>
      <c r="P181" s="271">
        <f t="shared" si="195"/>
        <v>300000</v>
      </c>
      <c r="Q181" s="271">
        <f t="shared" si="195"/>
        <v>0</v>
      </c>
      <c r="R181" s="271">
        <f t="shared" si="195"/>
        <v>300000</v>
      </c>
      <c r="S181" s="271">
        <f t="shared" si="195"/>
        <v>0</v>
      </c>
      <c r="T181" s="271">
        <f t="shared" si="195"/>
        <v>300000</v>
      </c>
      <c r="U181" s="271">
        <f t="shared" si="195"/>
        <v>0</v>
      </c>
      <c r="V181" s="271">
        <f t="shared" si="195"/>
        <v>300000</v>
      </c>
      <c r="W181" s="271">
        <f t="shared" si="195"/>
        <v>-86000</v>
      </c>
      <c r="X181" s="271">
        <f t="shared" si="195"/>
        <v>214000</v>
      </c>
      <c r="Y181" s="271">
        <f t="shared" si="195"/>
        <v>0</v>
      </c>
      <c r="Z181" s="271">
        <f>SUM(Z182)</f>
        <v>214000</v>
      </c>
      <c r="AA181" s="271">
        <f t="shared" si="195"/>
        <v>0</v>
      </c>
      <c r="AB181" s="271">
        <f>SUM(AB182)</f>
        <v>214000</v>
      </c>
      <c r="AC181" s="271">
        <f t="shared" si="195"/>
        <v>0</v>
      </c>
      <c r="AD181" s="271">
        <f>SUM(AD182)</f>
        <v>214000</v>
      </c>
      <c r="AE181" s="271">
        <f t="shared" si="195"/>
        <v>0</v>
      </c>
      <c r="AF181" s="271">
        <f>SUM(AF182)</f>
        <v>214000</v>
      </c>
      <c r="AG181" s="271">
        <f t="shared" si="195"/>
        <v>0</v>
      </c>
      <c r="AH181" s="271">
        <f>SUM(AH182)</f>
        <v>214000</v>
      </c>
    </row>
    <row r="182" spans="1:34" s="27" customFormat="1" ht="21.75" customHeight="1">
      <c r="A182" s="76"/>
      <c r="B182" s="75" t="s">
        <v>370</v>
      </c>
      <c r="C182" s="58"/>
      <c r="D182" s="14" t="s">
        <v>371</v>
      </c>
      <c r="E182" s="74">
        <f t="shared" si="194"/>
        <v>300000</v>
      </c>
      <c r="F182" s="74">
        <f t="shared" si="194"/>
        <v>0</v>
      </c>
      <c r="G182" s="74">
        <f t="shared" si="194"/>
        <v>0</v>
      </c>
      <c r="H182" s="74">
        <f t="shared" si="169"/>
        <v>300000</v>
      </c>
      <c r="I182" s="74">
        <f t="shared" si="195"/>
        <v>0</v>
      </c>
      <c r="J182" s="74">
        <f t="shared" si="195"/>
        <v>300000</v>
      </c>
      <c r="K182" s="74">
        <f t="shared" si="195"/>
        <v>0</v>
      </c>
      <c r="L182" s="74">
        <f t="shared" si="195"/>
        <v>300000</v>
      </c>
      <c r="M182" s="74">
        <f t="shared" si="195"/>
        <v>0</v>
      </c>
      <c r="N182" s="74">
        <f t="shared" si="195"/>
        <v>300000</v>
      </c>
      <c r="O182" s="74">
        <f t="shared" si="195"/>
        <v>0</v>
      </c>
      <c r="P182" s="74">
        <f t="shared" si="195"/>
        <v>300000</v>
      </c>
      <c r="Q182" s="74">
        <f t="shared" si="195"/>
        <v>0</v>
      </c>
      <c r="R182" s="74">
        <f t="shared" si="195"/>
        <v>300000</v>
      </c>
      <c r="S182" s="74">
        <f t="shared" si="195"/>
        <v>0</v>
      </c>
      <c r="T182" s="74">
        <f t="shared" si="195"/>
        <v>300000</v>
      </c>
      <c r="U182" s="74">
        <f t="shared" si="195"/>
        <v>0</v>
      </c>
      <c r="V182" s="74">
        <f t="shared" si="195"/>
        <v>300000</v>
      </c>
      <c r="W182" s="74">
        <f t="shared" si="195"/>
        <v>-86000</v>
      </c>
      <c r="X182" s="74">
        <f t="shared" si="195"/>
        <v>214000</v>
      </c>
      <c r="Y182" s="74">
        <f>SUM(Y183)</f>
        <v>0</v>
      </c>
      <c r="Z182" s="74">
        <f>SUM(Z183)</f>
        <v>214000</v>
      </c>
      <c r="AA182" s="74">
        <f>SUM(AA183)</f>
        <v>0</v>
      </c>
      <c r="AB182" s="74">
        <f>SUM(AB183)</f>
        <v>214000</v>
      </c>
      <c r="AC182" s="74">
        <f>SUM(AC183)</f>
        <v>0</v>
      </c>
      <c r="AD182" s="74">
        <f>SUM(AD183)</f>
        <v>214000</v>
      </c>
      <c r="AE182" s="74">
        <f>SUM(AE183)</f>
        <v>0</v>
      </c>
      <c r="AF182" s="74">
        <f>SUM(AF183)</f>
        <v>214000</v>
      </c>
      <c r="AG182" s="74">
        <f>SUM(AG183)</f>
        <v>0</v>
      </c>
      <c r="AH182" s="74">
        <f>SUM(AH183)</f>
        <v>214000</v>
      </c>
    </row>
    <row r="183" spans="1:34" s="27" customFormat="1" ht="21" customHeight="1">
      <c r="A183" s="76"/>
      <c r="B183" s="82"/>
      <c r="C183" s="58">
        <v>4810</v>
      </c>
      <c r="D183" s="14" t="s">
        <v>372</v>
      </c>
      <c r="E183" s="74">
        <f>158429+141571</f>
        <v>300000</v>
      </c>
      <c r="F183" s="74"/>
      <c r="G183" s="74"/>
      <c r="H183" s="74">
        <f t="shared" si="169"/>
        <v>300000</v>
      </c>
      <c r="I183" s="74"/>
      <c r="J183" s="74">
        <f t="shared" si="174"/>
        <v>300000</v>
      </c>
      <c r="K183" s="74">
        <v>0</v>
      </c>
      <c r="L183" s="74">
        <f t="shared" si="175"/>
        <v>300000</v>
      </c>
      <c r="M183" s="74">
        <v>0</v>
      </c>
      <c r="N183" s="74">
        <f>SUM(L183:M183)</f>
        <v>300000</v>
      </c>
      <c r="O183" s="74">
        <v>0</v>
      </c>
      <c r="P183" s="74">
        <f>SUM(N183:O183)</f>
        <v>300000</v>
      </c>
      <c r="Q183" s="74">
        <v>0</v>
      </c>
      <c r="R183" s="74">
        <f>SUM(P183:Q183)</f>
        <v>300000</v>
      </c>
      <c r="S183" s="74">
        <v>0</v>
      </c>
      <c r="T183" s="74">
        <f>SUM(R183:S183)</f>
        <v>300000</v>
      </c>
      <c r="U183" s="74">
        <v>0</v>
      </c>
      <c r="V183" s="74">
        <f>SUM(T183:U183)</f>
        <v>300000</v>
      </c>
      <c r="W183" s="74">
        <v>-86000</v>
      </c>
      <c r="X183" s="74">
        <f>SUM(V183:W183)</f>
        <v>214000</v>
      </c>
      <c r="Y183" s="74">
        <v>0</v>
      </c>
      <c r="Z183" s="74">
        <f>SUM(X183:Y183)</f>
        <v>214000</v>
      </c>
      <c r="AA183" s="74">
        <v>0</v>
      </c>
      <c r="AB183" s="74">
        <f>SUM(Z183:AA183)</f>
        <v>214000</v>
      </c>
      <c r="AC183" s="74">
        <v>0</v>
      </c>
      <c r="AD183" s="74">
        <f>SUM(AB183:AC183)</f>
        <v>214000</v>
      </c>
      <c r="AE183" s="74">
        <v>0</v>
      </c>
      <c r="AF183" s="74">
        <f>SUM(AD183:AE183)</f>
        <v>214000</v>
      </c>
      <c r="AG183" s="74">
        <v>0</v>
      </c>
      <c r="AH183" s="74">
        <f>SUM(AF183:AG183)</f>
        <v>214000</v>
      </c>
    </row>
    <row r="184" spans="1:34" s="8" customFormat="1" ht="24.75" customHeight="1">
      <c r="A184" s="36" t="s">
        <v>373</v>
      </c>
      <c r="B184" s="6"/>
      <c r="C184" s="5"/>
      <c r="D184" s="22" t="s">
        <v>374</v>
      </c>
      <c r="E184" s="271">
        <f>SUM(E185,E211,E224,E228,E256,E263,E267)</f>
        <v>18436553</v>
      </c>
      <c r="F184" s="271">
        <f>SUM(F185,F211,F224,F228,F256,F263,F267)</f>
        <v>200000</v>
      </c>
      <c r="G184" s="271">
        <f>SUM(G185,G211,G224,G228,G256,G263,G267)</f>
        <v>0</v>
      </c>
      <c r="H184" s="271">
        <f t="shared" si="169"/>
        <v>18636553</v>
      </c>
      <c r="I184" s="271">
        <f>SUM(I185,I211,I224,I228,I256,I263,I267)</f>
        <v>-143140</v>
      </c>
      <c r="J184" s="271">
        <f aca="true" t="shared" si="196" ref="J184:P184">SUM(J185,J211,J224,J228,J256,J263,J267,)</f>
        <v>18493413</v>
      </c>
      <c r="K184" s="271">
        <f t="shared" si="196"/>
        <v>17495</v>
      </c>
      <c r="L184" s="271">
        <f t="shared" si="196"/>
        <v>18510908</v>
      </c>
      <c r="M184" s="271">
        <f t="shared" si="196"/>
        <v>33110</v>
      </c>
      <c r="N184" s="271">
        <f t="shared" si="196"/>
        <v>18544018</v>
      </c>
      <c r="O184" s="271">
        <f t="shared" si="196"/>
        <v>0</v>
      </c>
      <c r="P184" s="271">
        <f t="shared" si="196"/>
        <v>18544018</v>
      </c>
      <c r="Q184" s="271">
        <f aca="true" t="shared" si="197" ref="Q184:V184">SUM(Q185,Q211,Q224,Q228,Q256,Q263,Q267,)</f>
        <v>100355</v>
      </c>
      <c r="R184" s="271">
        <f t="shared" si="197"/>
        <v>18644373</v>
      </c>
      <c r="S184" s="271">
        <f t="shared" si="197"/>
        <v>40107</v>
      </c>
      <c r="T184" s="271">
        <f t="shared" si="197"/>
        <v>18684480</v>
      </c>
      <c r="U184" s="271">
        <f t="shared" si="197"/>
        <v>0</v>
      </c>
      <c r="V184" s="271">
        <f t="shared" si="197"/>
        <v>18684480</v>
      </c>
      <c r="W184" s="271">
        <f aca="true" t="shared" si="198" ref="W184:AB184">SUM(W185,W211,W224,W228,W256,W263,W267,)</f>
        <v>72654</v>
      </c>
      <c r="X184" s="271">
        <f t="shared" si="198"/>
        <v>18757134</v>
      </c>
      <c r="Y184" s="271">
        <f t="shared" si="198"/>
        <v>45146</v>
      </c>
      <c r="Z184" s="271">
        <f t="shared" si="198"/>
        <v>18802280</v>
      </c>
      <c r="AA184" s="271">
        <f t="shared" si="198"/>
        <v>69585</v>
      </c>
      <c r="AB184" s="271">
        <f t="shared" si="198"/>
        <v>18871865</v>
      </c>
      <c r="AC184" s="271">
        <f aca="true" t="shared" si="199" ref="AC184:AH184">SUM(AC185,AC211,AC224,AC228,AC256,AC263,AC267,)</f>
        <v>42289</v>
      </c>
      <c r="AD184" s="271">
        <f t="shared" si="199"/>
        <v>18914154</v>
      </c>
      <c r="AE184" s="271">
        <f t="shared" si="199"/>
        <v>182081</v>
      </c>
      <c r="AF184" s="271">
        <f t="shared" si="199"/>
        <v>19096235</v>
      </c>
      <c r="AG184" s="271">
        <f t="shared" si="199"/>
        <v>-711</v>
      </c>
      <c r="AH184" s="271">
        <f t="shared" si="199"/>
        <v>19095524</v>
      </c>
    </row>
    <row r="185" spans="1:34" s="27" customFormat="1" ht="21.75" customHeight="1">
      <c r="A185" s="76"/>
      <c r="B185" s="75" t="s">
        <v>375</v>
      </c>
      <c r="C185" s="58"/>
      <c r="D185" s="14" t="s">
        <v>310</v>
      </c>
      <c r="E185" s="74">
        <f>SUM(E186:E210)</f>
        <v>9949032</v>
      </c>
      <c r="F185" s="74">
        <f>SUM(F186:F210)</f>
        <v>150000</v>
      </c>
      <c r="G185" s="74">
        <f>SUM(G186:G210)</f>
        <v>0</v>
      </c>
      <c r="H185" s="74">
        <f t="shared" si="169"/>
        <v>10099032</v>
      </c>
      <c r="I185" s="74">
        <f aca="true" t="shared" si="200" ref="I185:N185">SUM(I186:I210)</f>
        <v>-146960</v>
      </c>
      <c r="J185" s="74">
        <f t="shared" si="200"/>
        <v>9952072</v>
      </c>
      <c r="K185" s="74">
        <f t="shared" si="200"/>
        <v>11277</v>
      </c>
      <c r="L185" s="74">
        <f t="shared" si="200"/>
        <v>9963349</v>
      </c>
      <c r="M185" s="74">
        <f t="shared" si="200"/>
        <v>33110</v>
      </c>
      <c r="N185" s="74">
        <f t="shared" si="200"/>
        <v>9996459</v>
      </c>
      <c r="O185" s="74">
        <f aca="true" t="shared" si="201" ref="O185:T185">SUM(O186:O210)</f>
        <v>0</v>
      </c>
      <c r="P185" s="74">
        <f t="shared" si="201"/>
        <v>9996459</v>
      </c>
      <c r="Q185" s="74">
        <f t="shared" si="201"/>
        <v>13977</v>
      </c>
      <c r="R185" s="74">
        <f t="shared" si="201"/>
        <v>10010436</v>
      </c>
      <c r="S185" s="74">
        <f t="shared" si="201"/>
        <v>0</v>
      </c>
      <c r="T185" s="74">
        <f t="shared" si="201"/>
        <v>10010436</v>
      </c>
      <c r="U185" s="74">
        <f aca="true" t="shared" si="202" ref="U185:Z185">SUM(U186:U210)</f>
        <v>0</v>
      </c>
      <c r="V185" s="74">
        <f t="shared" si="202"/>
        <v>10010436</v>
      </c>
      <c r="W185" s="74">
        <f t="shared" si="202"/>
        <v>70182</v>
      </c>
      <c r="X185" s="74">
        <f t="shared" si="202"/>
        <v>10080618</v>
      </c>
      <c r="Y185" s="74">
        <f t="shared" si="202"/>
        <v>0</v>
      </c>
      <c r="Z185" s="74">
        <f t="shared" si="202"/>
        <v>10080618</v>
      </c>
      <c r="AA185" s="74">
        <f aca="true" t="shared" si="203" ref="AA185:AF185">SUM(AA186:AA210)</f>
        <v>0</v>
      </c>
      <c r="AB185" s="74">
        <f t="shared" si="203"/>
        <v>10080618</v>
      </c>
      <c r="AC185" s="74">
        <f t="shared" si="203"/>
        <v>0</v>
      </c>
      <c r="AD185" s="74">
        <f t="shared" si="203"/>
        <v>10080618</v>
      </c>
      <c r="AE185" s="74">
        <f t="shared" si="203"/>
        <v>142042</v>
      </c>
      <c r="AF185" s="74">
        <f t="shared" si="203"/>
        <v>10222660</v>
      </c>
      <c r="AG185" s="74">
        <f>SUM(AG186:AG210)</f>
        <v>-711</v>
      </c>
      <c r="AH185" s="74">
        <f>SUM(AH186:AH210)</f>
        <v>10221949</v>
      </c>
    </row>
    <row r="186" spans="1:34" s="27" customFormat="1" ht="32.25" customHeight="1">
      <c r="A186" s="76"/>
      <c r="B186" s="75"/>
      <c r="C186" s="58">
        <v>2540</v>
      </c>
      <c r="D186" s="14" t="s">
        <v>465</v>
      </c>
      <c r="E186" s="74">
        <v>262446</v>
      </c>
      <c r="F186" s="74"/>
      <c r="G186" s="74"/>
      <c r="H186" s="74">
        <f t="shared" si="169"/>
        <v>262446</v>
      </c>
      <c r="I186" s="74"/>
      <c r="J186" s="74">
        <f t="shared" si="174"/>
        <v>262446</v>
      </c>
      <c r="K186" s="74">
        <v>0</v>
      </c>
      <c r="L186" s="74">
        <f t="shared" si="175"/>
        <v>262446</v>
      </c>
      <c r="M186" s="74">
        <v>0</v>
      </c>
      <c r="N186" s="74">
        <f aca="true" t="shared" si="204" ref="N186:N210">SUM(L186:M186)</f>
        <v>262446</v>
      </c>
      <c r="O186" s="74">
        <v>0</v>
      </c>
      <c r="P186" s="74">
        <f aca="true" t="shared" si="205" ref="P186:P210">SUM(N186:O186)</f>
        <v>262446</v>
      </c>
      <c r="Q186" s="74">
        <v>22222</v>
      </c>
      <c r="R186" s="74">
        <f aca="true" t="shared" si="206" ref="R186:R210">SUM(P186:Q186)</f>
        <v>284668</v>
      </c>
      <c r="S186" s="74">
        <v>0</v>
      </c>
      <c r="T186" s="74">
        <f aca="true" t="shared" si="207" ref="T186:T210">SUM(R186:S186)</f>
        <v>284668</v>
      </c>
      <c r="U186" s="74">
        <v>0</v>
      </c>
      <c r="V186" s="74">
        <f aca="true" t="shared" si="208" ref="V186:V210">SUM(T186:U186)</f>
        <v>284668</v>
      </c>
      <c r="W186" s="74">
        <v>0</v>
      </c>
      <c r="X186" s="74">
        <f aca="true" t="shared" si="209" ref="X186:X210">SUM(V186:W186)</f>
        <v>284668</v>
      </c>
      <c r="Y186" s="74">
        <v>0</v>
      </c>
      <c r="Z186" s="74">
        <f aca="true" t="shared" si="210" ref="Z186:Z210">SUM(X186:Y186)</f>
        <v>284668</v>
      </c>
      <c r="AA186" s="74">
        <v>0</v>
      </c>
      <c r="AB186" s="74">
        <f aca="true" t="shared" si="211" ref="AB186:AB210">SUM(Z186:AA186)</f>
        <v>284668</v>
      </c>
      <c r="AC186" s="74">
        <v>0</v>
      </c>
      <c r="AD186" s="74">
        <f aca="true" t="shared" si="212" ref="AD186:AD210">SUM(AB186:AC186)</f>
        <v>284668</v>
      </c>
      <c r="AE186" s="74">
        <v>0</v>
      </c>
      <c r="AF186" s="74">
        <f aca="true" t="shared" si="213" ref="AF186:AF210">SUM(AD186:AE186)</f>
        <v>284668</v>
      </c>
      <c r="AG186" s="74">
        <v>0</v>
      </c>
      <c r="AH186" s="74">
        <f aca="true" t="shared" si="214" ref="AH186:AH210">SUM(AF186:AG186)</f>
        <v>284668</v>
      </c>
    </row>
    <row r="187" spans="1:34" s="27" customFormat="1" ht="21" customHeight="1">
      <c r="A187" s="76"/>
      <c r="B187" s="75"/>
      <c r="C187" s="76">
        <v>3020</v>
      </c>
      <c r="D187" s="14" t="s">
        <v>533</v>
      </c>
      <c r="E187" s="74">
        <v>168777</v>
      </c>
      <c r="F187" s="74"/>
      <c r="G187" s="74"/>
      <c r="H187" s="74">
        <f t="shared" si="169"/>
        <v>168777</v>
      </c>
      <c r="I187" s="74"/>
      <c r="J187" s="74">
        <f t="shared" si="174"/>
        <v>168777</v>
      </c>
      <c r="K187" s="74">
        <v>0</v>
      </c>
      <c r="L187" s="74">
        <f t="shared" si="175"/>
        <v>168777</v>
      </c>
      <c r="M187" s="74">
        <v>0</v>
      </c>
      <c r="N187" s="74">
        <f t="shared" si="204"/>
        <v>168777</v>
      </c>
      <c r="O187" s="74">
        <v>0</v>
      </c>
      <c r="P187" s="74">
        <f t="shared" si="205"/>
        <v>168777</v>
      </c>
      <c r="Q187" s="74">
        <v>0</v>
      </c>
      <c r="R187" s="74">
        <f t="shared" si="206"/>
        <v>168777</v>
      </c>
      <c r="S187" s="74">
        <v>0</v>
      </c>
      <c r="T187" s="74">
        <f t="shared" si="207"/>
        <v>168777</v>
      </c>
      <c r="U187" s="74">
        <v>0</v>
      </c>
      <c r="V187" s="74">
        <f t="shared" si="208"/>
        <v>168777</v>
      </c>
      <c r="W187" s="74">
        <v>-1630</v>
      </c>
      <c r="X187" s="74">
        <f t="shared" si="209"/>
        <v>167147</v>
      </c>
      <c r="Y187" s="74">
        <v>0</v>
      </c>
      <c r="Z187" s="74">
        <f t="shared" si="210"/>
        <v>167147</v>
      </c>
      <c r="AA187" s="74">
        <v>0</v>
      </c>
      <c r="AB187" s="74">
        <f t="shared" si="211"/>
        <v>167147</v>
      </c>
      <c r="AC187" s="74">
        <v>0</v>
      </c>
      <c r="AD187" s="74">
        <f t="shared" si="212"/>
        <v>167147</v>
      </c>
      <c r="AE187" s="74">
        <v>2628</v>
      </c>
      <c r="AF187" s="74">
        <f t="shared" si="213"/>
        <v>169775</v>
      </c>
      <c r="AG187" s="74">
        <v>0</v>
      </c>
      <c r="AH187" s="74">
        <f t="shared" si="214"/>
        <v>169775</v>
      </c>
    </row>
    <row r="188" spans="1:36" s="27" customFormat="1" ht="21" customHeight="1">
      <c r="A188" s="76"/>
      <c r="B188" s="75"/>
      <c r="C188" s="76">
        <v>4010</v>
      </c>
      <c r="D188" s="14" t="s">
        <v>345</v>
      </c>
      <c r="E188" s="74">
        <v>5948500</v>
      </c>
      <c r="F188" s="74"/>
      <c r="G188" s="74"/>
      <c r="H188" s="74">
        <f t="shared" si="169"/>
        <v>5948500</v>
      </c>
      <c r="I188" s="74"/>
      <c r="J188" s="74">
        <f t="shared" si="174"/>
        <v>5948500</v>
      </c>
      <c r="K188" s="74">
        <v>0</v>
      </c>
      <c r="L188" s="74">
        <f t="shared" si="175"/>
        <v>5948500</v>
      </c>
      <c r="M188" s="74">
        <v>27644</v>
      </c>
      <c r="N188" s="74">
        <f t="shared" si="204"/>
        <v>5976144</v>
      </c>
      <c r="O188" s="74">
        <v>0</v>
      </c>
      <c r="P188" s="74">
        <f t="shared" si="205"/>
        <v>5976144</v>
      </c>
      <c r="Q188" s="74">
        <v>0</v>
      </c>
      <c r="R188" s="74">
        <f t="shared" si="206"/>
        <v>5976144</v>
      </c>
      <c r="S188" s="74">
        <v>0</v>
      </c>
      <c r="T188" s="74">
        <f t="shared" si="207"/>
        <v>5976144</v>
      </c>
      <c r="U188" s="74">
        <v>0</v>
      </c>
      <c r="V188" s="74">
        <f t="shared" si="208"/>
        <v>5976144</v>
      </c>
      <c r="W188" s="74">
        <f>-1000+28102</f>
        <v>27102</v>
      </c>
      <c r="X188" s="74">
        <f t="shared" si="209"/>
        <v>6003246</v>
      </c>
      <c r="Y188" s="74">
        <v>0</v>
      </c>
      <c r="Z188" s="74">
        <f t="shared" si="210"/>
        <v>6003246</v>
      </c>
      <c r="AA188" s="74">
        <v>0</v>
      </c>
      <c r="AB188" s="74">
        <f t="shared" si="211"/>
        <v>6003246</v>
      </c>
      <c r="AC188" s="74">
        <v>0</v>
      </c>
      <c r="AD188" s="74">
        <f t="shared" si="212"/>
        <v>6003246</v>
      </c>
      <c r="AE188" s="74">
        <f>88534+1021</f>
        <v>89555</v>
      </c>
      <c r="AF188" s="74">
        <f t="shared" si="213"/>
        <v>6092801</v>
      </c>
      <c r="AG188" s="74">
        <v>-2185</v>
      </c>
      <c r="AH188" s="74">
        <f t="shared" si="214"/>
        <v>6090616</v>
      </c>
      <c r="AI188" s="119"/>
      <c r="AJ188" s="119"/>
    </row>
    <row r="189" spans="1:36" s="27" customFormat="1" ht="21" customHeight="1">
      <c r="A189" s="76"/>
      <c r="B189" s="75"/>
      <c r="C189" s="76">
        <v>4040</v>
      </c>
      <c r="D189" s="14" t="s">
        <v>346</v>
      </c>
      <c r="E189" s="74">
        <v>462147</v>
      </c>
      <c r="F189" s="74"/>
      <c r="G189" s="74"/>
      <c r="H189" s="74">
        <f t="shared" si="169"/>
        <v>462147</v>
      </c>
      <c r="I189" s="74"/>
      <c r="J189" s="74">
        <f t="shared" si="174"/>
        <v>462147</v>
      </c>
      <c r="K189" s="74">
        <v>0</v>
      </c>
      <c r="L189" s="74">
        <f t="shared" si="175"/>
        <v>462147</v>
      </c>
      <c r="M189" s="74">
        <v>0</v>
      </c>
      <c r="N189" s="74">
        <f t="shared" si="204"/>
        <v>462147</v>
      </c>
      <c r="O189" s="74">
        <v>0</v>
      </c>
      <c r="P189" s="74">
        <f t="shared" si="205"/>
        <v>462147</v>
      </c>
      <c r="Q189" s="74">
        <v>-24322</v>
      </c>
      <c r="R189" s="74">
        <f t="shared" si="206"/>
        <v>437825</v>
      </c>
      <c r="S189" s="74">
        <v>0</v>
      </c>
      <c r="T189" s="74">
        <f t="shared" si="207"/>
        <v>437825</v>
      </c>
      <c r="U189" s="74">
        <v>0</v>
      </c>
      <c r="V189" s="74">
        <f t="shared" si="208"/>
        <v>437825</v>
      </c>
      <c r="W189" s="74">
        <v>0</v>
      </c>
      <c r="X189" s="74">
        <f t="shared" si="209"/>
        <v>437825</v>
      </c>
      <c r="Y189" s="74">
        <v>0</v>
      </c>
      <c r="Z189" s="74">
        <f t="shared" si="210"/>
        <v>437825</v>
      </c>
      <c r="AA189" s="74">
        <v>0</v>
      </c>
      <c r="AB189" s="74">
        <f t="shared" si="211"/>
        <v>437825</v>
      </c>
      <c r="AC189" s="74">
        <v>0</v>
      </c>
      <c r="AD189" s="74">
        <f t="shared" si="212"/>
        <v>437825</v>
      </c>
      <c r="AE189" s="74">
        <v>0</v>
      </c>
      <c r="AF189" s="74">
        <f t="shared" si="213"/>
        <v>437825</v>
      </c>
      <c r="AG189" s="74">
        <v>0</v>
      </c>
      <c r="AH189" s="74">
        <f t="shared" si="214"/>
        <v>437825</v>
      </c>
      <c r="AI189" s="119"/>
      <c r="AJ189" s="119"/>
    </row>
    <row r="190" spans="1:36" s="27" customFormat="1" ht="21" customHeight="1">
      <c r="A190" s="76"/>
      <c r="B190" s="75"/>
      <c r="C190" s="76">
        <v>4110</v>
      </c>
      <c r="D190" s="14" t="s">
        <v>347</v>
      </c>
      <c r="E190" s="74">
        <v>1109510</v>
      </c>
      <c r="F190" s="74"/>
      <c r="G190" s="74"/>
      <c r="H190" s="74">
        <f t="shared" si="169"/>
        <v>1109510</v>
      </c>
      <c r="I190" s="74"/>
      <c r="J190" s="74">
        <f t="shared" si="174"/>
        <v>1109510</v>
      </c>
      <c r="K190" s="74">
        <v>0</v>
      </c>
      <c r="L190" s="74">
        <f t="shared" si="175"/>
        <v>1109510</v>
      </c>
      <c r="M190" s="74">
        <v>4786</v>
      </c>
      <c r="N190" s="74">
        <f t="shared" si="204"/>
        <v>1114296</v>
      </c>
      <c r="O190" s="74">
        <v>0</v>
      </c>
      <c r="P190" s="74">
        <f t="shared" si="205"/>
        <v>1114296</v>
      </c>
      <c r="Q190" s="74">
        <v>0</v>
      </c>
      <c r="R190" s="74">
        <f t="shared" si="206"/>
        <v>1114296</v>
      </c>
      <c r="S190" s="74">
        <v>0</v>
      </c>
      <c r="T190" s="74">
        <f t="shared" si="207"/>
        <v>1114296</v>
      </c>
      <c r="U190" s="74">
        <v>0</v>
      </c>
      <c r="V190" s="74">
        <f t="shared" si="208"/>
        <v>1114296</v>
      </c>
      <c r="W190" s="74">
        <f>300+6126</f>
        <v>6426</v>
      </c>
      <c r="X190" s="74">
        <f t="shared" si="209"/>
        <v>1120722</v>
      </c>
      <c r="Y190" s="74">
        <v>0</v>
      </c>
      <c r="Z190" s="74">
        <f t="shared" si="210"/>
        <v>1120722</v>
      </c>
      <c r="AA190" s="74">
        <v>0</v>
      </c>
      <c r="AB190" s="74">
        <f t="shared" si="211"/>
        <v>1120722</v>
      </c>
      <c r="AC190" s="74">
        <v>0</v>
      </c>
      <c r="AD190" s="74">
        <f t="shared" si="212"/>
        <v>1120722</v>
      </c>
      <c r="AE190" s="74">
        <f>21347+176</f>
        <v>21523</v>
      </c>
      <c r="AF190" s="74">
        <f t="shared" si="213"/>
        <v>1142245</v>
      </c>
      <c r="AG190" s="74">
        <v>1960</v>
      </c>
      <c r="AH190" s="74">
        <f t="shared" si="214"/>
        <v>1144205</v>
      </c>
      <c r="AI190" s="119"/>
      <c r="AJ190" s="119"/>
    </row>
    <row r="191" spans="1:36" s="27" customFormat="1" ht="21" customHeight="1">
      <c r="A191" s="76"/>
      <c r="B191" s="75"/>
      <c r="C191" s="76">
        <v>4120</v>
      </c>
      <c r="D191" s="14" t="s">
        <v>348</v>
      </c>
      <c r="E191" s="74">
        <v>156481</v>
      </c>
      <c r="F191" s="74"/>
      <c r="G191" s="74"/>
      <c r="H191" s="74">
        <f t="shared" si="169"/>
        <v>156481</v>
      </c>
      <c r="I191" s="74"/>
      <c r="J191" s="74">
        <f t="shared" si="174"/>
        <v>156481</v>
      </c>
      <c r="K191" s="74">
        <v>0</v>
      </c>
      <c r="L191" s="74">
        <f t="shared" si="175"/>
        <v>156481</v>
      </c>
      <c r="M191" s="74">
        <v>680</v>
      </c>
      <c r="N191" s="74">
        <f t="shared" si="204"/>
        <v>157161</v>
      </c>
      <c r="O191" s="74">
        <v>0</v>
      </c>
      <c r="P191" s="74">
        <f t="shared" si="205"/>
        <v>157161</v>
      </c>
      <c r="Q191" s="74">
        <v>0</v>
      </c>
      <c r="R191" s="74">
        <f t="shared" si="206"/>
        <v>157161</v>
      </c>
      <c r="S191" s="74">
        <v>0</v>
      </c>
      <c r="T191" s="74">
        <f t="shared" si="207"/>
        <v>157161</v>
      </c>
      <c r="U191" s="74">
        <v>0</v>
      </c>
      <c r="V191" s="74">
        <f t="shared" si="208"/>
        <v>157161</v>
      </c>
      <c r="W191" s="74">
        <f>200+860</f>
        <v>1060</v>
      </c>
      <c r="X191" s="74">
        <f t="shared" si="209"/>
        <v>158221</v>
      </c>
      <c r="Y191" s="74">
        <v>0</v>
      </c>
      <c r="Z191" s="74">
        <f t="shared" si="210"/>
        <v>158221</v>
      </c>
      <c r="AA191" s="74">
        <v>0</v>
      </c>
      <c r="AB191" s="74">
        <f t="shared" si="211"/>
        <v>158221</v>
      </c>
      <c r="AC191" s="74">
        <v>0</v>
      </c>
      <c r="AD191" s="74">
        <f t="shared" si="212"/>
        <v>158221</v>
      </c>
      <c r="AE191" s="74">
        <f>2128+25</f>
        <v>2153</v>
      </c>
      <c r="AF191" s="74">
        <f t="shared" si="213"/>
        <v>160374</v>
      </c>
      <c r="AG191" s="74">
        <v>-23</v>
      </c>
      <c r="AH191" s="74">
        <f t="shared" si="214"/>
        <v>160351</v>
      </c>
      <c r="AI191" s="119"/>
      <c r="AJ191" s="119"/>
    </row>
    <row r="192" spans="1:36" s="27" customFormat="1" ht="19.5" customHeight="1">
      <c r="A192" s="76"/>
      <c r="B192" s="75"/>
      <c r="C192" s="76">
        <v>4170</v>
      </c>
      <c r="D192" s="14" t="s">
        <v>478</v>
      </c>
      <c r="E192" s="74">
        <v>30986</v>
      </c>
      <c r="F192" s="74"/>
      <c r="G192" s="74"/>
      <c r="H192" s="74">
        <f t="shared" si="169"/>
        <v>30986</v>
      </c>
      <c r="I192" s="74"/>
      <c r="J192" s="74">
        <f t="shared" si="174"/>
        <v>30986</v>
      </c>
      <c r="K192" s="74">
        <v>0</v>
      </c>
      <c r="L192" s="74">
        <f t="shared" si="175"/>
        <v>30986</v>
      </c>
      <c r="M192" s="74">
        <v>0</v>
      </c>
      <c r="N192" s="74">
        <f t="shared" si="204"/>
        <v>30986</v>
      </c>
      <c r="O192" s="74">
        <v>0</v>
      </c>
      <c r="P192" s="74">
        <f t="shared" si="205"/>
        <v>30986</v>
      </c>
      <c r="Q192" s="74">
        <v>0</v>
      </c>
      <c r="R192" s="74">
        <f t="shared" si="206"/>
        <v>30986</v>
      </c>
      <c r="S192" s="74">
        <v>0</v>
      </c>
      <c r="T192" s="74">
        <f t="shared" si="207"/>
        <v>30986</v>
      </c>
      <c r="U192" s="74">
        <v>0</v>
      </c>
      <c r="V192" s="74">
        <f t="shared" si="208"/>
        <v>30986</v>
      </c>
      <c r="W192" s="74">
        <f>-270+830</f>
        <v>560</v>
      </c>
      <c r="X192" s="74">
        <f t="shared" si="209"/>
        <v>31546</v>
      </c>
      <c r="Y192" s="74">
        <v>0</v>
      </c>
      <c r="Z192" s="74">
        <f t="shared" si="210"/>
        <v>31546</v>
      </c>
      <c r="AA192" s="74">
        <v>0</v>
      </c>
      <c r="AB192" s="74">
        <f t="shared" si="211"/>
        <v>31546</v>
      </c>
      <c r="AC192" s="74">
        <v>0</v>
      </c>
      <c r="AD192" s="74">
        <f t="shared" si="212"/>
        <v>31546</v>
      </c>
      <c r="AE192" s="74">
        <v>-4608</v>
      </c>
      <c r="AF192" s="74">
        <f t="shared" si="213"/>
        <v>26938</v>
      </c>
      <c r="AG192" s="74">
        <v>-400</v>
      </c>
      <c r="AH192" s="74">
        <f t="shared" si="214"/>
        <v>26538</v>
      </c>
      <c r="AI192" s="119"/>
      <c r="AJ192" s="119"/>
    </row>
    <row r="193" spans="1:34" s="27" customFormat="1" ht="19.5" customHeight="1">
      <c r="A193" s="76"/>
      <c r="B193" s="75"/>
      <c r="C193" s="76">
        <v>4210</v>
      </c>
      <c r="D193" s="14" t="s">
        <v>354</v>
      </c>
      <c r="E193" s="74">
        <f>3000+329460</f>
        <v>332460</v>
      </c>
      <c r="F193" s="74"/>
      <c r="G193" s="74"/>
      <c r="H193" s="74">
        <f aca="true" t="shared" si="215" ref="H193:H205">E193+F193-G193</f>
        <v>332460</v>
      </c>
      <c r="I193" s="74">
        <f>300+300+200+200</f>
        <v>1000</v>
      </c>
      <c r="J193" s="74">
        <f t="shared" si="174"/>
        <v>333460</v>
      </c>
      <c r="K193" s="74">
        <v>6591</v>
      </c>
      <c r="L193" s="74">
        <f t="shared" si="175"/>
        <v>340051</v>
      </c>
      <c r="M193" s="74">
        <v>0</v>
      </c>
      <c r="N193" s="74">
        <f t="shared" si="204"/>
        <v>340051</v>
      </c>
      <c r="O193" s="74">
        <v>0</v>
      </c>
      <c r="P193" s="74">
        <f t="shared" si="205"/>
        <v>340051</v>
      </c>
      <c r="Q193" s="74">
        <v>9056</v>
      </c>
      <c r="R193" s="74">
        <f t="shared" si="206"/>
        <v>349107</v>
      </c>
      <c r="S193" s="74">
        <v>0</v>
      </c>
      <c r="T193" s="74">
        <f t="shared" si="207"/>
        <v>349107</v>
      </c>
      <c r="U193" s="74">
        <v>0</v>
      </c>
      <c r="V193" s="74">
        <f t="shared" si="208"/>
        <v>349107</v>
      </c>
      <c r="W193" s="74">
        <f>8110-200</f>
        <v>7910</v>
      </c>
      <c r="X193" s="74">
        <f t="shared" si="209"/>
        <v>357017</v>
      </c>
      <c r="Y193" s="74">
        <v>0</v>
      </c>
      <c r="Z193" s="74">
        <f t="shared" si="210"/>
        <v>357017</v>
      </c>
      <c r="AA193" s="74">
        <v>0</v>
      </c>
      <c r="AB193" s="74">
        <f t="shared" si="211"/>
        <v>357017</v>
      </c>
      <c r="AC193" s="74">
        <v>0</v>
      </c>
      <c r="AD193" s="74">
        <f t="shared" si="212"/>
        <v>357017</v>
      </c>
      <c r="AE193" s="74">
        <f>17976-265</f>
        <v>17711</v>
      </c>
      <c r="AF193" s="74">
        <f t="shared" si="213"/>
        <v>374728</v>
      </c>
      <c r="AG193" s="74">
        <v>202</v>
      </c>
      <c r="AH193" s="74">
        <f t="shared" si="214"/>
        <v>374930</v>
      </c>
    </row>
    <row r="194" spans="1:34" s="27" customFormat="1" ht="25.5" customHeight="1">
      <c r="A194" s="76"/>
      <c r="B194" s="75"/>
      <c r="C194" s="58">
        <v>4230</v>
      </c>
      <c r="D194" s="14" t="s">
        <v>77</v>
      </c>
      <c r="E194" s="74">
        <v>1360</v>
      </c>
      <c r="F194" s="74"/>
      <c r="G194" s="74"/>
      <c r="H194" s="74">
        <f t="shared" si="215"/>
        <v>1360</v>
      </c>
      <c r="I194" s="74"/>
      <c r="J194" s="74">
        <f t="shared" si="174"/>
        <v>1360</v>
      </c>
      <c r="K194" s="74">
        <v>0</v>
      </c>
      <c r="L194" s="74">
        <f t="shared" si="175"/>
        <v>1360</v>
      </c>
      <c r="M194" s="74">
        <v>0</v>
      </c>
      <c r="N194" s="74">
        <f t="shared" si="204"/>
        <v>1360</v>
      </c>
      <c r="O194" s="74">
        <v>0</v>
      </c>
      <c r="P194" s="74">
        <f t="shared" si="205"/>
        <v>1360</v>
      </c>
      <c r="Q194" s="74">
        <v>0</v>
      </c>
      <c r="R194" s="74">
        <f t="shared" si="206"/>
        <v>1360</v>
      </c>
      <c r="S194" s="74">
        <v>0</v>
      </c>
      <c r="T194" s="74">
        <f t="shared" si="207"/>
        <v>1360</v>
      </c>
      <c r="U194" s="74">
        <v>0</v>
      </c>
      <c r="V194" s="74">
        <f t="shared" si="208"/>
        <v>1360</v>
      </c>
      <c r="W194" s="74">
        <v>0</v>
      </c>
      <c r="X194" s="74">
        <f t="shared" si="209"/>
        <v>1360</v>
      </c>
      <c r="Y194" s="74">
        <v>0</v>
      </c>
      <c r="Z194" s="74">
        <f t="shared" si="210"/>
        <v>1360</v>
      </c>
      <c r="AA194" s="74">
        <v>0</v>
      </c>
      <c r="AB194" s="74">
        <f t="shared" si="211"/>
        <v>1360</v>
      </c>
      <c r="AC194" s="74">
        <v>0</v>
      </c>
      <c r="AD194" s="74">
        <f t="shared" si="212"/>
        <v>1360</v>
      </c>
      <c r="AE194" s="74">
        <v>0</v>
      </c>
      <c r="AF194" s="74">
        <f t="shared" si="213"/>
        <v>1360</v>
      </c>
      <c r="AG194" s="74">
        <v>0</v>
      </c>
      <c r="AH194" s="74">
        <f t="shared" si="214"/>
        <v>1360</v>
      </c>
    </row>
    <row r="195" spans="1:34" s="27" customFormat="1" ht="21" customHeight="1">
      <c r="A195" s="76"/>
      <c r="B195" s="75"/>
      <c r="C195" s="58">
        <v>4240</v>
      </c>
      <c r="D195" s="14" t="s">
        <v>387</v>
      </c>
      <c r="E195" s="74">
        <f>14050+50000</f>
        <v>64050</v>
      </c>
      <c r="F195" s="74"/>
      <c r="G195" s="74"/>
      <c r="H195" s="74">
        <f t="shared" si="215"/>
        <v>64050</v>
      </c>
      <c r="I195" s="74"/>
      <c r="J195" s="74">
        <f t="shared" si="174"/>
        <v>64050</v>
      </c>
      <c r="K195" s="74">
        <v>0</v>
      </c>
      <c r="L195" s="74">
        <f t="shared" si="175"/>
        <v>64050</v>
      </c>
      <c r="M195" s="74">
        <v>0</v>
      </c>
      <c r="N195" s="74">
        <f t="shared" si="204"/>
        <v>64050</v>
      </c>
      <c r="O195" s="74">
        <v>0</v>
      </c>
      <c r="P195" s="74">
        <f t="shared" si="205"/>
        <v>64050</v>
      </c>
      <c r="Q195" s="74">
        <v>1090</v>
      </c>
      <c r="R195" s="74">
        <f t="shared" si="206"/>
        <v>65140</v>
      </c>
      <c r="S195" s="74">
        <v>0</v>
      </c>
      <c r="T195" s="74">
        <f t="shared" si="207"/>
        <v>65140</v>
      </c>
      <c r="U195" s="74">
        <v>0</v>
      </c>
      <c r="V195" s="74">
        <f t="shared" si="208"/>
        <v>65140</v>
      </c>
      <c r="W195" s="74">
        <v>0</v>
      </c>
      <c r="X195" s="74">
        <f t="shared" si="209"/>
        <v>65140</v>
      </c>
      <c r="Y195" s="74">
        <v>0</v>
      </c>
      <c r="Z195" s="74">
        <f t="shared" si="210"/>
        <v>65140</v>
      </c>
      <c r="AA195" s="74">
        <v>0</v>
      </c>
      <c r="AB195" s="74">
        <f t="shared" si="211"/>
        <v>65140</v>
      </c>
      <c r="AC195" s="74">
        <v>0</v>
      </c>
      <c r="AD195" s="74">
        <f t="shared" si="212"/>
        <v>65140</v>
      </c>
      <c r="AE195" s="74">
        <v>-500</v>
      </c>
      <c r="AF195" s="74">
        <f t="shared" si="213"/>
        <v>64640</v>
      </c>
      <c r="AG195" s="74">
        <v>685</v>
      </c>
      <c r="AH195" s="74">
        <f t="shared" si="214"/>
        <v>65325</v>
      </c>
    </row>
    <row r="196" spans="1:34" s="27" customFormat="1" ht="21" customHeight="1">
      <c r="A196" s="76"/>
      <c r="B196" s="75"/>
      <c r="C196" s="76">
        <v>4260</v>
      </c>
      <c r="D196" s="14" t="s">
        <v>357</v>
      </c>
      <c r="E196" s="74">
        <v>471760</v>
      </c>
      <c r="F196" s="74"/>
      <c r="G196" s="74"/>
      <c r="H196" s="74">
        <f t="shared" si="215"/>
        <v>471760</v>
      </c>
      <c r="I196" s="74"/>
      <c r="J196" s="74">
        <f t="shared" si="174"/>
        <v>471760</v>
      </c>
      <c r="K196" s="74">
        <v>0</v>
      </c>
      <c r="L196" s="74">
        <f t="shared" si="175"/>
        <v>471760</v>
      </c>
      <c r="M196" s="74">
        <v>0</v>
      </c>
      <c r="N196" s="74">
        <f t="shared" si="204"/>
        <v>471760</v>
      </c>
      <c r="O196" s="74">
        <v>0</v>
      </c>
      <c r="P196" s="74">
        <f t="shared" si="205"/>
        <v>471760</v>
      </c>
      <c r="Q196" s="74">
        <v>0</v>
      </c>
      <c r="R196" s="74">
        <f t="shared" si="206"/>
        <v>471760</v>
      </c>
      <c r="S196" s="74">
        <v>0</v>
      </c>
      <c r="T196" s="74">
        <f t="shared" si="207"/>
        <v>471760</v>
      </c>
      <c r="U196" s="74">
        <v>0</v>
      </c>
      <c r="V196" s="74">
        <f t="shared" si="208"/>
        <v>471760</v>
      </c>
      <c r="W196" s="74">
        <v>-2400</v>
      </c>
      <c r="X196" s="74">
        <f t="shared" si="209"/>
        <v>469360</v>
      </c>
      <c r="Y196" s="74">
        <v>0</v>
      </c>
      <c r="Z196" s="74">
        <f t="shared" si="210"/>
        <v>469360</v>
      </c>
      <c r="AA196" s="74">
        <v>0</v>
      </c>
      <c r="AB196" s="74">
        <f t="shared" si="211"/>
        <v>469360</v>
      </c>
      <c r="AC196" s="74">
        <v>0</v>
      </c>
      <c r="AD196" s="74">
        <f t="shared" si="212"/>
        <v>469360</v>
      </c>
      <c r="AE196" s="74">
        <f>-20738+265</f>
        <v>-20473</v>
      </c>
      <c r="AF196" s="74">
        <f t="shared" si="213"/>
        <v>448887</v>
      </c>
      <c r="AG196" s="74">
        <v>-120</v>
      </c>
      <c r="AH196" s="74">
        <f t="shared" si="214"/>
        <v>448767</v>
      </c>
    </row>
    <row r="197" spans="1:34" s="27" customFormat="1" ht="21" customHeight="1">
      <c r="A197" s="76"/>
      <c r="B197" s="75"/>
      <c r="C197" s="76">
        <v>4270</v>
      </c>
      <c r="D197" s="14" t="s">
        <v>339</v>
      </c>
      <c r="E197" s="74">
        <f>300000+71200</f>
        <v>371200</v>
      </c>
      <c r="F197" s="74"/>
      <c r="G197" s="74"/>
      <c r="H197" s="74">
        <f t="shared" si="215"/>
        <v>371200</v>
      </c>
      <c r="I197" s="74"/>
      <c r="J197" s="74">
        <f t="shared" si="174"/>
        <v>371200</v>
      </c>
      <c r="K197" s="74">
        <v>2372</v>
      </c>
      <c r="L197" s="74">
        <f t="shared" si="175"/>
        <v>373572</v>
      </c>
      <c r="M197" s="74">
        <v>0</v>
      </c>
      <c r="N197" s="74">
        <f t="shared" si="204"/>
        <v>373572</v>
      </c>
      <c r="O197" s="74">
        <f>-850+850</f>
        <v>0</v>
      </c>
      <c r="P197" s="74">
        <f t="shared" si="205"/>
        <v>373572</v>
      </c>
      <c r="Q197" s="210">
        <v>13787</v>
      </c>
      <c r="R197" s="74">
        <f t="shared" si="206"/>
        <v>387359</v>
      </c>
      <c r="S197" s="138">
        <v>0</v>
      </c>
      <c r="T197" s="74">
        <f t="shared" si="207"/>
        <v>387359</v>
      </c>
      <c r="U197" s="138">
        <v>0</v>
      </c>
      <c r="V197" s="74">
        <f t="shared" si="208"/>
        <v>387359</v>
      </c>
      <c r="W197" s="138">
        <f>21624-6000-1000+15000</f>
        <v>29624</v>
      </c>
      <c r="X197" s="74">
        <f t="shared" si="209"/>
        <v>416983</v>
      </c>
      <c r="Y197" s="138">
        <v>0</v>
      </c>
      <c r="Z197" s="74">
        <f t="shared" si="210"/>
        <v>416983</v>
      </c>
      <c r="AA197" s="138">
        <v>0</v>
      </c>
      <c r="AB197" s="74">
        <f t="shared" si="211"/>
        <v>416983</v>
      </c>
      <c r="AC197" s="138">
        <v>0</v>
      </c>
      <c r="AD197" s="74">
        <f t="shared" si="212"/>
        <v>416983</v>
      </c>
      <c r="AE197" s="138">
        <v>2821</v>
      </c>
      <c r="AF197" s="74">
        <f t="shared" si="213"/>
        <v>419804</v>
      </c>
      <c r="AG197" s="138">
        <v>0</v>
      </c>
      <c r="AH197" s="74">
        <f t="shared" si="214"/>
        <v>419804</v>
      </c>
    </row>
    <row r="198" spans="1:34" s="27" customFormat="1" ht="21" customHeight="1">
      <c r="A198" s="76"/>
      <c r="B198" s="75"/>
      <c r="C198" s="76">
        <v>4280</v>
      </c>
      <c r="D198" s="14" t="s">
        <v>508</v>
      </c>
      <c r="E198" s="74">
        <v>21650</v>
      </c>
      <c r="F198" s="74"/>
      <c r="G198" s="74"/>
      <c r="H198" s="74">
        <f t="shared" si="215"/>
        <v>21650</v>
      </c>
      <c r="I198" s="74"/>
      <c r="J198" s="74">
        <f t="shared" si="174"/>
        <v>21650</v>
      </c>
      <c r="K198" s="74">
        <v>0</v>
      </c>
      <c r="L198" s="74">
        <f t="shared" si="175"/>
        <v>21650</v>
      </c>
      <c r="M198" s="74">
        <v>0</v>
      </c>
      <c r="N198" s="74">
        <f t="shared" si="204"/>
        <v>21650</v>
      </c>
      <c r="O198" s="74">
        <v>0</v>
      </c>
      <c r="P198" s="74">
        <f t="shared" si="205"/>
        <v>21650</v>
      </c>
      <c r="Q198" s="74">
        <v>0</v>
      </c>
      <c r="R198" s="74">
        <f t="shared" si="206"/>
        <v>21650</v>
      </c>
      <c r="S198" s="74">
        <v>0</v>
      </c>
      <c r="T198" s="74">
        <f t="shared" si="207"/>
        <v>21650</v>
      </c>
      <c r="U198" s="74">
        <v>0</v>
      </c>
      <c r="V198" s="74">
        <f t="shared" si="208"/>
        <v>21650</v>
      </c>
      <c r="W198" s="74">
        <v>0</v>
      </c>
      <c r="X198" s="74">
        <f t="shared" si="209"/>
        <v>21650</v>
      </c>
      <c r="Y198" s="74">
        <v>0</v>
      </c>
      <c r="Z198" s="74">
        <f t="shared" si="210"/>
        <v>21650</v>
      </c>
      <c r="AA198" s="74">
        <v>0</v>
      </c>
      <c r="AB198" s="74">
        <f t="shared" si="211"/>
        <v>21650</v>
      </c>
      <c r="AC198" s="74">
        <v>0</v>
      </c>
      <c r="AD198" s="74">
        <f t="shared" si="212"/>
        <v>21650</v>
      </c>
      <c r="AE198" s="74">
        <v>-1768</v>
      </c>
      <c r="AF198" s="74">
        <f t="shared" si="213"/>
        <v>19882</v>
      </c>
      <c r="AG198" s="74">
        <v>-340</v>
      </c>
      <c r="AH198" s="74">
        <f t="shared" si="214"/>
        <v>19542</v>
      </c>
    </row>
    <row r="199" spans="1:34" s="27" customFormat="1" ht="21" customHeight="1">
      <c r="A199" s="76"/>
      <c r="B199" s="75"/>
      <c r="C199" s="76">
        <v>4300</v>
      </c>
      <c r="D199" s="14" t="s">
        <v>340</v>
      </c>
      <c r="E199" s="74">
        <f>4000+85000</f>
        <v>89000</v>
      </c>
      <c r="F199" s="74"/>
      <c r="G199" s="74"/>
      <c r="H199" s="74">
        <f t="shared" si="215"/>
        <v>89000</v>
      </c>
      <c r="I199" s="74">
        <v>-4200</v>
      </c>
      <c r="J199" s="74">
        <f t="shared" si="174"/>
        <v>84800</v>
      </c>
      <c r="K199" s="74">
        <v>463</v>
      </c>
      <c r="L199" s="74">
        <f t="shared" si="175"/>
        <v>85263</v>
      </c>
      <c r="M199" s="74">
        <v>0</v>
      </c>
      <c r="N199" s="74">
        <f t="shared" si="204"/>
        <v>85263</v>
      </c>
      <c r="O199" s="74">
        <v>1000</v>
      </c>
      <c r="P199" s="74">
        <f t="shared" si="205"/>
        <v>86263</v>
      </c>
      <c r="Q199" s="74">
        <v>400</v>
      </c>
      <c r="R199" s="74">
        <f t="shared" si="206"/>
        <v>86663</v>
      </c>
      <c r="S199" s="74">
        <v>0</v>
      </c>
      <c r="T199" s="74">
        <f t="shared" si="207"/>
        <v>86663</v>
      </c>
      <c r="U199" s="74">
        <v>0</v>
      </c>
      <c r="V199" s="74">
        <f t="shared" si="208"/>
        <v>86663</v>
      </c>
      <c r="W199" s="74">
        <f>13700+1800</f>
        <v>15500</v>
      </c>
      <c r="X199" s="74">
        <f t="shared" si="209"/>
        <v>102163</v>
      </c>
      <c r="Y199" s="74">
        <v>0</v>
      </c>
      <c r="Z199" s="74">
        <f t="shared" si="210"/>
        <v>102163</v>
      </c>
      <c r="AA199" s="74">
        <v>0</v>
      </c>
      <c r="AB199" s="74">
        <f t="shared" si="211"/>
        <v>102163</v>
      </c>
      <c r="AC199" s="74">
        <v>0</v>
      </c>
      <c r="AD199" s="74">
        <f t="shared" si="212"/>
        <v>102163</v>
      </c>
      <c r="AE199" s="74">
        <v>18013</v>
      </c>
      <c r="AF199" s="74">
        <f t="shared" si="213"/>
        <v>120176</v>
      </c>
      <c r="AG199" s="74">
        <v>1600</v>
      </c>
      <c r="AH199" s="74">
        <f t="shared" si="214"/>
        <v>121776</v>
      </c>
    </row>
    <row r="200" spans="1:34" s="27" customFormat="1" ht="21" customHeight="1">
      <c r="A200" s="76"/>
      <c r="B200" s="75"/>
      <c r="C200" s="76">
        <v>4350</v>
      </c>
      <c r="D200" s="14" t="s">
        <v>525</v>
      </c>
      <c r="E200" s="74">
        <v>6150</v>
      </c>
      <c r="F200" s="74"/>
      <c r="G200" s="74"/>
      <c r="H200" s="74">
        <f t="shared" si="215"/>
        <v>6150</v>
      </c>
      <c r="I200" s="74"/>
      <c r="J200" s="74">
        <f t="shared" si="174"/>
        <v>6150</v>
      </c>
      <c r="K200" s="74">
        <v>0</v>
      </c>
      <c r="L200" s="74">
        <f t="shared" si="175"/>
        <v>6150</v>
      </c>
      <c r="M200" s="74">
        <v>0</v>
      </c>
      <c r="N200" s="74">
        <f t="shared" si="204"/>
        <v>6150</v>
      </c>
      <c r="O200" s="74">
        <v>0</v>
      </c>
      <c r="P200" s="74">
        <f t="shared" si="205"/>
        <v>6150</v>
      </c>
      <c r="Q200" s="74">
        <v>0</v>
      </c>
      <c r="R200" s="74">
        <f t="shared" si="206"/>
        <v>6150</v>
      </c>
      <c r="S200" s="74">
        <v>0</v>
      </c>
      <c r="T200" s="74">
        <f t="shared" si="207"/>
        <v>6150</v>
      </c>
      <c r="U200" s="74">
        <v>0</v>
      </c>
      <c r="V200" s="74">
        <f t="shared" si="208"/>
        <v>6150</v>
      </c>
      <c r="W200" s="74">
        <v>0</v>
      </c>
      <c r="X200" s="74">
        <f t="shared" si="209"/>
        <v>6150</v>
      </c>
      <c r="Y200" s="74">
        <v>0</v>
      </c>
      <c r="Z200" s="74">
        <f t="shared" si="210"/>
        <v>6150</v>
      </c>
      <c r="AA200" s="74">
        <v>0</v>
      </c>
      <c r="AB200" s="74">
        <f t="shared" si="211"/>
        <v>6150</v>
      </c>
      <c r="AC200" s="74">
        <v>0</v>
      </c>
      <c r="AD200" s="74">
        <f t="shared" si="212"/>
        <v>6150</v>
      </c>
      <c r="AE200" s="74">
        <v>-2310</v>
      </c>
      <c r="AF200" s="74">
        <f t="shared" si="213"/>
        <v>3840</v>
      </c>
      <c r="AG200" s="74">
        <v>0</v>
      </c>
      <c r="AH200" s="74">
        <f t="shared" si="214"/>
        <v>3840</v>
      </c>
    </row>
    <row r="201" spans="1:34" s="27" customFormat="1" ht="24">
      <c r="A201" s="76"/>
      <c r="B201" s="75"/>
      <c r="C201" s="76">
        <v>4370</v>
      </c>
      <c r="D201" s="14" t="s">
        <v>568</v>
      </c>
      <c r="E201" s="74">
        <v>15150</v>
      </c>
      <c r="F201" s="74"/>
      <c r="G201" s="74"/>
      <c r="H201" s="74">
        <f t="shared" si="215"/>
        <v>15150</v>
      </c>
      <c r="I201" s="74"/>
      <c r="J201" s="74">
        <f t="shared" si="174"/>
        <v>15150</v>
      </c>
      <c r="K201" s="74">
        <v>1551</v>
      </c>
      <c r="L201" s="74">
        <f t="shared" si="175"/>
        <v>16701</v>
      </c>
      <c r="M201" s="74">
        <v>0</v>
      </c>
      <c r="N201" s="74">
        <f t="shared" si="204"/>
        <v>16701</v>
      </c>
      <c r="O201" s="74">
        <v>0</v>
      </c>
      <c r="P201" s="74">
        <f t="shared" si="205"/>
        <v>16701</v>
      </c>
      <c r="Q201" s="74">
        <v>0</v>
      </c>
      <c r="R201" s="74">
        <f t="shared" si="206"/>
        <v>16701</v>
      </c>
      <c r="S201" s="74">
        <v>0</v>
      </c>
      <c r="T201" s="74">
        <f t="shared" si="207"/>
        <v>16701</v>
      </c>
      <c r="U201" s="74">
        <v>0</v>
      </c>
      <c r="V201" s="74">
        <f t="shared" si="208"/>
        <v>16701</v>
      </c>
      <c r="W201" s="74">
        <v>300</v>
      </c>
      <c r="X201" s="74">
        <f t="shared" si="209"/>
        <v>17001</v>
      </c>
      <c r="Y201" s="74">
        <v>0</v>
      </c>
      <c r="Z201" s="74">
        <f t="shared" si="210"/>
        <v>17001</v>
      </c>
      <c r="AA201" s="74">
        <v>0</v>
      </c>
      <c r="AB201" s="74">
        <f t="shared" si="211"/>
        <v>17001</v>
      </c>
      <c r="AC201" s="74">
        <v>0</v>
      </c>
      <c r="AD201" s="74">
        <f t="shared" si="212"/>
        <v>17001</v>
      </c>
      <c r="AE201" s="74">
        <v>-1272</v>
      </c>
      <c r="AF201" s="74">
        <f t="shared" si="213"/>
        <v>15729</v>
      </c>
      <c r="AG201" s="74">
        <v>277</v>
      </c>
      <c r="AH201" s="74">
        <f t="shared" si="214"/>
        <v>16006</v>
      </c>
    </row>
    <row r="202" spans="1:34" s="27" customFormat="1" ht="21" customHeight="1">
      <c r="A202" s="76"/>
      <c r="B202" s="75"/>
      <c r="C202" s="76">
        <v>4390</v>
      </c>
      <c r="D202" s="14" t="s">
        <v>574</v>
      </c>
      <c r="E202" s="74">
        <v>14500</v>
      </c>
      <c r="F202" s="74"/>
      <c r="G202" s="74"/>
      <c r="H202" s="74">
        <f t="shared" si="215"/>
        <v>14500</v>
      </c>
      <c r="I202" s="74"/>
      <c r="J202" s="74">
        <f t="shared" si="174"/>
        <v>14500</v>
      </c>
      <c r="K202" s="74">
        <v>0</v>
      </c>
      <c r="L202" s="74">
        <f t="shared" si="175"/>
        <v>14500</v>
      </c>
      <c r="M202" s="74">
        <v>0</v>
      </c>
      <c r="N202" s="74">
        <f t="shared" si="204"/>
        <v>14500</v>
      </c>
      <c r="O202" s="74">
        <v>0</v>
      </c>
      <c r="P202" s="74">
        <f t="shared" si="205"/>
        <v>14500</v>
      </c>
      <c r="Q202" s="74">
        <v>0</v>
      </c>
      <c r="R202" s="74">
        <f t="shared" si="206"/>
        <v>14500</v>
      </c>
      <c r="S202" s="74">
        <v>0</v>
      </c>
      <c r="T202" s="74">
        <f t="shared" si="207"/>
        <v>14500</v>
      </c>
      <c r="U202" s="74">
        <v>0</v>
      </c>
      <c r="V202" s="74">
        <f t="shared" si="208"/>
        <v>14500</v>
      </c>
      <c r="W202" s="74">
        <v>-6800</v>
      </c>
      <c r="X202" s="74">
        <f t="shared" si="209"/>
        <v>7700</v>
      </c>
      <c r="Y202" s="74">
        <v>0</v>
      </c>
      <c r="Z202" s="74">
        <f t="shared" si="210"/>
        <v>7700</v>
      </c>
      <c r="AA202" s="74">
        <v>0</v>
      </c>
      <c r="AB202" s="74">
        <f t="shared" si="211"/>
        <v>7700</v>
      </c>
      <c r="AC202" s="74">
        <v>0</v>
      </c>
      <c r="AD202" s="74">
        <f t="shared" si="212"/>
        <v>7700</v>
      </c>
      <c r="AE202" s="74">
        <v>-4300</v>
      </c>
      <c r="AF202" s="74">
        <f t="shared" si="213"/>
        <v>3400</v>
      </c>
      <c r="AG202" s="74">
        <v>0</v>
      </c>
      <c r="AH202" s="74">
        <f t="shared" si="214"/>
        <v>3400</v>
      </c>
    </row>
    <row r="203" spans="1:34" s="27" customFormat="1" ht="21" customHeight="1">
      <c r="A203" s="76"/>
      <c r="B203" s="75"/>
      <c r="C203" s="76">
        <v>4410</v>
      </c>
      <c r="D203" s="14" t="s">
        <v>352</v>
      </c>
      <c r="E203" s="74">
        <v>13800</v>
      </c>
      <c r="F203" s="74"/>
      <c r="G203" s="74"/>
      <c r="H203" s="74">
        <f t="shared" si="215"/>
        <v>13800</v>
      </c>
      <c r="I203" s="74"/>
      <c r="J203" s="74">
        <f t="shared" si="174"/>
        <v>13800</v>
      </c>
      <c r="K203" s="74">
        <v>0</v>
      </c>
      <c r="L203" s="74">
        <f t="shared" si="175"/>
        <v>13800</v>
      </c>
      <c r="M203" s="74">
        <v>0</v>
      </c>
      <c r="N203" s="74">
        <f t="shared" si="204"/>
        <v>13800</v>
      </c>
      <c r="O203" s="74">
        <v>0</v>
      </c>
      <c r="P203" s="74">
        <f t="shared" si="205"/>
        <v>13800</v>
      </c>
      <c r="Q203" s="74">
        <v>0</v>
      </c>
      <c r="R203" s="74">
        <f t="shared" si="206"/>
        <v>13800</v>
      </c>
      <c r="S203" s="74">
        <v>0</v>
      </c>
      <c r="T203" s="74">
        <f t="shared" si="207"/>
        <v>13800</v>
      </c>
      <c r="U203" s="74">
        <v>0</v>
      </c>
      <c r="V203" s="74">
        <f t="shared" si="208"/>
        <v>13800</v>
      </c>
      <c r="W203" s="74">
        <v>0</v>
      </c>
      <c r="X203" s="74">
        <f t="shared" si="209"/>
        <v>13800</v>
      </c>
      <c r="Y203" s="74">
        <v>0</v>
      </c>
      <c r="Z203" s="74">
        <f t="shared" si="210"/>
        <v>13800</v>
      </c>
      <c r="AA203" s="74">
        <v>0</v>
      </c>
      <c r="AB203" s="74">
        <f t="shared" si="211"/>
        <v>13800</v>
      </c>
      <c r="AC203" s="74">
        <v>0</v>
      </c>
      <c r="AD203" s="74">
        <f t="shared" si="212"/>
        <v>13800</v>
      </c>
      <c r="AE203" s="74">
        <v>2828</v>
      </c>
      <c r="AF203" s="74">
        <f t="shared" si="213"/>
        <v>16628</v>
      </c>
      <c r="AG203" s="74">
        <v>-667</v>
      </c>
      <c r="AH203" s="74">
        <f t="shared" si="214"/>
        <v>15961</v>
      </c>
    </row>
    <row r="204" spans="1:34" s="27" customFormat="1" ht="21" customHeight="1">
      <c r="A204" s="76"/>
      <c r="B204" s="75"/>
      <c r="C204" s="85">
        <v>4430</v>
      </c>
      <c r="D204" s="14" t="s">
        <v>356</v>
      </c>
      <c r="E204" s="74">
        <v>6100</v>
      </c>
      <c r="F204" s="74"/>
      <c r="G204" s="74"/>
      <c r="H204" s="74">
        <f t="shared" si="215"/>
        <v>6100</v>
      </c>
      <c r="I204" s="74"/>
      <c r="J204" s="74">
        <f t="shared" si="174"/>
        <v>6100</v>
      </c>
      <c r="K204" s="74">
        <v>300</v>
      </c>
      <c r="L204" s="74">
        <f t="shared" si="175"/>
        <v>6400</v>
      </c>
      <c r="M204" s="74">
        <v>0</v>
      </c>
      <c r="N204" s="74">
        <f t="shared" si="204"/>
        <v>6400</v>
      </c>
      <c r="O204" s="74">
        <v>0</v>
      </c>
      <c r="P204" s="74">
        <f t="shared" si="205"/>
        <v>6400</v>
      </c>
      <c r="Q204" s="74">
        <v>804</v>
      </c>
      <c r="R204" s="74">
        <f t="shared" si="206"/>
        <v>7204</v>
      </c>
      <c r="S204" s="74">
        <v>0</v>
      </c>
      <c r="T204" s="74">
        <f t="shared" si="207"/>
        <v>7204</v>
      </c>
      <c r="U204" s="74">
        <v>0</v>
      </c>
      <c r="V204" s="74">
        <f t="shared" si="208"/>
        <v>7204</v>
      </c>
      <c r="W204" s="74">
        <f>-1500-200</f>
        <v>-1700</v>
      </c>
      <c r="X204" s="74">
        <f t="shared" si="209"/>
        <v>5504</v>
      </c>
      <c r="Y204" s="74">
        <v>0</v>
      </c>
      <c r="Z204" s="74">
        <f t="shared" si="210"/>
        <v>5504</v>
      </c>
      <c r="AA204" s="74">
        <v>0</v>
      </c>
      <c r="AB204" s="74">
        <f t="shared" si="211"/>
        <v>5504</v>
      </c>
      <c r="AC204" s="74">
        <v>0</v>
      </c>
      <c r="AD204" s="74">
        <f t="shared" si="212"/>
        <v>5504</v>
      </c>
      <c r="AE204" s="74">
        <v>106</v>
      </c>
      <c r="AF204" s="74">
        <f t="shared" si="213"/>
        <v>5610</v>
      </c>
      <c r="AG204" s="74">
        <v>0</v>
      </c>
      <c r="AH204" s="74">
        <f t="shared" si="214"/>
        <v>5610</v>
      </c>
    </row>
    <row r="205" spans="1:34" s="27" customFormat="1" ht="21" customHeight="1">
      <c r="A205" s="76"/>
      <c r="B205" s="75"/>
      <c r="C205" s="85">
        <v>4440</v>
      </c>
      <c r="D205" s="14" t="s">
        <v>349</v>
      </c>
      <c r="E205" s="74">
        <v>347245</v>
      </c>
      <c r="F205" s="74"/>
      <c r="G205" s="74"/>
      <c r="H205" s="74">
        <f t="shared" si="215"/>
        <v>347245</v>
      </c>
      <c r="I205" s="74"/>
      <c r="J205" s="74">
        <f t="shared" si="174"/>
        <v>347245</v>
      </c>
      <c r="K205" s="74">
        <v>0</v>
      </c>
      <c r="L205" s="74">
        <f t="shared" si="175"/>
        <v>347245</v>
      </c>
      <c r="M205" s="74">
        <v>0</v>
      </c>
      <c r="N205" s="74">
        <f t="shared" si="204"/>
        <v>347245</v>
      </c>
      <c r="O205" s="74">
        <v>0</v>
      </c>
      <c r="P205" s="74">
        <f t="shared" si="205"/>
        <v>347245</v>
      </c>
      <c r="Q205" s="74">
        <v>0</v>
      </c>
      <c r="R205" s="74">
        <f t="shared" si="206"/>
        <v>347245</v>
      </c>
      <c r="S205" s="74">
        <v>0</v>
      </c>
      <c r="T205" s="74">
        <f t="shared" si="207"/>
        <v>347245</v>
      </c>
      <c r="U205" s="74">
        <v>0</v>
      </c>
      <c r="V205" s="74">
        <f t="shared" si="208"/>
        <v>347245</v>
      </c>
      <c r="W205" s="74">
        <v>0</v>
      </c>
      <c r="X205" s="74">
        <f t="shared" si="209"/>
        <v>347245</v>
      </c>
      <c r="Y205" s="74">
        <v>0</v>
      </c>
      <c r="Z205" s="74">
        <f t="shared" si="210"/>
        <v>347245</v>
      </c>
      <c r="AA205" s="74">
        <v>0</v>
      </c>
      <c r="AB205" s="74">
        <f t="shared" si="211"/>
        <v>347245</v>
      </c>
      <c r="AC205" s="74">
        <v>0</v>
      </c>
      <c r="AD205" s="74">
        <f t="shared" si="212"/>
        <v>347245</v>
      </c>
      <c r="AE205" s="74">
        <v>19089</v>
      </c>
      <c r="AF205" s="74">
        <f t="shared" si="213"/>
        <v>366334</v>
      </c>
      <c r="AG205" s="74">
        <v>0</v>
      </c>
      <c r="AH205" s="74">
        <f t="shared" si="214"/>
        <v>366334</v>
      </c>
    </row>
    <row r="206" spans="1:34" s="27" customFormat="1" ht="21" customHeight="1">
      <c r="A206" s="76"/>
      <c r="B206" s="75"/>
      <c r="C206" s="85">
        <v>4700</v>
      </c>
      <c r="D206" s="14" t="s">
        <v>571</v>
      </c>
      <c r="E206" s="74"/>
      <c r="F206" s="74"/>
      <c r="G206" s="74"/>
      <c r="H206" s="74">
        <v>0</v>
      </c>
      <c r="I206" s="74">
        <v>6240</v>
      </c>
      <c r="J206" s="74">
        <f t="shared" si="174"/>
        <v>6240</v>
      </c>
      <c r="K206" s="74">
        <v>0</v>
      </c>
      <c r="L206" s="74">
        <f t="shared" si="175"/>
        <v>6240</v>
      </c>
      <c r="M206" s="74">
        <v>0</v>
      </c>
      <c r="N206" s="74">
        <f t="shared" si="204"/>
        <v>6240</v>
      </c>
      <c r="O206" s="74">
        <v>0</v>
      </c>
      <c r="P206" s="74">
        <f t="shared" si="205"/>
        <v>6240</v>
      </c>
      <c r="Q206" s="74">
        <v>0</v>
      </c>
      <c r="R206" s="74">
        <f t="shared" si="206"/>
        <v>6240</v>
      </c>
      <c r="S206" s="74">
        <v>0</v>
      </c>
      <c r="T206" s="74">
        <f t="shared" si="207"/>
        <v>6240</v>
      </c>
      <c r="U206" s="74">
        <v>0</v>
      </c>
      <c r="V206" s="74">
        <f t="shared" si="208"/>
        <v>6240</v>
      </c>
      <c r="W206" s="74">
        <v>-270</v>
      </c>
      <c r="X206" s="74">
        <f t="shared" si="209"/>
        <v>5970</v>
      </c>
      <c r="Y206" s="74">
        <v>0</v>
      </c>
      <c r="Z206" s="74">
        <f t="shared" si="210"/>
        <v>5970</v>
      </c>
      <c r="AA206" s="74">
        <v>0</v>
      </c>
      <c r="AB206" s="74">
        <f t="shared" si="211"/>
        <v>5970</v>
      </c>
      <c r="AC206" s="74">
        <v>0</v>
      </c>
      <c r="AD206" s="74">
        <f t="shared" si="212"/>
        <v>5970</v>
      </c>
      <c r="AE206" s="74">
        <v>-1070</v>
      </c>
      <c r="AF206" s="74">
        <f t="shared" si="213"/>
        <v>4900</v>
      </c>
      <c r="AG206" s="74">
        <v>300</v>
      </c>
      <c r="AH206" s="74">
        <f t="shared" si="214"/>
        <v>5200</v>
      </c>
    </row>
    <row r="207" spans="1:34" s="27" customFormat="1" ht="21" customHeight="1">
      <c r="A207" s="76"/>
      <c r="B207" s="75"/>
      <c r="C207" s="85">
        <v>4740</v>
      </c>
      <c r="D207" s="14" t="s">
        <v>185</v>
      </c>
      <c r="E207" s="74">
        <v>6800</v>
      </c>
      <c r="F207" s="74"/>
      <c r="G207" s="74"/>
      <c r="H207" s="74">
        <f aca="true" t="shared" si="216" ref="H207:H235">E207+F207-G207</f>
        <v>6800</v>
      </c>
      <c r="I207" s="74"/>
      <c r="J207" s="74">
        <f t="shared" si="174"/>
        <v>6800</v>
      </c>
      <c r="K207" s="74">
        <v>0</v>
      </c>
      <c r="L207" s="74">
        <f t="shared" si="175"/>
        <v>6800</v>
      </c>
      <c r="M207" s="74">
        <v>0</v>
      </c>
      <c r="N207" s="74">
        <f t="shared" si="204"/>
        <v>6800</v>
      </c>
      <c r="O207" s="74">
        <v>0</v>
      </c>
      <c r="P207" s="74">
        <f t="shared" si="205"/>
        <v>6800</v>
      </c>
      <c r="Q207" s="74">
        <v>0</v>
      </c>
      <c r="R207" s="74">
        <f t="shared" si="206"/>
        <v>6800</v>
      </c>
      <c r="S207" s="74">
        <v>0</v>
      </c>
      <c r="T207" s="74">
        <f t="shared" si="207"/>
        <v>6800</v>
      </c>
      <c r="U207" s="74">
        <v>0</v>
      </c>
      <c r="V207" s="74">
        <f t="shared" si="208"/>
        <v>6800</v>
      </c>
      <c r="W207" s="74">
        <v>-1500</v>
      </c>
      <c r="X207" s="74">
        <f t="shared" si="209"/>
        <v>5300</v>
      </c>
      <c r="Y207" s="74">
        <v>0</v>
      </c>
      <c r="Z207" s="74">
        <f t="shared" si="210"/>
        <v>5300</v>
      </c>
      <c r="AA207" s="74">
        <v>0</v>
      </c>
      <c r="AB207" s="74">
        <f t="shared" si="211"/>
        <v>5300</v>
      </c>
      <c r="AC207" s="74">
        <v>0</v>
      </c>
      <c r="AD207" s="74">
        <f t="shared" si="212"/>
        <v>5300</v>
      </c>
      <c r="AE207" s="74">
        <v>-140</v>
      </c>
      <c r="AF207" s="74">
        <f t="shared" si="213"/>
        <v>5160</v>
      </c>
      <c r="AG207" s="74">
        <v>0</v>
      </c>
      <c r="AH207" s="74">
        <f t="shared" si="214"/>
        <v>5160</v>
      </c>
    </row>
    <row r="208" spans="1:34" s="27" customFormat="1" ht="21" customHeight="1">
      <c r="A208" s="76"/>
      <c r="B208" s="75"/>
      <c r="C208" s="85">
        <v>4750</v>
      </c>
      <c r="D208" s="14" t="s">
        <v>572</v>
      </c>
      <c r="E208" s="74">
        <v>14400</v>
      </c>
      <c r="F208" s="74"/>
      <c r="G208" s="74"/>
      <c r="H208" s="74">
        <f t="shared" si="216"/>
        <v>14400</v>
      </c>
      <c r="I208" s="74"/>
      <c r="J208" s="74">
        <f t="shared" si="174"/>
        <v>14400</v>
      </c>
      <c r="K208" s="74">
        <v>0</v>
      </c>
      <c r="L208" s="74">
        <f t="shared" si="175"/>
        <v>14400</v>
      </c>
      <c r="M208" s="74">
        <v>0</v>
      </c>
      <c r="N208" s="74">
        <f t="shared" si="204"/>
        <v>14400</v>
      </c>
      <c r="O208" s="74">
        <v>7500</v>
      </c>
      <c r="P208" s="74">
        <f t="shared" si="205"/>
        <v>21900</v>
      </c>
      <c r="Q208" s="74">
        <v>1500</v>
      </c>
      <c r="R208" s="74">
        <f t="shared" si="206"/>
        <v>23400</v>
      </c>
      <c r="S208" s="74">
        <v>0</v>
      </c>
      <c r="T208" s="74">
        <f t="shared" si="207"/>
        <v>23400</v>
      </c>
      <c r="U208" s="74">
        <v>0</v>
      </c>
      <c r="V208" s="74">
        <f t="shared" si="208"/>
        <v>23400</v>
      </c>
      <c r="W208" s="74">
        <v>6500</v>
      </c>
      <c r="X208" s="74">
        <f t="shared" si="209"/>
        <v>29900</v>
      </c>
      <c r="Y208" s="74">
        <v>0</v>
      </c>
      <c r="Z208" s="74">
        <f t="shared" si="210"/>
        <v>29900</v>
      </c>
      <c r="AA208" s="74">
        <v>0</v>
      </c>
      <c r="AB208" s="74">
        <f t="shared" si="211"/>
        <v>29900</v>
      </c>
      <c r="AC208" s="74">
        <v>0</v>
      </c>
      <c r="AD208" s="74">
        <f t="shared" si="212"/>
        <v>29900</v>
      </c>
      <c r="AE208" s="74">
        <v>3396</v>
      </c>
      <c r="AF208" s="74">
        <f t="shared" si="213"/>
        <v>33296</v>
      </c>
      <c r="AG208" s="74">
        <v>-2000</v>
      </c>
      <c r="AH208" s="74">
        <f t="shared" si="214"/>
        <v>31296</v>
      </c>
    </row>
    <row r="209" spans="1:38" s="27" customFormat="1" ht="21" customHeight="1">
      <c r="A209" s="76"/>
      <c r="B209" s="75"/>
      <c r="C209" s="85">
        <v>6050</v>
      </c>
      <c r="D209" s="14" t="s">
        <v>334</v>
      </c>
      <c r="E209" s="74">
        <v>0</v>
      </c>
      <c r="F209" s="74">
        <v>150000</v>
      </c>
      <c r="G209" s="74"/>
      <c r="H209" s="74">
        <f t="shared" si="216"/>
        <v>150000</v>
      </c>
      <c r="I209" s="74">
        <v>-150000</v>
      </c>
      <c r="J209" s="74">
        <f t="shared" si="174"/>
        <v>0</v>
      </c>
      <c r="K209" s="74">
        <v>0</v>
      </c>
      <c r="L209" s="74">
        <f t="shared" si="175"/>
        <v>0</v>
      </c>
      <c r="M209" s="74">
        <v>0</v>
      </c>
      <c r="N209" s="74">
        <f t="shared" si="204"/>
        <v>0</v>
      </c>
      <c r="O209" s="74">
        <v>0</v>
      </c>
      <c r="P209" s="74">
        <f t="shared" si="205"/>
        <v>0</v>
      </c>
      <c r="Q209" s="74">
        <v>0</v>
      </c>
      <c r="R209" s="74">
        <f t="shared" si="206"/>
        <v>0</v>
      </c>
      <c r="S209" s="74">
        <v>0</v>
      </c>
      <c r="T209" s="74">
        <f t="shared" si="207"/>
        <v>0</v>
      </c>
      <c r="U209" s="74">
        <v>0</v>
      </c>
      <c r="V209" s="74">
        <f t="shared" si="208"/>
        <v>0</v>
      </c>
      <c r="W209" s="74">
        <v>0</v>
      </c>
      <c r="X209" s="74">
        <f t="shared" si="209"/>
        <v>0</v>
      </c>
      <c r="Y209" s="74">
        <v>0</v>
      </c>
      <c r="Z209" s="74">
        <f t="shared" si="210"/>
        <v>0</v>
      </c>
      <c r="AA209" s="74">
        <v>0</v>
      </c>
      <c r="AB209" s="74">
        <f t="shared" si="211"/>
        <v>0</v>
      </c>
      <c r="AC209" s="74">
        <v>0</v>
      </c>
      <c r="AD209" s="74">
        <f t="shared" si="212"/>
        <v>0</v>
      </c>
      <c r="AE209" s="74">
        <v>0</v>
      </c>
      <c r="AF209" s="74">
        <f t="shared" si="213"/>
        <v>0</v>
      </c>
      <c r="AG209" s="74">
        <v>0</v>
      </c>
      <c r="AH209" s="74">
        <f t="shared" si="214"/>
        <v>0</v>
      </c>
      <c r="AK209" s="119"/>
      <c r="AL209" s="119"/>
    </row>
    <row r="210" spans="1:38" s="27" customFormat="1" ht="21" customHeight="1">
      <c r="A210" s="76"/>
      <c r="B210" s="75"/>
      <c r="C210" s="85">
        <v>6060</v>
      </c>
      <c r="D210" s="14" t="s">
        <v>358</v>
      </c>
      <c r="E210" s="74">
        <f>34560</f>
        <v>34560</v>
      </c>
      <c r="F210" s="74"/>
      <c r="G210" s="74"/>
      <c r="H210" s="74">
        <f t="shared" si="216"/>
        <v>34560</v>
      </c>
      <c r="I210" s="74"/>
      <c r="J210" s="74">
        <f t="shared" si="174"/>
        <v>34560</v>
      </c>
      <c r="K210" s="74">
        <v>0</v>
      </c>
      <c r="L210" s="74">
        <f t="shared" si="175"/>
        <v>34560</v>
      </c>
      <c r="M210" s="74">
        <v>0</v>
      </c>
      <c r="N210" s="74">
        <f t="shared" si="204"/>
        <v>34560</v>
      </c>
      <c r="O210" s="74">
        <v>-8500</v>
      </c>
      <c r="P210" s="74">
        <f t="shared" si="205"/>
        <v>26060</v>
      </c>
      <c r="Q210" s="74">
        <v>-10560</v>
      </c>
      <c r="R210" s="74">
        <f t="shared" si="206"/>
        <v>15500</v>
      </c>
      <c r="S210" s="74">
        <v>0</v>
      </c>
      <c r="T210" s="74">
        <f t="shared" si="207"/>
        <v>15500</v>
      </c>
      <c r="U210" s="74">
        <v>0</v>
      </c>
      <c r="V210" s="74">
        <f t="shared" si="208"/>
        <v>15500</v>
      </c>
      <c r="W210" s="74">
        <v>-10500</v>
      </c>
      <c r="X210" s="74">
        <f t="shared" si="209"/>
        <v>5000</v>
      </c>
      <c r="Y210" s="74">
        <v>0</v>
      </c>
      <c r="Z210" s="74">
        <f t="shared" si="210"/>
        <v>5000</v>
      </c>
      <c r="AA210" s="74">
        <v>0</v>
      </c>
      <c r="AB210" s="74">
        <f t="shared" si="211"/>
        <v>5000</v>
      </c>
      <c r="AC210" s="74">
        <v>0</v>
      </c>
      <c r="AD210" s="74">
        <f t="shared" si="212"/>
        <v>5000</v>
      </c>
      <c r="AE210" s="74">
        <v>-1340</v>
      </c>
      <c r="AF210" s="74">
        <f t="shared" si="213"/>
        <v>3660</v>
      </c>
      <c r="AG210" s="74">
        <v>0</v>
      </c>
      <c r="AH210" s="74">
        <f t="shared" si="214"/>
        <v>3660</v>
      </c>
      <c r="AK210" s="119"/>
      <c r="AL210" s="119"/>
    </row>
    <row r="211" spans="1:34" s="27" customFormat="1" ht="27.75" customHeight="1">
      <c r="A211" s="76"/>
      <c r="B211" s="75">
        <v>80103</v>
      </c>
      <c r="C211" s="85"/>
      <c r="D211" s="14" t="s">
        <v>522</v>
      </c>
      <c r="E211" s="74">
        <f>SUM(E212:E223)</f>
        <v>356706</v>
      </c>
      <c r="F211" s="74">
        <f>SUM(F212:F223)</f>
        <v>0</v>
      </c>
      <c r="G211" s="74">
        <f>SUM(G212:G223)</f>
        <v>0</v>
      </c>
      <c r="H211" s="74">
        <f t="shared" si="216"/>
        <v>356706</v>
      </c>
      <c r="I211" s="74">
        <f aca="true" t="shared" si="217" ref="I211:N211">SUM(I212:I223)</f>
        <v>0</v>
      </c>
      <c r="J211" s="74">
        <f t="shared" si="217"/>
        <v>356706</v>
      </c>
      <c r="K211" s="74">
        <f t="shared" si="217"/>
        <v>0</v>
      </c>
      <c r="L211" s="74">
        <f t="shared" si="217"/>
        <v>356706</v>
      </c>
      <c r="M211" s="74">
        <f t="shared" si="217"/>
        <v>0</v>
      </c>
      <c r="N211" s="74">
        <f t="shared" si="217"/>
        <v>356706</v>
      </c>
      <c r="O211" s="74">
        <f aca="true" t="shared" si="218" ref="O211:T211">SUM(O212:O223)</f>
        <v>0</v>
      </c>
      <c r="P211" s="74">
        <f t="shared" si="218"/>
        <v>356706</v>
      </c>
      <c r="Q211" s="74">
        <f t="shared" si="218"/>
        <v>13458</v>
      </c>
      <c r="R211" s="74">
        <f t="shared" si="218"/>
        <v>370164</v>
      </c>
      <c r="S211" s="74">
        <f t="shared" si="218"/>
        <v>0</v>
      </c>
      <c r="T211" s="74">
        <f t="shared" si="218"/>
        <v>370164</v>
      </c>
      <c r="U211" s="74">
        <f aca="true" t="shared" si="219" ref="U211:Z211">SUM(U212:U223)</f>
        <v>0</v>
      </c>
      <c r="V211" s="74">
        <f t="shared" si="219"/>
        <v>370164</v>
      </c>
      <c r="W211" s="74">
        <f t="shared" si="219"/>
        <v>900</v>
      </c>
      <c r="X211" s="74">
        <f t="shared" si="219"/>
        <v>371064</v>
      </c>
      <c r="Y211" s="74">
        <f t="shared" si="219"/>
        <v>0</v>
      </c>
      <c r="Z211" s="74">
        <f t="shared" si="219"/>
        <v>371064</v>
      </c>
      <c r="AA211" s="74">
        <f aca="true" t="shared" si="220" ref="AA211:AF211">SUM(AA212:AA223)</f>
        <v>0</v>
      </c>
      <c r="AB211" s="74">
        <f t="shared" si="220"/>
        <v>371064</v>
      </c>
      <c r="AC211" s="74">
        <f t="shared" si="220"/>
        <v>0</v>
      </c>
      <c r="AD211" s="74">
        <f t="shared" si="220"/>
        <v>371064</v>
      </c>
      <c r="AE211" s="74">
        <f t="shared" si="220"/>
        <v>-6001</v>
      </c>
      <c r="AF211" s="74">
        <f t="shared" si="220"/>
        <v>365063</v>
      </c>
      <c r="AG211" s="74">
        <f>SUM(AG212:AG223)</f>
        <v>0</v>
      </c>
      <c r="AH211" s="74">
        <f>SUM(AH212:AH223)</f>
        <v>365063</v>
      </c>
    </row>
    <row r="212" spans="1:34" s="27" customFormat="1" ht="31.5" customHeight="1">
      <c r="A212" s="76"/>
      <c r="B212" s="75"/>
      <c r="C212" s="58">
        <v>2540</v>
      </c>
      <c r="D212" s="14" t="s">
        <v>465</v>
      </c>
      <c r="E212" s="74">
        <v>67245</v>
      </c>
      <c r="F212" s="74"/>
      <c r="G212" s="74"/>
      <c r="H212" s="74">
        <f t="shared" si="216"/>
        <v>67245</v>
      </c>
      <c r="I212" s="74"/>
      <c r="J212" s="74">
        <f t="shared" si="174"/>
        <v>67245</v>
      </c>
      <c r="K212" s="74">
        <v>0</v>
      </c>
      <c r="L212" s="74">
        <f t="shared" si="175"/>
        <v>67245</v>
      </c>
      <c r="M212" s="74">
        <v>0</v>
      </c>
      <c r="N212" s="74">
        <f aca="true" t="shared" si="221" ref="N212:N223">SUM(L212:M212)</f>
        <v>67245</v>
      </c>
      <c r="O212" s="74">
        <v>0</v>
      </c>
      <c r="P212" s="74">
        <f aca="true" t="shared" si="222" ref="P212:P223">SUM(N212:O212)</f>
        <v>67245</v>
      </c>
      <c r="Q212" s="74">
        <v>0</v>
      </c>
      <c r="R212" s="74">
        <f aca="true" t="shared" si="223" ref="R212:R223">SUM(P212:Q212)</f>
        <v>67245</v>
      </c>
      <c r="S212" s="74">
        <v>0</v>
      </c>
      <c r="T212" s="74">
        <f aca="true" t="shared" si="224" ref="T212:T223">SUM(R212:S212)</f>
        <v>67245</v>
      </c>
      <c r="U212" s="74">
        <v>0</v>
      </c>
      <c r="V212" s="74">
        <f aca="true" t="shared" si="225" ref="V212:V223">SUM(T212:U212)</f>
        <v>67245</v>
      </c>
      <c r="W212" s="74">
        <v>0</v>
      </c>
      <c r="X212" s="74">
        <f aca="true" t="shared" si="226" ref="X212:X223">SUM(V212:W212)</f>
        <v>67245</v>
      </c>
      <c r="Y212" s="74">
        <v>0</v>
      </c>
      <c r="Z212" s="74">
        <f aca="true" t="shared" si="227" ref="Z212:Z223">SUM(X212:Y212)</f>
        <v>67245</v>
      </c>
      <c r="AA212" s="74">
        <v>0</v>
      </c>
      <c r="AB212" s="74">
        <f aca="true" t="shared" si="228" ref="AB212:AB223">SUM(Z212:AA212)</f>
        <v>67245</v>
      </c>
      <c r="AC212" s="74">
        <v>0</v>
      </c>
      <c r="AD212" s="74">
        <f aca="true" t="shared" si="229" ref="AD212:AD223">SUM(AB212:AC212)</f>
        <v>67245</v>
      </c>
      <c r="AE212" s="74">
        <v>0</v>
      </c>
      <c r="AF212" s="74">
        <f aca="true" t="shared" si="230" ref="AF212:AF223">SUM(AD212:AE212)</f>
        <v>67245</v>
      </c>
      <c r="AG212" s="74">
        <v>0</v>
      </c>
      <c r="AH212" s="74">
        <f aca="true" t="shared" si="231" ref="AH212:AH223">SUM(AF212:AG212)</f>
        <v>67245</v>
      </c>
    </row>
    <row r="213" spans="1:34" s="27" customFormat="1" ht="21" customHeight="1">
      <c r="A213" s="76"/>
      <c r="B213" s="75"/>
      <c r="C213" s="58">
        <v>3020</v>
      </c>
      <c r="D213" s="14" t="s">
        <v>474</v>
      </c>
      <c r="E213" s="74">
        <v>16845</v>
      </c>
      <c r="F213" s="74"/>
      <c r="G213" s="74"/>
      <c r="H213" s="74">
        <f t="shared" si="216"/>
        <v>16845</v>
      </c>
      <c r="I213" s="74"/>
      <c r="J213" s="74">
        <f t="shared" si="174"/>
        <v>16845</v>
      </c>
      <c r="K213" s="74">
        <v>0</v>
      </c>
      <c r="L213" s="74">
        <f t="shared" si="175"/>
        <v>16845</v>
      </c>
      <c r="M213" s="74">
        <v>0</v>
      </c>
      <c r="N213" s="74">
        <f t="shared" si="221"/>
        <v>16845</v>
      </c>
      <c r="O213" s="74">
        <v>0</v>
      </c>
      <c r="P213" s="74">
        <f t="shared" si="222"/>
        <v>16845</v>
      </c>
      <c r="Q213" s="74">
        <v>1035</v>
      </c>
      <c r="R213" s="74">
        <f t="shared" si="223"/>
        <v>17880</v>
      </c>
      <c r="S213" s="74">
        <v>0</v>
      </c>
      <c r="T213" s="74">
        <f t="shared" si="224"/>
        <v>17880</v>
      </c>
      <c r="U213" s="74">
        <v>0</v>
      </c>
      <c r="V213" s="74">
        <f t="shared" si="225"/>
        <v>17880</v>
      </c>
      <c r="W213" s="74">
        <v>950</v>
      </c>
      <c r="X213" s="74">
        <f t="shared" si="226"/>
        <v>18830</v>
      </c>
      <c r="Y213" s="74">
        <v>0</v>
      </c>
      <c r="Z213" s="74">
        <f t="shared" si="227"/>
        <v>18830</v>
      </c>
      <c r="AA213" s="74">
        <v>0</v>
      </c>
      <c r="AB213" s="74">
        <f t="shared" si="228"/>
        <v>18830</v>
      </c>
      <c r="AC213" s="74">
        <v>0</v>
      </c>
      <c r="AD213" s="74">
        <f t="shared" si="229"/>
        <v>18830</v>
      </c>
      <c r="AE213" s="74">
        <v>-201</v>
      </c>
      <c r="AF213" s="74">
        <f t="shared" si="230"/>
        <v>18629</v>
      </c>
      <c r="AG213" s="74">
        <v>0</v>
      </c>
      <c r="AH213" s="74">
        <f t="shared" si="231"/>
        <v>18629</v>
      </c>
    </row>
    <row r="214" spans="1:36" s="27" customFormat="1" ht="21" customHeight="1">
      <c r="A214" s="76"/>
      <c r="B214" s="75"/>
      <c r="C214" s="58">
        <v>4010</v>
      </c>
      <c r="D214" s="14" t="s">
        <v>345</v>
      </c>
      <c r="E214" s="74">
        <v>190216</v>
      </c>
      <c r="F214" s="74"/>
      <c r="G214" s="74"/>
      <c r="H214" s="74">
        <f t="shared" si="216"/>
        <v>190216</v>
      </c>
      <c r="I214" s="74"/>
      <c r="J214" s="74">
        <f t="shared" si="174"/>
        <v>190216</v>
      </c>
      <c r="K214" s="74">
        <v>0</v>
      </c>
      <c r="L214" s="74">
        <f t="shared" si="175"/>
        <v>190216</v>
      </c>
      <c r="M214" s="74">
        <v>0</v>
      </c>
      <c r="N214" s="74">
        <f t="shared" si="221"/>
        <v>190216</v>
      </c>
      <c r="O214" s="74">
        <v>0</v>
      </c>
      <c r="P214" s="74">
        <f t="shared" si="222"/>
        <v>190216</v>
      </c>
      <c r="Q214" s="74">
        <v>11920</v>
      </c>
      <c r="R214" s="74">
        <f t="shared" si="223"/>
        <v>202136</v>
      </c>
      <c r="S214" s="74">
        <v>0</v>
      </c>
      <c r="T214" s="74">
        <f t="shared" si="224"/>
        <v>202136</v>
      </c>
      <c r="U214" s="74">
        <v>0</v>
      </c>
      <c r="V214" s="74">
        <f t="shared" si="225"/>
        <v>202136</v>
      </c>
      <c r="W214" s="74">
        <v>-380</v>
      </c>
      <c r="X214" s="74">
        <f t="shared" si="226"/>
        <v>201756</v>
      </c>
      <c r="Y214" s="74">
        <v>0</v>
      </c>
      <c r="Z214" s="74">
        <f t="shared" si="227"/>
        <v>201756</v>
      </c>
      <c r="AA214" s="74">
        <v>0</v>
      </c>
      <c r="AB214" s="74">
        <f t="shared" si="228"/>
        <v>201756</v>
      </c>
      <c r="AC214" s="74">
        <v>0</v>
      </c>
      <c r="AD214" s="74">
        <f t="shared" si="229"/>
        <v>201756</v>
      </c>
      <c r="AE214" s="74">
        <v>-6583</v>
      </c>
      <c r="AF214" s="74">
        <f t="shared" si="230"/>
        <v>195173</v>
      </c>
      <c r="AG214" s="74">
        <v>0</v>
      </c>
      <c r="AH214" s="74">
        <f t="shared" si="231"/>
        <v>195173</v>
      </c>
      <c r="AI214" s="119"/>
      <c r="AJ214" s="119"/>
    </row>
    <row r="215" spans="1:36" s="27" customFormat="1" ht="21" customHeight="1">
      <c r="A215" s="76"/>
      <c r="B215" s="75"/>
      <c r="C215" s="58">
        <v>4040</v>
      </c>
      <c r="D215" s="14" t="s">
        <v>346</v>
      </c>
      <c r="E215" s="74">
        <v>14968</v>
      </c>
      <c r="F215" s="74"/>
      <c r="G215" s="74"/>
      <c r="H215" s="74">
        <f t="shared" si="216"/>
        <v>14968</v>
      </c>
      <c r="I215" s="74"/>
      <c r="J215" s="74">
        <f t="shared" si="174"/>
        <v>14968</v>
      </c>
      <c r="K215" s="74">
        <v>0</v>
      </c>
      <c r="L215" s="74">
        <f t="shared" si="175"/>
        <v>14968</v>
      </c>
      <c r="M215" s="74">
        <v>0</v>
      </c>
      <c r="N215" s="74">
        <f t="shared" si="221"/>
        <v>14968</v>
      </c>
      <c r="O215" s="74">
        <v>0</v>
      </c>
      <c r="P215" s="74">
        <f t="shared" si="222"/>
        <v>14968</v>
      </c>
      <c r="Q215" s="74">
        <v>-2046</v>
      </c>
      <c r="R215" s="74">
        <f t="shared" si="223"/>
        <v>12922</v>
      </c>
      <c r="S215" s="74">
        <v>0</v>
      </c>
      <c r="T215" s="74">
        <f t="shared" si="224"/>
        <v>12922</v>
      </c>
      <c r="U215" s="74">
        <v>0</v>
      </c>
      <c r="V215" s="74">
        <f t="shared" si="225"/>
        <v>12922</v>
      </c>
      <c r="W215" s="74">
        <v>0</v>
      </c>
      <c r="X215" s="74">
        <f t="shared" si="226"/>
        <v>12922</v>
      </c>
      <c r="Y215" s="74">
        <v>0</v>
      </c>
      <c r="Z215" s="74">
        <f t="shared" si="227"/>
        <v>12922</v>
      </c>
      <c r="AA215" s="74">
        <v>0</v>
      </c>
      <c r="AB215" s="74">
        <f t="shared" si="228"/>
        <v>12922</v>
      </c>
      <c r="AC215" s="74">
        <v>0</v>
      </c>
      <c r="AD215" s="74">
        <f t="shared" si="229"/>
        <v>12922</v>
      </c>
      <c r="AE215" s="74">
        <v>0</v>
      </c>
      <c r="AF215" s="74">
        <f t="shared" si="230"/>
        <v>12922</v>
      </c>
      <c r="AG215" s="74">
        <v>0</v>
      </c>
      <c r="AH215" s="74">
        <f t="shared" si="231"/>
        <v>12922</v>
      </c>
      <c r="AI215" s="119"/>
      <c r="AJ215" s="119"/>
    </row>
    <row r="216" spans="1:36" s="27" customFormat="1" ht="21" customHeight="1">
      <c r="A216" s="76"/>
      <c r="B216" s="75"/>
      <c r="C216" s="58">
        <v>4110</v>
      </c>
      <c r="D216" s="14" t="s">
        <v>347</v>
      </c>
      <c r="E216" s="74">
        <v>37470</v>
      </c>
      <c r="F216" s="74"/>
      <c r="G216" s="74"/>
      <c r="H216" s="74">
        <f t="shared" si="216"/>
        <v>37470</v>
      </c>
      <c r="I216" s="74"/>
      <c r="J216" s="74">
        <f t="shared" si="174"/>
        <v>37470</v>
      </c>
      <c r="K216" s="74">
        <v>0</v>
      </c>
      <c r="L216" s="74">
        <f t="shared" si="175"/>
        <v>37470</v>
      </c>
      <c r="M216" s="74">
        <v>0</v>
      </c>
      <c r="N216" s="74">
        <f t="shared" si="221"/>
        <v>37470</v>
      </c>
      <c r="O216" s="74">
        <v>0</v>
      </c>
      <c r="P216" s="74">
        <f t="shared" si="222"/>
        <v>37470</v>
      </c>
      <c r="Q216" s="74">
        <v>2231</v>
      </c>
      <c r="R216" s="74">
        <f t="shared" si="223"/>
        <v>39701</v>
      </c>
      <c r="S216" s="74">
        <v>0</v>
      </c>
      <c r="T216" s="74">
        <f t="shared" si="224"/>
        <v>39701</v>
      </c>
      <c r="U216" s="74">
        <v>0</v>
      </c>
      <c r="V216" s="74">
        <f t="shared" si="225"/>
        <v>39701</v>
      </c>
      <c r="W216" s="74">
        <v>250</v>
      </c>
      <c r="X216" s="74">
        <f t="shared" si="226"/>
        <v>39951</v>
      </c>
      <c r="Y216" s="74">
        <v>0</v>
      </c>
      <c r="Z216" s="74">
        <f t="shared" si="227"/>
        <v>39951</v>
      </c>
      <c r="AA216" s="74">
        <v>0</v>
      </c>
      <c r="AB216" s="74">
        <f t="shared" si="228"/>
        <v>39951</v>
      </c>
      <c r="AC216" s="74">
        <v>0</v>
      </c>
      <c r="AD216" s="74">
        <f t="shared" si="229"/>
        <v>39951</v>
      </c>
      <c r="AE216" s="74">
        <v>-1241</v>
      </c>
      <c r="AF216" s="74">
        <f t="shared" si="230"/>
        <v>38710</v>
      </c>
      <c r="AG216" s="74">
        <v>0</v>
      </c>
      <c r="AH216" s="74">
        <f t="shared" si="231"/>
        <v>38710</v>
      </c>
      <c r="AI216" s="119"/>
      <c r="AJ216" s="119"/>
    </row>
    <row r="217" spans="1:36" s="27" customFormat="1" ht="21" customHeight="1">
      <c r="A217" s="76"/>
      <c r="B217" s="75"/>
      <c r="C217" s="58">
        <v>4120</v>
      </c>
      <c r="D217" s="14" t="s">
        <v>348</v>
      </c>
      <c r="E217" s="74">
        <v>5276</v>
      </c>
      <c r="F217" s="74"/>
      <c r="G217" s="74"/>
      <c r="H217" s="74">
        <f t="shared" si="216"/>
        <v>5276</v>
      </c>
      <c r="I217" s="74"/>
      <c r="J217" s="74">
        <f t="shared" si="174"/>
        <v>5276</v>
      </c>
      <c r="K217" s="74">
        <v>0</v>
      </c>
      <c r="L217" s="74">
        <f t="shared" si="175"/>
        <v>5276</v>
      </c>
      <c r="M217" s="74">
        <v>0</v>
      </c>
      <c r="N217" s="74">
        <f t="shared" si="221"/>
        <v>5276</v>
      </c>
      <c r="O217" s="74">
        <v>0</v>
      </c>
      <c r="P217" s="74">
        <f t="shared" si="222"/>
        <v>5276</v>
      </c>
      <c r="Q217" s="74">
        <v>318</v>
      </c>
      <c r="R217" s="74">
        <f t="shared" si="223"/>
        <v>5594</v>
      </c>
      <c r="S217" s="74">
        <v>0</v>
      </c>
      <c r="T217" s="74">
        <f t="shared" si="224"/>
        <v>5594</v>
      </c>
      <c r="U217" s="74">
        <v>0</v>
      </c>
      <c r="V217" s="74">
        <f t="shared" si="225"/>
        <v>5594</v>
      </c>
      <c r="W217" s="74">
        <v>80</v>
      </c>
      <c r="X217" s="74">
        <f t="shared" si="226"/>
        <v>5674</v>
      </c>
      <c r="Y217" s="74">
        <v>0</v>
      </c>
      <c r="Z217" s="74">
        <f t="shared" si="227"/>
        <v>5674</v>
      </c>
      <c r="AA217" s="74">
        <v>0</v>
      </c>
      <c r="AB217" s="74">
        <f t="shared" si="228"/>
        <v>5674</v>
      </c>
      <c r="AC217" s="74">
        <v>0</v>
      </c>
      <c r="AD217" s="74">
        <f t="shared" si="229"/>
        <v>5674</v>
      </c>
      <c r="AE217" s="74">
        <v>-83</v>
      </c>
      <c r="AF217" s="74">
        <f t="shared" si="230"/>
        <v>5591</v>
      </c>
      <c r="AG217" s="74">
        <v>0</v>
      </c>
      <c r="AH217" s="74">
        <f t="shared" si="231"/>
        <v>5591</v>
      </c>
      <c r="AI217" s="119"/>
      <c r="AJ217" s="119"/>
    </row>
    <row r="218" spans="1:34" s="27" customFormat="1" ht="21" customHeight="1">
      <c r="A218" s="76"/>
      <c r="B218" s="75"/>
      <c r="C218" s="58">
        <v>4210</v>
      </c>
      <c r="D218" s="14" t="s">
        <v>333</v>
      </c>
      <c r="E218" s="74">
        <f>1000+3800</f>
        <v>4800</v>
      </c>
      <c r="F218" s="74"/>
      <c r="G218" s="74"/>
      <c r="H218" s="74">
        <f t="shared" si="216"/>
        <v>4800</v>
      </c>
      <c r="I218" s="74"/>
      <c r="J218" s="74">
        <f t="shared" si="174"/>
        <v>4800</v>
      </c>
      <c r="K218" s="74">
        <v>0</v>
      </c>
      <c r="L218" s="74">
        <f t="shared" si="175"/>
        <v>4800</v>
      </c>
      <c r="M218" s="74">
        <v>0</v>
      </c>
      <c r="N218" s="74">
        <f t="shared" si="221"/>
        <v>4800</v>
      </c>
      <c r="O218" s="74">
        <v>0</v>
      </c>
      <c r="P218" s="74">
        <f t="shared" si="222"/>
        <v>4800</v>
      </c>
      <c r="Q218" s="74">
        <v>0</v>
      </c>
      <c r="R218" s="74">
        <f t="shared" si="223"/>
        <v>4800</v>
      </c>
      <c r="S218" s="74">
        <v>0</v>
      </c>
      <c r="T218" s="74">
        <f t="shared" si="224"/>
        <v>4800</v>
      </c>
      <c r="U218" s="74">
        <v>0</v>
      </c>
      <c r="V218" s="74">
        <f t="shared" si="225"/>
        <v>4800</v>
      </c>
      <c r="W218" s="74">
        <v>600</v>
      </c>
      <c r="X218" s="74">
        <f t="shared" si="226"/>
        <v>5400</v>
      </c>
      <c r="Y218" s="74">
        <v>0</v>
      </c>
      <c r="Z218" s="74">
        <f t="shared" si="227"/>
        <v>5400</v>
      </c>
      <c r="AA218" s="74">
        <v>0</v>
      </c>
      <c r="AB218" s="74">
        <f t="shared" si="228"/>
        <v>5400</v>
      </c>
      <c r="AC218" s="74">
        <v>0</v>
      </c>
      <c r="AD218" s="74">
        <f t="shared" si="229"/>
        <v>5400</v>
      </c>
      <c r="AE218" s="74">
        <v>470</v>
      </c>
      <c r="AF218" s="74">
        <f t="shared" si="230"/>
        <v>5870</v>
      </c>
      <c r="AG218" s="74">
        <v>0</v>
      </c>
      <c r="AH218" s="74">
        <f t="shared" si="231"/>
        <v>5870</v>
      </c>
    </row>
    <row r="219" spans="1:34" s="27" customFormat="1" ht="21" customHeight="1">
      <c r="A219" s="76"/>
      <c r="B219" s="75"/>
      <c r="C219" s="58">
        <v>4240</v>
      </c>
      <c r="D219" s="14" t="s">
        <v>387</v>
      </c>
      <c r="E219" s="74">
        <v>2350</v>
      </c>
      <c r="F219" s="74"/>
      <c r="G219" s="74"/>
      <c r="H219" s="74">
        <f t="shared" si="216"/>
        <v>2350</v>
      </c>
      <c r="I219" s="74"/>
      <c r="J219" s="74">
        <f t="shared" si="174"/>
        <v>2350</v>
      </c>
      <c r="K219" s="74">
        <v>0</v>
      </c>
      <c r="L219" s="74">
        <f t="shared" si="175"/>
        <v>2350</v>
      </c>
      <c r="M219" s="74">
        <v>0</v>
      </c>
      <c r="N219" s="74">
        <f t="shared" si="221"/>
        <v>2350</v>
      </c>
      <c r="O219" s="74">
        <v>0</v>
      </c>
      <c r="P219" s="74">
        <f t="shared" si="222"/>
        <v>2350</v>
      </c>
      <c r="Q219" s="74">
        <v>0</v>
      </c>
      <c r="R219" s="74">
        <f t="shared" si="223"/>
        <v>2350</v>
      </c>
      <c r="S219" s="74">
        <v>0</v>
      </c>
      <c r="T219" s="74">
        <f t="shared" si="224"/>
        <v>2350</v>
      </c>
      <c r="U219" s="74">
        <v>0</v>
      </c>
      <c r="V219" s="74">
        <f t="shared" si="225"/>
        <v>2350</v>
      </c>
      <c r="W219" s="74">
        <v>0</v>
      </c>
      <c r="X219" s="74">
        <f t="shared" si="226"/>
        <v>2350</v>
      </c>
      <c r="Y219" s="74">
        <v>0</v>
      </c>
      <c r="Z219" s="74">
        <f t="shared" si="227"/>
        <v>2350</v>
      </c>
      <c r="AA219" s="74">
        <v>0</v>
      </c>
      <c r="AB219" s="74">
        <f t="shared" si="228"/>
        <v>2350</v>
      </c>
      <c r="AC219" s="74">
        <v>0</v>
      </c>
      <c r="AD219" s="74">
        <f t="shared" si="229"/>
        <v>2350</v>
      </c>
      <c r="AE219" s="74">
        <v>-500</v>
      </c>
      <c r="AF219" s="74">
        <f t="shared" si="230"/>
        <v>1850</v>
      </c>
      <c r="AG219" s="74">
        <v>0</v>
      </c>
      <c r="AH219" s="74">
        <f t="shared" si="231"/>
        <v>1850</v>
      </c>
    </row>
    <row r="220" spans="1:34" s="27" customFormat="1" ht="21" customHeight="1">
      <c r="A220" s="76"/>
      <c r="B220" s="75"/>
      <c r="C220" s="58">
        <v>4260</v>
      </c>
      <c r="D220" s="14" t="s">
        <v>357</v>
      </c>
      <c r="E220" s="74">
        <v>500</v>
      </c>
      <c r="F220" s="74"/>
      <c r="G220" s="74"/>
      <c r="H220" s="74">
        <f t="shared" si="216"/>
        <v>500</v>
      </c>
      <c r="I220" s="74"/>
      <c r="J220" s="74">
        <f t="shared" si="174"/>
        <v>500</v>
      </c>
      <c r="K220" s="74">
        <v>0</v>
      </c>
      <c r="L220" s="74">
        <f t="shared" si="175"/>
        <v>500</v>
      </c>
      <c r="M220" s="74">
        <v>0</v>
      </c>
      <c r="N220" s="74">
        <f t="shared" si="221"/>
        <v>500</v>
      </c>
      <c r="O220" s="74">
        <v>0</v>
      </c>
      <c r="P220" s="74">
        <f t="shared" si="222"/>
        <v>500</v>
      </c>
      <c r="Q220" s="74">
        <v>0</v>
      </c>
      <c r="R220" s="74">
        <f t="shared" si="223"/>
        <v>500</v>
      </c>
      <c r="S220" s="74">
        <v>0</v>
      </c>
      <c r="T220" s="74">
        <f t="shared" si="224"/>
        <v>500</v>
      </c>
      <c r="U220" s="74">
        <v>0</v>
      </c>
      <c r="V220" s="74">
        <f t="shared" si="225"/>
        <v>500</v>
      </c>
      <c r="W220" s="74">
        <v>-150</v>
      </c>
      <c r="X220" s="74">
        <f t="shared" si="226"/>
        <v>350</v>
      </c>
      <c r="Y220" s="74">
        <v>0</v>
      </c>
      <c r="Z220" s="74">
        <f t="shared" si="227"/>
        <v>350</v>
      </c>
      <c r="AA220" s="74">
        <v>0</v>
      </c>
      <c r="AB220" s="74">
        <f t="shared" si="228"/>
        <v>350</v>
      </c>
      <c r="AC220" s="74">
        <v>0</v>
      </c>
      <c r="AD220" s="74">
        <f t="shared" si="229"/>
        <v>350</v>
      </c>
      <c r="AE220" s="74">
        <v>-51</v>
      </c>
      <c r="AF220" s="74">
        <f t="shared" si="230"/>
        <v>299</v>
      </c>
      <c r="AG220" s="74">
        <v>0</v>
      </c>
      <c r="AH220" s="74">
        <f t="shared" si="231"/>
        <v>299</v>
      </c>
    </row>
    <row r="221" spans="1:34" s="27" customFormat="1" ht="21" customHeight="1">
      <c r="A221" s="76"/>
      <c r="B221" s="75"/>
      <c r="C221" s="58">
        <v>4270</v>
      </c>
      <c r="D221" s="14" t="s">
        <v>339</v>
      </c>
      <c r="E221" s="74">
        <v>1100</v>
      </c>
      <c r="F221" s="74"/>
      <c r="G221" s="74"/>
      <c r="H221" s="74">
        <f t="shared" si="216"/>
        <v>1100</v>
      </c>
      <c r="I221" s="74"/>
      <c r="J221" s="74">
        <f t="shared" si="174"/>
        <v>1100</v>
      </c>
      <c r="K221" s="74">
        <v>0</v>
      </c>
      <c r="L221" s="74">
        <f t="shared" si="175"/>
        <v>1100</v>
      </c>
      <c r="M221" s="74">
        <v>0</v>
      </c>
      <c r="N221" s="74">
        <f t="shared" si="221"/>
        <v>1100</v>
      </c>
      <c r="O221" s="74">
        <v>0</v>
      </c>
      <c r="P221" s="74">
        <f t="shared" si="222"/>
        <v>1100</v>
      </c>
      <c r="Q221" s="74">
        <v>0</v>
      </c>
      <c r="R221" s="74">
        <f t="shared" si="223"/>
        <v>1100</v>
      </c>
      <c r="S221" s="74">
        <v>0</v>
      </c>
      <c r="T221" s="74">
        <f t="shared" si="224"/>
        <v>1100</v>
      </c>
      <c r="U221" s="74">
        <v>0</v>
      </c>
      <c r="V221" s="74">
        <f t="shared" si="225"/>
        <v>1100</v>
      </c>
      <c r="W221" s="74">
        <v>-450</v>
      </c>
      <c r="X221" s="74">
        <f t="shared" si="226"/>
        <v>650</v>
      </c>
      <c r="Y221" s="74">
        <v>0</v>
      </c>
      <c r="Z221" s="74">
        <f t="shared" si="227"/>
        <v>650</v>
      </c>
      <c r="AA221" s="74">
        <v>0</v>
      </c>
      <c r="AB221" s="74">
        <f t="shared" si="228"/>
        <v>650</v>
      </c>
      <c r="AC221" s="74">
        <v>0</v>
      </c>
      <c r="AD221" s="74">
        <f t="shared" si="229"/>
        <v>650</v>
      </c>
      <c r="AE221" s="74">
        <v>0</v>
      </c>
      <c r="AF221" s="74">
        <f t="shared" si="230"/>
        <v>650</v>
      </c>
      <c r="AG221" s="74">
        <v>0</v>
      </c>
      <c r="AH221" s="74">
        <f t="shared" si="231"/>
        <v>650</v>
      </c>
    </row>
    <row r="222" spans="1:34" s="27" customFormat="1" ht="21" customHeight="1">
      <c r="A222" s="76"/>
      <c r="B222" s="75"/>
      <c r="C222" s="58">
        <v>4280</v>
      </c>
      <c r="D222" s="14" t="s">
        <v>508</v>
      </c>
      <c r="E222" s="74">
        <v>400</v>
      </c>
      <c r="F222" s="74"/>
      <c r="G222" s="74"/>
      <c r="H222" s="74">
        <f t="shared" si="216"/>
        <v>400</v>
      </c>
      <c r="I222" s="74"/>
      <c r="J222" s="74">
        <f t="shared" si="174"/>
        <v>400</v>
      </c>
      <c r="K222" s="74">
        <v>0</v>
      </c>
      <c r="L222" s="74">
        <f t="shared" si="175"/>
        <v>400</v>
      </c>
      <c r="M222" s="74">
        <v>0</v>
      </c>
      <c r="N222" s="74">
        <f t="shared" si="221"/>
        <v>400</v>
      </c>
      <c r="O222" s="74">
        <v>0</v>
      </c>
      <c r="P222" s="74">
        <f t="shared" si="222"/>
        <v>400</v>
      </c>
      <c r="Q222" s="74">
        <v>0</v>
      </c>
      <c r="R222" s="74">
        <f t="shared" si="223"/>
        <v>400</v>
      </c>
      <c r="S222" s="74">
        <v>0</v>
      </c>
      <c r="T222" s="74">
        <f t="shared" si="224"/>
        <v>400</v>
      </c>
      <c r="U222" s="74">
        <v>0</v>
      </c>
      <c r="V222" s="74">
        <f t="shared" si="225"/>
        <v>400</v>
      </c>
      <c r="W222" s="74">
        <v>0</v>
      </c>
      <c r="X222" s="74">
        <f t="shared" si="226"/>
        <v>400</v>
      </c>
      <c r="Y222" s="74">
        <v>0</v>
      </c>
      <c r="Z222" s="74">
        <f t="shared" si="227"/>
        <v>400</v>
      </c>
      <c r="AA222" s="74">
        <v>0</v>
      </c>
      <c r="AB222" s="74">
        <f t="shared" si="228"/>
        <v>400</v>
      </c>
      <c r="AC222" s="74">
        <v>0</v>
      </c>
      <c r="AD222" s="74">
        <f t="shared" si="229"/>
        <v>400</v>
      </c>
      <c r="AE222" s="74">
        <v>0</v>
      </c>
      <c r="AF222" s="74">
        <f t="shared" si="230"/>
        <v>400</v>
      </c>
      <c r="AG222" s="74">
        <v>0</v>
      </c>
      <c r="AH222" s="74">
        <f t="shared" si="231"/>
        <v>400</v>
      </c>
    </row>
    <row r="223" spans="1:34" s="27" customFormat="1" ht="21" customHeight="1">
      <c r="A223" s="76"/>
      <c r="B223" s="75"/>
      <c r="C223" s="58">
        <v>4440</v>
      </c>
      <c r="D223" s="14" t="s">
        <v>378</v>
      </c>
      <c r="E223" s="74">
        <v>15536</v>
      </c>
      <c r="F223" s="74"/>
      <c r="G223" s="74"/>
      <c r="H223" s="74">
        <f t="shared" si="216"/>
        <v>15536</v>
      </c>
      <c r="I223" s="74"/>
      <c r="J223" s="74">
        <f t="shared" si="174"/>
        <v>15536</v>
      </c>
      <c r="K223" s="74">
        <v>0</v>
      </c>
      <c r="L223" s="74">
        <f t="shared" si="175"/>
        <v>15536</v>
      </c>
      <c r="M223" s="74">
        <v>0</v>
      </c>
      <c r="N223" s="74">
        <f t="shared" si="221"/>
        <v>15536</v>
      </c>
      <c r="O223" s="74">
        <v>0</v>
      </c>
      <c r="P223" s="74">
        <f t="shared" si="222"/>
        <v>15536</v>
      </c>
      <c r="Q223" s="74">
        <v>0</v>
      </c>
      <c r="R223" s="74">
        <f t="shared" si="223"/>
        <v>15536</v>
      </c>
      <c r="S223" s="74">
        <v>0</v>
      </c>
      <c r="T223" s="74">
        <f t="shared" si="224"/>
        <v>15536</v>
      </c>
      <c r="U223" s="74">
        <v>0</v>
      </c>
      <c r="V223" s="74">
        <f t="shared" si="225"/>
        <v>15536</v>
      </c>
      <c r="W223" s="74">
        <v>0</v>
      </c>
      <c r="X223" s="74">
        <f t="shared" si="226"/>
        <v>15536</v>
      </c>
      <c r="Y223" s="74">
        <v>0</v>
      </c>
      <c r="Z223" s="74">
        <f t="shared" si="227"/>
        <v>15536</v>
      </c>
      <c r="AA223" s="74">
        <v>0</v>
      </c>
      <c r="AB223" s="74">
        <f t="shared" si="228"/>
        <v>15536</v>
      </c>
      <c r="AC223" s="74">
        <v>0</v>
      </c>
      <c r="AD223" s="74">
        <f t="shared" si="229"/>
        <v>15536</v>
      </c>
      <c r="AE223" s="74">
        <v>2188</v>
      </c>
      <c r="AF223" s="74">
        <f t="shared" si="230"/>
        <v>17724</v>
      </c>
      <c r="AG223" s="74">
        <v>0</v>
      </c>
      <c r="AH223" s="74">
        <f t="shared" si="231"/>
        <v>17724</v>
      </c>
    </row>
    <row r="224" spans="1:34" s="27" customFormat="1" ht="21.75" customHeight="1">
      <c r="A224" s="93"/>
      <c r="B224" s="75" t="s">
        <v>377</v>
      </c>
      <c r="C224" s="58"/>
      <c r="D224" s="14" t="s">
        <v>388</v>
      </c>
      <c r="E224" s="74">
        <f>SUM(E225:E227)</f>
        <v>2725008</v>
      </c>
      <c r="F224" s="74">
        <f>SUM(F225:F227)</f>
        <v>0</v>
      </c>
      <c r="G224" s="74">
        <f>SUM(G225:G227)</f>
        <v>0</v>
      </c>
      <c r="H224" s="74">
        <f t="shared" si="216"/>
        <v>2725008</v>
      </c>
      <c r="I224" s="74">
        <f aca="true" t="shared" si="232" ref="I224:N224">SUM(I225:I227)</f>
        <v>0</v>
      </c>
      <c r="J224" s="74">
        <f t="shared" si="232"/>
        <v>2725008</v>
      </c>
      <c r="K224" s="74">
        <f t="shared" si="232"/>
        <v>0</v>
      </c>
      <c r="L224" s="74">
        <f t="shared" si="232"/>
        <v>2725008</v>
      </c>
      <c r="M224" s="74">
        <f t="shared" si="232"/>
        <v>0</v>
      </c>
      <c r="N224" s="74">
        <f t="shared" si="232"/>
        <v>2725008</v>
      </c>
      <c r="O224" s="74">
        <f aca="true" t="shared" si="233" ref="O224:T224">SUM(O225:O227)</f>
        <v>0</v>
      </c>
      <c r="P224" s="74">
        <f t="shared" si="233"/>
        <v>2725008</v>
      </c>
      <c r="Q224" s="74">
        <f t="shared" si="233"/>
        <v>86839</v>
      </c>
      <c r="R224" s="74">
        <f t="shared" si="233"/>
        <v>2811847</v>
      </c>
      <c r="S224" s="74">
        <f t="shared" si="233"/>
        <v>0</v>
      </c>
      <c r="T224" s="74">
        <f t="shared" si="233"/>
        <v>2811847</v>
      </c>
      <c r="U224" s="74">
        <f aca="true" t="shared" si="234" ref="U224:Z224">SUM(U225:U227)</f>
        <v>0</v>
      </c>
      <c r="V224" s="74">
        <f t="shared" si="234"/>
        <v>2811847</v>
      </c>
      <c r="W224" s="74">
        <f t="shared" si="234"/>
        <v>0</v>
      </c>
      <c r="X224" s="74">
        <f t="shared" si="234"/>
        <v>2811847</v>
      </c>
      <c r="Y224" s="74">
        <f t="shared" si="234"/>
        <v>0</v>
      </c>
      <c r="Z224" s="74">
        <f t="shared" si="234"/>
        <v>2811847</v>
      </c>
      <c r="AA224" s="74">
        <f aca="true" t="shared" si="235" ref="AA224:AF224">SUM(AA225:AA227)</f>
        <v>44985</v>
      </c>
      <c r="AB224" s="74">
        <f t="shared" si="235"/>
        <v>2856832</v>
      </c>
      <c r="AC224" s="74">
        <f t="shared" si="235"/>
        <v>0</v>
      </c>
      <c r="AD224" s="74">
        <f t="shared" si="235"/>
        <v>2856832</v>
      </c>
      <c r="AE224" s="74">
        <f t="shared" si="235"/>
        <v>4000</v>
      </c>
      <c r="AF224" s="74">
        <f t="shared" si="235"/>
        <v>2860832</v>
      </c>
      <c r="AG224" s="74">
        <f>SUM(AG225:AG227)</f>
        <v>0</v>
      </c>
      <c r="AH224" s="74">
        <f>SUM(AH225:AH227)</f>
        <v>2860832</v>
      </c>
    </row>
    <row r="225" spans="1:34" s="27" customFormat="1" ht="26.25" customHeight="1">
      <c r="A225" s="93"/>
      <c r="B225" s="75"/>
      <c r="C225" s="58">
        <v>2510</v>
      </c>
      <c r="D225" s="14" t="s">
        <v>389</v>
      </c>
      <c r="E225" s="74">
        <v>2624508</v>
      </c>
      <c r="F225" s="74"/>
      <c r="G225" s="74"/>
      <c r="H225" s="74">
        <f t="shared" si="216"/>
        <v>2624508</v>
      </c>
      <c r="I225" s="74"/>
      <c r="J225" s="74">
        <f t="shared" si="174"/>
        <v>2624508</v>
      </c>
      <c r="K225" s="74">
        <v>500</v>
      </c>
      <c r="L225" s="74">
        <f t="shared" si="175"/>
        <v>2625008</v>
      </c>
      <c r="M225" s="74">
        <v>0</v>
      </c>
      <c r="N225" s="74">
        <f>SUM(L225:M225)</f>
        <v>2625008</v>
      </c>
      <c r="O225" s="74">
        <v>0</v>
      </c>
      <c r="P225" s="74">
        <f>SUM(N225:O225)</f>
        <v>2625008</v>
      </c>
      <c r="Q225" s="74">
        <v>86839</v>
      </c>
      <c r="R225" s="74">
        <f>SUM(P225:Q225)</f>
        <v>2711847</v>
      </c>
      <c r="S225" s="74">
        <v>0</v>
      </c>
      <c r="T225" s="74">
        <f>SUM(R225:S225)</f>
        <v>2711847</v>
      </c>
      <c r="U225" s="74">
        <v>0</v>
      </c>
      <c r="V225" s="74">
        <f>SUM(T225:U225)</f>
        <v>2711847</v>
      </c>
      <c r="W225" s="74">
        <v>0</v>
      </c>
      <c r="X225" s="74">
        <f>SUM(V225:W225)</f>
        <v>2711847</v>
      </c>
      <c r="Y225" s="74">
        <v>0</v>
      </c>
      <c r="Z225" s="74">
        <f>SUM(X225:Y225)</f>
        <v>2711847</v>
      </c>
      <c r="AA225" s="74">
        <f>43185+1800</f>
        <v>44985</v>
      </c>
      <c r="AB225" s="74">
        <f>SUM(Z225:AA225)</f>
        <v>2756832</v>
      </c>
      <c r="AC225" s="74">
        <v>0</v>
      </c>
      <c r="AD225" s="74">
        <f>SUM(AB225:AC225)</f>
        <v>2756832</v>
      </c>
      <c r="AE225" s="74">
        <v>4000</v>
      </c>
      <c r="AF225" s="74">
        <f>SUM(AD225:AE225)</f>
        <v>2760832</v>
      </c>
      <c r="AG225" s="74">
        <v>0</v>
      </c>
      <c r="AH225" s="74">
        <f>SUM(AF225:AG225)</f>
        <v>2760832</v>
      </c>
    </row>
    <row r="226" spans="1:34" s="27" customFormat="1" ht="26.25" customHeight="1" hidden="1">
      <c r="A226" s="93"/>
      <c r="B226" s="75"/>
      <c r="C226" s="58">
        <v>4210</v>
      </c>
      <c r="D226" s="14" t="s">
        <v>333</v>
      </c>
      <c r="E226" s="74">
        <v>500</v>
      </c>
      <c r="F226" s="74"/>
      <c r="G226" s="74"/>
      <c r="H226" s="74">
        <f t="shared" si="216"/>
        <v>500</v>
      </c>
      <c r="I226" s="74"/>
      <c r="J226" s="74">
        <f t="shared" si="174"/>
        <v>500</v>
      </c>
      <c r="K226" s="74">
        <v>-500</v>
      </c>
      <c r="L226" s="74">
        <f t="shared" si="175"/>
        <v>0</v>
      </c>
      <c r="M226" s="74">
        <v>0</v>
      </c>
      <c r="N226" s="74">
        <f>SUM(L226:M226)</f>
        <v>0</v>
      </c>
      <c r="O226" s="74">
        <v>0</v>
      </c>
      <c r="P226" s="74">
        <f>SUM(N226:O226)</f>
        <v>0</v>
      </c>
      <c r="Q226" s="74">
        <v>0</v>
      </c>
      <c r="R226" s="74">
        <f>SUM(P226:Q226)</f>
        <v>0</v>
      </c>
      <c r="S226" s="74">
        <v>0</v>
      </c>
      <c r="T226" s="74">
        <f>SUM(R226:S226)</f>
        <v>0</v>
      </c>
      <c r="U226" s="74">
        <v>0</v>
      </c>
      <c r="V226" s="74">
        <f>SUM(T226:U226)</f>
        <v>0</v>
      </c>
      <c r="W226" s="74">
        <v>0</v>
      </c>
      <c r="X226" s="74">
        <f>SUM(V226:W226)</f>
        <v>0</v>
      </c>
      <c r="Y226" s="74">
        <v>0</v>
      </c>
      <c r="Z226" s="74">
        <f>SUM(X226:Y226)</f>
        <v>0</v>
      </c>
      <c r="AA226" s="74">
        <v>0</v>
      </c>
      <c r="AB226" s="74">
        <f>SUM(Z226:AA226)</f>
        <v>0</v>
      </c>
      <c r="AC226" s="74">
        <v>0</v>
      </c>
      <c r="AD226" s="74">
        <f>SUM(AB226:AC226)</f>
        <v>0</v>
      </c>
      <c r="AE226" s="74">
        <v>0</v>
      </c>
      <c r="AF226" s="74">
        <f>SUM(AD226:AE226)</f>
        <v>0</v>
      </c>
      <c r="AG226" s="74">
        <v>0</v>
      </c>
      <c r="AH226" s="74">
        <f>SUM(AF226:AG226)</f>
        <v>0</v>
      </c>
    </row>
    <row r="227" spans="1:34" s="27" customFormat="1" ht="19.5" customHeight="1">
      <c r="A227" s="93"/>
      <c r="B227" s="75"/>
      <c r="C227" s="58">
        <v>4270</v>
      </c>
      <c r="D227" s="14" t="s">
        <v>339</v>
      </c>
      <c r="E227" s="74">
        <v>100000</v>
      </c>
      <c r="F227" s="74"/>
      <c r="G227" s="74"/>
      <c r="H227" s="74">
        <f t="shared" si="216"/>
        <v>100000</v>
      </c>
      <c r="I227" s="74"/>
      <c r="J227" s="74">
        <f t="shared" si="174"/>
        <v>100000</v>
      </c>
      <c r="K227" s="74">
        <v>0</v>
      </c>
      <c r="L227" s="74">
        <f t="shared" si="175"/>
        <v>100000</v>
      </c>
      <c r="M227" s="74">
        <v>0</v>
      </c>
      <c r="N227" s="74">
        <f>SUM(L227:M227)</f>
        <v>100000</v>
      </c>
      <c r="O227" s="74">
        <v>0</v>
      </c>
      <c r="P227" s="74">
        <f>SUM(N227:O227)</f>
        <v>100000</v>
      </c>
      <c r="Q227" s="74">
        <v>0</v>
      </c>
      <c r="R227" s="74">
        <f>SUM(P227:Q227)</f>
        <v>100000</v>
      </c>
      <c r="S227" s="74">
        <v>0</v>
      </c>
      <c r="T227" s="74">
        <f>SUM(R227:S227)</f>
        <v>100000</v>
      </c>
      <c r="U227" s="74">
        <v>0</v>
      </c>
      <c r="V227" s="74">
        <f>SUM(T227:U227)</f>
        <v>100000</v>
      </c>
      <c r="W227" s="74">
        <v>0</v>
      </c>
      <c r="X227" s="74">
        <f>SUM(V227:W227)</f>
        <v>100000</v>
      </c>
      <c r="Y227" s="74">
        <v>0</v>
      </c>
      <c r="Z227" s="74">
        <f>SUM(X227:Y227)</f>
        <v>100000</v>
      </c>
      <c r="AA227" s="74">
        <v>0</v>
      </c>
      <c r="AB227" s="74">
        <f>SUM(Z227:AA227)</f>
        <v>100000</v>
      </c>
      <c r="AC227" s="74">
        <v>0</v>
      </c>
      <c r="AD227" s="74">
        <f>SUM(AB227:AC227)</f>
        <v>100000</v>
      </c>
      <c r="AE227" s="74">
        <v>0</v>
      </c>
      <c r="AF227" s="74">
        <f>SUM(AD227:AE227)</f>
        <v>100000</v>
      </c>
      <c r="AG227" s="74">
        <v>0</v>
      </c>
      <c r="AH227" s="74">
        <f>SUM(AF227:AG227)</f>
        <v>100000</v>
      </c>
    </row>
    <row r="228" spans="1:34" s="27" customFormat="1" ht="21.75" customHeight="1">
      <c r="A228" s="93"/>
      <c r="B228" s="75" t="s">
        <v>379</v>
      </c>
      <c r="C228" s="58"/>
      <c r="D228" s="14" t="s">
        <v>311</v>
      </c>
      <c r="E228" s="74">
        <f>SUM(E229:E255)</f>
        <v>4810168</v>
      </c>
      <c r="F228" s="74">
        <f>SUM(F229:F255)</f>
        <v>50000</v>
      </c>
      <c r="G228" s="74">
        <f>SUM(G229:G255)</f>
        <v>0</v>
      </c>
      <c r="H228" s="74">
        <f t="shared" si="216"/>
        <v>4860168</v>
      </c>
      <c r="I228" s="74">
        <f aca="true" t="shared" si="236" ref="I228:N228">SUM(I229:I255)</f>
        <v>3820</v>
      </c>
      <c r="J228" s="74">
        <f t="shared" si="236"/>
        <v>4863988</v>
      </c>
      <c r="K228" s="74">
        <f t="shared" si="236"/>
        <v>6218</v>
      </c>
      <c r="L228" s="74">
        <f t="shared" si="236"/>
        <v>4870206</v>
      </c>
      <c r="M228" s="74">
        <f t="shared" si="236"/>
        <v>0</v>
      </c>
      <c r="N228" s="74">
        <f t="shared" si="236"/>
        <v>4870206</v>
      </c>
      <c r="O228" s="74">
        <f aca="true" t="shared" si="237" ref="O228:T228">SUM(O229:O255)</f>
        <v>0</v>
      </c>
      <c r="P228" s="74">
        <f t="shared" si="237"/>
        <v>4870206</v>
      </c>
      <c r="Q228" s="74">
        <f t="shared" si="237"/>
        <v>-13828</v>
      </c>
      <c r="R228" s="74">
        <f t="shared" si="237"/>
        <v>4856378</v>
      </c>
      <c r="S228" s="74">
        <f t="shared" si="237"/>
        <v>0</v>
      </c>
      <c r="T228" s="74">
        <f t="shared" si="237"/>
        <v>4856378</v>
      </c>
      <c r="U228" s="74">
        <f aca="true" t="shared" si="238" ref="U228:Z228">SUM(U229:U255)</f>
        <v>0</v>
      </c>
      <c r="V228" s="74">
        <f t="shared" si="238"/>
        <v>4856378</v>
      </c>
      <c r="W228" s="74">
        <f t="shared" si="238"/>
        <v>-4870</v>
      </c>
      <c r="X228" s="74">
        <f t="shared" si="238"/>
        <v>4851508</v>
      </c>
      <c r="Y228" s="74">
        <f t="shared" si="238"/>
        <v>0</v>
      </c>
      <c r="Z228" s="74">
        <f t="shared" si="238"/>
        <v>4851508</v>
      </c>
      <c r="AA228" s="74">
        <f aca="true" t="shared" si="239" ref="AA228:AF228">SUM(AA229:AA255)</f>
        <v>15000</v>
      </c>
      <c r="AB228" s="74">
        <f t="shared" si="239"/>
        <v>4866508</v>
      </c>
      <c r="AC228" s="74">
        <f t="shared" si="239"/>
        <v>0</v>
      </c>
      <c r="AD228" s="74">
        <f t="shared" si="239"/>
        <v>4866508</v>
      </c>
      <c r="AE228" s="74">
        <f t="shared" si="239"/>
        <v>41311</v>
      </c>
      <c r="AF228" s="74">
        <f t="shared" si="239"/>
        <v>4907819</v>
      </c>
      <c r="AG228" s="74">
        <f>SUM(AG229:AG255)</f>
        <v>0</v>
      </c>
      <c r="AH228" s="74">
        <f>SUM(AH229:AH255)</f>
        <v>4907819</v>
      </c>
    </row>
    <row r="229" spans="1:34" s="27" customFormat="1" ht="21" customHeight="1">
      <c r="A229" s="76"/>
      <c r="B229" s="75"/>
      <c r="C229" s="58">
        <v>3020</v>
      </c>
      <c r="D229" s="14" t="s">
        <v>474</v>
      </c>
      <c r="E229" s="74">
        <v>28916</v>
      </c>
      <c r="F229" s="74"/>
      <c r="G229" s="74"/>
      <c r="H229" s="74">
        <f t="shared" si="216"/>
        <v>28916</v>
      </c>
      <c r="I229" s="74"/>
      <c r="J229" s="74">
        <f t="shared" si="174"/>
        <v>28916</v>
      </c>
      <c r="K229" s="74">
        <v>0</v>
      </c>
      <c r="L229" s="74">
        <f t="shared" si="175"/>
        <v>28916</v>
      </c>
      <c r="M229" s="74">
        <v>0</v>
      </c>
      <c r="N229" s="74">
        <f aca="true" t="shared" si="240" ref="N229:N255">SUM(L229:M229)</f>
        <v>28916</v>
      </c>
      <c r="O229" s="74">
        <v>0</v>
      </c>
      <c r="P229" s="74">
        <f aca="true" t="shared" si="241" ref="P229:P255">SUM(N229:O229)</f>
        <v>28916</v>
      </c>
      <c r="Q229" s="74">
        <v>0</v>
      </c>
      <c r="R229" s="74">
        <f aca="true" t="shared" si="242" ref="R229:R255">SUM(P229:Q229)</f>
        <v>28916</v>
      </c>
      <c r="S229" s="74">
        <v>0</v>
      </c>
      <c r="T229" s="74">
        <f aca="true" t="shared" si="243" ref="T229:T255">SUM(R229:S229)</f>
        <v>28916</v>
      </c>
      <c r="U229" s="74">
        <v>0</v>
      </c>
      <c r="V229" s="74">
        <f aca="true" t="shared" si="244" ref="V229:V255">SUM(T229:U229)</f>
        <v>28916</v>
      </c>
      <c r="W229" s="74">
        <v>0</v>
      </c>
      <c r="X229" s="74">
        <f aca="true" t="shared" si="245" ref="X229:X255">SUM(V229:W229)</f>
        <v>28916</v>
      </c>
      <c r="Y229" s="74">
        <v>0</v>
      </c>
      <c r="Z229" s="74">
        <f aca="true" t="shared" si="246" ref="Z229:Z255">SUM(X229:Y229)</f>
        <v>28916</v>
      </c>
      <c r="AA229" s="74">
        <v>0</v>
      </c>
      <c r="AB229" s="74">
        <f aca="true" t="shared" si="247" ref="AB229:AB255">SUM(Z229:AA229)</f>
        <v>28916</v>
      </c>
      <c r="AC229" s="74">
        <v>0</v>
      </c>
      <c r="AD229" s="74">
        <f aca="true" t="shared" si="248" ref="AD229:AD255">SUM(AB229:AC229)</f>
        <v>28916</v>
      </c>
      <c r="AE229" s="74">
        <f>-414-1700</f>
        <v>-2114</v>
      </c>
      <c r="AF229" s="74">
        <f aca="true" t="shared" si="249" ref="AF229:AF255">SUM(AD229:AE229)</f>
        <v>26802</v>
      </c>
      <c r="AG229" s="74">
        <v>0</v>
      </c>
      <c r="AH229" s="74">
        <f aca="true" t="shared" si="250" ref="AH229:AH255">SUM(AF229:AG229)</f>
        <v>26802</v>
      </c>
    </row>
    <row r="230" spans="1:36" s="27" customFormat="1" ht="21" customHeight="1">
      <c r="A230" s="76"/>
      <c r="B230" s="75"/>
      <c r="C230" s="58">
        <v>4010</v>
      </c>
      <c r="D230" s="14" t="s">
        <v>345</v>
      </c>
      <c r="E230" s="74">
        <v>2920180</v>
      </c>
      <c r="F230" s="74"/>
      <c r="G230" s="74"/>
      <c r="H230" s="74">
        <f t="shared" si="216"/>
        <v>2920180</v>
      </c>
      <c r="I230" s="74"/>
      <c r="J230" s="74">
        <f t="shared" si="174"/>
        <v>2920180</v>
      </c>
      <c r="K230" s="74">
        <v>0</v>
      </c>
      <c r="L230" s="74">
        <f t="shared" si="175"/>
        <v>2920180</v>
      </c>
      <c r="M230" s="74">
        <v>0</v>
      </c>
      <c r="N230" s="74">
        <f t="shared" si="240"/>
        <v>2920180</v>
      </c>
      <c r="O230" s="74">
        <v>0</v>
      </c>
      <c r="P230" s="74">
        <f t="shared" si="241"/>
        <v>2920180</v>
      </c>
      <c r="Q230" s="74">
        <v>0</v>
      </c>
      <c r="R230" s="74">
        <f t="shared" si="242"/>
        <v>2920180</v>
      </c>
      <c r="S230" s="74">
        <v>0</v>
      </c>
      <c r="T230" s="74">
        <f t="shared" si="243"/>
        <v>2920180</v>
      </c>
      <c r="U230" s="74">
        <v>0</v>
      </c>
      <c r="V230" s="74">
        <f t="shared" si="244"/>
        <v>2920180</v>
      </c>
      <c r="W230" s="74">
        <v>-4600</v>
      </c>
      <c r="X230" s="74">
        <f t="shared" si="245"/>
        <v>2915580</v>
      </c>
      <c r="Y230" s="74">
        <v>0</v>
      </c>
      <c r="Z230" s="74">
        <f t="shared" si="246"/>
        <v>2915580</v>
      </c>
      <c r="AA230" s="74">
        <v>0</v>
      </c>
      <c r="AB230" s="74">
        <f t="shared" si="247"/>
        <v>2915580</v>
      </c>
      <c r="AC230" s="74">
        <v>0</v>
      </c>
      <c r="AD230" s="74">
        <f t="shared" si="248"/>
        <v>2915580</v>
      </c>
      <c r="AE230" s="74">
        <v>22489</v>
      </c>
      <c r="AF230" s="74">
        <f t="shared" si="249"/>
        <v>2938069</v>
      </c>
      <c r="AG230" s="74">
        <v>0</v>
      </c>
      <c r="AH230" s="74">
        <f t="shared" si="250"/>
        <v>2938069</v>
      </c>
      <c r="AI230" s="119"/>
      <c r="AJ230" s="119"/>
    </row>
    <row r="231" spans="1:36" s="27" customFormat="1" ht="21" customHeight="1">
      <c r="A231" s="76"/>
      <c r="B231" s="75"/>
      <c r="C231" s="58">
        <v>4040</v>
      </c>
      <c r="D231" s="14" t="s">
        <v>346</v>
      </c>
      <c r="E231" s="74">
        <v>233840</v>
      </c>
      <c r="F231" s="74"/>
      <c r="G231" s="74"/>
      <c r="H231" s="74">
        <f t="shared" si="216"/>
        <v>233840</v>
      </c>
      <c r="I231" s="74"/>
      <c r="J231" s="74">
        <f t="shared" si="174"/>
        <v>233840</v>
      </c>
      <c r="K231" s="74">
        <v>0</v>
      </c>
      <c r="L231" s="74">
        <f t="shared" si="175"/>
        <v>233840</v>
      </c>
      <c r="M231" s="74">
        <v>0</v>
      </c>
      <c r="N231" s="74">
        <f t="shared" si="240"/>
        <v>233840</v>
      </c>
      <c r="O231" s="74">
        <v>0</v>
      </c>
      <c r="P231" s="74">
        <f t="shared" si="241"/>
        <v>233840</v>
      </c>
      <c r="Q231" s="74">
        <v>-14159</v>
      </c>
      <c r="R231" s="74">
        <f t="shared" si="242"/>
        <v>219681</v>
      </c>
      <c r="S231" s="74">
        <v>0</v>
      </c>
      <c r="T231" s="74">
        <f t="shared" si="243"/>
        <v>219681</v>
      </c>
      <c r="U231" s="74">
        <v>0</v>
      </c>
      <c r="V231" s="74">
        <f t="shared" si="244"/>
        <v>219681</v>
      </c>
      <c r="W231" s="74">
        <v>0</v>
      </c>
      <c r="X231" s="74">
        <f t="shared" si="245"/>
        <v>219681</v>
      </c>
      <c r="Y231" s="74">
        <v>0</v>
      </c>
      <c r="Z231" s="74">
        <f t="shared" si="246"/>
        <v>219681</v>
      </c>
      <c r="AA231" s="74">
        <v>0</v>
      </c>
      <c r="AB231" s="74">
        <f t="shared" si="247"/>
        <v>219681</v>
      </c>
      <c r="AC231" s="74">
        <v>0</v>
      </c>
      <c r="AD231" s="74">
        <f t="shared" si="248"/>
        <v>219681</v>
      </c>
      <c r="AE231" s="74">
        <v>0</v>
      </c>
      <c r="AF231" s="74">
        <f t="shared" si="249"/>
        <v>219681</v>
      </c>
      <c r="AG231" s="74">
        <v>0</v>
      </c>
      <c r="AH231" s="74">
        <f t="shared" si="250"/>
        <v>219681</v>
      </c>
      <c r="AI231" s="119"/>
      <c r="AJ231" s="119"/>
    </row>
    <row r="232" spans="1:36" s="27" customFormat="1" ht="21" customHeight="1">
      <c r="A232" s="76"/>
      <c r="B232" s="75"/>
      <c r="C232" s="58">
        <v>4110</v>
      </c>
      <c r="D232" s="14" t="s">
        <v>347</v>
      </c>
      <c r="E232" s="74">
        <v>539098</v>
      </c>
      <c r="F232" s="74"/>
      <c r="G232" s="74"/>
      <c r="H232" s="74">
        <f t="shared" si="216"/>
        <v>539098</v>
      </c>
      <c r="I232" s="74"/>
      <c r="J232" s="74">
        <f aca="true" t="shared" si="251" ref="J232:J303">SUM(H232:I232)</f>
        <v>539098</v>
      </c>
      <c r="K232" s="74">
        <v>0</v>
      </c>
      <c r="L232" s="74">
        <f aca="true" t="shared" si="252" ref="L232:L303">SUM(J232:K232)</f>
        <v>539098</v>
      </c>
      <c r="M232" s="74">
        <v>0</v>
      </c>
      <c r="N232" s="74">
        <f t="shared" si="240"/>
        <v>539098</v>
      </c>
      <c r="O232" s="74">
        <v>0</v>
      </c>
      <c r="P232" s="74">
        <f t="shared" si="241"/>
        <v>539098</v>
      </c>
      <c r="Q232" s="74">
        <v>0</v>
      </c>
      <c r="R232" s="74">
        <f t="shared" si="242"/>
        <v>539098</v>
      </c>
      <c r="S232" s="74">
        <v>0</v>
      </c>
      <c r="T232" s="74">
        <f t="shared" si="243"/>
        <v>539098</v>
      </c>
      <c r="U232" s="74">
        <v>0</v>
      </c>
      <c r="V232" s="74">
        <f t="shared" si="244"/>
        <v>539098</v>
      </c>
      <c r="W232" s="74">
        <v>0</v>
      </c>
      <c r="X232" s="74">
        <f t="shared" si="245"/>
        <v>539098</v>
      </c>
      <c r="Y232" s="74">
        <v>0</v>
      </c>
      <c r="Z232" s="74">
        <f t="shared" si="246"/>
        <v>539098</v>
      </c>
      <c r="AA232" s="74">
        <v>0</v>
      </c>
      <c r="AB232" s="74">
        <f t="shared" si="247"/>
        <v>539098</v>
      </c>
      <c r="AC232" s="74">
        <v>0</v>
      </c>
      <c r="AD232" s="74">
        <f t="shared" si="248"/>
        <v>539098</v>
      </c>
      <c r="AE232" s="74">
        <v>8764</v>
      </c>
      <c r="AF232" s="74">
        <f t="shared" si="249"/>
        <v>547862</v>
      </c>
      <c r="AG232" s="74">
        <v>0</v>
      </c>
      <c r="AH232" s="74">
        <f t="shared" si="250"/>
        <v>547862</v>
      </c>
      <c r="AI232" s="119"/>
      <c r="AJ232" s="119"/>
    </row>
    <row r="233" spans="1:36" s="27" customFormat="1" ht="21" customHeight="1">
      <c r="A233" s="76"/>
      <c r="B233" s="75"/>
      <c r="C233" s="58">
        <v>4120</v>
      </c>
      <c r="D233" s="14" t="s">
        <v>348</v>
      </c>
      <c r="E233" s="74">
        <v>76111</v>
      </c>
      <c r="F233" s="74"/>
      <c r="G233" s="74"/>
      <c r="H233" s="74">
        <f t="shared" si="216"/>
        <v>76111</v>
      </c>
      <c r="I233" s="74"/>
      <c r="J233" s="74">
        <f t="shared" si="251"/>
        <v>76111</v>
      </c>
      <c r="K233" s="74">
        <v>0</v>
      </c>
      <c r="L233" s="74">
        <f t="shared" si="252"/>
        <v>76111</v>
      </c>
      <c r="M233" s="74">
        <v>0</v>
      </c>
      <c r="N233" s="74">
        <f t="shared" si="240"/>
        <v>76111</v>
      </c>
      <c r="O233" s="74">
        <v>0</v>
      </c>
      <c r="P233" s="74">
        <f t="shared" si="241"/>
        <v>76111</v>
      </c>
      <c r="Q233" s="74">
        <v>0</v>
      </c>
      <c r="R233" s="74">
        <f t="shared" si="242"/>
        <v>76111</v>
      </c>
      <c r="S233" s="74">
        <v>0</v>
      </c>
      <c r="T233" s="74">
        <f t="shared" si="243"/>
        <v>76111</v>
      </c>
      <c r="U233" s="74">
        <v>0</v>
      </c>
      <c r="V233" s="74">
        <f t="shared" si="244"/>
        <v>76111</v>
      </c>
      <c r="W233" s="74">
        <v>0</v>
      </c>
      <c r="X233" s="74">
        <f t="shared" si="245"/>
        <v>76111</v>
      </c>
      <c r="Y233" s="74">
        <v>0</v>
      </c>
      <c r="Z233" s="74">
        <f t="shared" si="246"/>
        <v>76111</v>
      </c>
      <c r="AA233" s="74">
        <v>0</v>
      </c>
      <c r="AB233" s="74">
        <f t="shared" si="247"/>
        <v>76111</v>
      </c>
      <c r="AC233" s="74">
        <v>0</v>
      </c>
      <c r="AD233" s="74">
        <f t="shared" si="248"/>
        <v>76111</v>
      </c>
      <c r="AE233" s="74">
        <v>1170</v>
      </c>
      <c r="AF233" s="74">
        <f t="shared" si="249"/>
        <v>77281</v>
      </c>
      <c r="AG233" s="74">
        <v>0</v>
      </c>
      <c r="AH233" s="74">
        <f t="shared" si="250"/>
        <v>77281</v>
      </c>
      <c r="AI233" s="119"/>
      <c r="AJ233" s="119"/>
    </row>
    <row r="234" spans="1:36" s="27" customFormat="1" ht="21" customHeight="1">
      <c r="A234" s="76"/>
      <c r="B234" s="75"/>
      <c r="C234" s="58">
        <v>4170</v>
      </c>
      <c r="D234" s="14" t="s">
        <v>478</v>
      </c>
      <c r="E234" s="74">
        <v>11400</v>
      </c>
      <c r="F234" s="74"/>
      <c r="G234" s="74"/>
      <c r="H234" s="74">
        <f t="shared" si="216"/>
        <v>11400</v>
      </c>
      <c r="I234" s="74">
        <v>800</v>
      </c>
      <c r="J234" s="74">
        <f t="shared" si="251"/>
        <v>12200</v>
      </c>
      <c r="K234" s="74">
        <v>0</v>
      </c>
      <c r="L234" s="74">
        <f t="shared" si="252"/>
        <v>12200</v>
      </c>
      <c r="M234" s="74">
        <v>0</v>
      </c>
      <c r="N234" s="74">
        <f t="shared" si="240"/>
        <v>12200</v>
      </c>
      <c r="O234" s="74">
        <v>0</v>
      </c>
      <c r="P234" s="74">
        <f t="shared" si="241"/>
        <v>12200</v>
      </c>
      <c r="Q234" s="74">
        <v>0</v>
      </c>
      <c r="R234" s="74">
        <f t="shared" si="242"/>
        <v>12200</v>
      </c>
      <c r="S234" s="74">
        <v>0</v>
      </c>
      <c r="T234" s="74">
        <f t="shared" si="243"/>
        <v>12200</v>
      </c>
      <c r="U234" s="74">
        <v>0</v>
      </c>
      <c r="V234" s="74">
        <f t="shared" si="244"/>
        <v>12200</v>
      </c>
      <c r="W234" s="74">
        <v>-180</v>
      </c>
      <c r="X234" s="74">
        <f t="shared" si="245"/>
        <v>12020</v>
      </c>
      <c r="Y234" s="74">
        <v>0</v>
      </c>
      <c r="Z234" s="74">
        <f t="shared" si="246"/>
        <v>12020</v>
      </c>
      <c r="AA234" s="74">
        <v>0</v>
      </c>
      <c r="AB234" s="74">
        <f t="shared" si="247"/>
        <v>12020</v>
      </c>
      <c r="AC234" s="74">
        <v>0</v>
      </c>
      <c r="AD234" s="74">
        <f t="shared" si="248"/>
        <v>12020</v>
      </c>
      <c r="AE234" s="74">
        <v>-720</v>
      </c>
      <c r="AF234" s="74">
        <f t="shared" si="249"/>
        <v>11300</v>
      </c>
      <c r="AG234" s="74">
        <v>0</v>
      </c>
      <c r="AH234" s="74">
        <f t="shared" si="250"/>
        <v>11300</v>
      </c>
      <c r="AI234" s="119"/>
      <c r="AJ234" s="119"/>
    </row>
    <row r="235" spans="1:34" s="27" customFormat="1" ht="21" customHeight="1">
      <c r="A235" s="76"/>
      <c r="B235" s="75"/>
      <c r="C235" s="58">
        <v>4210</v>
      </c>
      <c r="D235" s="14" t="s">
        <v>354</v>
      </c>
      <c r="E235" s="74">
        <v>129060</v>
      </c>
      <c r="F235" s="74"/>
      <c r="G235" s="74"/>
      <c r="H235" s="74">
        <f t="shared" si="216"/>
        <v>129060</v>
      </c>
      <c r="I235" s="74">
        <f>300+300</f>
        <v>600</v>
      </c>
      <c r="J235" s="74">
        <f t="shared" si="251"/>
        <v>129660</v>
      </c>
      <c r="K235" s="74">
        <v>2914</v>
      </c>
      <c r="L235" s="74">
        <f t="shared" si="252"/>
        <v>132574</v>
      </c>
      <c r="M235" s="74">
        <v>0</v>
      </c>
      <c r="N235" s="74">
        <f t="shared" si="240"/>
        <v>132574</v>
      </c>
      <c r="O235" s="74">
        <v>0</v>
      </c>
      <c r="P235" s="74">
        <f t="shared" si="241"/>
        <v>132574</v>
      </c>
      <c r="Q235" s="74">
        <v>0</v>
      </c>
      <c r="R235" s="74">
        <f t="shared" si="242"/>
        <v>132574</v>
      </c>
      <c r="S235" s="74">
        <v>0</v>
      </c>
      <c r="T235" s="74">
        <f t="shared" si="243"/>
        <v>132574</v>
      </c>
      <c r="U235" s="74">
        <v>0</v>
      </c>
      <c r="V235" s="74">
        <f t="shared" si="244"/>
        <v>132574</v>
      </c>
      <c r="W235" s="74">
        <v>9410</v>
      </c>
      <c r="X235" s="74">
        <f t="shared" si="245"/>
        <v>141984</v>
      </c>
      <c r="Y235" s="74">
        <v>0</v>
      </c>
      <c r="Z235" s="74">
        <f t="shared" si="246"/>
        <v>141984</v>
      </c>
      <c r="AA235" s="74">
        <v>0</v>
      </c>
      <c r="AB235" s="74">
        <f t="shared" si="247"/>
        <v>141984</v>
      </c>
      <c r="AC235" s="74">
        <v>0</v>
      </c>
      <c r="AD235" s="74">
        <f t="shared" si="248"/>
        <v>141984</v>
      </c>
      <c r="AE235" s="74">
        <v>4000</v>
      </c>
      <c r="AF235" s="74">
        <f t="shared" si="249"/>
        <v>145984</v>
      </c>
      <c r="AG235" s="74">
        <v>0</v>
      </c>
      <c r="AH235" s="74">
        <f t="shared" si="250"/>
        <v>145984</v>
      </c>
    </row>
    <row r="236" spans="1:34" s="27" customFormat="1" ht="21" customHeight="1">
      <c r="A236" s="76"/>
      <c r="B236" s="75"/>
      <c r="C236" s="58">
        <v>4215</v>
      </c>
      <c r="D236" s="14" t="s">
        <v>354</v>
      </c>
      <c r="E236" s="74"/>
      <c r="F236" s="74"/>
      <c r="G236" s="74"/>
      <c r="H236" s="74">
        <v>0</v>
      </c>
      <c r="I236" s="74">
        <v>521</v>
      </c>
      <c r="J236" s="74">
        <f t="shared" si="251"/>
        <v>521</v>
      </c>
      <c r="K236" s="74">
        <v>0</v>
      </c>
      <c r="L236" s="74">
        <f t="shared" si="252"/>
        <v>521</v>
      </c>
      <c r="M236" s="74">
        <v>0</v>
      </c>
      <c r="N236" s="74">
        <f t="shared" si="240"/>
        <v>521</v>
      </c>
      <c r="O236" s="74">
        <v>0</v>
      </c>
      <c r="P236" s="74">
        <f t="shared" si="241"/>
        <v>521</v>
      </c>
      <c r="Q236" s="74">
        <v>0</v>
      </c>
      <c r="R236" s="74">
        <f t="shared" si="242"/>
        <v>521</v>
      </c>
      <c r="S236" s="74">
        <v>0</v>
      </c>
      <c r="T236" s="74">
        <f t="shared" si="243"/>
        <v>521</v>
      </c>
      <c r="U236" s="74">
        <v>0</v>
      </c>
      <c r="V236" s="74">
        <f t="shared" si="244"/>
        <v>521</v>
      </c>
      <c r="W236" s="74">
        <v>0</v>
      </c>
      <c r="X236" s="74">
        <f t="shared" si="245"/>
        <v>521</v>
      </c>
      <c r="Y236" s="74">
        <v>0</v>
      </c>
      <c r="Z236" s="74">
        <f t="shared" si="246"/>
        <v>521</v>
      </c>
      <c r="AA236" s="74">
        <v>0</v>
      </c>
      <c r="AB236" s="74">
        <f t="shared" si="247"/>
        <v>521</v>
      </c>
      <c r="AC236" s="74">
        <v>0</v>
      </c>
      <c r="AD236" s="74">
        <f t="shared" si="248"/>
        <v>521</v>
      </c>
      <c r="AE236" s="74">
        <v>0</v>
      </c>
      <c r="AF236" s="74">
        <f t="shared" si="249"/>
        <v>521</v>
      </c>
      <c r="AG236" s="74">
        <v>0</v>
      </c>
      <c r="AH236" s="74">
        <f t="shared" si="250"/>
        <v>521</v>
      </c>
    </row>
    <row r="237" spans="1:34" s="27" customFormat="1" ht="21" customHeight="1">
      <c r="A237" s="76"/>
      <c r="B237" s="75"/>
      <c r="C237" s="58">
        <v>4230</v>
      </c>
      <c r="D237" s="14" t="s">
        <v>77</v>
      </c>
      <c r="E237" s="74">
        <v>1400</v>
      </c>
      <c r="F237" s="74"/>
      <c r="G237" s="74"/>
      <c r="H237" s="74">
        <f aca="true" t="shared" si="253" ref="H237:H242">E237+F237-G237</f>
        <v>1400</v>
      </c>
      <c r="I237" s="74"/>
      <c r="J237" s="74">
        <f t="shared" si="251"/>
        <v>1400</v>
      </c>
      <c r="K237" s="74">
        <v>0</v>
      </c>
      <c r="L237" s="74">
        <f t="shared" si="252"/>
        <v>1400</v>
      </c>
      <c r="M237" s="74">
        <v>0</v>
      </c>
      <c r="N237" s="74">
        <f t="shared" si="240"/>
        <v>1400</v>
      </c>
      <c r="O237" s="74">
        <v>0</v>
      </c>
      <c r="P237" s="74">
        <f t="shared" si="241"/>
        <v>1400</v>
      </c>
      <c r="Q237" s="74">
        <v>0</v>
      </c>
      <c r="R237" s="74">
        <f t="shared" si="242"/>
        <v>1400</v>
      </c>
      <c r="S237" s="74">
        <v>0</v>
      </c>
      <c r="T237" s="74">
        <f t="shared" si="243"/>
        <v>1400</v>
      </c>
      <c r="U237" s="74">
        <v>0</v>
      </c>
      <c r="V237" s="74">
        <f t="shared" si="244"/>
        <v>1400</v>
      </c>
      <c r="W237" s="74">
        <v>0</v>
      </c>
      <c r="X237" s="74">
        <f t="shared" si="245"/>
        <v>1400</v>
      </c>
      <c r="Y237" s="74">
        <v>0</v>
      </c>
      <c r="Z237" s="74">
        <f t="shared" si="246"/>
        <v>1400</v>
      </c>
      <c r="AA237" s="74">
        <v>0</v>
      </c>
      <c r="AB237" s="74">
        <f t="shared" si="247"/>
        <v>1400</v>
      </c>
      <c r="AC237" s="74">
        <v>0</v>
      </c>
      <c r="AD237" s="74">
        <f t="shared" si="248"/>
        <v>1400</v>
      </c>
      <c r="AE237" s="74">
        <v>0</v>
      </c>
      <c r="AF237" s="74">
        <f t="shared" si="249"/>
        <v>1400</v>
      </c>
      <c r="AG237" s="74">
        <v>0</v>
      </c>
      <c r="AH237" s="74">
        <f t="shared" si="250"/>
        <v>1400</v>
      </c>
    </row>
    <row r="238" spans="1:34" s="27" customFormat="1" ht="21" customHeight="1">
      <c r="A238" s="76"/>
      <c r="B238" s="75"/>
      <c r="C238" s="58">
        <v>4240</v>
      </c>
      <c r="D238" s="14" t="s">
        <v>387</v>
      </c>
      <c r="E238" s="74">
        <f>4500+50000</f>
        <v>54500</v>
      </c>
      <c r="F238" s="74"/>
      <c r="G238" s="74"/>
      <c r="H238" s="74">
        <f t="shared" si="253"/>
        <v>54500</v>
      </c>
      <c r="I238" s="74"/>
      <c r="J238" s="74">
        <f t="shared" si="251"/>
        <v>54500</v>
      </c>
      <c r="K238" s="74">
        <v>0</v>
      </c>
      <c r="L238" s="74">
        <f t="shared" si="252"/>
        <v>54500</v>
      </c>
      <c r="M238" s="74">
        <v>0</v>
      </c>
      <c r="N238" s="74">
        <f t="shared" si="240"/>
        <v>54500</v>
      </c>
      <c r="O238" s="74">
        <v>0</v>
      </c>
      <c r="P238" s="74">
        <f t="shared" si="241"/>
        <v>54500</v>
      </c>
      <c r="Q238" s="74">
        <v>0</v>
      </c>
      <c r="R238" s="74">
        <f t="shared" si="242"/>
        <v>54500</v>
      </c>
      <c r="S238" s="74">
        <v>0</v>
      </c>
      <c r="T238" s="74">
        <f t="shared" si="243"/>
        <v>54500</v>
      </c>
      <c r="U238" s="74">
        <v>0</v>
      </c>
      <c r="V238" s="74">
        <f t="shared" si="244"/>
        <v>54500</v>
      </c>
      <c r="W238" s="74">
        <v>0</v>
      </c>
      <c r="X238" s="74">
        <f t="shared" si="245"/>
        <v>54500</v>
      </c>
      <c r="Y238" s="74">
        <v>0</v>
      </c>
      <c r="Z238" s="74">
        <f t="shared" si="246"/>
        <v>54500</v>
      </c>
      <c r="AA238" s="74">
        <v>0</v>
      </c>
      <c r="AB238" s="74">
        <f t="shared" si="247"/>
        <v>54500</v>
      </c>
      <c r="AC238" s="74">
        <v>0</v>
      </c>
      <c r="AD238" s="74">
        <f t="shared" si="248"/>
        <v>54500</v>
      </c>
      <c r="AE238" s="74">
        <v>0</v>
      </c>
      <c r="AF238" s="74">
        <f t="shared" si="249"/>
        <v>54500</v>
      </c>
      <c r="AG238" s="74">
        <v>0</v>
      </c>
      <c r="AH238" s="74">
        <f t="shared" si="250"/>
        <v>54500</v>
      </c>
    </row>
    <row r="239" spans="1:34" s="27" customFormat="1" ht="21" customHeight="1">
      <c r="A239" s="76"/>
      <c r="B239" s="75"/>
      <c r="C239" s="58">
        <v>4260</v>
      </c>
      <c r="D239" s="14" t="s">
        <v>357</v>
      </c>
      <c r="E239" s="74">
        <v>288300</v>
      </c>
      <c r="F239" s="74"/>
      <c r="G239" s="74"/>
      <c r="H239" s="74">
        <f t="shared" si="253"/>
        <v>288300</v>
      </c>
      <c r="I239" s="74">
        <v>-800</v>
      </c>
      <c r="J239" s="74">
        <f t="shared" si="251"/>
        <v>287500</v>
      </c>
      <c r="K239" s="74">
        <v>1304</v>
      </c>
      <c r="L239" s="74">
        <f t="shared" si="252"/>
        <v>288804</v>
      </c>
      <c r="M239" s="74">
        <v>0</v>
      </c>
      <c r="N239" s="74">
        <f t="shared" si="240"/>
        <v>288804</v>
      </c>
      <c r="O239" s="74">
        <v>0</v>
      </c>
      <c r="P239" s="74">
        <f t="shared" si="241"/>
        <v>288804</v>
      </c>
      <c r="Q239" s="74">
        <v>0</v>
      </c>
      <c r="R239" s="74">
        <f t="shared" si="242"/>
        <v>288804</v>
      </c>
      <c r="S239" s="74">
        <v>0</v>
      </c>
      <c r="T239" s="74">
        <f t="shared" si="243"/>
        <v>288804</v>
      </c>
      <c r="U239" s="74">
        <v>0</v>
      </c>
      <c r="V239" s="74">
        <f t="shared" si="244"/>
        <v>288804</v>
      </c>
      <c r="W239" s="74">
        <v>0</v>
      </c>
      <c r="X239" s="74">
        <f t="shared" si="245"/>
        <v>288804</v>
      </c>
      <c r="Y239" s="74">
        <v>0</v>
      </c>
      <c r="Z239" s="74">
        <f t="shared" si="246"/>
        <v>288804</v>
      </c>
      <c r="AA239" s="74">
        <v>0</v>
      </c>
      <c r="AB239" s="74">
        <f t="shared" si="247"/>
        <v>288804</v>
      </c>
      <c r="AC239" s="74">
        <v>0</v>
      </c>
      <c r="AD239" s="74">
        <f t="shared" si="248"/>
        <v>288804</v>
      </c>
      <c r="AE239" s="74">
        <v>-13100</v>
      </c>
      <c r="AF239" s="74">
        <f t="shared" si="249"/>
        <v>275704</v>
      </c>
      <c r="AG239" s="74">
        <v>0</v>
      </c>
      <c r="AH239" s="74">
        <f t="shared" si="250"/>
        <v>275704</v>
      </c>
    </row>
    <row r="240" spans="1:34" s="27" customFormat="1" ht="21" customHeight="1">
      <c r="A240" s="76"/>
      <c r="B240" s="75"/>
      <c r="C240" s="58">
        <v>4270</v>
      </c>
      <c r="D240" s="14" t="s">
        <v>339</v>
      </c>
      <c r="E240" s="74">
        <f>150000+18600</f>
        <v>168600</v>
      </c>
      <c r="F240" s="74"/>
      <c r="G240" s="74"/>
      <c r="H240" s="74">
        <f t="shared" si="253"/>
        <v>168600</v>
      </c>
      <c r="I240" s="74"/>
      <c r="J240" s="74">
        <f t="shared" si="251"/>
        <v>168600</v>
      </c>
      <c r="K240" s="74">
        <v>0</v>
      </c>
      <c r="L240" s="74">
        <f t="shared" si="252"/>
        <v>168600</v>
      </c>
      <c r="M240" s="74">
        <v>0</v>
      </c>
      <c r="N240" s="74">
        <f t="shared" si="240"/>
        <v>168600</v>
      </c>
      <c r="O240" s="74">
        <v>0</v>
      </c>
      <c r="P240" s="74">
        <f t="shared" si="241"/>
        <v>168600</v>
      </c>
      <c r="Q240" s="74">
        <v>0</v>
      </c>
      <c r="R240" s="74">
        <f t="shared" si="242"/>
        <v>168600</v>
      </c>
      <c r="S240" s="74">
        <v>0</v>
      </c>
      <c r="T240" s="74">
        <f t="shared" si="243"/>
        <v>168600</v>
      </c>
      <c r="U240" s="74">
        <v>0</v>
      </c>
      <c r="V240" s="74">
        <f t="shared" si="244"/>
        <v>168600</v>
      </c>
      <c r="W240" s="74">
        <v>2000</v>
      </c>
      <c r="X240" s="74">
        <f t="shared" si="245"/>
        <v>170600</v>
      </c>
      <c r="Y240" s="74">
        <v>0</v>
      </c>
      <c r="Z240" s="74">
        <f t="shared" si="246"/>
        <v>170600</v>
      </c>
      <c r="AA240" s="74">
        <v>15000</v>
      </c>
      <c r="AB240" s="74">
        <f t="shared" si="247"/>
        <v>185600</v>
      </c>
      <c r="AC240" s="74">
        <v>0</v>
      </c>
      <c r="AD240" s="74">
        <f t="shared" si="248"/>
        <v>185600</v>
      </c>
      <c r="AE240" s="74">
        <v>2900</v>
      </c>
      <c r="AF240" s="74">
        <f t="shared" si="249"/>
        <v>188500</v>
      </c>
      <c r="AG240" s="74">
        <v>0</v>
      </c>
      <c r="AH240" s="74">
        <f t="shared" si="250"/>
        <v>188500</v>
      </c>
    </row>
    <row r="241" spans="1:34" s="27" customFormat="1" ht="21" customHeight="1">
      <c r="A241" s="76"/>
      <c r="B241" s="75"/>
      <c r="C241" s="58">
        <v>4280</v>
      </c>
      <c r="D241" s="14" t="s">
        <v>508</v>
      </c>
      <c r="E241" s="74">
        <v>7200</v>
      </c>
      <c r="F241" s="74"/>
      <c r="G241" s="74"/>
      <c r="H241" s="74">
        <f t="shared" si="253"/>
        <v>7200</v>
      </c>
      <c r="I241" s="74"/>
      <c r="J241" s="74">
        <f t="shared" si="251"/>
        <v>7200</v>
      </c>
      <c r="K241" s="74">
        <v>0</v>
      </c>
      <c r="L241" s="74">
        <f t="shared" si="252"/>
        <v>7200</v>
      </c>
      <c r="M241" s="74">
        <v>0</v>
      </c>
      <c r="N241" s="74">
        <f t="shared" si="240"/>
        <v>7200</v>
      </c>
      <c r="O241" s="74">
        <v>0</v>
      </c>
      <c r="P241" s="74">
        <f t="shared" si="241"/>
        <v>7200</v>
      </c>
      <c r="Q241" s="74">
        <v>0</v>
      </c>
      <c r="R241" s="74">
        <f t="shared" si="242"/>
        <v>7200</v>
      </c>
      <c r="S241" s="74">
        <v>0</v>
      </c>
      <c r="T241" s="74">
        <f t="shared" si="243"/>
        <v>7200</v>
      </c>
      <c r="U241" s="74">
        <v>0</v>
      </c>
      <c r="V241" s="74">
        <f t="shared" si="244"/>
        <v>7200</v>
      </c>
      <c r="W241" s="74">
        <v>0</v>
      </c>
      <c r="X241" s="74">
        <f t="shared" si="245"/>
        <v>7200</v>
      </c>
      <c r="Y241" s="74">
        <v>0</v>
      </c>
      <c r="Z241" s="74">
        <f t="shared" si="246"/>
        <v>7200</v>
      </c>
      <c r="AA241" s="74">
        <v>0</v>
      </c>
      <c r="AB241" s="74">
        <f t="shared" si="247"/>
        <v>7200</v>
      </c>
      <c r="AC241" s="74">
        <v>0</v>
      </c>
      <c r="AD241" s="74">
        <f t="shared" si="248"/>
        <v>7200</v>
      </c>
      <c r="AE241" s="74">
        <v>0</v>
      </c>
      <c r="AF241" s="74">
        <f t="shared" si="249"/>
        <v>7200</v>
      </c>
      <c r="AG241" s="74">
        <v>0</v>
      </c>
      <c r="AH241" s="74">
        <f t="shared" si="250"/>
        <v>7200</v>
      </c>
    </row>
    <row r="242" spans="1:34" s="27" customFormat="1" ht="21" customHeight="1">
      <c r="A242" s="76"/>
      <c r="B242" s="75"/>
      <c r="C242" s="58">
        <v>4300</v>
      </c>
      <c r="D242" s="14" t="s">
        <v>340</v>
      </c>
      <c r="E242" s="74">
        <f>1000+37940</f>
        <v>38940</v>
      </c>
      <c r="F242" s="74">
        <v>50000</v>
      </c>
      <c r="G242" s="74"/>
      <c r="H242" s="74">
        <f t="shared" si="253"/>
        <v>88940</v>
      </c>
      <c r="I242" s="74">
        <v>-3500</v>
      </c>
      <c r="J242" s="74">
        <f t="shared" si="251"/>
        <v>85440</v>
      </c>
      <c r="K242" s="74">
        <v>2000</v>
      </c>
      <c r="L242" s="74">
        <f t="shared" si="252"/>
        <v>87440</v>
      </c>
      <c r="M242" s="74">
        <v>0</v>
      </c>
      <c r="N242" s="74">
        <f t="shared" si="240"/>
        <v>87440</v>
      </c>
      <c r="O242" s="74">
        <v>0</v>
      </c>
      <c r="P242" s="138">
        <f t="shared" si="241"/>
        <v>87440</v>
      </c>
      <c r="Q242" s="138">
        <v>0</v>
      </c>
      <c r="R242" s="138">
        <f t="shared" si="242"/>
        <v>87440</v>
      </c>
      <c r="S242" s="138">
        <v>0</v>
      </c>
      <c r="T242" s="138">
        <f t="shared" si="243"/>
        <v>87440</v>
      </c>
      <c r="U242" s="138">
        <v>0</v>
      </c>
      <c r="V242" s="138">
        <f t="shared" si="244"/>
        <v>87440</v>
      </c>
      <c r="W242" s="138">
        <f>1287+1000</f>
        <v>2287</v>
      </c>
      <c r="X242" s="138">
        <f t="shared" si="245"/>
        <v>89727</v>
      </c>
      <c r="Y242" s="138">
        <v>0</v>
      </c>
      <c r="Z242" s="138">
        <f t="shared" si="246"/>
        <v>89727</v>
      </c>
      <c r="AA242" s="138">
        <v>0</v>
      </c>
      <c r="AB242" s="138">
        <f t="shared" si="247"/>
        <v>89727</v>
      </c>
      <c r="AC242" s="138">
        <v>0</v>
      </c>
      <c r="AD242" s="138">
        <f t="shared" si="248"/>
        <v>89727</v>
      </c>
      <c r="AE242" s="138">
        <f>7900+1700</f>
        <v>9600</v>
      </c>
      <c r="AF242" s="138">
        <f t="shared" si="249"/>
        <v>99327</v>
      </c>
      <c r="AG242" s="138">
        <v>0</v>
      </c>
      <c r="AH242" s="138">
        <f t="shared" si="250"/>
        <v>99327</v>
      </c>
    </row>
    <row r="243" spans="1:34" s="27" customFormat="1" ht="21" customHeight="1">
      <c r="A243" s="76"/>
      <c r="B243" s="75"/>
      <c r="C243" s="58">
        <v>4305</v>
      </c>
      <c r="D243" s="14" t="s">
        <v>340</v>
      </c>
      <c r="E243" s="74"/>
      <c r="F243" s="74"/>
      <c r="G243" s="74"/>
      <c r="H243" s="74">
        <v>0</v>
      </c>
      <c r="I243" s="74">
        <v>373</v>
      </c>
      <c r="J243" s="74">
        <f t="shared" si="251"/>
        <v>373</v>
      </c>
      <c r="K243" s="74">
        <v>0</v>
      </c>
      <c r="L243" s="74">
        <f t="shared" si="252"/>
        <v>373</v>
      </c>
      <c r="M243" s="74">
        <v>0</v>
      </c>
      <c r="N243" s="74">
        <f t="shared" si="240"/>
        <v>373</v>
      </c>
      <c r="O243" s="74">
        <v>0</v>
      </c>
      <c r="P243" s="74">
        <f t="shared" si="241"/>
        <v>373</v>
      </c>
      <c r="Q243" s="74">
        <f>73+19</f>
        <v>92</v>
      </c>
      <c r="R243" s="74">
        <f t="shared" si="242"/>
        <v>465</v>
      </c>
      <c r="S243" s="74">
        <v>0</v>
      </c>
      <c r="T243" s="74">
        <f t="shared" si="243"/>
        <v>465</v>
      </c>
      <c r="U243" s="74">
        <v>0</v>
      </c>
      <c r="V243" s="74">
        <f t="shared" si="244"/>
        <v>465</v>
      </c>
      <c r="W243" s="74">
        <v>0</v>
      </c>
      <c r="X243" s="74">
        <f t="shared" si="245"/>
        <v>465</v>
      </c>
      <c r="Y243" s="74">
        <v>0</v>
      </c>
      <c r="Z243" s="74">
        <f t="shared" si="246"/>
        <v>465</v>
      </c>
      <c r="AA243" s="74">
        <v>0</v>
      </c>
      <c r="AB243" s="74">
        <f t="shared" si="247"/>
        <v>465</v>
      </c>
      <c r="AC243" s="74">
        <v>0</v>
      </c>
      <c r="AD243" s="74">
        <f t="shared" si="248"/>
        <v>465</v>
      </c>
      <c r="AE243" s="74">
        <v>0</v>
      </c>
      <c r="AF243" s="74">
        <f t="shared" si="249"/>
        <v>465</v>
      </c>
      <c r="AG243" s="74">
        <v>0</v>
      </c>
      <c r="AH243" s="74">
        <f t="shared" si="250"/>
        <v>465</v>
      </c>
    </row>
    <row r="244" spans="1:34" s="27" customFormat="1" ht="21" customHeight="1">
      <c r="A244" s="76"/>
      <c r="B244" s="75"/>
      <c r="C244" s="58">
        <v>4350</v>
      </c>
      <c r="D244" s="14" t="s">
        <v>525</v>
      </c>
      <c r="E244" s="74">
        <v>4400</v>
      </c>
      <c r="F244" s="74"/>
      <c r="G244" s="74"/>
      <c r="H244" s="74">
        <f>E244+F244-G244</f>
        <v>4400</v>
      </c>
      <c r="I244" s="74"/>
      <c r="J244" s="74">
        <f t="shared" si="251"/>
        <v>4400</v>
      </c>
      <c r="K244" s="74">
        <v>0</v>
      </c>
      <c r="L244" s="74">
        <f t="shared" si="252"/>
        <v>4400</v>
      </c>
      <c r="M244" s="74">
        <v>0</v>
      </c>
      <c r="N244" s="74">
        <f t="shared" si="240"/>
        <v>4400</v>
      </c>
      <c r="O244" s="74">
        <v>0</v>
      </c>
      <c r="P244" s="74">
        <f t="shared" si="241"/>
        <v>4400</v>
      </c>
      <c r="Q244" s="74">
        <v>0</v>
      </c>
      <c r="R244" s="74">
        <f t="shared" si="242"/>
        <v>4400</v>
      </c>
      <c r="S244" s="74">
        <v>0</v>
      </c>
      <c r="T244" s="74">
        <f t="shared" si="243"/>
        <v>4400</v>
      </c>
      <c r="U244" s="74">
        <v>0</v>
      </c>
      <c r="V244" s="74">
        <f t="shared" si="244"/>
        <v>4400</v>
      </c>
      <c r="W244" s="74">
        <v>-400</v>
      </c>
      <c r="X244" s="74">
        <f t="shared" si="245"/>
        <v>4000</v>
      </c>
      <c r="Y244" s="74">
        <v>0</v>
      </c>
      <c r="Z244" s="74">
        <f t="shared" si="246"/>
        <v>4000</v>
      </c>
      <c r="AA244" s="74">
        <v>0</v>
      </c>
      <c r="AB244" s="74">
        <f t="shared" si="247"/>
        <v>4000</v>
      </c>
      <c r="AC244" s="74">
        <v>0</v>
      </c>
      <c r="AD244" s="74">
        <f t="shared" si="248"/>
        <v>4000</v>
      </c>
      <c r="AE244" s="74">
        <v>-150</v>
      </c>
      <c r="AF244" s="74">
        <f t="shared" si="249"/>
        <v>3850</v>
      </c>
      <c r="AG244" s="74">
        <v>0</v>
      </c>
      <c r="AH244" s="74">
        <f t="shared" si="250"/>
        <v>3850</v>
      </c>
    </row>
    <row r="245" spans="1:34" s="27" customFormat="1" ht="24">
      <c r="A245" s="76"/>
      <c r="B245" s="75"/>
      <c r="C245" s="58">
        <v>4370</v>
      </c>
      <c r="D245" s="14" t="s">
        <v>568</v>
      </c>
      <c r="E245" s="74">
        <v>8000</v>
      </c>
      <c r="F245" s="74"/>
      <c r="G245" s="74"/>
      <c r="H245" s="74">
        <f>E245+F245-G245</f>
        <v>8000</v>
      </c>
      <c r="I245" s="74"/>
      <c r="J245" s="74">
        <f t="shared" si="251"/>
        <v>8000</v>
      </c>
      <c r="K245" s="74">
        <v>0</v>
      </c>
      <c r="L245" s="74">
        <f t="shared" si="252"/>
        <v>8000</v>
      </c>
      <c r="M245" s="74">
        <v>0</v>
      </c>
      <c r="N245" s="74">
        <f t="shared" si="240"/>
        <v>8000</v>
      </c>
      <c r="O245" s="74">
        <v>0</v>
      </c>
      <c r="P245" s="74">
        <f t="shared" si="241"/>
        <v>8000</v>
      </c>
      <c r="Q245" s="74">
        <v>0</v>
      </c>
      <c r="R245" s="74">
        <f t="shared" si="242"/>
        <v>8000</v>
      </c>
      <c r="S245" s="74">
        <v>0</v>
      </c>
      <c r="T245" s="74">
        <f t="shared" si="243"/>
        <v>8000</v>
      </c>
      <c r="U245" s="74">
        <v>0</v>
      </c>
      <c r="V245" s="74">
        <f t="shared" si="244"/>
        <v>8000</v>
      </c>
      <c r="W245" s="74">
        <v>0</v>
      </c>
      <c r="X245" s="74">
        <f t="shared" si="245"/>
        <v>8000</v>
      </c>
      <c r="Y245" s="74">
        <v>0</v>
      </c>
      <c r="Z245" s="74">
        <f t="shared" si="246"/>
        <v>8000</v>
      </c>
      <c r="AA245" s="74">
        <v>0</v>
      </c>
      <c r="AB245" s="74">
        <f t="shared" si="247"/>
        <v>8000</v>
      </c>
      <c r="AC245" s="74">
        <v>0</v>
      </c>
      <c r="AD245" s="74">
        <f t="shared" si="248"/>
        <v>8000</v>
      </c>
      <c r="AE245" s="74">
        <v>0</v>
      </c>
      <c r="AF245" s="74">
        <f t="shared" si="249"/>
        <v>8000</v>
      </c>
      <c r="AG245" s="74">
        <v>0</v>
      </c>
      <c r="AH245" s="74">
        <f t="shared" si="250"/>
        <v>8000</v>
      </c>
    </row>
    <row r="246" spans="1:34" s="27" customFormat="1" ht="21" customHeight="1">
      <c r="A246" s="76"/>
      <c r="B246" s="75"/>
      <c r="C246" s="58">
        <v>4390</v>
      </c>
      <c r="D246" s="14" t="s">
        <v>574</v>
      </c>
      <c r="E246" s="74">
        <v>3800</v>
      </c>
      <c r="F246" s="74"/>
      <c r="G246" s="74"/>
      <c r="H246" s="74">
        <f>E246+F246-G246</f>
        <v>3800</v>
      </c>
      <c r="I246" s="74"/>
      <c r="J246" s="74">
        <f t="shared" si="251"/>
        <v>3800</v>
      </c>
      <c r="K246" s="74">
        <v>0</v>
      </c>
      <c r="L246" s="74">
        <f t="shared" si="252"/>
        <v>3800</v>
      </c>
      <c r="M246" s="74">
        <v>0</v>
      </c>
      <c r="N246" s="74">
        <f t="shared" si="240"/>
        <v>3800</v>
      </c>
      <c r="O246" s="74">
        <v>0</v>
      </c>
      <c r="P246" s="74">
        <f t="shared" si="241"/>
        <v>3800</v>
      </c>
      <c r="Q246" s="74">
        <v>0</v>
      </c>
      <c r="R246" s="74">
        <f t="shared" si="242"/>
        <v>3800</v>
      </c>
      <c r="S246" s="74">
        <v>0</v>
      </c>
      <c r="T246" s="74">
        <f t="shared" si="243"/>
        <v>3800</v>
      </c>
      <c r="U246" s="74">
        <v>0</v>
      </c>
      <c r="V246" s="74">
        <f t="shared" si="244"/>
        <v>3800</v>
      </c>
      <c r="W246" s="74">
        <v>0</v>
      </c>
      <c r="X246" s="74">
        <f t="shared" si="245"/>
        <v>3800</v>
      </c>
      <c r="Y246" s="74">
        <v>0</v>
      </c>
      <c r="Z246" s="74">
        <f t="shared" si="246"/>
        <v>3800</v>
      </c>
      <c r="AA246" s="74">
        <v>0</v>
      </c>
      <c r="AB246" s="74">
        <f t="shared" si="247"/>
        <v>3800</v>
      </c>
      <c r="AC246" s="74">
        <v>0</v>
      </c>
      <c r="AD246" s="74">
        <f t="shared" si="248"/>
        <v>3800</v>
      </c>
      <c r="AE246" s="74">
        <v>-3200</v>
      </c>
      <c r="AF246" s="74">
        <f t="shared" si="249"/>
        <v>600</v>
      </c>
      <c r="AG246" s="74">
        <v>0</v>
      </c>
      <c r="AH246" s="74">
        <f t="shared" si="250"/>
        <v>600</v>
      </c>
    </row>
    <row r="247" spans="1:34" s="27" customFormat="1" ht="21" customHeight="1">
      <c r="A247" s="76"/>
      <c r="B247" s="75"/>
      <c r="C247" s="58">
        <v>4410</v>
      </c>
      <c r="D247" s="14" t="s">
        <v>352</v>
      </c>
      <c r="E247" s="74">
        <v>6000</v>
      </c>
      <c r="F247" s="74"/>
      <c r="G247" s="74"/>
      <c r="H247" s="74">
        <f>E247+F247-G247</f>
        <v>6000</v>
      </c>
      <c r="I247" s="74"/>
      <c r="J247" s="74">
        <f t="shared" si="251"/>
        <v>6000</v>
      </c>
      <c r="K247" s="74">
        <v>0</v>
      </c>
      <c r="L247" s="74">
        <f t="shared" si="252"/>
        <v>6000</v>
      </c>
      <c r="M247" s="74">
        <v>0</v>
      </c>
      <c r="N247" s="74">
        <f t="shared" si="240"/>
        <v>6000</v>
      </c>
      <c r="O247" s="74">
        <v>0</v>
      </c>
      <c r="P247" s="74">
        <f t="shared" si="241"/>
        <v>6000</v>
      </c>
      <c r="Q247" s="74">
        <v>0</v>
      </c>
      <c r="R247" s="74">
        <f t="shared" si="242"/>
        <v>6000</v>
      </c>
      <c r="S247" s="74">
        <v>0</v>
      </c>
      <c r="T247" s="74">
        <f t="shared" si="243"/>
        <v>6000</v>
      </c>
      <c r="U247" s="74">
        <v>0</v>
      </c>
      <c r="V247" s="74">
        <f t="shared" si="244"/>
        <v>6000</v>
      </c>
      <c r="W247" s="74">
        <v>0</v>
      </c>
      <c r="X247" s="74">
        <f t="shared" si="245"/>
        <v>6000</v>
      </c>
      <c r="Y247" s="74">
        <v>0</v>
      </c>
      <c r="Z247" s="74">
        <f t="shared" si="246"/>
        <v>6000</v>
      </c>
      <c r="AA247" s="74">
        <v>0</v>
      </c>
      <c r="AB247" s="74">
        <f t="shared" si="247"/>
        <v>6000</v>
      </c>
      <c r="AC247" s="74">
        <v>0</v>
      </c>
      <c r="AD247" s="74">
        <f t="shared" si="248"/>
        <v>6000</v>
      </c>
      <c r="AE247" s="74">
        <v>0</v>
      </c>
      <c r="AF247" s="74">
        <f t="shared" si="249"/>
        <v>6000</v>
      </c>
      <c r="AG247" s="74">
        <v>0</v>
      </c>
      <c r="AH247" s="74">
        <f t="shared" si="250"/>
        <v>6000</v>
      </c>
    </row>
    <row r="248" spans="1:34" s="27" customFormat="1" ht="21" customHeight="1">
      <c r="A248" s="76"/>
      <c r="B248" s="75"/>
      <c r="C248" s="58">
        <v>4425</v>
      </c>
      <c r="D248" s="14" t="s">
        <v>355</v>
      </c>
      <c r="E248" s="74"/>
      <c r="F248" s="74"/>
      <c r="G248" s="74"/>
      <c r="H248" s="74">
        <v>0</v>
      </c>
      <c r="I248" s="74">
        <v>2326</v>
      </c>
      <c r="J248" s="74">
        <f t="shared" si="251"/>
        <v>2326</v>
      </c>
      <c r="K248" s="74">
        <v>0</v>
      </c>
      <c r="L248" s="74">
        <f t="shared" si="252"/>
        <v>2326</v>
      </c>
      <c r="M248" s="74">
        <v>0</v>
      </c>
      <c r="N248" s="74">
        <f t="shared" si="240"/>
        <v>2326</v>
      </c>
      <c r="O248" s="74">
        <v>0</v>
      </c>
      <c r="P248" s="74">
        <f t="shared" si="241"/>
        <v>2326</v>
      </c>
      <c r="Q248" s="74">
        <f>192+47</f>
        <v>239</v>
      </c>
      <c r="R248" s="74">
        <f t="shared" si="242"/>
        <v>2565</v>
      </c>
      <c r="S248" s="74">
        <v>0</v>
      </c>
      <c r="T248" s="74">
        <f t="shared" si="243"/>
        <v>2565</v>
      </c>
      <c r="U248" s="74">
        <v>0</v>
      </c>
      <c r="V248" s="74">
        <f t="shared" si="244"/>
        <v>2565</v>
      </c>
      <c r="W248" s="74">
        <v>0</v>
      </c>
      <c r="X248" s="74">
        <f t="shared" si="245"/>
        <v>2565</v>
      </c>
      <c r="Y248" s="74">
        <v>0</v>
      </c>
      <c r="Z248" s="74">
        <f t="shared" si="246"/>
        <v>2565</v>
      </c>
      <c r="AA248" s="74">
        <v>0</v>
      </c>
      <c r="AB248" s="74">
        <f t="shared" si="247"/>
        <v>2565</v>
      </c>
      <c r="AC248" s="74">
        <v>0</v>
      </c>
      <c r="AD248" s="74">
        <f t="shared" si="248"/>
        <v>2565</v>
      </c>
      <c r="AE248" s="74">
        <v>0</v>
      </c>
      <c r="AF248" s="74">
        <f t="shared" si="249"/>
        <v>2565</v>
      </c>
      <c r="AG248" s="74">
        <v>0</v>
      </c>
      <c r="AH248" s="74">
        <f t="shared" si="250"/>
        <v>2565</v>
      </c>
    </row>
    <row r="249" spans="1:34" s="27" customFormat="1" ht="21" customHeight="1">
      <c r="A249" s="76"/>
      <c r="B249" s="75"/>
      <c r="C249" s="58">
        <v>4430</v>
      </c>
      <c r="D249" s="14" t="s">
        <v>356</v>
      </c>
      <c r="E249" s="74">
        <v>3300</v>
      </c>
      <c r="F249" s="74"/>
      <c r="G249" s="74"/>
      <c r="H249" s="74">
        <f>E249+F249-G249</f>
        <v>3300</v>
      </c>
      <c r="I249" s="74"/>
      <c r="J249" s="74">
        <f t="shared" si="251"/>
        <v>3300</v>
      </c>
      <c r="K249" s="74">
        <v>0</v>
      </c>
      <c r="L249" s="74">
        <f t="shared" si="252"/>
        <v>3300</v>
      </c>
      <c r="M249" s="74">
        <v>0</v>
      </c>
      <c r="N249" s="74">
        <f t="shared" si="240"/>
        <v>3300</v>
      </c>
      <c r="O249" s="74">
        <v>0</v>
      </c>
      <c r="P249" s="74">
        <f t="shared" si="241"/>
        <v>3300</v>
      </c>
      <c r="Q249" s="74">
        <v>0</v>
      </c>
      <c r="R249" s="74">
        <f t="shared" si="242"/>
        <v>3300</v>
      </c>
      <c r="S249" s="74">
        <v>0</v>
      </c>
      <c r="T249" s="74">
        <f t="shared" si="243"/>
        <v>3300</v>
      </c>
      <c r="U249" s="74">
        <v>0</v>
      </c>
      <c r="V249" s="74">
        <f t="shared" si="244"/>
        <v>3300</v>
      </c>
      <c r="W249" s="74">
        <f>-787-600</f>
        <v>-1387</v>
      </c>
      <c r="X249" s="74">
        <f t="shared" si="245"/>
        <v>1913</v>
      </c>
      <c r="Y249" s="74">
        <v>0</v>
      </c>
      <c r="Z249" s="74">
        <f t="shared" si="246"/>
        <v>1913</v>
      </c>
      <c r="AA249" s="74">
        <v>0</v>
      </c>
      <c r="AB249" s="74">
        <f t="shared" si="247"/>
        <v>1913</v>
      </c>
      <c r="AC249" s="74">
        <v>0</v>
      </c>
      <c r="AD249" s="74">
        <f t="shared" si="248"/>
        <v>1913</v>
      </c>
      <c r="AE249" s="74">
        <v>0</v>
      </c>
      <c r="AF249" s="74">
        <f t="shared" si="249"/>
        <v>1913</v>
      </c>
      <c r="AG249" s="74">
        <v>0</v>
      </c>
      <c r="AH249" s="74">
        <f t="shared" si="250"/>
        <v>1913</v>
      </c>
    </row>
    <row r="250" spans="1:34" s="27" customFormat="1" ht="21" customHeight="1">
      <c r="A250" s="76"/>
      <c r="B250" s="75"/>
      <c r="C250" s="58">
        <v>4440</v>
      </c>
      <c r="D250" s="14" t="s">
        <v>349</v>
      </c>
      <c r="E250" s="74">
        <v>166073</v>
      </c>
      <c r="F250" s="74"/>
      <c r="G250" s="74"/>
      <c r="H250" s="74">
        <f>E250+F250-G250</f>
        <v>166073</v>
      </c>
      <c r="I250" s="74"/>
      <c r="J250" s="74">
        <f t="shared" si="251"/>
        <v>166073</v>
      </c>
      <c r="K250" s="74">
        <v>0</v>
      </c>
      <c r="L250" s="74">
        <f t="shared" si="252"/>
        <v>166073</v>
      </c>
      <c r="M250" s="74">
        <v>0</v>
      </c>
      <c r="N250" s="74">
        <f t="shared" si="240"/>
        <v>166073</v>
      </c>
      <c r="O250" s="74">
        <v>0</v>
      </c>
      <c r="P250" s="74">
        <f t="shared" si="241"/>
        <v>166073</v>
      </c>
      <c r="Q250" s="74">
        <v>0</v>
      </c>
      <c r="R250" s="74">
        <f t="shared" si="242"/>
        <v>166073</v>
      </c>
      <c r="S250" s="74">
        <v>0</v>
      </c>
      <c r="T250" s="74">
        <f t="shared" si="243"/>
        <v>166073</v>
      </c>
      <c r="U250" s="74">
        <v>0</v>
      </c>
      <c r="V250" s="74">
        <f t="shared" si="244"/>
        <v>166073</v>
      </c>
      <c r="W250" s="74">
        <v>0</v>
      </c>
      <c r="X250" s="74">
        <f t="shared" si="245"/>
        <v>166073</v>
      </c>
      <c r="Y250" s="74">
        <v>0</v>
      </c>
      <c r="Z250" s="74">
        <f t="shared" si="246"/>
        <v>166073</v>
      </c>
      <c r="AA250" s="74">
        <v>0</v>
      </c>
      <c r="AB250" s="74">
        <f t="shared" si="247"/>
        <v>166073</v>
      </c>
      <c r="AC250" s="74">
        <v>0</v>
      </c>
      <c r="AD250" s="74">
        <f t="shared" si="248"/>
        <v>166073</v>
      </c>
      <c r="AE250" s="74">
        <v>13472</v>
      </c>
      <c r="AF250" s="74">
        <f t="shared" si="249"/>
        <v>179545</v>
      </c>
      <c r="AG250" s="74">
        <v>0</v>
      </c>
      <c r="AH250" s="74">
        <f t="shared" si="250"/>
        <v>179545</v>
      </c>
    </row>
    <row r="251" spans="1:34" s="27" customFormat="1" ht="21" customHeight="1">
      <c r="A251" s="76"/>
      <c r="B251" s="75"/>
      <c r="C251" s="58">
        <v>4700</v>
      </c>
      <c r="D251" s="14" t="s">
        <v>571</v>
      </c>
      <c r="E251" s="74"/>
      <c r="F251" s="74"/>
      <c r="G251" s="74"/>
      <c r="H251" s="74">
        <v>0</v>
      </c>
      <c r="I251" s="74">
        <v>3500</v>
      </c>
      <c r="J251" s="74">
        <f t="shared" si="251"/>
        <v>3500</v>
      </c>
      <c r="K251" s="74">
        <v>0</v>
      </c>
      <c r="L251" s="74">
        <f t="shared" si="252"/>
        <v>3500</v>
      </c>
      <c r="M251" s="74">
        <v>0</v>
      </c>
      <c r="N251" s="74">
        <f t="shared" si="240"/>
        <v>3500</v>
      </c>
      <c r="O251" s="74">
        <v>0</v>
      </c>
      <c r="P251" s="74">
        <f t="shared" si="241"/>
        <v>3500</v>
      </c>
      <c r="Q251" s="74">
        <v>0</v>
      </c>
      <c r="R251" s="74">
        <f t="shared" si="242"/>
        <v>3500</v>
      </c>
      <c r="S251" s="74">
        <v>0</v>
      </c>
      <c r="T251" s="74">
        <f t="shared" si="243"/>
        <v>3500</v>
      </c>
      <c r="U251" s="74">
        <v>0</v>
      </c>
      <c r="V251" s="74">
        <f t="shared" si="244"/>
        <v>3500</v>
      </c>
      <c r="W251" s="74">
        <v>-500</v>
      </c>
      <c r="X251" s="74">
        <f t="shared" si="245"/>
        <v>3000</v>
      </c>
      <c r="Y251" s="74">
        <v>0</v>
      </c>
      <c r="Z251" s="74">
        <f t="shared" si="246"/>
        <v>3000</v>
      </c>
      <c r="AA251" s="74">
        <v>0</v>
      </c>
      <c r="AB251" s="74">
        <f t="shared" si="247"/>
        <v>3000</v>
      </c>
      <c r="AC251" s="74">
        <v>0</v>
      </c>
      <c r="AD251" s="74">
        <f t="shared" si="248"/>
        <v>3000</v>
      </c>
      <c r="AE251" s="74">
        <v>-1000</v>
      </c>
      <c r="AF251" s="74">
        <f t="shared" si="249"/>
        <v>2000</v>
      </c>
      <c r="AG251" s="74">
        <v>0</v>
      </c>
      <c r="AH251" s="74">
        <f t="shared" si="250"/>
        <v>2000</v>
      </c>
    </row>
    <row r="252" spans="1:34" s="27" customFormat="1" ht="21" customHeight="1">
      <c r="A252" s="76"/>
      <c r="B252" s="75"/>
      <c r="C252" s="58">
        <v>4740</v>
      </c>
      <c r="D252" s="14" t="s">
        <v>185</v>
      </c>
      <c r="E252" s="74">
        <v>3500</v>
      </c>
      <c r="F252" s="74"/>
      <c r="G252" s="74"/>
      <c r="H252" s="74">
        <f aca="true" t="shared" si="254" ref="H252:H262">E252+F252-G252</f>
        <v>3500</v>
      </c>
      <c r="I252" s="74"/>
      <c r="J252" s="74">
        <f t="shared" si="251"/>
        <v>3500</v>
      </c>
      <c r="K252" s="74">
        <v>0</v>
      </c>
      <c r="L252" s="74">
        <f t="shared" si="252"/>
        <v>3500</v>
      </c>
      <c r="M252" s="74">
        <v>0</v>
      </c>
      <c r="N252" s="74">
        <f t="shared" si="240"/>
        <v>3500</v>
      </c>
      <c r="O252" s="74">
        <v>0</v>
      </c>
      <c r="P252" s="74">
        <f t="shared" si="241"/>
        <v>3500</v>
      </c>
      <c r="Q252" s="74">
        <v>0</v>
      </c>
      <c r="R252" s="74">
        <f t="shared" si="242"/>
        <v>3500</v>
      </c>
      <c r="S252" s="74">
        <v>0</v>
      </c>
      <c r="T252" s="74">
        <f t="shared" si="243"/>
        <v>3500</v>
      </c>
      <c r="U252" s="74">
        <v>0</v>
      </c>
      <c r="V252" s="74">
        <f t="shared" si="244"/>
        <v>3500</v>
      </c>
      <c r="W252" s="74">
        <v>0</v>
      </c>
      <c r="X252" s="74">
        <f t="shared" si="245"/>
        <v>3500</v>
      </c>
      <c r="Y252" s="74">
        <v>0</v>
      </c>
      <c r="Z252" s="74">
        <f t="shared" si="246"/>
        <v>3500</v>
      </c>
      <c r="AA252" s="74">
        <v>0</v>
      </c>
      <c r="AB252" s="74">
        <f t="shared" si="247"/>
        <v>3500</v>
      </c>
      <c r="AC252" s="74">
        <v>0</v>
      </c>
      <c r="AD252" s="74">
        <f t="shared" si="248"/>
        <v>3500</v>
      </c>
      <c r="AE252" s="74">
        <v>-600</v>
      </c>
      <c r="AF252" s="74">
        <f t="shared" si="249"/>
        <v>2900</v>
      </c>
      <c r="AG252" s="74">
        <v>0</v>
      </c>
      <c r="AH252" s="74">
        <f t="shared" si="250"/>
        <v>2900</v>
      </c>
    </row>
    <row r="253" spans="1:34" s="27" customFormat="1" ht="21" customHeight="1">
      <c r="A253" s="76"/>
      <c r="B253" s="75"/>
      <c r="C253" s="58">
        <v>4750</v>
      </c>
      <c r="D253" s="14" t="s">
        <v>572</v>
      </c>
      <c r="E253" s="74">
        <v>8050</v>
      </c>
      <c r="F253" s="74"/>
      <c r="G253" s="74"/>
      <c r="H253" s="74">
        <f t="shared" si="254"/>
        <v>8050</v>
      </c>
      <c r="I253" s="74"/>
      <c r="J253" s="74">
        <f t="shared" si="251"/>
        <v>8050</v>
      </c>
      <c r="K253" s="74">
        <v>0</v>
      </c>
      <c r="L253" s="74">
        <f t="shared" si="252"/>
        <v>8050</v>
      </c>
      <c r="M253" s="74">
        <v>0</v>
      </c>
      <c r="N253" s="74">
        <f t="shared" si="240"/>
        <v>8050</v>
      </c>
      <c r="O253" s="74">
        <v>0</v>
      </c>
      <c r="P253" s="74">
        <f t="shared" si="241"/>
        <v>8050</v>
      </c>
      <c r="Q253" s="74">
        <v>0</v>
      </c>
      <c r="R253" s="74">
        <f t="shared" si="242"/>
        <v>8050</v>
      </c>
      <c r="S253" s="74">
        <v>0</v>
      </c>
      <c r="T253" s="74">
        <f t="shared" si="243"/>
        <v>8050</v>
      </c>
      <c r="U253" s="74">
        <v>0</v>
      </c>
      <c r="V253" s="74">
        <f t="shared" si="244"/>
        <v>8050</v>
      </c>
      <c r="W253" s="74">
        <v>-2000</v>
      </c>
      <c r="X253" s="74">
        <f t="shared" si="245"/>
        <v>6050</v>
      </c>
      <c r="Y253" s="74">
        <v>0</v>
      </c>
      <c r="Z253" s="74">
        <f t="shared" si="246"/>
        <v>6050</v>
      </c>
      <c r="AA253" s="74">
        <v>0</v>
      </c>
      <c r="AB253" s="74">
        <f t="shared" si="247"/>
        <v>6050</v>
      </c>
      <c r="AC253" s="74">
        <v>0</v>
      </c>
      <c r="AD253" s="74">
        <f t="shared" si="248"/>
        <v>6050</v>
      </c>
      <c r="AE253" s="74">
        <v>-200</v>
      </c>
      <c r="AF253" s="74">
        <f t="shared" si="249"/>
        <v>5850</v>
      </c>
      <c r="AG253" s="74">
        <v>0</v>
      </c>
      <c r="AH253" s="74">
        <f t="shared" si="250"/>
        <v>5850</v>
      </c>
    </row>
    <row r="254" spans="1:38" s="27" customFormat="1" ht="21" customHeight="1">
      <c r="A254" s="76"/>
      <c r="B254" s="75"/>
      <c r="C254" s="58">
        <v>6050</v>
      </c>
      <c r="D254" s="14" t="s">
        <v>334</v>
      </c>
      <c r="E254" s="74">
        <v>100000</v>
      </c>
      <c r="F254" s="74"/>
      <c r="G254" s="74"/>
      <c r="H254" s="74">
        <f t="shared" si="254"/>
        <v>100000</v>
      </c>
      <c r="I254" s="74"/>
      <c r="J254" s="74">
        <f t="shared" si="251"/>
        <v>100000</v>
      </c>
      <c r="K254" s="74">
        <v>0</v>
      </c>
      <c r="L254" s="74">
        <f t="shared" si="252"/>
        <v>100000</v>
      </c>
      <c r="M254" s="74">
        <v>0</v>
      </c>
      <c r="N254" s="74">
        <f t="shared" si="240"/>
        <v>100000</v>
      </c>
      <c r="O254" s="74">
        <v>0</v>
      </c>
      <c r="P254" s="138">
        <f t="shared" si="241"/>
        <v>100000</v>
      </c>
      <c r="Q254" s="138">
        <v>0</v>
      </c>
      <c r="R254" s="138">
        <f t="shared" si="242"/>
        <v>100000</v>
      </c>
      <c r="S254" s="138">
        <v>0</v>
      </c>
      <c r="T254" s="138">
        <f t="shared" si="243"/>
        <v>100000</v>
      </c>
      <c r="U254" s="138">
        <v>0</v>
      </c>
      <c r="V254" s="138">
        <f t="shared" si="244"/>
        <v>100000</v>
      </c>
      <c r="W254" s="138">
        <v>0</v>
      </c>
      <c r="X254" s="138">
        <f t="shared" si="245"/>
        <v>100000</v>
      </c>
      <c r="Y254" s="138">
        <v>0</v>
      </c>
      <c r="Z254" s="138">
        <f t="shared" si="246"/>
        <v>100000</v>
      </c>
      <c r="AA254" s="138">
        <v>0</v>
      </c>
      <c r="AB254" s="138">
        <f t="shared" si="247"/>
        <v>100000</v>
      </c>
      <c r="AC254" s="138">
        <v>0</v>
      </c>
      <c r="AD254" s="138">
        <f t="shared" si="248"/>
        <v>100000</v>
      </c>
      <c r="AE254" s="138">
        <v>0</v>
      </c>
      <c r="AF254" s="138">
        <f t="shared" si="249"/>
        <v>100000</v>
      </c>
      <c r="AG254" s="138">
        <v>0</v>
      </c>
      <c r="AH254" s="138">
        <f t="shared" si="250"/>
        <v>100000</v>
      </c>
      <c r="AK254" s="119"/>
      <c r="AL254" s="119"/>
    </row>
    <row r="255" spans="1:38" s="27" customFormat="1" ht="21" customHeight="1">
      <c r="A255" s="76"/>
      <c r="B255" s="75"/>
      <c r="C255" s="58">
        <v>6060</v>
      </c>
      <c r="D255" s="14" t="s">
        <v>358</v>
      </c>
      <c r="E255" s="74">
        <v>9500</v>
      </c>
      <c r="F255" s="74"/>
      <c r="G255" s="74"/>
      <c r="H255" s="74">
        <f t="shared" si="254"/>
        <v>9500</v>
      </c>
      <c r="I255" s="74"/>
      <c r="J255" s="74">
        <f t="shared" si="251"/>
        <v>9500</v>
      </c>
      <c r="K255" s="74">
        <v>0</v>
      </c>
      <c r="L255" s="74">
        <f t="shared" si="252"/>
        <v>9500</v>
      </c>
      <c r="M255" s="74">
        <v>0</v>
      </c>
      <c r="N255" s="74">
        <f t="shared" si="240"/>
        <v>9500</v>
      </c>
      <c r="O255" s="74">
        <v>0</v>
      </c>
      <c r="P255" s="74">
        <f t="shared" si="241"/>
        <v>9500</v>
      </c>
      <c r="Q255" s="74">
        <v>0</v>
      </c>
      <c r="R255" s="74">
        <f t="shared" si="242"/>
        <v>9500</v>
      </c>
      <c r="S255" s="74">
        <v>0</v>
      </c>
      <c r="T255" s="74">
        <f t="shared" si="243"/>
        <v>9500</v>
      </c>
      <c r="U255" s="74">
        <v>0</v>
      </c>
      <c r="V255" s="74">
        <f t="shared" si="244"/>
        <v>9500</v>
      </c>
      <c r="W255" s="74">
        <v>-9500</v>
      </c>
      <c r="X255" s="74">
        <f t="shared" si="245"/>
        <v>0</v>
      </c>
      <c r="Y255" s="74">
        <v>0</v>
      </c>
      <c r="Z255" s="74">
        <f t="shared" si="246"/>
        <v>0</v>
      </c>
      <c r="AA255" s="74">
        <v>0</v>
      </c>
      <c r="AB255" s="74">
        <f t="shared" si="247"/>
        <v>0</v>
      </c>
      <c r="AC255" s="74">
        <v>0</v>
      </c>
      <c r="AD255" s="74">
        <f t="shared" si="248"/>
        <v>0</v>
      </c>
      <c r="AE255" s="74">
        <v>0</v>
      </c>
      <c r="AF255" s="74">
        <f t="shared" si="249"/>
        <v>0</v>
      </c>
      <c r="AG255" s="74">
        <v>0</v>
      </c>
      <c r="AH255" s="74">
        <f t="shared" si="250"/>
        <v>0</v>
      </c>
      <c r="AK255" s="119"/>
      <c r="AL255" s="119"/>
    </row>
    <row r="256" spans="1:34" s="27" customFormat="1" ht="21.75" customHeight="1">
      <c r="A256" s="76"/>
      <c r="B256" s="75" t="s">
        <v>380</v>
      </c>
      <c r="C256" s="58"/>
      <c r="D256" s="14" t="s">
        <v>381</v>
      </c>
      <c r="E256" s="74">
        <f>SUM(E257:E262)</f>
        <v>327983</v>
      </c>
      <c r="F256" s="74">
        <f>SUM(F257:F262)</f>
        <v>0</v>
      </c>
      <c r="G256" s="74">
        <f>SUM(G257:G262)</f>
        <v>0</v>
      </c>
      <c r="H256" s="74">
        <f t="shared" si="254"/>
        <v>327983</v>
      </c>
      <c r="I256" s="74">
        <f aca="true" t="shared" si="255" ref="I256:N256">SUM(I257:I262)</f>
        <v>0</v>
      </c>
      <c r="J256" s="74">
        <f t="shared" si="255"/>
        <v>327983</v>
      </c>
      <c r="K256" s="74">
        <f t="shared" si="255"/>
        <v>0</v>
      </c>
      <c r="L256" s="74">
        <f t="shared" si="255"/>
        <v>327983</v>
      </c>
      <c r="M256" s="74">
        <f t="shared" si="255"/>
        <v>0</v>
      </c>
      <c r="N256" s="74">
        <f t="shared" si="255"/>
        <v>327983</v>
      </c>
      <c r="O256" s="74">
        <f aca="true" t="shared" si="256" ref="O256:T256">SUM(O257:O262)</f>
        <v>0</v>
      </c>
      <c r="P256" s="74">
        <f t="shared" si="256"/>
        <v>327983</v>
      </c>
      <c r="Q256" s="74">
        <f t="shared" si="256"/>
        <v>-1235</v>
      </c>
      <c r="R256" s="74">
        <f t="shared" si="256"/>
        <v>326748</v>
      </c>
      <c r="S256" s="74">
        <f t="shared" si="256"/>
        <v>0</v>
      </c>
      <c r="T256" s="74">
        <f t="shared" si="256"/>
        <v>326748</v>
      </c>
      <c r="U256" s="74">
        <f aca="true" t="shared" si="257" ref="U256:Z256">SUM(U257:U262)</f>
        <v>0</v>
      </c>
      <c r="V256" s="74">
        <f t="shared" si="257"/>
        <v>326748</v>
      </c>
      <c r="W256" s="74">
        <f t="shared" si="257"/>
        <v>-400</v>
      </c>
      <c r="X256" s="74">
        <f t="shared" si="257"/>
        <v>326348</v>
      </c>
      <c r="Y256" s="74">
        <f t="shared" si="257"/>
        <v>0</v>
      </c>
      <c r="Z256" s="74">
        <f t="shared" si="257"/>
        <v>326348</v>
      </c>
      <c r="AA256" s="74">
        <f aca="true" t="shared" si="258" ref="AA256:AF256">SUM(AA257:AA262)</f>
        <v>0</v>
      </c>
      <c r="AB256" s="74">
        <f t="shared" si="258"/>
        <v>326348</v>
      </c>
      <c r="AC256" s="74">
        <f t="shared" si="258"/>
        <v>0</v>
      </c>
      <c r="AD256" s="74">
        <f t="shared" si="258"/>
        <v>326348</v>
      </c>
      <c r="AE256" s="74">
        <f t="shared" si="258"/>
        <v>0</v>
      </c>
      <c r="AF256" s="74">
        <f t="shared" si="258"/>
        <v>326348</v>
      </c>
      <c r="AG256" s="74">
        <f>SUM(AG257:AG262)</f>
        <v>0</v>
      </c>
      <c r="AH256" s="74">
        <f>SUM(AH257:AH262)</f>
        <v>326348</v>
      </c>
    </row>
    <row r="257" spans="1:36" s="27" customFormat="1" ht="21.75" customHeight="1">
      <c r="A257" s="76"/>
      <c r="B257" s="75"/>
      <c r="C257" s="58">
        <v>4110</v>
      </c>
      <c r="D257" s="14" t="s">
        <v>347</v>
      </c>
      <c r="E257" s="74">
        <v>245</v>
      </c>
      <c r="F257" s="74"/>
      <c r="G257" s="74"/>
      <c r="H257" s="74">
        <f t="shared" si="254"/>
        <v>245</v>
      </c>
      <c r="I257" s="74"/>
      <c r="J257" s="74">
        <f t="shared" si="251"/>
        <v>245</v>
      </c>
      <c r="K257" s="74">
        <v>0</v>
      </c>
      <c r="L257" s="74">
        <f t="shared" si="252"/>
        <v>245</v>
      </c>
      <c r="M257" s="74">
        <v>0</v>
      </c>
      <c r="N257" s="74">
        <f aca="true" t="shared" si="259" ref="N257:N262">SUM(L257:M257)</f>
        <v>245</v>
      </c>
      <c r="O257" s="74">
        <f>-245+1738+362</f>
        <v>1855</v>
      </c>
      <c r="P257" s="74">
        <f aca="true" t="shared" si="260" ref="P257:P262">SUM(N257:O257)</f>
        <v>2100</v>
      </c>
      <c r="Q257" s="74">
        <v>0</v>
      </c>
      <c r="R257" s="74">
        <f aca="true" t="shared" si="261" ref="R257:R262">SUM(P257:Q257)</f>
        <v>2100</v>
      </c>
      <c r="S257" s="74">
        <v>0</v>
      </c>
      <c r="T257" s="74">
        <f aca="true" t="shared" si="262" ref="T257:T262">SUM(R257:S257)</f>
        <v>2100</v>
      </c>
      <c r="U257" s="74">
        <v>0</v>
      </c>
      <c r="V257" s="74">
        <f aca="true" t="shared" si="263" ref="V257:V262">SUM(T257:U257)</f>
        <v>2100</v>
      </c>
      <c r="W257" s="74">
        <v>0</v>
      </c>
      <c r="X257" s="74">
        <f aca="true" t="shared" si="264" ref="X257:X262">SUM(V257:W257)</f>
        <v>2100</v>
      </c>
      <c r="Y257" s="74">
        <v>0</v>
      </c>
      <c r="Z257" s="74">
        <f aca="true" t="shared" si="265" ref="Z257:Z262">SUM(X257:Y257)</f>
        <v>2100</v>
      </c>
      <c r="AA257" s="74">
        <v>0</v>
      </c>
      <c r="AB257" s="74">
        <f aca="true" t="shared" si="266" ref="AB257:AB262">SUM(Z257:AA257)</f>
        <v>2100</v>
      </c>
      <c r="AC257" s="74">
        <v>0</v>
      </c>
      <c r="AD257" s="74">
        <f aca="true" t="shared" si="267" ref="AD257:AD262">SUM(AB257:AC257)</f>
        <v>2100</v>
      </c>
      <c r="AE257" s="74">
        <v>0</v>
      </c>
      <c r="AF257" s="74">
        <f aca="true" t="shared" si="268" ref="AF257:AF262">SUM(AD257:AE257)</f>
        <v>2100</v>
      </c>
      <c r="AG257" s="74">
        <v>0</v>
      </c>
      <c r="AH257" s="74">
        <f aca="true" t="shared" si="269" ref="AH257:AH262">SUM(AF257:AG257)</f>
        <v>2100</v>
      </c>
      <c r="AI257" s="119"/>
      <c r="AJ257" s="119"/>
    </row>
    <row r="258" spans="1:36" s="27" customFormat="1" ht="21.75" customHeight="1">
      <c r="A258" s="76"/>
      <c r="B258" s="75"/>
      <c r="C258" s="58">
        <v>4120</v>
      </c>
      <c r="D258" s="14" t="s">
        <v>348</v>
      </c>
      <c r="E258" s="74">
        <v>1738</v>
      </c>
      <c r="F258" s="74"/>
      <c r="G258" s="74"/>
      <c r="H258" s="74">
        <f t="shared" si="254"/>
        <v>1738</v>
      </c>
      <c r="I258" s="74"/>
      <c r="J258" s="74">
        <f t="shared" si="251"/>
        <v>1738</v>
      </c>
      <c r="K258" s="74">
        <v>0</v>
      </c>
      <c r="L258" s="74">
        <f t="shared" si="252"/>
        <v>1738</v>
      </c>
      <c r="M258" s="74">
        <v>0</v>
      </c>
      <c r="N258" s="74">
        <f t="shared" si="259"/>
        <v>1738</v>
      </c>
      <c r="O258" s="74">
        <f>-1738+245+55</f>
        <v>-1438</v>
      </c>
      <c r="P258" s="74">
        <f t="shared" si="260"/>
        <v>300</v>
      </c>
      <c r="Q258" s="74">
        <v>0</v>
      </c>
      <c r="R258" s="74">
        <f t="shared" si="261"/>
        <v>300</v>
      </c>
      <c r="S258" s="74">
        <v>0</v>
      </c>
      <c r="T258" s="74">
        <f t="shared" si="262"/>
        <v>300</v>
      </c>
      <c r="U258" s="74">
        <v>0</v>
      </c>
      <c r="V258" s="74">
        <f t="shared" si="263"/>
        <v>300</v>
      </c>
      <c r="W258" s="74">
        <v>0</v>
      </c>
      <c r="X258" s="74">
        <f t="shared" si="264"/>
        <v>300</v>
      </c>
      <c r="Y258" s="74">
        <v>0</v>
      </c>
      <c r="Z258" s="74">
        <f t="shared" si="265"/>
        <v>300</v>
      </c>
      <c r="AA258" s="74">
        <v>0</v>
      </c>
      <c r="AB258" s="74">
        <f t="shared" si="266"/>
        <v>300</v>
      </c>
      <c r="AC258" s="74">
        <v>0</v>
      </c>
      <c r="AD258" s="74">
        <f t="shared" si="267"/>
        <v>300</v>
      </c>
      <c r="AE258" s="74">
        <v>0</v>
      </c>
      <c r="AF258" s="74">
        <f t="shared" si="268"/>
        <v>300</v>
      </c>
      <c r="AG258" s="74">
        <v>0</v>
      </c>
      <c r="AH258" s="74">
        <f t="shared" si="269"/>
        <v>300</v>
      </c>
      <c r="AI258" s="119"/>
      <c r="AJ258" s="119"/>
    </row>
    <row r="259" spans="1:36" s="27" customFormat="1" ht="21.75" customHeight="1">
      <c r="A259" s="76"/>
      <c r="B259" s="75"/>
      <c r="C259" s="58">
        <v>4170</v>
      </c>
      <c r="D259" s="14" t="s">
        <v>478</v>
      </c>
      <c r="E259" s="74">
        <v>20000</v>
      </c>
      <c r="F259" s="74"/>
      <c r="G259" s="74"/>
      <c r="H259" s="74">
        <f t="shared" si="254"/>
        <v>20000</v>
      </c>
      <c r="I259" s="74"/>
      <c r="J259" s="74">
        <f t="shared" si="251"/>
        <v>20000</v>
      </c>
      <c r="K259" s="74">
        <v>0</v>
      </c>
      <c r="L259" s="74">
        <f t="shared" si="252"/>
        <v>20000</v>
      </c>
      <c r="M259" s="74">
        <v>0</v>
      </c>
      <c r="N259" s="74">
        <f t="shared" si="259"/>
        <v>20000</v>
      </c>
      <c r="O259" s="74">
        <v>-417</v>
      </c>
      <c r="P259" s="74">
        <f t="shared" si="260"/>
        <v>19583</v>
      </c>
      <c r="Q259" s="74">
        <v>0</v>
      </c>
      <c r="R259" s="74">
        <f t="shared" si="261"/>
        <v>19583</v>
      </c>
      <c r="S259" s="74">
        <v>0</v>
      </c>
      <c r="T259" s="74">
        <f t="shared" si="262"/>
        <v>19583</v>
      </c>
      <c r="U259" s="74">
        <v>0</v>
      </c>
      <c r="V259" s="74">
        <f t="shared" si="263"/>
        <v>19583</v>
      </c>
      <c r="W259" s="74">
        <v>0</v>
      </c>
      <c r="X259" s="74">
        <f t="shared" si="264"/>
        <v>19583</v>
      </c>
      <c r="Y259" s="74">
        <v>0</v>
      </c>
      <c r="Z259" s="74">
        <f t="shared" si="265"/>
        <v>19583</v>
      </c>
      <c r="AA259" s="74">
        <v>0</v>
      </c>
      <c r="AB259" s="74">
        <f t="shared" si="266"/>
        <v>19583</v>
      </c>
      <c r="AC259" s="74">
        <v>0</v>
      </c>
      <c r="AD259" s="74">
        <f t="shared" si="267"/>
        <v>19583</v>
      </c>
      <c r="AE259" s="74">
        <v>0</v>
      </c>
      <c r="AF259" s="74">
        <f t="shared" si="268"/>
        <v>19583</v>
      </c>
      <c r="AG259" s="74">
        <v>0</v>
      </c>
      <c r="AH259" s="74">
        <f t="shared" si="269"/>
        <v>19583</v>
      </c>
      <c r="AI259" s="119"/>
      <c r="AJ259" s="119"/>
    </row>
    <row r="260" spans="1:34" s="27" customFormat="1" ht="21.75" customHeight="1">
      <c r="A260" s="76"/>
      <c r="B260" s="75"/>
      <c r="C260" s="58">
        <v>4210</v>
      </c>
      <c r="D260" s="14" t="s">
        <v>354</v>
      </c>
      <c r="E260" s="74">
        <v>64000</v>
      </c>
      <c r="F260" s="74"/>
      <c r="G260" s="74"/>
      <c r="H260" s="74">
        <f t="shared" si="254"/>
        <v>64000</v>
      </c>
      <c r="I260" s="74"/>
      <c r="J260" s="74">
        <f t="shared" si="251"/>
        <v>64000</v>
      </c>
      <c r="K260" s="74">
        <v>0</v>
      </c>
      <c r="L260" s="74">
        <f t="shared" si="252"/>
        <v>64000</v>
      </c>
      <c r="M260" s="74">
        <v>0</v>
      </c>
      <c r="N260" s="74">
        <f t="shared" si="259"/>
        <v>64000</v>
      </c>
      <c r="O260" s="74">
        <v>0</v>
      </c>
      <c r="P260" s="74">
        <f t="shared" si="260"/>
        <v>64000</v>
      </c>
      <c r="Q260" s="74">
        <v>-1235</v>
      </c>
      <c r="R260" s="74">
        <f t="shared" si="261"/>
        <v>62765</v>
      </c>
      <c r="S260" s="74">
        <v>0</v>
      </c>
      <c r="T260" s="74">
        <f t="shared" si="262"/>
        <v>62765</v>
      </c>
      <c r="U260" s="74">
        <v>0</v>
      </c>
      <c r="V260" s="74">
        <f t="shared" si="263"/>
        <v>62765</v>
      </c>
      <c r="W260" s="74">
        <v>-400</v>
      </c>
      <c r="X260" s="74">
        <f t="shared" si="264"/>
        <v>62365</v>
      </c>
      <c r="Y260" s="74">
        <v>0</v>
      </c>
      <c r="Z260" s="74">
        <f t="shared" si="265"/>
        <v>62365</v>
      </c>
      <c r="AA260" s="74">
        <v>0</v>
      </c>
      <c r="AB260" s="74">
        <f t="shared" si="266"/>
        <v>62365</v>
      </c>
      <c r="AC260" s="74">
        <v>0</v>
      </c>
      <c r="AD260" s="74">
        <f t="shared" si="267"/>
        <v>62365</v>
      </c>
      <c r="AE260" s="74">
        <v>0</v>
      </c>
      <c r="AF260" s="74">
        <f t="shared" si="268"/>
        <v>62365</v>
      </c>
      <c r="AG260" s="74">
        <v>0</v>
      </c>
      <c r="AH260" s="74">
        <f t="shared" si="269"/>
        <v>62365</v>
      </c>
    </row>
    <row r="261" spans="1:34" s="27" customFormat="1" ht="21" customHeight="1">
      <c r="A261" s="76"/>
      <c r="B261" s="75"/>
      <c r="C261" s="58">
        <v>4300</v>
      </c>
      <c r="D261" s="14" t="s">
        <v>340</v>
      </c>
      <c r="E261" s="74">
        <v>236000</v>
      </c>
      <c r="F261" s="74"/>
      <c r="G261" s="74"/>
      <c r="H261" s="74">
        <f t="shared" si="254"/>
        <v>236000</v>
      </c>
      <c r="I261" s="74"/>
      <c r="J261" s="74">
        <f t="shared" si="251"/>
        <v>236000</v>
      </c>
      <c r="K261" s="74">
        <v>0</v>
      </c>
      <c r="L261" s="74">
        <f t="shared" si="252"/>
        <v>236000</v>
      </c>
      <c r="M261" s="74">
        <v>0</v>
      </c>
      <c r="N261" s="74">
        <f t="shared" si="259"/>
        <v>236000</v>
      </c>
      <c r="O261" s="74">
        <v>0</v>
      </c>
      <c r="P261" s="74">
        <f t="shared" si="260"/>
        <v>236000</v>
      </c>
      <c r="Q261" s="74">
        <v>0</v>
      </c>
      <c r="R261" s="74">
        <f t="shared" si="261"/>
        <v>236000</v>
      </c>
      <c r="S261" s="74">
        <v>0</v>
      </c>
      <c r="T261" s="74">
        <f t="shared" si="262"/>
        <v>236000</v>
      </c>
      <c r="U261" s="74">
        <v>0</v>
      </c>
      <c r="V261" s="74">
        <f t="shared" si="263"/>
        <v>236000</v>
      </c>
      <c r="W261" s="74">
        <v>0</v>
      </c>
      <c r="X261" s="74">
        <f t="shared" si="264"/>
        <v>236000</v>
      </c>
      <c r="Y261" s="74">
        <v>0</v>
      </c>
      <c r="Z261" s="74">
        <f t="shared" si="265"/>
        <v>236000</v>
      </c>
      <c r="AA261" s="74">
        <v>0</v>
      </c>
      <c r="AB261" s="74">
        <f t="shared" si="266"/>
        <v>236000</v>
      </c>
      <c r="AC261" s="74">
        <v>0</v>
      </c>
      <c r="AD261" s="74">
        <f t="shared" si="267"/>
        <v>236000</v>
      </c>
      <c r="AE261" s="74">
        <v>0</v>
      </c>
      <c r="AF261" s="74">
        <f t="shared" si="268"/>
        <v>236000</v>
      </c>
      <c r="AG261" s="74">
        <v>0</v>
      </c>
      <c r="AH261" s="74">
        <f t="shared" si="269"/>
        <v>236000</v>
      </c>
    </row>
    <row r="262" spans="1:34" s="27" customFormat="1" ht="21" customHeight="1">
      <c r="A262" s="76"/>
      <c r="B262" s="75"/>
      <c r="C262" s="58">
        <v>4430</v>
      </c>
      <c r="D262" s="14" t="s">
        <v>356</v>
      </c>
      <c r="E262" s="74">
        <v>6000</v>
      </c>
      <c r="F262" s="74"/>
      <c r="G262" s="74"/>
      <c r="H262" s="74">
        <f t="shared" si="254"/>
        <v>6000</v>
      </c>
      <c r="I262" s="74"/>
      <c r="J262" s="74">
        <f t="shared" si="251"/>
        <v>6000</v>
      </c>
      <c r="K262" s="74">
        <v>0</v>
      </c>
      <c r="L262" s="74">
        <f t="shared" si="252"/>
        <v>6000</v>
      </c>
      <c r="M262" s="74">
        <v>0</v>
      </c>
      <c r="N262" s="74">
        <f t="shared" si="259"/>
        <v>6000</v>
      </c>
      <c r="O262" s="74">
        <v>0</v>
      </c>
      <c r="P262" s="74">
        <f t="shared" si="260"/>
        <v>6000</v>
      </c>
      <c r="Q262" s="74">
        <v>0</v>
      </c>
      <c r="R262" s="74">
        <f t="shared" si="261"/>
        <v>6000</v>
      </c>
      <c r="S262" s="74">
        <v>0</v>
      </c>
      <c r="T262" s="74">
        <f t="shared" si="262"/>
        <v>6000</v>
      </c>
      <c r="U262" s="74">
        <v>0</v>
      </c>
      <c r="V262" s="74">
        <f t="shared" si="263"/>
        <v>6000</v>
      </c>
      <c r="W262" s="74">
        <v>0</v>
      </c>
      <c r="X262" s="74">
        <f t="shared" si="264"/>
        <v>6000</v>
      </c>
      <c r="Y262" s="74">
        <v>0</v>
      </c>
      <c r="Z262" s="74">
        <f t="shared" si="265"/>
        <v>6000</v>
      </c>
      <c r="AA262" s="74">
        <v>0</v>
      </c>
      <c r="AB262" s="74">
        <f t="shared" si="266"/>
        <v>6000</v>
      </c>
      <c r="AC262" s="74">
        <v>0</v>
      </c>
      <c r="AD262" s="74">
        <f t="shared" si="267"/>
        <v>6000</v>
      </c>
      <c r="AE262" s="74">
        <v>0</v>
      </c>
      <c r="AF262" s="74">
        <f t="shared" si="268"/>
        <v>6000</v>
      </c>
      <c r="AG262" s="74">
        <v>0</v>
      </c>
      <c r="AH262" s="74">
        <f t="shared" si="269"/>
        <v>6000</v>
      </c>
    </row>
    <row r="263" spans="1:34" s="27" customFormat="1" ht="24" customHeight="1">
      <c r="A263" s="76"/>
      <c r="B263" s="82">
        <v>80146</v>
      </c>
      <c r="C263" s="85"/>
      <c r="D263" s="14" t="s">
        <v>424</v>
      </c>
      <c r="E263" s="74">
        <f>SUM(E264:E265)</f>
        <v>87684</v>
      </c>
      <c r="F263" s="74">
        <f>SUM(F264:F265)</f>
        <v>0</v>
      </c>
      <c r="G263" s="74">
        <f>SUM(G264:G265)</f>
        <v>0</v>
      </c>
      <c r="H263" s="74">
        <f aca="true" t="shared" si="270" ref="H263:N263">SUM(H264:H266)</f>
        <v>87684</v>
      </c>
      <c r="I263" s="74">
        <f t="shared" si="270"/>
        <v>0</v>
      </c>
      <c r="J263" s="74">
        <f t="shared" si="270"/>
        <v>87684</v>
      </c>
      <c r="K263" s="74">
        <f t="shared" si="270"/>
        <v>0</v>
      </c>
      <c r="L263" s="74">
        <f t="shared" si="270"/>
        <v>87684</v>
      </c>
      <c r="M263" s="74">
        <f t="shared" si="270"/>
        <v>0</v>
      </c>
      <c r="N263" s="74">
        <f t="shared" si="270"/>
        <v>87684</v>
      </c>
      <c r="O263" s="74">
        <f aca="true" t="shared" si="271" ref="O263:T263">SUM(O264:O266)</f>
        <v>0</v>
      </c>
      <c r="P263" s="74">
        <f t="shared" si="271"/>
        <v>87684</v>
      </c>
      <c r="Q263" s="74">
        <f t="shared" si="271"/>
        <v>0</v>
      </c>
      <c r="R263" s="74">
        <f t="shared" si="271"/>
        <v>87684</v>
      </c>
      <c r="S263" s="74">
        <f t="shared" si="271"/>
        <v>0</v>
      </c>
      <c r="T263" s="74">
        <f t="shared" si="271"/>
        <v>87684</v>
      </c>
      <c r="U263" s="74">
        <f aca="true" t="shared" si="272" ref="U263:Z263">SUM(U264:U266)</f>
        <v>0</v>
      </c>
      <c r="V263" s="74">
        <f t="shared" si="272"/>
        <v>87684</v>
      </c>
      <c r="W263" s="74">
        <f t="shared" si="272"/>
        <v>5542</v>
      </c>
      <c r="X263" s="74">
        <f t="shared" si="272"/>
        <v>93226</v>
      </c>
      <c r="Y263" s="74">
        <f t="shared" si="272"/>
        <v>0</v>
      </c>
      <c r="Z263" s="74">
        <f t="shared" si="272"/>
        <v>93226</v>
      </c>
      <c r="AA263" s="74">
        <f aca="true" t="shared" si="273" ref="AA263:AF263">SUM(AA264:AA266)</f>
        <v>0</v>
      </c>
      <c r="AB263" s="74">
        <f t="shared" si="273"/>
        <v>93226</v>
      </c>
      <c r="AC263" s="74">
        <f t="shared" si="273"/>
        <v>0</v>
      </c>
      <c r="AD263" s="74">
        <f t="shared" si="273"/>
        <v>93226</v>
      </c>
      <c r="AE263" s="74">
        <f t="shared" si="273"/>
        <v>729</v>
      </c>
      <c r="AF263" s="74">
        <f t="shared" si="273"/>
        <v>93955</v>
      </c>
      <c r="AG263" s="74">
        <f>SUM(AG264:AG266)</f>
        <v>0</v>
      </c>
      <c r="AH263" s="74">
        <f>SUM(AH264:AH266)</f>
        <v>93955</v>
      </c>
    </row>
    <row r="264" spans="1:34" s="27" customFormat="1" ht="21" customHeight="1">
      <c r="A264" s="76"/>
      <c r="B264" s="82"/>
      <c r="C264" s="85">
        <v>2510</v>
      </c>
      <c r="D264" s="14" t="s">
        <v>389</v>
      </c>
      <c r="E264" s="74">
        <v>9289</v>
      </c>
      <c r="F264" s="74"/>
      <c r="G264" s="74"/>
      <c r="H264" s="74">
        <f>E264+F264-G264</f>
        <v>9289</v>
      </c>
      <c r="I264" s="74"/>
      <c r="J264" s="74">
        <f t="shared" si="251"/>
        <v>9289</v>
      </c>
      <c r="K264" s="74">
        <v>0</v>
      </c>
      <c r="L264" s="74">
        <f t="shared" si="252"/>
        <v>9289</v>
      </c>
      <c r="M264" s="74">
        <v>0</v>
      </c>
      <c r="N264" s="74">
        <f>SUM(L264:M264)</f>
        <v>9289</v>
      </c>
      <c r="O264" s="74">
        <v>0</v>
      </c>
      <c r="P264" s="74">
        <f>SUM(N264:O264)</f>
        <v>9289</v>
      </c>
      <c r="Q264" s="74">
        <v>0</v>
      </c>
      <c r="R264" s="74">
        <f>SUM(P264:Q264)</f>
        <v>9289</v>
      </c>
      <c r="S264" s="74">
        <v>0</v>
      </c>
      <c r="T264" s="74">
        <f>SUM(R264:S264)</f>
        <v>9289</v>
      </c>
      <c r="U264" s="74">
        <v>0</v>
      </c>
      <c r="V264" s="74">
        <f>SUM(T264:U264)</f>
        <v>9289</v>
      </c>
      <c r="W264" s="74">
        <v>0</v>
      </c>
      <c r="X264" s="74">
        <f>SUM(V264:W264)</f>
        <v>9289</v>
      </c>
      <c r="Y264" s="74">
        <v>0</v>
      </c>
      <c r="Z264" s="74">
        <f>SUM(X264:Y264)</f>
        <v>9289</v>
      </c>
      <c r="AA264" s="74">
        <v>0</v>
      </c>
      <c r="AB264" s="74">
        <f>SUM(Z264:AA264)</f>
        <v>9289</v>
      </c>
      <c r="AC264" s="74">
        <v>0</v>
      </c>
      <c r="AD264" s="74">
        <f>SUM(AB264:AC264)</f>
        <v>9289</v>
      </c>
      <c r="AE264" s="74">
        <v>0</v>
      </c>
      <c r="AF264" s="74">
        <f>SUM(AD264:AE264)</f>
        <v>9289</v>
      </c>
      <c r="AG264" s="74">
        <v>0</v>
      </c>
      <c r="AH264" s="74">
        <f>SUM(AF264:AG264)</f>
        <v>9289</v>
      </c>
    </row>
    <row r="265" spans="1:34" s="27" customFormat="1" ht="21" customHeight="1">
      <c r="A265" s="76"/>
      <c r="B265" s="82"/>
      <c r="C265" s="85">
        <v>4300</v>
      </c>
      <c r="D265" s="14" t="s">
        <v>340</v>
      </c>
      <c r="E265" s="74">
        <v>78395</v>
      </c>
      <c r="F265" s="74"/>
      <c r="G265" s="74"/>
      <c r="H265" s="74">
        <f>E265+F265-G265</f>
        <v>78395</v>
      </c>
      <c r="I265" s="74">
        <v>-19766</v>
      </c>
      <c r="J265" s="74">
        <f t="shared" si="251"/>
        <v>58629</v>
      </c>
      <c r="K265" s="74">
        <v>0</v>
      </c>
      <c r="L265" s="74">
        <f t="shared" si="252"/>
        <v>58629</v>
      </c>
      <c r="M265" s="74">
        <v>0</v>
      </c>
      <c r="N265" s="74">
        <f>SUM(L265:M265)</f>
        <v>58629</v>
      </c>
      <c r="O265" s="74">
        <v>0</v>
      </c>
      <c r="P265" s="74">
        <f>SUM(N265:O265)</f>
        <v>58629</v>
      </c>
      <c r="Q265" s="74">
        <v>-1200</v>
      </c>
      <c r="R265" s="74">
        <f>SUM(P265:Q265)</f>
        <v>57429</v>
      </c>
      <c r="S265" s="74">
        <v>0</v>
      </c>
      <c r="T265" s="74">
        <f>SUM(R265:S265)</f>
        <v>57429</v>
      </c>
      <c r="U265" s="74">
        <v>0</v>
      </c>
      <c r="V265" s="74">
        <f>SUM(T265:U265)</f>
        <v>57429</v>
      </c>
      <c r="W265" s="74">
        <f>4000-5836</f>
        <v>-1836</v>
      </c>
      <c r="X265" s="74">
        <f>SUM(V265:W265)</f>
        <v>55593</v>
      </c>
      <c r="Y265" s="74">
        <v>0</v>
      </c>
      <c r="Z265" s="74">
        <f>SUM(X265:Y265)</f>
        <v>55593</v>
      </c>
      <c r="AA265" s="74">
        <v>0</v>
      </c>
      <c r="AB265" s="74">
        <f>SUM(Z265:AA265)</f>
        <v>55593</v>
      </c>
      <c r="AC265" s="74">
        <v>0</v>
      </c>
      <c r="AD265" s="74">
        <f>SUM(AB265:AC265)</f>
        <v>55593</v>
      </c>
      <c r="AE265" s="74">
        <v>-2510</v>
      </c>
      <c r="AF265" s="74">
        <f>SUM(AD265:AE265)</f>
        <v>53083</v>
      </c>
      <c r="AG265" s="74">
        <v>0</v>
      </c>
      <c r="AH265" s="74">
        <f>SUM(AF265:AG265)</f>
        <v>53083</v>
      </c>
    </row>
    <row r="266" spans="1:34" s="27" customFormat="1" ht="21" customHeight="1">
      <c r="A266" s="76"/>
      <c r="B266" s="82"/>
      <c r="C266" s="85">
        <v>4410</v>
      </c>
      <c r="D266" s="14" t="s">
        <v>352</v>
      </c>
      <c r="E266" s="74"/>
      <c r="F266" s="74"/>
      <c r="G266" s="74"/>
      <c r="H266" s="74">
        <v>0</v>
      </c>
      <c r="I266" s="74">
        <v>19766</v>
      </c>
      <c r="J266" s="74">
        <f t="shared" si="251"/>
        <v>19766</v>
      </c>
      <c r="K266" s="74">
        <v>0</v>
      </c>
      <c r="L266" s="74">
        <f t="shared" si="252"/>
        <v>19766</v>
      </c>
      <c r="M266" s="74">
        <v>0</v>
      </c>
      <c r="N266" s="74">
        <f>SUM(L266:M266)</f>
        <v>19766</v>
      </c>
      <c r="O266" s="74">
        <v>0</v>
      </c>
      <c r="P266" s="74">
        <f>SUM(N266:O266)</f>
        <v>19766</v>
      </c>
      <c r="Q266" s="74">
        <v>1200</v>
      </c>
      <c r="R266" s="74">
        <f>SUM(P266:Q266)</f>
        <v>20966</v>
      </c>
      <c r="S266" s="74">
        <v>0</v>
      </c>
      <c r="T266" s="74">
        <f>SUM(R266:S266)</f>
        <v>20966</v>
      </c>
      <c r="U266" s="74">
        <v>0</v>
      </c>
      <c r="V266" s="74">
        <f>SUM(T266:U266)</f>
        <v>20966</v>
      </c>
      <c r="W266" s="74">
        <v>7378</v>
      </c>
      <c r="X266" s="74">
        <f>SUM(V266:W266)</f>
        <v>28344</v>
      </c>
      <c r="Y266" s="74">
        <v>0</v>
      </c>
      <c r="Z266" s="74">
        <f>SUM(X266:Y266)</f>
        <v>28344</v>
      </c>
      <c r="AA266" s="74">
        <v>0</v>
      </c>
      <c r="AB266" s="74">
        <f>SUM(Z266:AA266)</f>
        <v>28344</v>
      </c>
      <c r="AC266" s="74">
        <v>0</v>
      </c>
      <c r="AD266" s="74">
        <f>SUM(AB266:AC266)</f>
        <v>28344</v>
      </c>
      <c r="AE266" s="74">
        <v>3239</v>
      </c>
      <c r="AF266" s="74">
        <f>SUM(AD266:AE266)</f>
        <v>31583</v>
      </c>
      <c r="AG266" s="74">
        <v>0</v>
      </c>
      <c r="AH266" s="74">
        <f>SUM(AF266:AG266)</f>
        <v>31583</v>
      </c>
    </row>
    <row r="267" spans="1:34" s="27" customFormat="1" ht="21.75" customHeight="1">
      <c r="A267" s="76"/>
      <c r="B267" s="75">
        <v>80195</v>
      </c>
      <c r="C267" s="76"/>
      <c r="D267" s="14" t="s">
        <v>250</v>
      </c>
      <c r="E267" s="74">
        <f>SUM(E271:E273)</f>
        <v>179972</v>
      </c>
      <c r="F267" s="74">
        <f>SUM(F271:F273)</f>
        <v>0</v>
      </c>
      <c r="G267" s="74">
        <f>SUM(G271:G273)</f>
        <v>0</v>
      </c>
      <c r="H267" s="74">
        <f aca="true" t="shared" si="274" ref="H267:H276">E267+F267-G267</f>
        <v>179972</v>
      </c>
      <c r="I267" s="74">
        <f aca="true" t="shared" si="275" ref="I267:N267">SUM(I271:I273)</f>
        <v>0</v>
      </c>
      <c r="J267" s="74">
        <f t="shared" si="275"/>
        <v>179972</v>
      </c>
      <c r="K267" s="74">
        <f t="shared" si="275"/>
        <v>0</v>
      </c>
      <c r="L267" s="74">
        <f t="shared" si="275"/>
        <v>179972</v>
      </c>
      <c r="M267" s="74">
        <f t="shared" si="275"/>
        <v>0</v>
      </c>
      <c r="N267" s="74">
        <f t="shared" si="275"/>
        <v>179972</v>
      </c>
      <c r="O267" s="74">
        <f>SUM(O271:O273)</f>
        <v>0</v>
      </c>
      <c r="P267" s="74">
        <f aca="true" t="shared" si="276" ref="P267:U267">SUM(P269:P273)</f>
        <v>179972</v>
      </c>
      <c r="Q267" s="74">
        <f t="shared" si="276"/>
        <v>1144</v>
      </c>
      <c r="R267" s="74">
        <f t="shared" si="276"/>
        <v>181116</v>
      </c>
      <c r="S267" s="74">
        <f t="shared" si="276"/>
        <v>40107</v>
      </c>
      <c r="T267" s="74">
        <f t="shared" si="276"/>
        <v>221223</v>
      </c>
      <c r="U267" s="74">
        <f t="shared" si="276"/>
        <v>0</v>
      </c>
      <c r="V267" s="74">
        <f aca="true" t="shared" si="277" ref="V267:AB267">SUM(V268:V273)</f>
        <v>221223</v>
      </c>
      <c r="W267" s="74">
        <f t="shared" si="277"/>
        <v>1300</v>
      </c>
      <c r="X267" s="74">
        <f t="shared" si="277"/>
        <v>222523</v>
      </c>
      <c r="Y267" s="74">
        <f t="shared" si="277"/>
        <v>45146</v>
      </c>
      <c r="Z267" s="74">
        <f t="shared" si="277"/>
        <v>267669</v>
      </c>
      <c r="AA267" s="74">
        <f t="shared" si="277"/>
        <v>9600</v>
      </c>
      <c r="AB267" s="74">
        <f t="shared" si="277"/>
        <v>277269</v>
      </c>
      <c r="AC267" s="74">
        <f aca="true" t="shared" si="278" ref="AC267:AH267">SUM(AC268:AC273)</f>
        <v>42289</v>
      </c>
      <c r="AD267" s="74">
        <f t="shared" si="278"/>
        <v>319558</v>
      </c>
      <c r="AE267" s="74">
        <f t="shared" si="278"/>
        <v>0</v>
      </c>
      <c r="AF267" s="74">
        <f t="shared" si="278"/>
        <v>319558</v>
      </c>
      <c r="AG267" s="74">
        <f t="shared" si="278"/>
        <v>0</v>
      </c>
      <c r="AH267" s="74">
        <f t="shared" si="278"/>
        <v>319558</v>
      </c>
    </row>
    <row r="268" spans="1:36" s="27" customFormat="1" ht="21.75" customHeight="1">
      <c r="A268" s="76"/>
      <c r="B268" s="75"/>
      <c r="C268" s="76">
        <v>4170</v>
      </c>
      <c r="D268" s="14" t="s">
        <v>478</v>
      </c>
      <c r="E268" s="74"/>
      <c r="F268" s="74"/>
      <c r="G268" s="74"/>
      <c r="H268" s="74"/>
      <c r="I268" s="74"/>
      <c r="J268" s="74"/>
      <c r="K268" s="74"/>
      <c r="L268" s="74"/>
      <c r="M268" s="74"/>
      <c r="N268" s="74"/>
      <c r="O268" s="74"/>
      <c r="P268" s="74"/>
      <c r="Q268" s="74"/>
      <c r="R268" s="74"/>
      <c r="S268" s="74"/>
      <c r="T268" s="74"/>
      <c r="U268" s="74"/>
      <c r="V268" s="74">
        <v>0</v>
      </c>
      <c r="W268" s="74">
        <v>400</v>
      </c>
      <c r="X268" s="74">
        <f aca="true" t="shared" si="279" ref="X268:X273">SUM(V268:W268)</f>
        <v>400</v>
      </c>
      <c r="Y268" s="74">
        <v>0</v>
      </c>
      <c r="Z268" s="74">
        <f aca="true" t="shared" si="280" ref="Z268:Z273">SUM(X268:Y268)</f>
        <v>400</v>
      </c>
      <c r="AA268" s="74">
        <v>0</v>
      </c>
      <c r="AB268" s="74">
        <f aca="true" t="shared" si="281" ref="AB268:AB273">SUM(Z268:AA268)</f>
        <v>400</v>
      </c>
      <c r="AC268" s="74">
        <v>480</v>
      </c>
      <c r="AD268" s="74">
        <f aca="true" t="shared" si="282" ref="AD268:AD273">SUM(AB268:AC268)</f>
        <v>880</v>
      </c>
      <c r="AE268" s="74">
        <v>0</v>
      </c>
      <c r="AF268" s="74">
        <f aca="true" t="shared" si="283" ref="AF268:AF273">SUM(AD268:AE268)</f>
        <v>880</v>
      </c>
      <c r="AG268" s="74">
        <v>0</v>
      </c>
      <c r="AH268" s="74">
        <f aca="true" t="shared" si="284" ref="AH268:AH273">SUM(AF268:AG268)</f>
        <v>880</v>
      </c>
      <c r="AI268" s="119"/>
      <c r="AJ268" s="119"/>
    </row>
    <row r="269" spans="1:34" s="27" customFormat="1" ht="21.75" customHeight="1">
      <c r="A269" s="76"/>
      <c r="B269" s="75"/>
      <c r="C269" s="76">
        <v>4210</v>
      </c>
      <c r="D269" s="14" t="s">
        <v>354</v>
      </c>
      <c r="E269" s="74"/>
      <c r="F269" s="74"/>
      <c r="G269" s="74"/>
      <c r="H269" s="74"/>
      <c r="I269" s="74"/>
      <c r="J269" s="74"/>
      <c r="K269" s="74"/>
      <c r="L269" s="74"/>
      <c r="M269" s="74"/>
      <c r="N269" s="74"/>
      <c r="O269" s="74"/>
      <c r="P269" s="74">
        <v>0</v>
      </c>
      <c r="Q269" s="74">
        <v>1235</v>
      </c>
      <c r="R269" s="74">
        <f>SUM(P269:Q269)</f>
        <v>1235</v>
      </c>
      <c r="S269" s="74">
        <v>0</v>
      </c>
      <c r="T269" s="74">
        <f>SUM(R269:S269)</f>
        <v>1235</v>
      </c>
      <c r="U269" s="74">
        <v>0</v>
      </c>
      <c r="V269" s="74">
        <f>SUM(T269:U269)</f>
        <v>1235</v>
      </c>
      <c r="W269" s="74">
        <v>0</v>
      </c>
      <c r="X269" s="74">
        <f t="shared" si="279"/>
        <v>1235</v>
      </c>
      <c r="Y269" s="74">
        <v>865</v>
      </c>
      <c r="Z269" s="74">
        <f t="shared" si="280"/>
        <v>2100</v>
      </c>
      <c r="AA269" s="74">
        <v>0</v>
      </c>
      <c r="AB269" s="74">
        <f t="shared" si="281"/>
        <v>2100</v>
      </c>
      <c r="AC269" s="74">
        <v>0</v>
      </c>
      <c r="AD269" s="74">
        <f t="shared" si="282"/>
        <v>2100</v>
      </c>
      <c r="AE269" s="74">
        <v>0</v>
      </c>
      <c r="AF269" s="74">
        <f t="shared" si="283"/>
        <v>2100</v>
      </c>
      <c r="AG269" s="74">
        <v>0</v>
      </c>
      <c r="AH269" s="74">
        <f t="shared" si="284"/>
        <v>2100</v>
      </c>
    </row>
    <row r="270" spans="1:34" s="27" customFormat="1" ht="21.75" customHeight="1">
      <c r="A270" s="76"/>
      <c r="B270" s="75"/>
      <c r="C270" s="76">
        <v>4300</v>
      </c>
      <c r="D270" s="14" t="s">
        <v>340</v>
      </c>
      <c r="E270" s="74"/>
      <c r="F270" s="74"/>
      <c r="G270" s="74"/>
      <c r="H270" s="74"/>
      <c r="I270" s="74"/>
      <c r="J270" s="74"/>
      <c r="K270" s="74"/>
      <c r="L270" s="74"/>
      <c r="M270" s="74"/>
      <c r="N270" s="74"/>
      <c r="O270" s="74"/>
      <c r="P270" s="74"/>
      <c r="Q270" s="74"/>
      <c r="R270" s="74">
        <v>0</v>
      </c>
      <c r="S270" s="74">
        <v>40107</v>
      </c>
      <c r="T270" s="74">
        <f>SUM(R270:S270)</f>
        <v>40107</v>
      </c>
      <c r="U270" s="74">
        <v>0</v>
      </c>
      <c r="V270" s="74">
        <f>SUM(T270:U270)</f>
        <v>40107</v>
      </c>
      <c r="W270" s="74">
        <v>0</v>
      </c>
      <c r="X270" s="74">
        <f t="shared" si="279"/>
        <v>40107</v>
      </c>
      <c r="Y270" s="74">
        <f>40000+1422+2859</f>
        <v>44281</v>
      </c>
      <c r="Z270" s="74">
        <f t="shared" si="280"/>
        <v>84388</v>
      </c>
      <c r="AA270" s="74">
        <v>0</v>
      </c>
      <c r="AB270" s="74">
        <f t="shared" si="281"/>
        <v>84388</v>
      </c>
      <c r="AC270" s="74">
        <v>41809</v>
      </c>
      <c r="AD270" s="74">
        <f t="shared" si="282"/>
        <v>126197</v>
      </c>
      <c r="AE270" s="74">
        <v>0</v>
      </c>
      <c r="AF270" s="74">
        <f t="shared" si="283"/>
        <v>126197</v>
      </c>
      <c r="AG270" s="74">
        <v>0</v>
      </c>
      <c r="AH270" s="74">
        <f t="shared" si="284"/>
        <v>126197</v>
      </c>
    </row>
    <row r="271" spans="1:34" s="27" customFormat="1" ht="21" customHeight="1">
      <c r="A271" s="76"/>
      <c r="B271" s="75"/>
      <c r="C271" s="76">
        <v>4440</v>
      </c>
      <c r="D271" s="14" t="s">
        <v>349</v>
      </c>
      <c r="E271" s="74">
        <v>144752</v>
      </c>
      <c r="F271" s="74"/>
      <c r="G271" s="74"/>
      <c r="H271" s="74">
        <f t="shared" si="274"/>
        <v>144752</v>
      </c>
      <c r="I271" s="74"/>
      <c r="J271" s="74">
        <f t="shared" si="251"/>
        <v>144752</v>
      </c>
      <c r="K271" s="74">
        <v>0</v>
      </c>
      <c r="L271" s="74">
        <f t="shared" si="252"/>
        <v>144752</v>
      </c>
      <c r="M271" s="74">
        <v>0</v>
      </c>
      <c r="N271" s="74">
        <f>SUM(L271:M271)</f>
        <v>144752</v>
      </c>
      <c r="O271" s="74">
        <v>0</v>
      </c>
      <c r="P271" s="74">
        <f>SUM(N271:O271)</f>
        <v>144752</v>
      </c>
      <c r="Q271" s="74">
        <v>-91</v>
      </c>
      <c r="R271" s="74">
        <f>SUM(P271:Q271)</f>
        <v>144661</v>
      </c>
      <c r="S271" s="74">
        <v>0</v>
      </c>
      <c r="T271" s="74">
        <f>SUM(R271:S271)</f>
        <v>144661</v>
      </c>
      <c r="U271" s="74">
        <v>0</v>
      </c>
      <c r="V271" s="74">
        <f>SUM(T271:U271)</f>
        <v>144661</v>
      </c>
      <c r="W271" s="74">
        <v>0</v>
      </c>
      <c r="X271" s="74">
        <f t="shared" si="279"/>
        <v>144661</v>
      </c>
      <c r="Y271" s="74">
        <v>0</v>
      </c>
      <c r="Z271" s="74">
        <f t="shared" si="280"/>
        <v>144661</v>
      </c>
      <c r="AA271" s="74">
        <v>0</v>
      </c>
      <c r="AB271" s="74">
        <f t="shared" si="281"/>
        <v>144661</v>
      </c>
      <c r="AC271" s="74">
        <v>0</v>
      </c>
      <c r="AD271" s="74">
        <f t="shared" si="282"/>
        <v>144661</v>
      </c>
      <c r="AE271" s="74">
        <v>0</v>
      </c>
      <c r="AF271" s="74">
        <f t="shared" si="283"/>
        <v>144661</v>
      </c>
      <c r="AG271" s="74">
        <v>0</v>
      </c>
      <c r="AH271" s="74">
        <f t="shared" si="284"/>
        <v>144661</v>
      </c>
    </row>
    <row r="272" spans="1:34" s="27" customFormat="1" ht="24.75" customHeight="1">
      <c r="A272" s="76"/>
      <c r="B272" s="75"/>
      <c r="C272" s="76">
        <v>4700</v>
      </c>
      <c r="D272" s="14" t="s">
        <v>571</v>
      </c>
      <c r="E272" s="74">
        <v>22660</v>
      </c>
      <c r="F272" s="74"/>
      <c r="G272" s="74"/>
      <c r="H272" s="74">
        <f t="shared" si="274"/>
        <v>22660</v>
      </c>
      <c r="I272" s="74"/>
      <c r="J272" s="74">
        <f t="shared" si="251"/>
        <v>22660</v>
      </c>
      <c r="K272" s="74">
        <v>0</v>
      </c>
      <c r="L272" s="74">
        <f t="shared" si="252"/>
        <v>22660</v>
      </c>
      <c r="M272" s="74">
        <v>0</v>
      </c>
      <c r="N272" s="74">
        <f>SUM(L272:M272)</f>
        <v>22660</v>
      </c>
      <c r="O272" s="74">
        <v>0</v>
      </c>
      <c r="P272" s="74">
        <f>SUM(N272:O272)</f>
        <v>22660</v>
      </c>
      <c r="Q272" s="74">
        <v>0</v>
      </c>
      <c r="R272" s="74">
        <f>SUM(P272:Q272)</f>
        <v>22660</v>
      </c>
      <c r="S272" s="74">
        <v>0</v>
      </c>
      <c r="T272" s="74">
        <f>SUM(R272:S272)</f>
        <v>22660</v>
      </c>
      <c r="U272" s="74">
        <v>0</v>
      </c>
      <c r="V272" s="74">
        <f>SUM(T272:U272)</f>
        <v>22660</v>
      </c>
      <c r="W272" s="74">
        <v>3432</v>
      </c>
      <c r="X272" s="74">
        <f t="shared" si="279"/>
        <v>26092</v>
      </c>
      <c r="Y272" s="74">
        <v>0</v>
      </c>
      <c r="Z272" s="74">
        <f t="shared" si="280"/>
        <v>26092</v>
      </c>
      <c r="AA272" s="74">
        <v>0</v>
      </c>
      <c r="AB272" s="74">
        <f t="shared" si="281"/>
        <v>26092</v>
      </c>
      <c r="AC272" s="74">
        <v>0</v>
      </c>
      <c r="AD272" s="74">
        <f t="shared" si="282"/>
        <v>26092</v>
      </c>
      <c r="AE272" s="74">
        <v>0</v>
      </c>
      <c r="AF272" s="74">
        <f t="shared" si="283"/>
        <v>26092</v>
      </c>
      <c r="AG272" s="74">
        <v>0</v>
      </c>
      <c r="AH272" s="74">
        <f t="shared" si="284"/>
        <v>26092</v>
      </c>
    </row>
    <row r="273" spans="1:34" s="27" customFormat="1" ht="24">
      <c r="A273" s="76"/>
      <c r="B273" s="75"/>
      <c r="C273" s="76">
        <v>4750</v>
      </c>
      <c r="D273" s="14" t="s">
        <v>572</v>
      </c>
      <c r="E273" s="74">
        <v>12560</v>
      </c>
      <c r="F273" s="74"/>
      <c r="G273" s="74"/>
      <c r="H273" s="74">
        <f t="shared" si="274"/>
        <v>12560</v>
      </c>
      <c r="I273" s="74"/>
      <c r="J273" s="74">
        <f t="shared" si="251"/>
        <v>12560</v>
      </c>
      <c r="K273" s="74">
        <v>0</v>
      </c>
      <c r="L273" s="74">
        <f t="shared" si="252"/>
        <v>12560</v>
      </c>
      <c r="M273" s="74">
        <v>0</v>
      </c>
      <c r="N273" s="74">
        <f>SUM(L273:M273)</f>
        <v>12560</v>
      </c>
      <c r="O273" s="74">
        <v>0</v>
      </c>
      <c r="P273" s="74">
        <f>SUM(N273:O273)</f>
        <v>12560</v>
      </c>
      <c r="Q273" s="74">
        <v>0</v>
      </c>
      <c r="R273" s="74">
        <f>SUM(P273:Q273)</f>
        <v>12560</v>
      </c>
      <c r="S273" s="74">
        <v>0</v>
      </c>
      <c r="T273" s="74">
        <f>SUM(R273:S273)</f>
        <v>12560</v>
      </c>
      <c r="U273" s="74">
        <v>0</v>
      </c>
      <c r="V273" s="74">
        <f>SUM(T273:U273)</f>
        <v>12560</v>
      </c>
      <c r="W273" s="74">
        <v>-2532</v>
      </c>
      <c r="X273" s="74">
        <f t="shared" si="279"/>
        <v>10028</v>
      </c>
      <c r="Y273" s="74">
        <v>0</v>
      </c>
      <c r="Z273" s="74">
        <f t="shared" si="280"/>
        <v>10028</v>
      </c>
      <c r="AA273" s="74">
        <v>9600</v>
      </c>
      <c r="AB273" s="74">
        <f t="shared" si="281"/>
        <v>19628</v>
      </c>
      <c r="AC273" s="74">
        <v>0</v>
      </c>
      <c r="AD273" s="74">
        <f t="shared" si="282"/>
        <v>19628</v>
      </c>
      <c r="AE273" s="74">
        <v>0</v>
      </c>
      <c r="AF273" s="74">
        <f t="shared" si="283"/>
        <v>19628</v>
      </c>
      <c r="AG273" s="74">
        <v>0</v>
      </c>
      <c r="AH273" s="74">
        <f t="shared" si="284"/>
        <v>19628</v>
      </c>
    </row>
    <row r="274" spans="1:34" s="7" customFormat="1" ht="20.25" customHeight="1">
      <c r="A274" s="36" t="s">
        <v>382</v>
      </c>
      <c r="B274" s="6"/>
      <c r="C274" s="5"/>
      <c r="D274" s="22" t="s">
        <v>312</v>
      </c>
      <c r="E274" s="271">
        <f>SUM(E277,E290,E275)</f>
        <v>123720</v>
      </c>
      <c r="F274" s="271">
        <f>SUM(F277,F290,F275)</f>
        <v>0</v>
      </c>
      <c r="G274" s="271">
        <f>SUM(G277,G290,G275)</f>
        <v>0</v>
      </c>
      <c r="H274" s="271">
        <f t="shared" si="274"/>
        <v>123720</v>
      </c>
      <c r="I274" s="271">
        <f>SUM(I277,I290,I275)</f>
        <v>0</v>
      </c>
      <c r="J274" s="271">
        <f aca="true" t="shared" si="285" ref="J274:AB274">SUM(J275,J277,J290,)</f>
        <v>123720</v>
      </c>
      <c r="K274" s="271">
        <f t="shared" si="285"/>
        <v>0</v>
      </c>
      <c r="L274" s="271">
        <f t="shared" si="285"/>
        <v>123720</v>
      </c>
      <c r="M274" s="271">
        <f t="shared" si="285"/>
        <v>0</v>
      </c>
      <c r="N274" s="271">
        <f t="shared" si="285"/>
        <v>123720</v>
      </c>
      <c r="O274" s="271">
        <f t="shared" si="285"/>
        <v>0</v>
      </c>
      <c r="P274" s="271">
        <f t="shared" si="285"/>
        <v>123720</v>
      </c>
      <c r="Q274" s="271">
        <f t="shared" si="285"/>
        <v>0</v>
      </c>
      <c r="R274" s="271">
        <f t="shared" si="285"/>
        <v>123720</v>
      </c>
      <c r="S274" s="271">
        <f t="shared" si="285"/>
        <v>0</v>
      </c>
      <c r="T274" s="271">
        <f t="shared" si="285"/>
        <v>123720</v>
      </c>
      <c r="U274" s="271">
        <f t="shared" si="285"/>
        <v>0</v>
      </c>
      <c r="V274" s="271">
        <f t="shared" si="285"/>
        <v>123720</v>
      </c>
      <c r="W274" s="271">
        <f t="shared" si="285"/>
        <v>400</v>
      </c>
      <c r="X274" s="271">
        <f t="shared" si="285"/>
        <v>124120</v>
      </c>
      <c r="Y274" s="271">
        <f t="shared" si="285"/>
        <v>0</v>
      </c>
      <c r="Z274" s="271">
        <f t="shared" si="285"/>
        <v>124120</v>
      </c>
      <c r="AA274" s="271">
        <f t="shared" si="285"/>
        <v>16650</v>
      </c>
      <c r="AB274" s="271">
        <f t="shared" si="285"/>
        <v>140770</v>
      </c>
      <c r="AC274" s="271">
        <f aca="true" t="shared" si="286" ref="AC274:AH274">SUM(AC275,AC277,AC290,)</f>
        <v>0</v>
      </c>
      <c r="AD274" s="271">
        <f t="shared" si="286"/>
        <v>140770</v>
      </c>
      <c r="AE274" s="271">
        <f t="shared" si="286"/>
        <v>0</v>
      </c>
      <c r="AF274" s="271">
        <f t="shared" si="286"/>
        <v>140770</v>
      </c>
      <c r="AG274" s="271">
        <f t="shared" si="286"/>
        <v>0</v>
      </c>
      <c r="AH274" s="271">
        <f t="shared" si="286"/>
        <v>140770</v>
      </c>
    </row>
    <row r="275" spans="1:34" s="7" customFormat="1" ht="19.5" customHeight="1">
      <c r="A275" s="36"/>
      <c r="B275" s="82">
        <v>85153</v>
      </c>
      <c r="C275" s="58"/>
      <c r="D275" s="14" t="s">
        <v>560</v>
      </c>
      <c r="E275" s="74">
        <f>SUM(E276:E276)</f>
        <v>20000</v>
      </c>
      <c r="F275" s="74">
        <f>SUM(F276:F276)</f>
        <v>0</v>
      </c>
      <c r="G275" s="74">
        <f>SUM(G276:G276)</f>
        <v>0</v>
      </c>
      <c r="H275" s="74">
        <f t="shared" si="274"/>
        <v>20000</v>
      </c>
      <c r="I275" s="74">
        <f>SUM(I276:I276)</f>
        <v>0</v>
      </c>
      <c r="J275" s="74">
        <f aca="true" t="shared" si="287" ref="J275:AH275">SUM(J276)</f>
        <v>20000</v>
      </c>
      <c r="K275" s="74">
        <f t="shared" si="287"/>
        <v>0</v>
      </c>
      <c r="L275" s="74">
        <f t="shared" si="287"/>
        <v>20000</v>
      </c>
      <c r="M275" s="74">
        <f t="shared" si="287"/>
        <v>0</v>
      </c>
      <c r="N275" s="74">
        <f t="shared" si="287"/>
        <v>20000</v>
      </c>
      <c r="O275" s="74">
        <f t="shared" si="287"/>
        <v>0</v>
      </c>
      <c r="P275" s="74">
        <f t="shared" si="287"/>
        <v>20000</v>
      </c>
      <c r="Q275" s="74">
        <f t="shared" si="287"/>
        <v>0</v>
      </c>
      <c r="R275" s="74">
        <f t="shared" si="287"/>
        <v>20000</v>
      </c>
      <c r="S275" s="74">
        <f t="shared" si="287"/>
        <v>0</v>
      </c>
      <c r="T275" s="74">
        <f t="shared" si="287"/>
        <v>20000</v>
      </c>
      <c r="U275" s="74">
        <f t="shared" si="287"/>
        <v>0</v>
      </c>
      <c r="V275" s="74">
        <f t="shared" si="287"/>
        <v>20000</v>
      </c>
      <c r="W275" s="74">
        <f t="shared" si="287"/>
        <v>0</v>
      </c>
      <c r="X275" s="74">
        <f t="shared" si="287"/>
        <v>20000</v>
      </c>
      <c r="Y275" s="74">
        <f t="shared" si="287"/>
        <v>0</v>
      </c>
      <c r="Z275" s="74">
        <f t="shared" si="287"/>
        <v>20000</v>
      </c>
      <c r="AA275" s="74">
        <f t="shared" si="287"/>
        <v>0</v>
      </c>
      <c r="AB275" s="74">
        <f t="shared" si="287"/>
        <v>20000</v>
      </c>
      <c r="AC275" s="74">
        <f t="shared" si="287"/>
        <v>0</v>
      </c>
      <c r="AD275" s="74">
        <f t="shared" si="287"/>
        <v>20000</v>
      </c>
      <c r="AE275" s="74">
        <f t="shared" si="287"/>
        <v>0</v>
      </c>
      <c r="AF275" s="74">
        <f t="shared" si="287"/>
        <v>20000</v>
      </c>
      <c r="AG275" s="74">
        <f t="shared" si="287"/>
        <v>0</v>
      </c>
      <c r="AH275" s="74">
        <f t="shared" si="287"/>
        <v>20000</v>
      </c>
    </row>
    <row r="276" spans="1:38" s="7" customFormat="1" ht="24.75" customHeight="1">
      <c r="A276" s="36"/>
      <c r="B276" s="82"/>
      <c r="C276" s="58">
        <v>6060</v>
      </c>
      <c r="D276" s="14" t="s">
        <v>358</v>
      </c>
      <c r="E276" s="74">
        <v>20000</v>
      </c>
      <c r="F276" s="74"/>
      <c r="G276" s="74"/>
      <c r="H276" s="74">
        <f t="shared" si="274"/>
        <v>20000</v>
      </c>
      <c r="I276" s="74"/>
      <c r="J276" s="74">
        <f t="shared" si="251"/>
        <v>20000</v>
      </c>
      <c r="K276" s="74">
        <v>0</v>
      </c>
      <c r="L276" s="74">
        <f t="shared" si="252"/>
        <v>20000</v>
      </c>
      <c r="M276" s="74">
        <v>0</v>
      </c>
      <c r="N276" s="74">
        <f>SUM(L276:M276)</f>
        <v>20000</v>
      </c>
      <c r="O276" s="74">
        <v>0</v>
      </c>
      <c r="P276" s="74">
        <f>SUM(N276:O276)</f>
        <v>20000</v>
      </c>
      <c r="Q276" s="74">
        <v>0</v>
      </c>
      <c r="R276" s="74">
        <f>SUM(P276:Q276)</f>
        <v>20000</v>
      </c>
      <c r="S276" s="74">
        <v>0</v>
      </c>
      <c r="T276" s="74">
        <f>SUM(R276:S276)</f>
        <v>20000</v>
      </c>
      <c r="U276" s="74">
        <v>0</v>
      </c>
      <c r="V276" s="74">
        <f>SUM(T276:U276)</f>
        <v>20000</v>
      </c>
      <c r="W276" s="74">
        <v>0</v>
      </c>
      <c r="X276" s="74">
        <f>SUM(V276:W276)</f>
        <v>20000</v>
      </c>
      <c r="Y276" s="74">
        <v>0</v>
      </c>
      <c r="Z276" s="74">
        <f>SUM(X276:Y276)</f>
        <v>20000</v>
      </c>
      <c r="AA276" s="74">
        <v>0</v>
      </c>
      <c r="AB276" s="74">
        <f>SUM(Z276:AA276)</f>
        <v>20000</v>
      </c>
      <c r="AC276" s="74">
        <v>0</v>
      </c>
      <c r="AD276" s="74">
        <f>SUM(AB276:AC276)</f>
        <v>20000</v>
      </c>
      <c r="AE276" s="74">
        <v>0</v>
      </c>
      <c r="AF276" s="74">
        <f>SUM(AD276:AE276)</f>
        <v>20000</v>
      </c>
      <c r="AG276" s="74">
        <v>0</v>
      </c>
      <c r="AH276" s="74">
        <f>SUM(AF276:AG276)</f>
        <v>20000</v>
      </c>
      <c r="AK276" s="292"/>
      <c r="AL276" s="292"/>
    </row>
    <row r="277" spans="1:34" s="27" customFormat="1" ht="19.5" customHeight="1">
      <c r="A277" s="76"/>
      <c r="B277" s="75" t="s">
        <v>383</v>
      </c>
      <c r="C277" s="58"/>
      <c r="D277" s="14" t="s">
        <v>313</v>
      </c>
      <c r="E277" s="74">
        <f>SUM(E279:E287)</f>
        <v>98720</v>
      </c>
      <c r="F277" s="74">
        <f>SUM(F279:F287)</f>
        <v>0</v>
      </c>
      <c r="G277" s="74">
        <f>SUM(G279:G287)</f>
        <v>0</v>
      </c>
      <c r="H277" s="74">
        <f>SUM(H279:H287)</f>
        <v>98720</v>
      </c>
      <c r="I277" s="74">
        <f>SUM(I279:I287)</f>
        <v>0</v>
      </c>
      <c r="J277" s="74">
        <f aca="true" t="shared" si="288" ref="J277:P277">SUM(J279:J289)</f>
        <v>98720</v>
      </c>
      <c r="K277" s="74">
        <f t="shared" si="288"/>
        <v>0</v>
      </c>
      <c r="L277" s="74">
        <f t="shared" si="288"/>
        <v>98720</v>
      </c>
      <c r="M277" s="74">
        <f t="shared" si="288"/>
        <v>0</v>
      </c>
      <c r="N277" s="74">
        <f t="shared" si="288"/>
        <v>98720</v>
      </c>
      <c r="O277" s="74">
        <f t="shared" si="288"/>
        <v>0</v>
      </c>
      <c r="P277" s="74">
        <f t="shared" si="288"/>
        <v>98720</v>
      </c>
      <c r="Q277" s="74">
        <f aca="true" t="shared" si="289" ref="Q277:V277">SUM(Q279:Q289)</f>
        <v>0</v>
      </c>
      <c r="R277" s="74">
        <f t="shared" si="289"/>
        <v>98720</v>
      </c>
      <c r="S277" s="74">
        <f t="shared" si="289"/>
        <v>0</v>
      </c>
      <c r="T277" s="74">
        <f t="shared" si="289"/>
        <v>98720</v>
      </c>
      <c r="U277" s="74">
        <f t="shared" si="289"/>
        <v>0</v>
      </c>
      <c r="V277" s="74">
        <f t="shared" si="289"/>
        <v>98720</v>
      </c>
      <c r="W277" s="74">
        <f aca="true" t="shared" si="290" ref="W277:AB277">SUM(W279:W289)</f>
        <v>400</v>
      </c>
      <c r="X277" s="74">
        <f t="shared" si="290"/>
        <v>99120</v>
      </c>
      <c r="Y277" s="74">
        <f t="shared" si="290"/>
        <v>0</v>
      </c>
      <c r="Z277" s="74">
        <f t="shared" si="290"/>
        <v>99120</v>
      </c>
      <c r="AA277" s="74">
        <f t="shared" si="290"/>
        <v>16650</v>
      </c>
      <c r="AB277" s="74">
        <f t="shared" si="290"/>
        <v>115770</v>
      </c>
      <c r="AC277" s="74">
        <f aca="true" t="shared" si="291" ref="AC277:AH277">SUM(AC279:AC289)</f>
        <v>0</v>
      </c>
      <c r="AD277" s="74">
        <f t="shared" si="291"/>
        <v>115770</v>
      </c>
      <c r="AE277" s="74">
        <f t="shared" si="291"/>
        <v>0</v>
      </c>
      <c r="AF277" s="74">
        <f t="shared" si="291"/>
        <v>115770</v>
      </c>
      <c r="AG277" s="74">
        <f t="shared" si="291"/>
        <v>0</v>
      </c>
      <c r="AH277" s="74">
        <f t="shared" si="291"/>
        <v>115770</v>
      </c>
    </row>
    <row r="278" spans="1:34" s="27" customFormat="1" ht="11.25" hidden="1">
      <c r="A278" s="76"/>
      <c r="B278" s="82"/>
      <c r="C278" s="58">
        <v>3030</v>
      </c>
      <c r="D278" s="14" t="s">
        <v>350</v>
      </c>
      <c r="E278" s="74"/>
      <c r="F278" s="74"/>
      <c r="G278" s="74"/>
      <c r="H278" s="74">
        <f>E278+F278-G278</f>
        <v>0</v>
      </c>
      <c r="I278" s="74"/>
      <c r="J278" s="74">
        <f t="shared" si="251"/>
        <v>0</v>
      </c>
      <c r="K278" s="74"/>
      <c r="L278" s="74">
        <f t="shared" si="252"/>
        <v>0</v>
      </c>
      <c r="M278" s="74"/>
      <c r="N278" s="74">
        <f aca="true" t="shared" si="292" ref="N278:N289">SUM(L278:M278)</f>
        <v>0</v>
      </c>
      <c r="O278" s="74"/>
      <c r="P278" s="74">
        <f aca="true" t="shared" si="293" ref="P278:P289">SUM(N278:O278)</f>
        <v>0</v>
      </c>
      <c r="Q278" s="74"/>
      <c r="R278" s="74">
        <f aca="true" t="shared" si="294" ref="R278:R289">SUM(P278:Q278)</f>
        <v>0</v>
      </c>
      <c r="S278" s="74"/>
      <c r="T278" s="74">
        <f aca="true" t="shared" si="295" ref="T278:T289">SUM(R278:S278)</f>
        <v>0</v>
      </c>
      <c r="U278" s="74"/>
      <c r="V278" s="74">
        <f aca="true" t="shared" si="296" ref="V278:V289">SUM(T278:U278)</f>
        <v>0</v>
      </c>
      <c r="W278" s="74"/>
      <c r="X278" s="74">
        <f aca="true" t="shared" si="297" ref="X278:X289">SUM(V278:W278)</f>
        <v>0</v>
      </c>
      <c r="Y278" s="74"/>
      <c r="Z278" s="74">
        <f aca="true" t="shared" si="298" ref="Z278:Z289">SUM(X278:Y278)</f>
        <v>0</v>
      </c>
      <c r="AA278" s="74"/>
      <c r="AB278" s="74">
        <f aca="true" t="shared" si="299" ref="AB278:AB289">SUM(Z278:AA278)</f>
        <v>0</v>
      </c>
      <c r="AC278" s="74"/>
      <c r="AD278" s="74">
        <f aca="true" t="shared" si="300" ref="AD278:AD289">SUM(AB278:AC278)</f>
        <v>0</v>
      </c>
      <c r="AE278" s="74"/>
      <c r="AF278" s="74">
        <f aca="true" t="shared" si="301" ref="AF278:AF289">SUM(AD278:AE278)</f>
        <v>0</v>
      </c>
      <c r="AG278" s="74"/>
      <c r="AH278" s="74">
        <f aca="true" t="shared" si="302" ref="AH278:AH289">SUM(AF278:AG278)</f>
        <v>0</v>
      </c>
    </row>
    <row r="279" spans="1:34" s="27" customFormat="1" ht="36">
      <c r="A279" s="76"/>
      <c r="B279" s="82"/>
      <c r="C279" s="58">
        <v>2630</v>
      </c>
      <c r="D279" s="14" t="s">
        <v>558</v>
      </c>
      <c r="E279" s="74">
        <f>10000+16000+40000</f>
        <v>66000</v>
      </c>
      <c r="F279" s="74"/>
      <c r="G279" s="74"/>
      <c r="H279" s="74">
        <f>E279+F279-G279</f>
        <v>66000</v>
      </c>
      <c r="I279" s="74">
        <v>-47100</v>
      </c>
      <c r="J279" s="74">
        <f t="shared" si="251"/>
        <v>18900</v>
      </c>
      <c r="K279" s="74">
        <v>-18900</v>
      </c>
      <c r="L279" s="74">
        <f t="shared" si="252"/>
        <v>0</v>
      </c>
      <c r="M279" s="74">
        <v>0</v>
      </c>
      <c r="N279" s="74">
        <f t="shared" si="292"/>
        <v>0</v>
      </c>
      <c r="O279" s="74">
        <v>0</v>
      </c>
      <c r="P279" s="74">
        <f t="shared" si="293"/>
        <v>0</v>
      </c>
      <c r="Q279" s="74">
        <v>0</v>
      </c>
      <c r="R279" s="74">
        <f t="shared" si="294"/>
        <v>0</v>
      </c>
      <c r="S279" s="74">
        <v>0</v>
      </c>
      <c r="T279" s="74">
        <f t="shared" si="295"/>
        <v>0</v>
      </c>
      <c r="U279" s="74">
        <v>0</v>
      </c>
      <c r="V279" s="74">
        <f t="shared" si="296"/>
        <v>0</v>
      </c>
      <c r="W279" s="74">
        <v>0</v>
      </c>
      <c r="X279" s="74">
        <f t="shared" si="297"/>
        <v>0</v>
      </c>
      <c r="Y279" s="74">
        <v>0</v>
      </c>
      <c r="Z279" s="74">
        <f t="shared" si="298"/>
        <v>0</v>
      </c>
      <c r="AA279" s="74">
        <v>0</v>
      </c>
      <c r="AB279" s="74">
        <f t="shared" si="299"/>
        <v>0</v>
      </c>
      <c r="AC279" s="74">
        <v>0</v>
      </c>
      <c r="AD279" s="74">
        <f t="shared" si="300"/>
        <v>0</v>
      </c>
      <c r="AE279" s="74">
        <v>0</v>
      </c>
      <c r="AF279" s="74">
        <f t="shared" si="301"/>
        <v>0</v>
      </c>
      <c r="AG279" s="74">
        <v>0</v>
      </c>
      <c r="AH279" s="74">
        <f t="shared" si="302"/>
        <v>0</v>
      </c>
    </row>
    <row r="280" spans="1:34" s="27" customFormat="1" ht="50.25" customHeight="1">
      <c r="A280" s="76"/>
      <c r="B280" s="82"/>
      <c r="C280" s="58">
        <v>2710</v>
      </c>
      <c r="D280" s="14" t="s">
        <v>44</v>
      </c>
      <c r="E280" s="74"/>
      <c r="F280" s="74"/>
      <c r="G280" s="74"/>
      <c r="H280" s="74"/>
      <c r="I280" s="74"/>
      <c r="J280" s="74">
        <v>0</v>
      </c>
      <c r="K280" s="74">
        <v>11551</v>
      </c>
      <c r="L280" s="74">
        <f t="shared" si="252"/>
        <v>11551</v>
      </c>
      <c r="M280" s="74">
        <v>0</v>
      </c>
      <c r="N280" s="74">
        <f t="shared" si="292"/>
        <v>11551</v>
      </c>
      <c r="O280" s="74">
        <v>0</v>
      </c>
      <c r="P280" s="74">
        <f t="shared" si="293"/>
        <v>11551</v>
      </c>
      <c r="Q280" s="74">
        <v>0</v>
      </c>
      <c r="R280" s="74">
        <f t="shared" si="294"/>
        <v>11551</v>
      </c>
      <c r="S280" s="74">
        <v>0</v>
      </c>
      <c r="T280" s="74">
        <f t="shared" si="295"/>
        <v>11551</v>
      </c>
      <c r="U280" s="74">
        <v>0</v>
      </c>
      <c r="V280" s="74">
        <f t="shared" si="296"/>
        <v>11551</v>
      </c>
      <c r="W280" s="74">
        <v>0</v>
      </c>
      <c r="X280" s="74">
        <f t="shared" si="297"/>
        <v>11551</v>
      </c>
      <c r="Y280" s="74">
        <v>0</v>
      </c>
      <c r="Z280" s="74">
        <f t="shared" si="298"/>
        <v>11551</v>
      </c>
      <c r="AA280" s="74">
        <v>0</v>
      </c>
      <c r="AB280" s="74">
        <f t="shared" si="299"/>
        <v>11551</v>
      </c>
      <c r="AC280" s="74">
        <v>0</v>
      </c>
      <c r="AD280" s="74">
        <f t="shared" si="300"/>
        <v>11551</v>
      </c>
      <c r="AE280" s="74">
        <v>0</v>
      </c>
      <c r="AF280" s="74">
        <f t="shared" si="301"/>
        <v>11551</v>
      </c>
      <c r="AG280" s="74">
        <v>0</v>
      </c>
      <c r="AH280" s="74">
        <f t="shared" si="302"/>
        <v>11551</v>
      </c>
    </row>
    <row r="281" spans="1:34" s="27" customFormat="1" ht="36">
      <c r="A281" s="76"/>
      <c r="B281" s="82"/>
      <c r="C281" s="58">
        <v>2820</v>
      </c>
      <c r="D281" s="14" t="s">
        <v>712</v>
      </c>
      <c r="E281" s="74"/>
      <c r="F281" s="74"/>
      <c r="G281" s="74"/>
      <c r="H281" s="74">
        <v>0</v>
      </c>
      <c r="I281" s="74">
        <v>7953</v>
      </c>
      <c r="J281" s="74">
        <f t="shared" si="251"/>
        <v>7953</v>
      </c>
      <c r="K281" s="74">
        <v>0</v>
      </c>
      <c r="L281" s="74">
        <f t="shared" si="252"/>
        <v>7953</v>
      </c>
      <c r="M281" s="74">
        <v>0</v>
      </c>
      <c r="N281" s="74">
        <f t="shared" si="292"/>
        <v>7953</v>
      </c>
      <c r="O281" s="74">
        <v>0</v>
      </c>
      <c r="P281" s="74">
        <f t="shared" si="293"/>
        <v>7953</v>
      </c>
      <c r="Q281" s="74">
        <v>0</v>
      </c>
      <c r="R281" s="74">
        <f t="shared" si="294"/>
        <v>7953</v>
      </c>
      <c r="S281" s="74">
        <v>0</v>
      </c>
      <c r="T281" s="74">
        <f t="shared" si="295"/>
        <v>7953</v>
      </c>
      <c r="U281" s="74">
        <v>0</v>
      </c>
      <c r="V281" s="74">
        <f t="shared" si="296"/>
        <v>7953</v>
      </c>
      <c r="W281" s="74">
        <v>0</v>
      </c>
      <c r="X281" s="74">
        <f t="shared" si="297"/>
        <v>7953</v>
      </c>
      <c r="Y281" s="74">
        <v>0</v>
      </c>
      <c r="Z281" s="74">
        <f t="shared" si="298"/>
        <v>7953</v>
      </c>
      <c r="AA281" s="74">
        <v>0</v>
      </c>
      <c r="AB281" s="74">
        <f t="shared" si="299"/>
        <v>7953</v>
      </c>
      <c r="AC281" s="74">
        <v>0</v>
      </c>
      <c r="AD281" s="74">
        <f t="shared" si="300"/>
        <v>7953</v>
      </c>
      <c r="AE281" s="74">
        <v>0</v>
      </c>
      <c r="AF281" s="74">
        <f t="shared" si="301"/>
        <v>7953</v>
      </c>
      <c r="AG281" s="74">
        <v>0</v>
      </c>
      <c r="AH281" s="74">
        <f t="shared" si="302"/>
        <v>7953</v>
      </c>
    </row>
    <row r="282" spans="1:34" s="27" customFormat="1" ht="48">
      <c r="A282" s="76"/>
      <c r="B282" s="82"/>
      <c r="C282" s="58">
        <v>2830</v>
      </c>
      <c r="D282" s="14" t="s">
        <v>711</v>
      </c>
      <c r="E282" s="74"/>
      <c r="F282" s="74"/>
      <c r="G282" s="74"/>
      <c r="H282" s="74">
        <v>0</v>
      </c>
      <c r="I282" s="74">
        <f>31147+8000</f>
        <v>39147</v>
      </c>
      <c r="J282" s="74">
        <f t="shared" si="251"/>
        <v>39147</v>
      </c>
      <c r="K282" s="74">
        <v>0</v>
      </c>
      <c r="L282" s="74">
        <f t="shared" si="252"/>
        <v>39147</v>
      </c>
      <c r="M282" s="74">
        <v>0</v>
      </c>
      <c r="N282" s="74">
        <f t="shared" si="292"/>
        <v>39147</v>
      </c>
      <c r="O282" s="74">
        <v>0</v>
      </c>
      <c r="P282" s="74">
        <f t="shared" si="293"/>
        <v>39147</v>
      </c>
      <c r="Q282" s="74">
        <v>0</v>
      </c>
      <c r="R282" s="74">
        <f t="shared" si="294"/>
        <v>39147</v>
      </c>
      <c r="S282" s="74">
        <v>0</v>
      </c>
      <c r="T282" s="74">
        <f t="shared" si="295"/>
        <v>39147</v>
      </c>
      <c r="U282" s="74">
        <v>0</v>
      </c>
      <c r="V282" s="74">
        <f t="shared" si="296"/>
        <v>39147</v>
      </c>
      <c r="W282" s="74">
        <v>0</v>
      </c>
      <c r="X282" s="74">
        <f t="shared" si="297"/>
        <v>39147</v>
      </c>
      <c r="Y282" s="74">
        <v>0</v>
      </c>
      <c r="Z282" s="74">
        <f t="shared" si="298"/>
        <v>39147</v>
      </c>
      <c r="AA282" s="74">
        <v>0</v>
      </c>
      <c r="AB282" s="74">
        <f t="shared" si="299"/>
        <v>39147</v>
      </c>
      <c r="AC282" s="74">
        <v>0</v>
      </c>
      <c r="AD282" s="74">
        <f t="shared" si="300"/>
        <v>39147</v>
      </c>
      <c r="AE282" s="74">
        <v>0</v>
      </c>
      <c r="AF282" s="74">
        <f t="shared" si="301"/>
        <v>39147</v>
      </c>
      <c r="AG282" s="74">
        <v>0</v>
      </c>
      <c r="AH282" s="74">
        <f t="shared" si="302"/>
        <v>39147</v>
      </c>
    </row>
    <row r="283" spans="1:36" s="27" customFormat="1" ht="23.25" customHeight="1">
      <c r="A283" s="76"/>
      <c r="B283" s="82"/>
      <c r="C283" s="58">
        <v>4110</v>
      </c>
      <c r="D283" s="14" t="s">
        <v>347</v>
      </c>
      <c r="E283" s="74"/>
      <c r="F283" s="74"/>
      <c r="G283" s="74"/>
      <c r="H283" s="74"/>
      <c r="I283" s="74"/>
      <c r="J283" s="74">
        <v>0</v>
      </c>
      <c r="K283" s="74">
        <v>338</v>
      </c>
      <c r="L283" s="74">
        <f t="shared" si="252"/>
        <v>338</v>
      </c>
      <c r="M283" s="74">
        <v>0</v>
      </c>
      <c r="N283" s="74">
        <f t="shared" si="292"/>
        <v>338</v>
      </c>
      <c r="O283" s="74">
        <v>0</v>
      </c>
      <c r="P283" s="74">
        <f t="shared" si="293"/>
        <v>338</v>
      </c>
      <c r="Q283" s="74">
        <v>0</v>
      </c>
      <c r="R283" s="74">
        <f t="shared" si="294"/>
        <v>338</v>
      </c>
      <c r="S283" s="74">
        <v>0</v>
      </c>
      <c r="T283" s="74">
        <f t="shared" si="295"/>
        <v>338</v>
      </c>
      <c r="U283" s="74">
        <v>0</v>
      </c>
      <c r="V283" s="74">
        <f t="shared" si="296"/>
        <v>338</v>
      </c>
      <c r="W283" s="74">
        <v>0</v>
      </c>
      <c r="X283" s="74">
        <f t="shared" si="297"/>
        <v>338</v>
      </c>
      <c r="Y283" s="74">
        <v>0</v>
      </c>
      <c r="Z283" s="74">
        <f t="shared" si="298"/>
        <v>338</v>
      </c>
      <c r="AA283" s="74">
        <v>0</v>
      </c>
      <c r="AB283" s="74">
        <f t="shared" si="299"/>
        <v>338</v>
      </c>
      <c r="AC283" s="74">
        <v>0</v>
      </c>
      <c r="AD283" s="74">
        <f t="shared" si="300"/>
        <v>338</v>
      </c>
      <c r="AE283" s="74">
        <v>0</v>
      </c>
      <c r="AF283" s="74">
        <f t="shared" si="301"/>
        <v>338</v>
      </c>
      <c r="AG283" s="74">
        <v>0</v>
      </c>
      <c r="AH283" s="74">
        <f t="shared" si="302"/>
        <v>338</v>
      </c>
      <c r="AI283" s="119"/>
      <c r="AJ283" s="119"/>
    </row>
    <row r="284" spans="1:36" s="27" customFormat="1" ht="21" customHeight="1">
      <c r="A284" s="76"/>
      <c r="B284" s="82"/>
      <c r="C284" s="58">
        <v>4170</v>
      </c>
      <c r="D284" s="14" t="s">
        <v>478</v>
      </c>
      <c r="E284" s="74">
        <v>16000</v>
      </c>
      <c r="F284" s="74"/>
      <c r="G284" s="74"/>
      <c r="H284" s="74">
        <f aca="true" t="shared" si="303" ref="H284:H318">E284+F284-G284</f>
        <v>16000</v>
      </c>
      <c r="I284" s="74"/>
      <c r="J284" s="74">
        <f t="shared" si="251"/>
        <v>16000</v>
      </c>
      <c r="K284" s="74">
        <v>5616</v>
      </c>
      <c r="L284" s="74">
        <f t="shared" si="252"/>
        <v>21616</v>
      </c>
      <c r="M284" s="74">
        <v>0</v>
      </c>
      <c r="N284" s="74">
        <f t="shared" si="292"/>
        <v>21616</v>
      </c>
      <c r="O284" s="74">
        <v>0</v>
      </c>
      <c r="P284" s="74">
        <f t="shared" si="293"/>
        <v>21616</v>
      </c>
      <c r="Q284" s="74">
        <v>0</v>
      </c>
      <c r="R284" s="74">
        <f t="shared" si="294"/>
        <v>21616</v>
      </c>
      <c r="S284" s="74">
        <v>0</v>
      </c>
      <c r="T284" s="74">
        <f t="shared" si="295"/>
        <v>21616</v>
      </c>
      <c r="U284" s="74">
        <v>0</v>
      </c>
      <c r="V284" s="74">
        <f t="shared" si="296"/>
        <v>21616</v>
      </c>
      <c r="W284" s="74">
        <v>0</v>
      </c>
      <c r="X284" s="74">
        <f t="shared" si="297"/>
        <v>21616</v>
      </c>
      <c r="Y284" s="74">
        <v>0</v>
      </c>
      <c r="Z284" s="74">
        <f t="shared" si="298"/>
        <v>21616</v>
      </c>
      <c r="AA284" s="74">
        <v>0</v>
      </c>
      <c r="AB284" s="74">
        <f t="shared" si="299"/>
        <v>21616</v>
      </c>
      <c r="AC284" s="74">
        <v>0</v>
      </c>
      <c r="AD284" s="74">
        <f t="shared" si="300"/>
        <v>21616</v>
      </c>
      <c r="AE284" s="74">
        <v>0</v>
      </c>
      <c r="AF284" s="74">
        <f t="shared" si="301"/>
        <v>21616</v>
      </c>
      <c r="AG284" s="74">
        <v>0</v>
      </c>
      <c r="AH284" s="74">
        <f t="shared" si="302"/>
        <v>21616</v>
      </c>
      <c r="AI284" s="119"/>
      <c r="AJ284" s="119"/>
    </row>
    <row r="285" spans="1:34" s="27" customFormat="1" ht="21" customHeight="1">
      <c r="A285" s="76"/>
      <c r="B285" s="82"/>
      <c r="C285" s="58">
        <v>4210</v>
      </c>
      <c r="D285" s="14" t="s">
        <v>354</v>
      </c>
      <c r="E285" s="74"/>
      <c r="F285" s="74"/>
      <c r="G285" s="74"/>
      <c r="H285" s="74"/>
      <c r="I285" s="74"/>
      <c r="J285" s="74">
        <v>0</v>
      </c>
      <c r="K285" s="74">
        <f>1050+943+1300</f>
        <v>3293</v>
      </c>
      <c r="L285" s="74">
        <f t="shared" si="252"/>
        <v>3293</v>
      </c>
      <c r="M285" s="74">
        <v>0</v>
      </c>
      <c r="N285" s="74">
        <f t="shared" si="292"/>
        <v>3293</v>
      </c>
      <c r="O285" s="74">
        <v>0</v>
      </c>
      <c r="P285" s="74">
        <f t="shared" si="293"/>
        <v>3293</v>
      </c>
      <c r="Q285" s="74">
        <v>0</v>
      </c>
      <c r="R285" s="74">
        <f t="shared" si="294"/>
        <v>3293</v>
      </c>
      <c r="S285" s="74">
        <v>0</v>
      </c>
      <c r="T285" s="74">
        <f t="shared" si="295"/>
        <v>3293</v>
      </c>
      <c r="U285" s="74">
        <v>0</v>
      </c>
      <c r="V285" s="74">
        <f t="shared" si="296"/>
        <v>3293</v>
      </c>
      <c r="W285" s="74">
        <v>0</v>
      </c>
      <c r="X285" s="74">
        <f t="shared" si="297"/>
        <v>3293</v>
      </c>
      <c r="Y285" s="74">
        <v>0</v>
      </c>
      <c r="Z285" s="74">
        <f t="shared" si="298"/>
        <v>3293</v>
      </c>
      <c r="AA285" s="74">
        <f>4200+1800+278+3772</f>
        <v>10050</v>
      </c>
      <c r="AB285" s="74">
        <f t="shared" si="299"/>
        <v>13343</v>
      </c>
      <c r="AC285" s="74">
        <v>0</v>
      </c>
      <c r="AD285" s="74">
        <f t="shared" si="300"/>
        <v>13343</v>
      </c>
      <c r="AE285" s="74">
        <v>0</v>
      </c>
      <c r="AF285" s="74">
        <f t="shared" si="301"/>
        <v>13343</v>
      </c>
      <c r="AG285" s="74">
        <v>0</v>
      </c>
      <c r="AH285" s="74">
        <f t="shared" si="302"/>
        <v>13343</v>
      </c>
    </row>
    <row r="286" spans="1:34" s="27" customFormat="1" ht="21" customHeight="1">
      <c r="A286" s="76"/>
      <c r="B286" s="82"/>
      <c r="C286" s="58">
        <v>4220</v>
      </c>
      <c r="D286" s="14" t="s">
        <v>460</v>
      </c>
      <c r="E286" s="74"/>
      <c r="F286" s="74"/>
      <c r="G286" s="74"/>
      <c r="H286" s="74"/>
      <c r="I286" s="74"/>
      <c r="J286" s="74"/>
      <c r="K286" s="74"/>
      <c r="L286" s="74"/>
      <c r="M286" s="74"/>
      <c r="N286" s="74"/>
      <c r="O286" s="74"/>
      <c r="P286" s="74"/>
      <c r="Q286" s="74"/>
      <c r="R286" s="74"/>
      <c r="S286" s="74"/>
      <c r="T286" s="74"/>
      <c r="U286" s="74"/>
      <c r="V286" s="74"/>
      <c r="W286" s="74"/>
      <c r="X286" s="74"/>
      <c r="Y286" s="74"/>
      <c r="Z286" s="74">
        <v>0</v>
      </c>
      <c r="AA286" s="74">
        <v>2000</v>
      </c>
      <c r="AB286" s="74">
        <f t="shared" si="299"/>
        <v>2000</v>
      </c>
      <c r="AC286" s="74">
        <v>0</v>
      </c>
      <c r="AD286" s="74">
        <f t="shared" si="300"/>
        <v>2000</v>
      </c>
      <c r="AE286" s="74">
        <v>0</v>
      </c>
      <c r="AF286" s="74">
        <f t="shared" si="301"/>
        <v>2000</v>
      </c>
      <c r="AG286" s="74">
        <v>0</v>
      </c>
      <c r="AH286" s="74">
        <f t="shared" si="302"/>
        <v>2000</v>
      </c>
    </row>
    <row r="287" spans="1:34" s="27" customFormat="1" ht="21" customHeight="1">
      <c r="A287" s="76"/>
      <c r="B287" s="82"/>
      <c r="C287" s="58">
        <v>4300</v>
      </c>
      <c r="D287" s="14" t="s">
        <v>340</v>
      </c>
      <c r="E287" s="74">
        <f>11000+860+860+4000</f>
        <v>16720</v>
      </c>
      <c r="F287" s="74"/>
      <c r="G287" s="74"/>
      <c r="H287" s="74">
        <f t="shared" si="303"/>
        <v>16720</v>
      </c>
      <c r="I287" s="74"/>
      <c r="J287" s="74">
        <f t="shared" si="251"/>
        <v>16720</v>
      </c>
      <c r="K287" s="74">
        <f>-11000+6360+170</f>
        <v>-4470</v>
      </c>
      <c r="L287" s="74">
        <f t="shared" si="252"/>
        <v>12250</v>
      </c>
      <c r="M287" s="74">
        <v>0</v>
      </c>
      <c r="N287" s="74">
        <f t="shared" si="292"/>
        <v>12250</v>
      </c>
      <c r="O287" s="74">
        <v>0</v>
      </c>
      <c r="P287" s="74">
        <f t="shared" si="293"/>
        <v>12250</v>
      </c>
      <c r="Q287" s="74">
        <v>0</v>
      </c>
      <c r="R287" s="74">
        <f t="shared" si="294"/>
        <v>12250</v>
      </c>
      <c r="S287" s="74">
        <v>0</v>
      </c>
      <c r="T287" s="74">
        <f t="shared" si="295"/>
        <v>12250</v>
      </c>
      <c r="U287" s="74">
        <v>0</v>
      </c>
      <c r="V287" s="74">
        <f t="shared" si="296"/>
        <v>12250</v>
      </c>
      <c r="W287" s="74">
        <v>0</v>
      </c>
      <c r="X287" s="74">
        <f t="shared" si="297"/>
        <v>12250</v>
      </c>
      <c r="Y287" s="74">
        <v>0</v>
      </c>
      <c r="Z287" s="74">
        <f t="shared" si="298"/>
        <v>12250</v>
      </c>
      <c r="AA287" s="74">
        <f>1800+1300+1500</f>
        <v>4600</v>
      </c>
      <c r="AB287" s="74">
        <f t="shared" si="299"/>
        <v>16850</v>
      </c>
      <c r="AC287" s="74">
        <v>0</v>
      </c>
      <c r="AD287" s="74">
        <f t="shared" si="300"/>
        <v>16850</v>
      </c>
      <c r="AE287" s="74">
        <v>0</v>
      </c>
      <c r="AF287" s="74">
        <f t="shared" si="301"/>
        <v>16850</v>
      </c>
      <c r="AG287" s="74">
        <v>0</v>
      </c>
      <c r="AH287" s="74">
        <f t="shared" si="302"/>
        <v>16850</v>
      </c>
    </row>
    <row r="288" spans="1:34" s="27" customFormat="1" ht="21" customHeight="1">
      <c r="A288" s="76"/>
      <c r="B288" s="82"/>
      <c r="C288" s="58">
        <v>4350</v>
      </c>
      <c r="D288" s="14" t="s">
        <v>548</v>
      </c>
      <c r="E288" s="74"/>
      <c r="F288" s="74"/>
      <c r="G288" s="74"/>
      <c r="H288" s="74"/>
      <c r="I288" s="74"/>
      <c r="J288" s="74">
        <v>0</v>
      </c>
      <c r="K288" s="74">
        <v>672</v>
      </c>
      <c r="L288" s="74">
        <f t="shared" si="252"/>
        <v>672</v>
      </c>
      <c r="M288" s="74">
        <v>0</v>
      </c>
      <c r="N288" s="74">
        <f t="shared" si="292"/>
        <v>672</v>
      </c>
      <c r="O288" s="74">
        <v>0</v>
      </c>
      <c r="P288" s="74">
        <f t="shared" si="293"/>
        <v>672</v>
      </c>
      <c r="Q288" s="74">
        <v>0</v>
      </c>
      <c r="R288" s="74">
        <f t="shared" si="294"/>
        <v>672</v>
      </c>
      <c r="S288" s="74">
        <v>0</v>
      </c>
      <c r="T288" s="74">
        <f t="shared" si="295"/>
        <v>672</v>
      </c>
      <c r="U288" s="74">
        <v>0</v>
      </c>
      <c r="V288" s="74">
        <f t="shared" si="296"/>
        <v>672</v>
      </c>
      <c r="W288" s="74">
        <v>400</v>
      </c>
      <c r="X288" s="74">
        <f t="shared" si="297"/>
        <v>1072</v>
      </c>
      <c r="Y288" s="74">
        <v>0</v>
      </c>
      <c r="Z288" s="74">
        <f t="shared" si="298"/>
        <v>1072</v>
      </c>
      <c r="AA288" s="74">
        <v>0</v>
      </c>
      <c r="AB288" s="74">
        <f t="shared" si="299"/>
        <v>1072</v>
      </c>
      <c r="AC288" s="74">
        <v>0</v>
      </c>
      <c r="AD288" s="74">
        <f t="shared" si="300"/>
        <v>1072</v>
      </c>
      <c r="AE288" s="74">
        <v>0</v>
      </c>
      <c r="AF288" s="74">
        <f t="shared" si="301"/>
        <v>1072</v>
      </c>
      <c r="AG288" s="74">
        <v>0</v>
      </c>
      <c r="AH288" s="74">
        <f t="shared" si="302"/>
        <v>1072</v>
      </c>
    </row>
    <row r="289" spans="1:34" s="27" customFormat="1" ht="21" customHeight="1">
      <c r="A289" s="76"/>
      <c r="B289" s="82"/>
      <c r="C289" s="58">
        <v>4410</v>
      </c>
      <c r="D289" s="14" t="s">
        <v>352</v>
      </c>
      <c r="E289" s="74"/>
      <c r="F289" s="74"/>
      <c r="G289" s="74"/>
      <c r="H289" s="74"/>
      <c r="I289" s="74"/>
      <c r="J289" s="74">
        <v>0</v>
      </c>
      <c r="K289" s="74">
        <v>1900</v>
      </c>
      <c r="L289" s="74">
        <f t="shared" si="252"/>
        <v>1900</v>
      </c>
      <c r="M289" s="74">
        <v>0</v>
      </c>
      <c r="N289" s="74">
        <f t="shared" si="292"/>
        <v>1900</v>
      </c>
      <c r="O289" s="74">
        <v>0</v>
      </c>
      <c r="P289" s="74">
        <f t="shared" si="293"/>
        <v>1900</v>
      </c>
      <c r="Q289" s="74">
        <v>0</v>
      </c>
      <c r="R289" s="74">
        <f t="shared" si="294"/>
        <v>1900</v>
      </c>
      <c r="S289" s="74">
        <v>0</v>
      </c>
      <c r="T289" s="74">
        <f t="shared" si="295"/>
        <v>1900</v>
      </c>
      <c r="U289" s="74">
        <v>0</v>
      </c>
      <c r="V289" s="74">
        <f t="shared" si="296"/>
        <v>1900</v>
      </c>
      <c r="W289" s="74">
        <v>0</v>
      </c>
      <c r="X289" s="74">
        <f t="shared" si="297"/>
        <v>1900</v>
      </c>
      <c r="Y289" s="74">
        <v>0</v>
      </c>
      <c r="Z289" s="74">
        <f t="shared" si="298"/>
        <v>1900</v>
      </c>
      <c r="AA289" s="74">
        <v>0</v>
      </c>
      <c r="AB289" s="74">
        <f t="shared" si="299"/>
        <v>1900</v>
      </c>
      <c r="AC289" s="74">
        <v>0</v>
      </c>
      <c r="AD289" s="74">
        <f t="shared" si="300"/>
        <v>1900</v>
      </c>
      <c r="AE289" s="74">
        <v>0</v>
      </c>
      <c r="AF289" s="74">
        <f t="shared" si="301"/>
        <v>1900</v>
      </c>
      <c r="AG289" s="74">
        <v>0</v>
      </c>
      <c r="AH289" s="74">
        <f t="shared" si="302"/>
        <v>1900</v>
      </c>
    </row>
    <row r="290" spans="1:34" s="27" customFormat="1" ht="21" customHeight="1">
      <c r="A290" s="76"/>
      <c r="B290" s="82">
        <v>85195</v>
      </c>
      <c r="C290" s="58"/>
      <c r="D290" s="14" t="s">
        <v>250</v>
      </c>
      <c r="E290" s="74">
        <f>SUM(E291)</f>
        <v>5000</v>
      </c>
      <c r="F290" s="74">
        <f>SUM(F291)</f>
        <v>0</v>
      </c>
      <c r="G290" s="74">
        <f>SUM(G291)</f>
        <v>0</v>
      </c>
      <c r="H290" s="74">
        <f t="shared" si="303"/>
        <v>5000</v>
      </c>
      <c r="I290" s="74">
        <f aca="true" t="shared" si="304" ref="I290:AH290">SUM(I291)</f>
        <v>0</v>
      </c>
      <c r="J290" s="74">
        <f t="shared" si="304"/>
        <v>5000</v>
      </c>
      <c r="K290" s="74">
        <f t="shared" si="304"/>
        <v>0</v>
      </c>
      <c r="L290" s="74">
        <f t="shared" si="304"/>
        <v>5000</v>
      </c>
      <c r="M290" s="74">
        <f t="shared" si="304"/>
        <v>0</v>
      </c>
      <c r="N290" s="74">
        <f t="shared" si="304"/>
        <v>5000</v>
      </c>
      <c r="O290" s="74">
        <f t="shared" si="304"/>
        <v>0</v>
      </c>
      <c r="P290" s="74">
        <f t="shared" si="304"/>
        <v>5000</v>
      </c>
      <c r="Q290" s="74">
        <f t="shared" si="304"/>
        <v>0</v>
      </c>
      <c r="R290" s="74">
        <f t="shared" si="304"/>
        <v>5000</v>
      </c>
      <c r="S290" s="74">
        <f t="shared" si="304"/>
        <v>0</v>
      </c>
      <c r="T290" s="74">
        <f t="shared" si="304"/>
        <v>5000</v>
      </c>
      <c r="U290" s="74">
        <f t="shared" si="304"/>
        <v>0</v>
      </c>
      <c r="V290" s="74">
        <f t="shared" si="304"/>
        <v>5000</v>
      </c>
      <c r="W290" s="74">
        <f t="shared" si="304"/>
        <v>0</v>
      </c>
      <c r="X290" s="74">
        <f t="shared" si="304"/>
        <v>5000</v>
      </c>
      <c r="Y290" s="74">
        <f t="shared" si="304"/>
        <v>0</v>
      </c>
      <c r="Z290" s="74">
        <f t="shared" si="304"/>
        <v>5000</v>
      </c>
      <c r="AA290" s="74">
        <f t="shared" si="304"/>
        <v>0</v>
      </c>
      <c r="AB290" s="74">
        <f t="shared" si="304"/>
        <v>5000</v>
      </c>
      <c r="AC290" s="74">
        <f t="shared" si="304"/>
        <v>0</v>
      </c>
      <c r="AD290" s="74">
        <f t="shared" si="304"/>
        <v>5000</v>
      </c>
      <c r="AE290" s="74">
        <f t="shared" si="304"/>
        <v>0</v>
      </c>
      <c r="AF290" s="74">
        <f t="shared" si="304"/>
        <v>5000</v>
      </c>
      <c r="AG290" s="74">
        <f t="shared" si="304"/>
        <v>0</v>
      </c>
      <c r="AH290" s="74">
        <f t="shared" si="304"/>
        <v>5000</v>
      </c>
    </row>
    <row r="291" spans="1:34" s="27" customFormat="1" ht="21" customHeight="1">
      <c r="A291" s="76"/>
      <c r="B291" s="82"/>
      <c r="C291" s="58">
        <v>4430</v>
      </c>
      <c r="D291" s="14" t="s">
        <v>356</v>
      </c>
      <c r="E291" s="74">
        <v>5000</v>
      </c>
      <c r="F291" s="74"/>
      <c r="G291" s="74"/>
      <c r="H291" s="74">
        <f t="shared" si="303"/>
        <v>5000</v>
      </c>
      <c r="I291" s="74"/>
      <c r="J291" s="74">
        <f t="shared" si="251"/>
        <v>5000</v>
      </c>
      <c r="K291" s="74">
        <v>0</v>
      </c>
      <c r="L291" s="74">
        <f t="shared" si="252"/>
        <v>5000</v>
      </c>
      <c r="M291" s="74">
        <v>0</v>
      </c>
      <c r="N291" s="74">
        <f>SUM(L291:M291)</f>
        <v>5000</v>
      </c>
      <c r="O291" s="74">
        <v>0</v>
      </c>
      <c r="P291" s="74">
        <f>SUM(N291:O291)</f>
        <v>5000</v>
      </c>
      <c r="Q291" s="74">
        <v>0</v>
      </c>
      <c r="R291" s="74">
        <f>SUM(P291:Q291)</f>
        <v>5000</v>
      </c>
      <c r="S291" s="74">
        <v>0</v>
      </c>
      <c r="T291" s="74">
        <f>SUM(R291:S291)</f>
        <v>5000</v>
      </c>
      <c r="U291" s="74">
        <v>0</v>
      </c>
      <c r="V291" s="74">
        <f>SUM(T291:U291)</f>
        <v>5000</v>
      </c>
      <c r="W291" s="74">
        <v>0</v>
      </c>
      <c r="X291" s="74">
        <f>SUM(V291:W291)</f>
        <v>5000</v>
      </c>
      <c r="Y291" s="74">
        <v>0</v>
      </c>
      <c r="Z291" s="74">
        <f>SUM(X291:Y291)</f>
        <v>5000</v>
      </c>
      <c r="AA291" s="74">
        <v>0</v>
      </c>
      <c r="AB291" s="74">
        <f>SUM(Z291:AA291)</f>
        <v>5000</v>
      </c>
      <c r="AC291" s="74">
        <v>0</v>
      </c>
      <c r="AD291" s="74">
        <f>SUM(AB291:AC291)</f>
        <v>5000</v>
      </c>
      <c r="AE291" s="74">
        <v>0</v>
      </c>
      <c r="AF291" s="74">
        <f>SUM(AD291:AE291)</f>
        <v>5000</v>
      </c>
      <c r="AG291" s="74">
        <v>0</v>
      </c>
      <c r="AH291" s="74">
        <f>SUM(AF291:AG291)</f>
        <v>5000</v>
      </c>
    </row>
    <row r="292" spans="1:34" s="7" customFormat="1" ht="24.75" customHeight="1">
      <c r="A292" s="12">
        <v>852</v>
      </c>
      <c r="B292" s="6"/>
      <c r="C292" s="5"/>
      <c r="D292" s="22" t="s">
        <v>471</v>
      </c>
      <c r="E292" s="271">
        <f>SUM(E293,E314,E316,E319,E321,E346,E348,)</f>
        <v>12388325</v>
      </c>
      <c r="F292" s="271">
        <f>SUM(F293,F314,F316,F319,F321,F346,F348,)</f>
        <v>0</v>
      </c>
      <c r="G292" s="271">
        <f>SUM(G293,G314,G316,G319,G321,G346,G348,)</f>
        <v>0</v>
      </c>
      <c r="H292" s="271">
        <f t="shared" si="303"/>
        <v>12388325</v>
      </c>
      <c r="I292" s="271">
        <f aca="true" t="shared" si="305" ref="I292:N292">SUM(I293,I314,I316,I319,I321,I346,I348,)</f>
        <v>-22000</v>
      </c>
      <c r="J292" s="271">
        <f t="shared" si="305"/>
        <v>12366325</v>
      </c>
      <c r="K292" s="271">
        <f t="shared" si="305"/>
        <v>0</v>
      </c>
      <c r="L292" s="271">
        <f t="shared" si="305"/>
        <v>12366325</v>
      </c>
      <c r="M292" s="271">
        <f t="shared" si="305"/>
        <v>234778</v>
      </c>
      <c r="N292" s="271">
        <f t="shared" si="305"/>
        <v>12601103</v>
      </c>
      <c r="O292" s="271">
        <f aca="true" t="shared" si="306" ref="O292:T292">SUM(O293,O314,O316,O319,O321,O346,O348,)</f>
        <v>10000</v>
      </c>
      <c r="P292" s="271">
        <f t="shared" si="306"/>
        <v>12611103</v>
      </c>
      <c r="Q292" s="271">
        <f t="shared" si="306"/>
        <v>-159352</v>
      </c>
      <c r="R292" s="271">
        <f t="shared" si="306"/>
        <v>12451751</v>
      </c>
      <c r="S292" s="271">
        <f t="shared" si="306"/>
        <v>0</v>
      </c>
      <c r="T292" s="271">
        <f t="shared" si="306"/>
        <v>12451751</v>
      </c>
      <c r="U292" s="271">
        <f aca="true" t="shared" si="307" ref="U292:Z292">SUM(U293,U314,U316,U319,U321,U346,U348,)</f>
        <v>-42479</v>
      </c>
      <c r="V292" s="271">
        <f t="shared" si="307"/>
        <v>12409272</v>
      </c>
      <c r="W292" s="271">
        <f t="shared" si="307"/>
        <v>45393</v>
      </c>
      <c r="X292" s="271">
        <f t="shared" si="307"/>
        <v>12454665</v>
      </c>
      <c r="Y292" s="271">
        <f t="shared" si="307"/>
        <v>-234000</v>
      </c>
      <c r="Z292" s="271">
        <f t="shared" si="307"/>
        <v>12220665</v>
      </c>
      <c r="AA292" s="271">
        <f aca="true" t="shared" si="308" ref="AA292:AF292">SUM(AA293,AA314,AA316,AA319,AA321,AA346,AA348,)</f>
        <v>209275</v>
      </c>
      <c r="AB292" s="271">
        <f t="shared" si="308"/>
        <v>12429940</v>
      </c>
      <c r="AC292" s="271">
        <f t="shared" si="308"/>
        <v>0</v>
      </c>
      <c r="AD292" s="271">
        <f t="shared" si="308"/>
        <v>12429940</v>
      </c>
      <c r="AE292" s="271">
        <f t="shared" si="308"/>
        <v>94223</v>
      </c>
      <c r="AF292" s="271">
        <f t="shared" si="308"/>
        <v>12524163</v>
      </c>
      <c r="AG292" s="271">
        <f>SUM(AG293,AG314,AG316,AG319,AG321,AG346,AG348,)</f>
        <v>-21670</v>
      </c>
      <c r="AH292" s="271">
        <f>SUM(AH293,AH314,AH316,AH319,AH321,AH346,AH348,)</f>
        <v>12502493</v>
      </c>
    </row>
    <row r="293" spans="1:34" s="27" customFormat="1" ht="36">
      <c r="A293" s="93"/>
      <c r="B293" s="58">
        <v>85212</v>
      </c>
      <c r="C293" s="83"/>
      <c r="D293" s="81" t="s">
        <v>557</v>
      </c>
      <c r="E293" s="74">
        <f>SUM(E294:E313)</f>
        <v>7804800</v>
      </c>
      <c r="F293" s="74">
        <f>SUM(F294:F313)</f>
        <v>0</v>
      </c>
      <c r="G293" s="74">
        <f>SUM(G294:G313)</f>
        <v>0</v>
      </c>
      <c r="H293" s="74">
        <f t="shared" si="303"/>
        <v>7804800</v>
      </c>
      <c r="I293" s="74">
        <f aca="true" t="shared" si="309" ref="I293:N293">SUM(I294:I313)</f>
        <v>7900</v>
      </c>
      <c r="J293" s="74">
        <f t="shared" si="309"/>
        <v>7812700</v>
      </c>
      <c r="K293" s="74">
        <f t="shared" si="309"/>
        <v>0</v>
      </c>
      <c r="L293" s="74">
        <f t="shared" si="309"/>
        <v>7812700</v>
      </c>
      <c r="M293" s="74">
        <f t="shared" si="309"/>
        <v>0</v>
      </c>
      <c r="N293" s="74">
        <f t="shared" si="309"/>
        <v>7812700</v>
      </c>
      <c r="O293" s="74">
        <f aca="true" t="shared" si="310" ref="O293:T293">SUM(O294:O313)</f>
        <v>0</v>
      </c>
      <c r="P293" s="74">
        <f t="shared" si="310"/>
        <v>7812700</v>
      </c>
      <c r="Q293" s="74">
        <f t="shared" si="310"/>
        <v>0</v>
      </c>
      <c r="R293" s="74">
        <f t="shared" si="310"/>
        <v>7812700</v>
      </c>
      <c r="S293" s="74">
        <f t="shared" si="310"/>
        <v>0</v>
      </c>
      <c r="T293" s="74">
        <f t="shared" si="310"/>
        <v>7812700</v>
      </c>
      <c r="U293" s="74">
        <f aca="true" t="shared" si="311" ref="U293:Z293">SUM(U294:U313)</f>
        <v>-200000</v>
      </c>
      <c r="V293" s="74">
        <f t="shared" si="311"/>
        <v>7612700</v>
      </c>
      <c r="W293" s="74">
        <f t="shared" si="311"/>
        <v>-50000</v>
      </c>
      <c r="X293" s="74">
        <f t="shared" si="311"/>
        <v>7562700</v>
      </c>
      <c r="Y293" s="74">
        <f t="shared" si="311"/>
        <v>-250000</v>
      </c>
      <c r="Z293" s="74">
        <f t="shared" si="311"/>
        <v>7312700</v>
      </c>
      <c r="AA293" s="74">
        <f aca="true" t="shared" si="312" ref="AA293:AF293">SUM(AA294:AA313)</f>
        <v>0</v>
      </c>
      <c r="AB293" s="74">
        <f t="shared" si="312"/>
        <v>7312700</v>
      </c>
      <c r="AC293" s="74">
        <f t="shared" si="312"/>
        <v>0</v>
      </c>
      <c r="AD293" s="74">
        <f t="shared" si="312"/>
        <v>7312700</v>
      </c>
      <c r="AE293" s="74">
        <f t="shared" si="312"/>
        <v>0</v>
      </c>
      <c r="AF293" s="74">
        <f t="shared" si="312"/>
        <v>7312700</v>
      </c>
      <c r="AG293" s="74">
        <f>SUM(AG294:AG313)</f>
        <v>22881</v>
      </c>
      <c r="AH293" s="74">
        <f>SUM(AH294:AH313)</f>
        <v>7335581</v>
      </c>
    </row>
    <row r="294" spans="1:34" s="27" customFormat="1" ht="21" customHeight="1">
      <c r="A294" s="93"/>
      <c r="B294" s="58"/>
      <c r="C294" s="83">
        <v>3020</v>
      </c>
      <c r="D294" s="14" t="s">
        <v>474</v>
      </c>
      <c r="E294" s="74">
        <v>1000</v>
      </c>
      <c r="F294" s="74"/>
      <c r="G294" s="74"/>
      <c r="H294" s="74">
        <f t="shared" si="303"/>
        <v>1000</v>
      </c>
      <c r="I294" s="74"/>
      <c r="J294" s="74">
        <f t="shared" si="251"/>
        <v>1000</v>
      </c>
      <c r="K294" s="74">
        <v>0</v>
      </c>
      <c r="L294" s="74">
        <f t="shared" si="252"/>
        <v>1000</v>
      </c>
      <c r="M294" s="74">
        <v>0</v>
      </c>
      <c r="N294" s="74">
        <f aca="true" t="shared" si="313" ref="N294:N313">SUM(L294:M294)</f>
        <v>1000</v>
      </c>
      <c r="O294" s="74">
        <v>0</v>
      </c>
      <c r="P294" s="74">
        <f aca="true" t="shared" si="314" ref="P294:P313">SUM(N294:O294)</f>
        <v>1000</v>
      </c>
      <c r="Q294" s="74">
        <v>0</v>
      </c>
      <c r="R294" s="74">
        <f aca="true" t="shared" si="315" ref="R294:R313">SUM(P294:Q294)</f>
        <v>1000</v>
      </c>
      <c r="S294" s="74">
        <v>0</v>
      </c>
      <c r="T294" s="74">
        <f aca="true" t="shared" si="316" ref="T294:T313">SUM(R294:S294)</f>
        <v>1000</v>
      </c>
      <c r="U294" s="74">
        <v>0</v>
      </c>
      <c r="V294" s="74">
        <f aca="true" t="shared" si="317" ref="V294:V313">SUM(T294:U294)</f>
        <v>1000</v>
      </c>
      <c r="W294" s="74">
        <v>0</v>
      </c>
      <c r="X294" s="74">
        <f aca="true" t="shared" si="318" ref="X294:X313">SUM(V294:W294)</f>
        <v>1000</v>
      </c>
      <c r="Y294" s="74">
        <v>0</v>
      </c>
      <c r="Z294" s="74">
        <f aca="true" t="shared" si="319" ref="Z294:Z313">SUM(X294:Y294)</f>
        <v>1000</v>
      </c>
      <c r="AA294" s="74">
        <v>0</v>
      </c>
      <c r="AB294" s="74">
        <f aca="true" t="shared" si="320" ref="AB294:AB313">SUM(Z294:AA294)</f>
        <v>1000</v>
      </c>
      <c r="AC294" s="74">
        <v>0</v>
      </c>
      <c r="AD294" s="74">
        <f aca="true" t="shared" si="321" ref="AD294:AD313">SUM(AB294:AC294)</f>
        <v>1000</v>
      </c>
      <c r="AE294" s="74">
        <v>0</v>
      </c>
      <c r="AF294" s="74">
        <f aca="true" t="shared" si="322" ref="AF294:AF313">SUM(AD294:AE294)</f>
        <v>1000</v>
      </c>
      <c r="AG294" s="74">
        <v>-755</v>
      </c>
      <c r="AH294" s="74">
        <f aca="true" t="shared" si="323" ref="AH294:AH313">SUM(AF294:AG294)</f>
        <v>245</v>
      </c>
    </row>
    <row r="295" spans="1:34" s="27" customFormat="1" ht="21" customHeight="1">
      <c r="A295" s="93"/>
      <c r="B295" s="58"/>
      <c r="C295" s="83">
        <v>3110</v>
      </c>
      <c r="D295" s="81" t="s">
        <v>376</v>
      </c>
      <c r="E295" s="74">
        <v>7510656</v>
      </c>
      <c r="F295" s="74"/>
      <c r="G295" s="74"/>
      <c r="H295" s="74">
        <f t="shared" si="303"/>
        <v>7510656</v>
      </c>
      <c r="I295" s="74"/>
      <c r="J295" s="74">
        <f t="shared" si="251"/>
        <v>7510656</v>
      </c>
      <c r="K295" s="74">
        <v>0</v>
      </c>
      <c r="L295" s="74">
        <f t="shared" si="252"/>
        <v>7510656</v>
      </c>
      <c r="M295" s="74">
        <v>0</v>
      </c>
      <c r="N295" s="74">
        <f t="shared" si="313"/>
        <v>7510656</v>
      </c>
      <c r="O295" s="74">
        <v>7663</v>
      </c>
      <c r="P295" s="74">
        <f t="shared" si="314"/>
        <v>7518319</v>
      </c>
      <c r="Q295" s="74"/>
      <c r="R295" s="74">
        <f t="shared" si="315"/>
        <v>7518319</v>
      </c>
      <c r="S295" s="74">
        <v>0</v>
      </c>
      <c r="T295" s="74">
        <f t="shared" si="316"/>
        <v>7518319</v>
      </c>
      <c r="U295" s="74">
        <v>-194000</v>
      </c>
      <c r="V295" s="74">
        <f t="shared" si="317"/>
        <v>7324319</v>
      </c>
      <c r="W295" s="74">
        <v>-48500</v>
      </c>
      <c r="X295" s="74">
        <f t="shared" si="318"/>
        <v>7275819</v>
      </c>
      <c r="Y295" s="74">
        <f>-250000+7500</f>
        <v>-242500</v>
      </c>
      <c r="Z295" s="74">
        <f t="shared" si="319"/>
        <v>7033319</v>
      </c>
      <c r="AA295" s="74">
        <v>0</v>
      </c>
      <c r="AB295" s="74">
        <f t="shared" si="320"/>
        <v>7033319</v>
      </c>
      <c r="AC295" s="74">
        <v>0</v>
      </c>
      <c r="AD295" s="74">
        <f t="shared" si="321"/>
        <v>7033319</v>
      </c>
      <c r="AE295" s="74">
        <v>0</v>
      </c>
      <c r="AF295" s="74">
        <f t="shared" si="322"/>
        <v>7033319</v>
      </c>
      <c r="AG295" s="74">
        <v>22881</v>
      </c>
      <c r="AH295" s="74">
        <f t="shared" si="323"/>
        <v>7056200</v>
      </c>
    </row>
    <row r="296" spans="1:36" s="27" customFormat="1" ht="21" customHeight="1">
      <c r="A296" s="93"/>
      <c r="B296" s="58"/>
      <c r="C296" s="58">
        <v>4010</v>
      </c>
      <c r="D296" s="14" t="s">
        <v>345</v>
      </c>
      <c r="E296" s="74">
        <v>123700</v>
      </c>
      <c r="F296" s="74"/>
      <c r="G296" s="74"/>
      <c r="H296" s="74">
        <f t="shared" si="303"/>
        <v>123700</v>
      </c>
      <c r="I296" s="74"/>
      <c r="J296" s="74">
        <f t="shared" si="251"/>
        <v>123700</v>
      </c>
      <c r="K296" s="74">
        <v>0</v>
      </c>
      <c r="L296" s="74">
        <f t="shared" si="252"/>
        <v>123700</v>
      </c>
      <c r="M296" s="74">
        <v>0</v>
      </c>
      <c r="N296" s="74">
        <f t="shared" si="313"/>
        <v>123700</v>
      </c>
      <c r="O296" s="74">
        <v>0</v>
      </c>
      <c r="P296" s="74">
        <f t="shared" si="314"/>
        <v>123700</v>
      </c>
      <c r="Q296" s="74">
        <v>0</v>
      </c>
      <c r="R296" s="74">
        <f t="shared" si="315"/>
        <v>123700</v>
      </c>
      <c r="S296" s="74">
        <v>0</v>
      </c>
      <c r="T296" s="74">
        <f t="shared" si="316"/>
        <v>123700</v>
      </c>
      <c r="U296" s="74">
        <v>0</v>
      </c>
      <c r="V296" s="74">
        <f t="shared" si="317"/>
        <v>123700</v>
      </c>
      <c r="W296" s="74">
        <v>0</v>
      </c>
      <c r="X296" s="74">
        <f t="shared" si="318"/>
        <v>123700</v>
      </c>
      <c r="Y296" s="74">
        <v>0</v>
      </c>
      <c r="Z296" s="74">
        <f t="shared" si="319"/>
        <v>123700</v>
      </c>
      <c r="AA296" s="74">
        <v>10073</v>
      </c>
      <c r="AB296" s="74">
        <f t="shared" si="320"/>
        <v>133773</v>
      </c>
      <c r="AC296" s="74">
        <v>0</v>
      </c>
      <c r="AD296" s="74">
        <f t="shared" si="321"/>
        <v>133773</v>
      </c>
      <c r="AE296" s="74">
        <v>0</v>
      </c>
      <c r="AF296" s="74">
        <f t="shared" si="322"/>
        <v>133773</v>
      </c>
      <c r="AG296" s="74">
        <v>500</v>
      </c>
      <c r="AH296" s="74">
        <f t="shared" si="323"/>
        <v>134273</v>
      </c>
      <c r="AI296" s="119"/>
      <c r="AJ296" s="119"/>
    </row>
    <row r="297" spans="1:36" s="27" customFormat="1" ht="21" customHeight="1">
      <c r="A297" s="93"/>
      <c r="B297" s="58"/>
      <c r="C297" s="58">
        <v>4040</v>
      </c>
      <c r="D297" s="14" t="s">
        <v>346</v>
      </c>
      <c r="E297" s="74">
        <v>11000</v>
      </c>
      <c r="F297" s="74"/>
      <c r="G297" s="74"/>
      <c r="H297" s="74">
        <f t="shared" si="303"/>
        <v>11000</v>
      </c>
      <c r="I297" s="74"/>
      <c r="J297" s="74">
        <f t="shared" si="251"/>
        <v>11000</v>
      </c>
      <c r="K297" s="74">
        <v>0</v>
      </c>
      <c r="L297" s="74">
        <f t="shared" si="252"/>
        <v>11000</v>
      </c>
      <c r="M297" s="74">
        <v>0</v>
      </c>
      <c r="N297" s="74">
        <f t="shared" si="313"/>
        <v>11000</v>
      </c>
      <c r="O297" s="74">
        <v>0</v>
      </c>
      <c r="P297" s="74">
        <f t="shared" si="314"/>
        <v>11000</v>
      </c>
      <c r="Q297" s="74">
        <v>0</v>
      </c>
      <c r="R297" s="74">
        <f t="shared" si="315"/>
        <v>11000</v>
      </c>
      <c r="S297" s="74">
        <v>0</v>
      </c>
      <c r="T297" s="74">
        <f t="shared" si="316"/>
        <v>11000</v>
      </c>
      <c r="U297" s="74">
        <v>0</v>
      </c>
      <c r="V297" s="74">
        <f t="shared" si="317"/>
        <v>11000</v>
      </c>
      <c r="W297" s="74">
        <v>0</v>
      </c>
      <c r="X297" s="74">
        <f t="shared" si="318"/>
        <v>11000</v>
      </c>
      <c r="Y297" s="74">
        <v>0</v>
      </c>
      <c r="Z297" s="74">
        <f t="shared" si="319"/>
        <v>11000</v>
      </c>
      <c r="AA297" s="74">
        <v>-873</v>
      </c>
      <c r="AB297" s="74">
        <f t="shared" si="320"/>
        <v>10127</v>
      </c>
      <c r="AC297" s="74">
        <v>0</v>
      </c>
      <c r="AD297" s="74">
        <f t="shared" si="321"/>
        <v>10127</v>
      </c>
      <c r="AE297" s="74">
        <v>0</v>
      </c>
      <c r="AF297" s="74">
        <f t="shared" si="322"/>
        <v>10127</v>
      </c>
      <c r="AG297" s="74">
        <v>0</v>
      </c>
      <c r="AH297" s="74">
        <f t="shared" si="323"/>
        <v>10127</v>
      </c>
      <c r="AI297" s="119"/>
      <c r="AJ297" s="119"/>
    </row>
    <row r="298" spans="1:36" s="27" customFormat="1" ht="21" customHeight="1">
      <c r="A298" s="93"/>
      <c r="B298" s="58"/>
      <c r="C298" s="58">
        <v>4110</v>
      </c>
      <c r="D298" s="14" t="s">
        <v>347</v>
      </c>
      <c r="E298" s="74">
        <f>23500+60000</f>
        <v>83500</v>
      </c>
      <c r="F298" s="74"/>
      <c r="G298" s="74"/>
      <c r="H298" s="74">
        <f t="shared" si="303"/>
        <v>83500</v>
      </c>
      <c r="I298" s="74"/>
      <c r="J298" s="74">
        <f t="shared" si="251"/>
        <v>83500</v>
      </c>
      <c r="K298" s="74">
        <v>0</v>
      </c>
      <c r="L298" s="74">
        <f t="shared" si="252"/>
        <v>83500</v>
      </c>
      <c r="M298" s="74">
        <v>0</v>
      </c>
      <c r="N298" s="74">
        <f t="shared" si="313"/>
        <v>83500</v>
      </c>
      <c r="O298" s="74">
        <v>0</v>
      </c>
      <c r="P298" s="74">
        <f t="shared" si="314"/>
        <v>83500</v>
      </c>
      <c r="Q298" s="74">
        <v>0</v>
      </c>
      <c r="R298" s="74">
        <f t="shared" si="315"/>
        <v>83500</v>
      </c>
      <c r="S298" s="74">
        <v>0</v>
      </c>
      <c r="T298" s="74">
        <f t="shared" si="316"/>
        <v>83500</v>
      </c>
      <c r="U298" s="74">
        <v>0</v>
      </c>
      <c r="V298" s="74">
        <f t="shared" si="317"/>
        <v>83500</v>
      </c>
      <c r="W298" s="74">
        <v>0</v>
      </c>
      <c r="X298" s="74">
        <f t="shared" si="318"/>
        <v>83500</v>
      </c>
      <c r="Y298" s="74">
        <v>0</v>
      </c>
      <c r="Z298" s="74">
        <f t="shared" si="319"/>
        <v>83500</v>
      </c>
      <c r="AA298" s="74">
        <v>1200</v>
      </c>
      <c r="AB298" s="74">
        <f t="shared" si="320"/>
        <v>84700</v>
      </c>
      <c r="AC298" s="74">
        <v>0</v>
      </c>
      <c r="AD298" s="74">
        <f t="shared" si="321"/>
        <v>84700</v>
      </c>
      <c r="AE298" s="74">
        <v>0</v>
      </c>
      <c r="AF298" s="74">
        <f t="shared" si="322"/>
        <v>84700</v>
      </c>
      <c r="AG298" s="74">
        <f>300</f>
        <v>300</v>
      </c>
      <c r="AH298" s="74">
        <f t="shared" si="323"/>
        <v>85000</v>
      </c>
      <c r="AI298" s="119"/>
      <c r="AJ298" s="119"/>
    </row>
    <row r="299" spans="1:36" s="27" customFormat="1" ht="21" customHeight="1">
      <c r="A299" s="93"/>
      <c r="B299" s="58"/>
      <c r="C299" s="58">
        <v>4120</v>
      </c>
      <c r="D299" s="14" t="s">
        <v>348</v>
      </c>
      <c r="E299" s="74">
        <v>3400</v>
      </c>
      <c r="F299" s="74"/>
      <c r="G299" s="74"/>
      <c r="H299" s="74">
        <f t="shared" si="303"/>
        <v>3400</v>
      </c>
      <c r="I299" s="74"/>
      <c r="J299" s="74">
        <f t="shared" si="251"/>
        <v>3400</v>
      </c>
      <c r="K299" s="74">
        <v>0</v>
      </c>
      <c r="L299" s="74">
        <f t="shared" si="252"/>
        <v>3400</v>
      </c>
      <c r="M299" s="74">
        <v>0</v>
      </c>
      <c r="N299" s="74">
        <f t="shared" si="313"/>
        <v>3400</v>
      </c>
      <c r="O299" s="74">
        <v>0</v>
      </c>
      <c r="P299" s="74">
        <f t="shared" si="314"/>
        <v>3400</v>
      </c>
      <c r="Q299" s="74">
        <v>0</v>
      </c>
      <c r="R299" s="74">
        <f t="shared" si="315"/>
        <v>3400</v>
      </c>
      <c r="S299" s="74">
        <v>0</v>
      </c>
      <c r="T299" s="74">
        <f t="shared" si="316"/>
        <v>3400</v>
      </c>
      <c r="U299" s="74">
        <v>0</v>
      </c>
      <c r="V299" s="74">
        <f t="shared" si="317"/>
        <v>3400</v>
      </c>
      <c r="W299" s="74">
        <v>0</v>
      </c>
      <c r="X299" s="74">
        <f t="shared" si="318"/>
        <v>3400</v>
      </c>
      <c r="Y299" s="74">
        <v>0</v>
      </c>
      <c r="Z299" s="74">
        <f t="shared" si="319"/>
        <v>3400</v>
      </c>
      <c r="AA299" s="74">
        <v>100</v>
      </c>
      <c r="AB299" s="74">
        <f t="shared" si="320"/>
        <v>3500</v>
      </c>
      <c r="AC299" s="74">
        <v>0</v>
      </c>
      <c r="AD299" s="74">
        <f t="shared" si="321"/>
        <v>3500</v>
      </c>
      <c r="AE299" s="74">
        <v>0</v>
      </c>
      <c r="AF299" s="74">
        <f t="shared" si="322"/>
        <v>3500</v>
      </c>
      <c r="AG299" s="74">
        <v>-22</v>
      </c>
      <c r="AH299" s="74">
        <f t="shared" si="323"/>
        <v>3478</v>
      </c>
      <c r="AI299" s="119"/>
      <c r="AJ299" s="119"/>
    </row>
    <row r="300" spans="1:36" s="27" customFormat="1" ht="21" customHeight="1">
      <c r="A300" s="93"/>
      <c r="B300" s="82"/>
      <c r="C300" s="58">
        <v>4170</v>
      </c>
      <c r="D300" s="14" t="s">
        <v>478</v>
      </c>
      <c r="E300" s="74">
        <v>4000</v>
      </c>
      <c r="F300" s="74"/>
      <c r="G300" s="74"/>
      <c r="H300" s="74">
        <f t="shared" si="303"/>
        <v>4000</v>
      </c>
      <c r="I300" s="74"/>
      <c r="J300" s="74">
        <f t="shared" si="251"/>
        <v>4000</v>
      </c>
      <c r="K300" s="74">
        <v>0</v>
      </c>
      <c r="L300" s="74">
        <f t="shared" si="252"/>
        <v>4000</v>
      </c>
      <c r="M300" s="74">
        <v>0</v>
      </c>
      <c r="N300" s="74">
        <f t="shared" si="313"/>
        <v>4000</v>
      </c>
      <c r="O300" s="74">
        <v>0</v>
      </c>
      <c r="P300" s="74">
        <f t="shared" si="314"/>
        <v>4000</v>
      </c>
      <c r="Q300" s="74">
        <v>0</v>
      </c>
      <c r="R300" s="74">
        <f t="shared" si="315"/>
        <v>4000</v>
      </c>
      <c r="S300" s="74">
        <v>0</v>
      </c>
      <c r="T300" s="74">
        <f t="shared" si="316"/>
        <v>4000</v>
      </c>
      <c r="U300" s="74">
        <v>0</v>
      </c>
      <c r="V300" s="74">
        <f t="shared" si="317"/>
        <v>4000</v>
      </c>
      <c r="W300" s="74">
        <v>0</v>
      </c>
      <c r="X300" s="74">
        <f t="shared" si="318"/>
        <v>4000</v>
      </c>
      <c r="Y300" s="74">
        <v>0</v>
      </c>
      <c r="Z300" s="74">
        <f t="shared" si="319"/>
        <v>4000</v>
      </c>
      <c r="AA300" s="74">
        <v>-3000</v>
      </c>
      <c r="AB300" s="74">
        <f t="shared" si="320"/>
        <v>1000</v>
      </c>
      <c r="AC300" s="74">
        <v>0</v>
      </c>
      <c r="AD300" s="74">
        <f t="shared" si="321"/>
        <v>1000</v>
      </c>
      <c r="AE300" s="74">
        <v>0</v>
      </c>
      <c r="AF300" s="74">
        <f t="shared" si="322"/>
        <v>1000</v>
      </c>
      <c r="AG300" s="74">
        <v>-920</v>
      </c>
      <c r="AH300" s="74">
        <f t="shared" si="323"/>
        <v>80</v>
      </c>
      <c r="AI300" s="119"/>
      <c r="AJ300" s="119"/>
    </row>
    <row r="301" spans="1:34" s="27" customFormat="1" ht="21" customHeight="1">
      <c r="A301" s="93"/>
      <c r="B301" s="82"/>
      <c r="C301" s="58">
        <v>4210</v>
      </c>
      <c r="D301" s="14" t="s">
        <v>354</v>
      </c>
      <c r="E301" s="74">
        <f>8000+3410</f>
        <v>11410</v>
      </c>
      <c r="F301" s="74"/>
      <c r="G301" s="74"/>
      <c r="H301" s="74">
        <f t="shared" si="303"/>
        <v>11410</v>
      </c>
      <c r="I301" s="74">
        <v>7900</v>
      </c>
      <c r="J301" s="74">
        <f t="shared" si="251"/>
        <v>19310</v>
      </c>
      <c r="K301" s="74">
        <v>0</v>
      </c>
      <c r="L301" s="74">
        <f t="shared" si="252"/>
        <v>19310</v>
      </c>
      <c r="M301" s="74">
        <v>0</v>
      </c>
      <c r="N301" s="74">
        <f t="shared" si="313"/>
        <v>19310</v>
      </c>
      <c r="O301" s="74">
        <v>-7663</v>
      </c>
      <c r="P301" s="74">
        <f t="shared" si="314"/>
        <v>11647</v>
      </c>
      <c r="Q301" s="74"/>
      <c r="R301" s="74">
        <f t="shared" si="315"/>
        <v>11647</v>
      </c>
      <c r="S301" s="74">
        <v>0</v>
      </c>
      <c r="T301" s="74">
        <f t="shared" si="316"/>
        <v>11647</v>
      </c>
      <c r="U301" s="74">
        <v>0</v>
      </c>
      <c r="V301" s="74">
        <f t="shared" si="317"/>
        <v>11647</v>
      </c>
      <c r="W301" s="74">
        <v>-1200</v>
      </c>
      <c r="X301" s="74">
        <f t="shared" si="318"/>
        <v>10447</v>
      </c>
      <c r="Y301" s="74">
        <v>0</v>
      </c>
      <c r="Z301" s="74">
        <f t="shared" si="319"/>
        <v>10447</v>
      </c>
      <c r="AA301" s="74">
        <v>-4500</v>
      </c>
      <c r="AB301" s="74">
        <f t="shared" si="320"/>
        <v>5947</v>
      </c>
      <c r="AC301" s="74">
        <v>0</v>
      </c>
      <c r="AD301" s="74">
        <f t="shared" si="321"/>
        <v>5947</v>
      </c>
      <c r="AE301" s="74">
        <v>0</v>
      </c>
      <c r="AF301" s="74">
        <f t="shared" si="322"/>
        <v>5947</v>
      </c>
      <c r="AG301" s="74">
        <f>0</f>
        <v>0</v>
      </c>
      <c r="AH301" s="74">
        <f t="shared" si="323"/>
        <v>5947</v>
      </c>
    </row>
    <row r="302" spans="1:34" s="27" customFormat="1" ht="21" customHeight="1">
      <c r="A302" s="93"/>
      <c r="B302" s="82"/>
      <c r="C302" s="58">
        <v>4270</v>
      </c>
      <c r="D302" s="14" t="s">
        <v>339</v>
      </c>
      <c r="E302" s="74">
        <v>1000</v>
      </c>
      <c r="F302" s="74"/>
      <c r="G302" s="74"/>
      <c r="H302" s="74">
        <f t="shared" si="303"/>
        <v>1000</v>
      </c>
      <c r="I302" s="74"/>
      <c r="J302" s="74">
        <f t="shared" si="251"/>
        <v>1000</v>
      </c>
      <c r="K302" s="74">
        <v>0</v>
      </c>
      <c r="L302" s="74">
        <f t="shared" si="252"/>
        <v>1000</v>
      </c>
      <c r="M302" s="74">
        <v>0</v>
      </c>
      <c r="N302" s="74">
        <f t="shared" si="313"/>
        <v>1000</v>
      </c>
      <c r="O302" s="74">
        <v>0</v>
      </c>
      <c r="P302" s="74">
        <f t="shared" si="314"/>
        <v>1000</v>
      </c>
      <c r="Q302" s="74">
        <v>0</v>
      </c>
      <c r="R302" s="74">
        <f t="shared" si="315"/>
        <v>1000</v>
      </c>
      <c r="S302" s="74">
        <v>0</v>
      </c>
      <c r="T302" s="74">
        <f t="shared" si="316"/>
        <v>1000</v>
      </c>
      <c r="U302" s="74">
        <v>0</v>
      </c>
      <c r="V302" s="74">
        <f t="shared" si="317"/>
        <v>1000</v>
      </c>
      <c r="W302" s="74">
        <v>0</v>
      </c>
      <c r="X302" s="74">
        <f t="shared" si="318"/>
        <v>1000</v>
      </c>
      <c r="Y302" s="74">
        <v>0</v>
      </c>
      <c r="Z302" s="74">
        <f t="shared" si="319"/>
        <v>1000</v>
      </c>
      <c r="AA302" s="74">
        <v>0</v>
      </c>
      <c r="AB302" s="74">
        <f t="shared" si="320"/>
        <v>1000</v>
      </c>
      <c r="AC302" s="74">
        <v>0</v>
      </c>
      <c r="AD302" s="74">
        <f t="shared" si="321"/>
        <v>1000</v>
      </c>
      <c r="AE302" s="74">
        <v>0</v>
      </c>
      <c r="AF302" s="74">
        <f t="shared" si="322"/>
        <v>1000</v>
      </c>
      <c r="AG302" s="74">
        <v>-725</v>
      </c>
      <c r="AH302" s="74">
        <f t="shared" si="323"/>
        <v>275</v>
      </c>
    </row>
    <row r="303" spans="1:34" s="27" customFormat="1" ht="21" customHeight="1">
      <c r="A303" s="93"/>
      <c r="B303" s="82"/>
      <c r="C303" s="58">
        <v>4280</v>
      </c>
      <c r="D303" s="14" t="s">
        <v>546</v>
      </c>
      <c r="E303" s="74">
        <v>500</v>
      </c>
      <c r="F303" s="74"/>
      <c r="G303" s="74"/>
      <c r="H303" s="74">
        <f t="shared" si="303"/>
        <v>500</v>
      </c>
      <c r="I303" s="74"/>
      <c r="J303" s="74">
        <f t="shared" si="251"/>
        <v>500</v>
      </c>
      <c r="K303" s="74">
        <v>0</v>
      </c>
      <c r="L303" s="74">
        <f t="shared" si="252"/>
        <v>500</v>
      </c>
      <c r="M303" s="74">
        <v>0</v>
      </c>
      <c r="N303" s="74">
        <f t="shared" si="313"/>
        <v>500</v>
      </c>
      <c r="O303" s="74">
        <v>0</v>
      </c>
      <c r="P303" s="74">
        <f t="shared" si="314"/>
        <v>500</v>
      </c>
      <c r="Q303" s="74">
        <v>0</v>
      </c>
      <c r="R303" s="74">
        <f t="shared" si="315"/>
        <v>500</v>
      </c>
      <c r="S303" s="74">
        <v>0</v>
      </c>
      <c r="T303" s="74">
        <f t="shared" si="316"/>
        <v>500</v>
      </c>
      <c r="U303" s="74">
        <v>0</v>
      </c>
      <c r="V303" s="74">
        <f t="shared" si="317"/>
        <v>500</v>
      </c>
      <c r="W303" s="74">
        <v>0</v>
      </c>
      <c r="X303" s="74">
        <f t="shared" si="318"/>
        <v>500</v>
      </c>
      <c r="Y303" s="74">
        <v>0</v>
      </c>
      <c r="Z303" s="74">
        <f t="shared" si="319"/>
        <v>500</v>
      </c>
      <c r="AA303" s="74">
        <v>0</v>
      </c>
      <c r="AB303" s="74">
        <f t="shared" si="320"/>
        <v>500</v>
      </c>
      <c r="AC303" s="74">
        <v>0</v>
      </c>
      <c r="AD303" s="74">
        <f t="shared" si="321"/>
        <v>500</v>
      </c>
      <c r="AE303" s="74">
        <v>0</v>
      </c>
      <c r="AF303" s="74">
        <f t="shared" si="322"/>
        <v>500</v>
      </c>
      <c r="AG303" s="74">
        <v>-304</v>
      </c>
      <c r="AH303" s="74">
        <f t="shared" si="323"/>
        <v>196</v>
      </c>
    </row>
    <row r="304" spans="1:34" s="27" customFormat="1" ht="21" customHeight="1">
      <c r="A304" s="93"/>
      <c r="B304" s="82"/>
      <c r="C304" s="58">
        <v>4300</v>
      </c>
      <c r="D304" s="14" t="s">
        <v>340</v>
      </c>
      <c r="E304" s="74">
        <f>24150+3410</f>
        <v>27560</v>
      </c>
      <c r="F304" s="74"/>
      <c r="G304" s="74"/>
      <c r="H304" s="74">
        <f t="shared" si="303"/>
        <v>27560</v>
      </c>
      <c r="I304" s="74"/>
      <c r="J304" s="74">
        <f aca="true" t="shared" si="324" ref="J304:J377">SUM(H304:I304)</f>
        <v>27560</v>
      </c>
      <c r="K304" s="74">
        <v>0</v>
      </c>
      <c r="L304" s="74">
        <f aca="true" t="shared" si="325" ref="L304:L377">SUM(J304:K304)</f>
        <v>27560</v>
      </c>
      <c r="M304" s="74">
        <v>0</v>
      </c>
      <c r="N304" s="74">
        <f t="shared" si="313"/>
        <v>27560</v>
      </c>
      <c r="O304" s="74">
        <v>0</v>
      </c>
      <c r="P304" s="74">
        <f t="shared" si="314"/>
        <v>27560</v>
      </c>
      <c r="Q304" s="74">
        <v>0</v>
      </c>
      <c r="R304" s="74">
        <f t="shared" si="315"/>
        <v>27560</v>
      </c>
      <c r="S304" s="74">
        <v>0</v>
      </c>
      <c r="T304" s="74">
        <f t="shared" si="316"/>
        <v>27560</v>
      </c>
      <c r="U304" s="74">
        <v>-6000</v>
      </c>
      <c r="V304" s="74">
        <f t="shared" si="317"/>
        <v>21560</v>
      </c>
      <c r="W304" s="74">
        <v>-1500</v>
      </c>
      <c r="X304" s="74">
        <f t="shared" si="318"/>
        <v>20060</v>
      </c>
      <c r="Y304" s="74">
        <v>-7500</v>
      </c>
      <c r="Z304" s="74">
        <f t="shared" si="319"/>
        <v>12560</v>
      </c>
      <c r="AA304" s="74">
        <v>0</v>
      </c>
      <c r="AB304" s="74">
        <f t="shared" si="320"/>
        <v>12560</v>
      </c>
      <c r="AC304" s="74">
        <v>0</v>
      </c>
      <c r="AD304" s="74">
        <f t="shared" si="321"/>
        <v>12560</v>
      </c>
      <c r="AE304" s="74">
        <v>0</v>
      </c>
      <c r="AF304" s="74">
        <f t="shared" si="322"/>
        <v>12560</v>
      </c>
      <c r="AG304" s="74">
        <v>7116</v>
      </c>
      <c r="AH304" s="74">
        <f t="shared" si="323"/>
        <v>19676</v>
      </c>
    </row>
    <row r="305" spans="1:34" s="27" customFormat="1" ht="21" customHeight="1">
      <c r="A305" s="93"/>
      <c r="B305" s="82"/>
      <c r="C305" s="58">
        <v>4350</v>
      </c>
      <c r="D305" s="14" t="s">
        <v>548</v>
      </c>
      <c r="E305" s="74">
        <v>3500</v>
      </c>
      <c r="F305" s="74"/>
      <c r="G305" s="74"/>
      <c r="H305" s="74">
        <f t="shared" si="303"/>
        <v>3500</v>
      </c>
      <c r="I305" s="74"/>
      <c r="J305" s="74">
        <f t="shared" si="324"/>
        <v>3500</v>
      </c>
      <c r="K305" s="74">
        <v>0</v>
      </c>
      <c r="L305" s="74">
        <f t="shared" si="325"/>
        <v>3500</v>
      </c>
      <c r="M305" s="74">
        <v>0</v>
      </c>
      <c r="N305" s="74">
        <f t="shared" si="313"/>
        <v>3500</v>
      </c>
      <c r="O305" s="74">
        <v>0</v>
      </c>
      <c r="P305" s="74">
        <f t="shared" si="314"/>
        <v>3500</v>
      </c>
      <c r="Q305" s="74">
        <v>0</v>
      </c>
      <c r="R305" s="74">
        <f t="shared" si="315"/>
        <v>3500</v>
      </c>
      <c r="S305" s="74">
        <v>0</v>
      </c>
      <c r="T305" s="74">
        <f t="shared" si="316"/>
        <v>3500</v>
      </c>
      <c r="U305" s="74">
        <v>0</v>
      </c>
      <c r="V305" s="74">
        <f t="shared" si="317"/>
        <v>3500</v>
      </c>
      <c r="W305" s="74">
        <v>0</v>
      </c>
      <c r="X305" s="74">
        <f t="shared" si="318"/>
        <v>3500</v>
      </c>
      <c r="Y305" s="74">
        <v>0</v>
      </c>
      <c r="Z305" s="74">
        <f t="shared" si="319"/>
        <v>3500</v>
      </c>
      <c r="AA305" s="74">
        <v>0</v>
      </c>
      <c r="AB305" s="74">
        <f t="shared" si="320"/>
        <v>3500</v>
      </c>
      <c r="AC305" s="74">
        <v>0</v>
      </c>
      <c r="AD305" s="74">
        <f t="shared" si="321"/>
        <v>3500</v>
      </c>
      <c r="AE305" s="74">
        <v>0</v>
      </c>
      <c r="AF305" s="74">
        <f t="shared" si="322"/>
        <v>3500</v>
      </c>
      <c r="AG305" s="74">
        <v>-661</v>
      </c>
      <c r="AH305" s="74">
        <f t="shared" si="323"/>
        <v>2839</v>
      </c>
    </row>
    <row r="306" spans="1:34" s="27" customFormat="1" ht="24">
      <c r="A306" s="93"/>
      <c r="B306" s="82"/>
      <c r="C306" s="58">
        <v>4360</v>
      </c>
      <c r="D306" s="14" t="s">
        <v>573</v>
      </c>
      <c r="E306" s="74">
        <v>1000</v>
      </c>
      <c r="F306" s="74"/>
      <c r="G306" s="74"/>
      <c r="H306" s="74">
        <f t="shared" si="303"/>
        <v>1000</v>
      </c>
      <c r="I306" s="74"/>
      <c r="J306" s="74">
        <f t="shared" si="324"/>
        <v>1000</v>
      </c>
      <c r="K306" s="74">
        <v>0</v>
      </c>
      <c r="L306" s="74">
        <f t="shared" si="325"/>
        <v>1000</v>
      </c>
      <c r="M306" s="74">
        <v>0</v>
      </c>
      <c r="N306" s="74">
        <f t="shared" si="313"/>
        <v>1000</v>
      </c>
      <c r="O306" s="74">
        <v>0</v>
      </c>
      <c r="P306" s="74">
        <f t="shared" si="314"/>
        <v>1000</v>
      </c>
      <c r="Q306" s="74">
        <v>0</v>
      </c>
      <c r="R306" s="74">
        <f t="shared" si="315"/>
        <v>1000</v>
      </c>
      <c r="S306" s="74">
        <v>0</v>
      </c>
      <c r="T306" s="74">
        <f t="shared" si="316"/>
        <v>1000</v>
      </c>
      <c r="U306" s="74">
        <v>0</v>
      </c>
      <c r="V306" s="74">
        <f t="shared" si="317"/>
        <v>1000</v>
      </c>
      <c r="W306" s="74">
        <v>0</v>
      </c>
      <c r="X306" s="74">
        <f t="shared" si="318"/>
        <v>1000</v>
      </c>
      <c r="Y306" s="74">
        <v>0</v>
      </c>
      <c r="Z306" s="74">
        <f t="shared" si="319"/>
        <v>1000</v>
      </c>
      <c r="AA306" s="74">
        <v>0</v>
      </c>
      <c r="AB306" s="74">
        <f t="shared" si="320"/>
        <v>1000</v>
      </c>
      <c r="AC306" s="74">
        <v>0</v>
      </c>
      <c r="AD306" s="74">
        <f t="shared" si="321"/>
        <v>1000</v>
      </c>
      <c r="AE306" s="74">
        <v>0</v>
      </c>
      <c r="AF306" s="74">
        <f t="shared" si="322"/>
        <v>1000</v>
      </c>
      <c r="AG306" s="74">
        <v>-168</v>
      </c>
      <c r="AH306" s="74">
        <f t="shared" si="323"/>
        <v>832</v>
      </c>
    </row>
    <row r="307" spans="1:34" s="27" customFormat="1" ht="24">
      <c r="A307" s="93"/>
      <c r="B307" s="82"/>
      <c r="C307" s="58">
        <v>4370</v>
      </c>
      <c r="D307" s="14" t="s">
        <v>568</v>
      </c>
      <c r="E307" s="74">
        <v>4000</v>
      </c>
      <c r="F307" s="74"/>
      <c r="G307" s="74"/>
      <c r="H307" s="74">
        <f t="shared" si="303"/>
        <v>4000</v>
      </c>
      <c r="I307" s="74"/>
      <c r="J307" s="74">
        <f t="shared" si="324"/>
        <v>4000</v>
      </c>
      <c r="K307" s="74">
        <v>0</v>
      </c>
      <c r="L307" s="74">
        <f t="shared" si="325"/>
        <v>4000</v>
      </c>
      <c r="M307" s="74">
        <v>0</v>
      </c>
      <c r="N307" s="74">
        <f t="shared" si="313"/>
        <v>4000</v>
      </c>
      <c r="O307" s="74">
        <v>0</v>
      </c>
      <c r="P307" s="74">
        <f t="shared" si="314"/>
        <v>4000</v>
      </c>
      <c r="Q307" s="74">
        <v>0</v>
      </c>
      <c r="R307" s="74">
        <f t="shared" si="315"/>
        <v>4000</v>
      </c>
      <c r="S307" s="74">
        <v>0</v>
      </c>
      <c r="T307" s="74">
        <f t="shared" si="316"/>
        <v>4000</v>
      </c>
      <c r="U307" s="74">
        <v>0</v>
      </c>
      <c r="V307" s="74">
        <f t="shared" si="317"/>
        <v>4000</v>
      </c>
      <c r="W307" s="74">
        <v>0</v>
      </c>
      <c r="X307" s="74">
        <f t="shared" si="318"/>
        <v>4000</v>
      </c>
      <c r="Y307" s="74">
        <v>0</v>
      </c>
      <c r="Z307" s="74">
        <f t="shared" si="319"/>
        <v>4000</v>
      </c>
      <c r="AA307" s="74">
        <v>0</v>
      </c>
      <c r="AB307" s="74">
        <f t="shared" si="320"/>
        <v>4000</v>
      </c>
      <c r="AC307" s="74">
        <v>0</v>
      </c>
      <c r="AD307" s="74">
        <f t="shared" si="321"/>
        <v>4000</v>
      </c>
      <c r="AE307" s="74">
        <v>0</v>
      </c>
      <c r="AF307" s="74">
        <f t="shared" si="322"/>
        <v>4000</v>
      </c>
      <c r="AG307" s="74">
        <v>-729</v>
      </c>
      <c r="AH307" s="74">
        <f t="shared" si="323"/>
        <v>3271</v>
      </c>
    </row>
    <row r="308" spans="1:34" s="27" customFormat="1" ht="21" customHeight="1">
      <c r="A308" s="93"/>
      <c r="B308" s="82"/>
      <c r="C308" s="58">
        <v>4410</v>
      </c>
      <c r="D308" s="14" t="s">
        <v>352</v>
      </c>
      <c r="E308" s="74">
        <v>2500</v>
      </c>
      <c r="F308" s="74"/>
      <c r="G308" s="74"/>
      <c r="H308" s="74">
        <f t="shared" si="303"/>
        <v>2500</v>
      </c>
      <c r="I308" s="74"/>
      <c r="J308" s="74">
        <f t="shared" si="324"/>
        <v>2500</v>
      </c>
      <c r="K308" s="74">
        <v>0</v>
      </c>
      <c r="L308" s="74">
        <f t="shared" si="325"/>
        <v>2500</v>
      </c>
      <c r="M308" s="74">
        <v>0</v>
      </c>
      <c r="N308" s="74">
        <f t="shared" si="313"/>
        <v>2500</v>
      </c>
      <c r="O308" s="74">
        <v>0</v>
      </c>
      <c r="P308" s="74">
        <f t="shared" si="314"/>
        <v>2500</v>
      </c>
      <c r="Q308" s="74">
        <v>0</v>
      </c>
      <c r="R308" s="74">
        <f t="shared" si="315"/>
        <v>2500</v>
      </c>
      <c r="S308" s="74">
        <v>0</v>
      </c>
      <c r="T308" s="74">
        <f t="shared" si="316"/>
        <v>2500</v>
      </c>
      <c r="U308" s="74">
        <v>0</v>
      </c>
      <c r="V308" s="74">
        <f t="shared" si="317"/>
        <v>2500</v>
      </c>
      <c r="W308" s="74">
        <v>0</v>
      </c>
      <c r="X308" s="74">
        <f t="shared" si="318"/>
        <v>2500</v>
      </c>
      <c r="Y308" s="74">
        <v>0</v>
      </c>
      <c r="Z308" s="74">
        <f t="shared" si="319"/>
        <v>2500</v>
      </c>
      <c r="AA308" s="74">
        <v>0</v>
      </c>
      <c r="AB308" s="74">
        <f t="shared" si="320"/>
        <v>2500</v>
      </c>
      <c r="AC308" s="74">
        <v>0</v>
      </c>
      <c r="AD308" s="74">
        <f t="shared" si="321"/>
        <v>2500</v>
      </c>
      <c r="AE308" s="74">
        <v>0</v>
      </c>
      <c r="AF308" s="74">
        <f t="shared" si="322"/>
        <v>2500</v>
      </c>
      <c r="AG308" s="74">
        <v>250</v>
      </c>
      <c r="AH308" s="74">
        <f t="shared" si="323"/>
        <v>2750</v>
      </c>
    </row>
    <row r="309" spans="1:34" s="27" customFormat="1" ht="21" customHeight="1">
      <c r="A309" s="93"/>
      <c r="B309" s="82"/>
      <c r="C309" s="58">
        <v>4430</v>
      </c>
      <c r="D309" s="14" t="s">
        <v>356</v>
      </c>
      <c r="E309" s="74">
        <v>2000</v>
      </c>
      <c r="F309" s="74"/>
      <c r="G309" s="74"/>
      <c r="H309" s="74">
        <f t="shared" si="303"/>
        <v>2000</v>
      </c>
      <c r="I309" s="74"/>
      <c r="J309" s="74">
        <f t="shared" si="324"/>
        <v>2000</v>
      </c>
      <c r="K309" s="74">
        <v>0</v>
      </c>
      <c r="L309" s="74">
        <f t="shared" si="325"/>
        <v>2000</v>
      </c>
      <c r="M309" s="74">
        <v>0</v>
      </c>
      <c r="N309" s="74">
        <f t="shared" si="313"/>
        <v>2000</v>
      </c>
      <c r="O309" s="74">
        <v>0</v>
      </c>
      <c r="P309" s="74">
        <f t="shared" si="314"/>
        <v>2000</v>
      </c>
      <c r="Q309" s="74">
        <v>0</v>
      </c>
      <c r="R309" s="74">
        <f t="shared" si="315"/>
        <v>2000</v>
      </c>
      <c r="S309" s="74">
        <v>0</v>
      </c>
      <c r="T309" s="74">
        <f t="shared" si="316"/>
        <v>2000</v>
      </c>
      <c r="U309" s="74">
        <v>0</v>
      </c>
      <c r="V309" s="74">
        <f t="shared" si="317"/>
        <v>2000</v>
      </c>
      <c r="W309" s="74">
        <v>1200</v>
      </c>
      <c r="X309" s="74">
        <f t="shared" si="318"/>
        <v>3200</v>
      </c>
      <c r="Y309" s="74">
        <v>0</v>
      </c>
      <c r="Z309" s="74">
        <f t="shared" si="319"/>
        <v>3200</v>
      </c>
      <c r="AA309" s="74">
        <v>0</v>
      </c>
      <c r="AB309" s="74">
        <f t="shared" si="320"/>
        <v>3200</v>
      </c>
      <c r="AC309" s="74">
        <v>0</v>
      </c>
      <c r="AD309" s="74">
        <f t="shared" si="321"/>
        <v>3200</v>
      </c>
      <c r="AE309" s="74">
        <v>0</v>
      </c>
      <c r="AF309" s="74">
        <f t="shared" si="322"/>
        <v>3200</v>
      </c>
      <c r="AG309" s="74">
        <v>-284</v>
      </c>
      <c r="AH309" s="74">
        <f t="shared" si="323"/>
        <v>2916</v>
      </c>
    </row>
    <row r="310" spans="1:34" s="27" customFormat="1" ht="21" customHeight="1">
      <c r="A310" s="93"/>
      <c r="B310" s="82"/>
      <c r="C310" s="58">
        <v>4440</v>
      </c>
      <c r="D310" s="14" t="s">
        <v>349</v>
      </c>
      <c r="E310" s="74">
        <v>4000</v>
      </c>
      <c r="F310" s="74"/>
      <c r="G310" s="74"/>
      <c r="H310" s="74">
        <f t="shared" si="303"/>
        <v>4000</v>
      </c>
      <c r="I310" s="74"/>
      <c r="J310" s="74">
        <f t="shared" si="324"/>
        <v>4000</v>
      </c>
      <c r="K310" s="74">
        <v>0</v>
      </c>
      <c r="L310" s="74">
        <f t="shared" si="325"/>
        <v>4000</v>
      </c>
      <c r="M310" s="74">
        <v>0</v>
      </c>
      <c r="N310" s="74">
        <f t="shared" si="313"/>
        <v>4000</v>
      </c>
      <c r="O310" s="74">
        <v>0</v>
      </c>
      <c r="P310" s="74">
        <f t="shared" si="314"/>
        <v>4000</v>
      </c>
      <c r="Q310" s="74">
        <v>0</v>
      </c>
      <c r="R310" s="74">
        <f t="shared" si="315"/>
        <v>4000</v>
      </c>
      <c r="S310" s="74">
        <v>0</v>
      </c>
      <c r="T310" s="74">
        <f t="shared" si="316"/>
        <v>4000</v>
      </c>
      <c r="U310" s="74">
        <v>0</v>
      </c>
      <c r="V310" s="74">
        <f t="shared" si="317"/>
        <v>4000</v>
      </c>
      <c r="W310" s="74">
        <v>0</v>
      </c>
      <c r="X310" s="74">
        <f t="shared" si="318"/>
        <v>4000</v>
      </c>
      <c r="Y310" s="74">
        <v>0</v>
      </c>
      <c r="Z310" s="74">
        <f t="shared" si="319"/>
        <v>4000</v>
      </c>
      <c r="AA310" s="74">
        <v>0</v>
      </c>
      <c r="AB310" s="74">
        <f t="shared" si="320"/>
        <v>4000</v>
      </c>
      <c r="AC310" s="74">
        <v>0</v>
      </c>
      <c r="AD310" s="74">
        <f t="shared" si="321"/>
        <v>4000</v>
      </c>
      <c r="AE310" s="74">
        <v>0</v>
      </c>
      <c r="AF310" s="74">
        <f t="shared" si="322"/>
        <v>4000</v>
      </c>
      <c r="AG310" s="74">
        <v>23</v>
      </c>
      <c r="AH310" s="74">
        <f t="shared" si="323"/>
        <v>4023</v>
      </c>
    </row>
    <row r="311" spans="1:34" s="27" customFormat="1" ht="21" customHeight="1">
      <c r="A311" s="93"/>
      <c r="B311" s="82"/>
      <c r="C311" s="58">
        <v>4700</v>
      </c>
      <c r="D311" s="14" t="s">
        <v>571</v>
      </c>
      <c r="E311" s="74">
        <v>3000</v>
      </c>
      <c r="F311" s="74"/>
      <c r="G311" s="74"/>
      <c r="H311" s="74">
        <f t="shared" si="303"/>
        <v>3000</v>
      </c>
      <c r="I311" s="74"/>
      <c r="J311" s="74">
        <f t="shared" si="324"/>
        <v>3000</v>
      </c>
      <c r="K311" s="74">
        <v>0</v>
      </c>
      <c r="L311" s="74">
        <f t="shared" si="325"/>
        <v>3000</v>
      </c>
      <c r="M311" s="74">
        <v>0</v>
      </c>
      <c r="N311" s="74">
        <f t="shared" si="313"/>
        <v>3000</v>
      </c>
      <c r="O311" s="74">
        <v>0</v>
      </c>
      <c r="P311" s="74">
        <f t="shared" si="314"/>
        <v>3000</v>
      </c>
      <c r="Q311" s="74">
        <v>0</v>
      </c>
      <c r="R311" s="74">
        <f t="shared" si="315"/>
        <v>3000</v>
      </c>
      <c r="S311" s="74">
        <v>0</v>
      </c>
      <c r="T311" s="74">
        <f t="shared" si="316"/>
        <v>3000</v>
      </c>
      <c r="U311" s="74">
        <v>0</v>
      </c>
      <c r="V311" s="74">
        <f t="shared" si="317"/>
        <v>3000</v>
      </c>
      <c r="W311" s="74">
        <v>0</v>
      </c>
      <c r="X311" s="74">
        <f t="shared" si="318"/>
        <v>3000</v>
      </c>
      <c r="Y311" s="74">
        <v>0</v>
      </c>
      <c r="Z311" s="74">
        <f t="shared" si="319"/>
        <v>3000</v>
      </c>
      <c r="AA311" s="74">
        <v>0</v>
      </c>
      <c r="AB311" s="74">
        <f t="shared" si="320"/>
        <v>3000</v>
      </c>
      <c r="AC311" s="74">
        <v>0</v>
      </c>
      <c r="AD311" s="74">
        <f t="shared" si="321"/>
        <v>3000</v>
      </c>
      <c r="AE311" s="74">
        <v>0</v>
      </c>
      <c r="AF311" s="74">
        <f t="shared" si="322"/>
        <v>3000</v>
      </c>
      <c r="AG311" s="74">
        <v>-1540</v>
      </c>
      <c r="AH311" s="74">
        <f t="shared" si="323"/>
        <v>1460</v>
      </c>
    </row>
    <row r="312" spans="1:34" s="27" customFormat="1" ht="24">
      <c r="A312" s="93"/>
      <c r="B312" s="82"/>
      <c r="C312" s="58">
        <v>4740</v>
      </c>
      <c r="D312" s="14" t="s">
        <v>185</v>
      </c>
      <c r="E312" s="74">
        <v>4000</v>
      </c>
      <c r="F312" s="74"/>
      <c r="G312" s="74"/>
      <c r="H312" s="74">
        <f t="shared" si="303"/>
        <v>4000</v>
      </c>
      <c r="I312" s="74"/>
      <c r="J312" s="74">
        <f t="shared" si="324"/>
        <v>4000</v>
      </c>
      <c r="K312" s="74">
        <v>0</v>
      </c>
      <c r="L312" s="74">
        <f t="shared" si="325"/>
        <v>4000</v>
      </c>
      <c r="M312" s="74">
        <v>0</v>
      </c>
      <c r="N312" s="74">
        <f t="shared" si="313"/>
        <v>4000</v>
      </c>
      <c r="O312" s="74">
        <v>0</v>
      </c>
      <c r="P312" s="74">
        <f t="shared" si="314"/>
        <v>4000</v>
      </c>
      <c r="Q312" s="74">
        <v>0</v>
      </c>
      <c r="R312" s="74">
        <f t="shared" si="315"/>
        <v>4000</v>
      </c>
      <c r="S312" s="74">
        <v>0</v>
      </c>
      <c r="T312" s="74">
        <f t="shared" si="316"/>
        <v>4000</v>
      </c>
      <c r="U312" s="74">
        <v>0</v>
      </c>
      <c r="V312" s="74">
        <f t="shared" si="317"/>
        <v>4000</v>
      </c>
      <c r="W312" s="74">
        <v>0</v>
      </c>
      <c r="X312" s="74">
        <f t="shared" si="318"/>
        <v>4000</v>
      </c>
      <c r="Y312" s="74">
        <v>0</v>
      </c>
      <c r="Z312" s="74">
        <f t="shared" si="319"/>
        <v>4000</v>
      </c>
      <c r="AA312" s="74">
        <v>-3000</v>
      </c>
      <c r="AB312" s="74">
        <f t="shared" si="320"/>
        <v>1000</v>
      </c>
      <c r="AC312" s="74">
        <v>0</v>
      </c>
      <c r="AD312" s="74">
        <f t="shared" si="321"/>
        <v>1000</v>
      </c>
      <c r="AE312" s="74">
        <v>0</v>
      </c>
      <c r="AF312" s="74">
        <f t="shared" si="322"/>
        <v>1000</v>
      </c>
      <c r="AG312" s="74">
        <v>-674</v>
      </c>
      <c r="AH312" s="74">
        <f t="shared" si="323"/>
        <v>326</v>
      </c>
    </row>
    <row r="313" spans="1:34" s="27" customFormat="1" ht="24">
      <c r="A313" s="93"/>
      <c r="B313" s="82"/>
      <c r="C313" s="58">
        <v>4750</v>
      </c>
      <c r="D313" s="14" t="s">
        <v>572</v>
      </c>
      <c r="E313" s="74">
        <v>3074</v>
      </c>
      <c r="F313" s="74"/>
      <c r="G313" s="74"/>
      <c r="H313" s="74">
        <f t="shared" si="303"/>
        <v>3074</v>
      </c>
      <c r="I313" s="74"/>
      <c r="J313" s="74">
        <f t="shared" si="324"/>
        <v>3074</v>
      </c>
      <c r="K313" s="74">
        <v>0</v>
      </c>
      <c r="L313" s="74">
        <f t="shared" si="325"/>
        <v>3074</v>
      </c>
      <c r="M313" s="74">
        <v>0</v>
      </c>
      <c r="N313" s="74">
        <f t="shared" si="313"/>
        <v>3074</v>
      </c>
      <c r="O313" s="74">
        <v>0</v>
      </c>
      <c r="P313" s="74">
        <f t="shared" si="314"/>
        <v>3074</v>
      </c>
      <c r="Q313" s="74">
        <v>0</v>
      </c>
      <c r="R313" s="74">
        <f t="shared" si="315"/>
        <v>3074</v>
      </c>
      <c r="S313" s="74">
        <v>0</v>
      </c>
      <c r="T313" s="74">
        <f t="shared" si="316"/>
        <v>3074</v>
      </c>
      <c r="U313" s="74">
        <v>0</v>
      </c>
      <c r="V313" s="74">
        <f t="shared" si="317"/>
        <v>3074</v>
      </c>
      <c r="W313" s="74">
        <v>0</v>
      </c>
      <c r="X313" s="74">
        <f t="shared" si="318"/>
        <v>3074</v>
      </c>
      <c r="Y313" s="74">
        <v>0</v>
      </c>
      <c r="Z313" s="74">
        <f t="shared" si="319"/>
        <v>3074</v>
      </c>
      <c r="AA313" s="74">
        <v>0</v>
      </c>
      <c r="AB313" s="74">
        <f t="shared" si="320"/>
        <v>3074</v>
      </c>
      <c r="AC313" s="74">
        <v>0</v>
      </c>
      <c r="AD313" s="74">
        <f t="shared" si="321"/>
        <v>3074</v>
      </c>
      <c r="AE313" s="74">
        <v>0</v>
      </c>
      <c r="AF313" s="74">
        <f t="shared" si="322"/>
        <v>3074</v>
      </c>
      <c r="AG313" s="74">
        <v>-1407</v>
      </c>
      <c r="AH313" s="74">
        <f t="shared" si="323"/>
        <v>1667</v>
      </c>
    </row>
    <row r="314" spans="1:34" s="27" customFormat="1" ht="48">
      <c r="A314" s="76"/>
      <c r="B314" s="82">
        <v>85213</v>
      </c>
      <c r="C314" s="58"/>
      <c r="D314" s="14" t="s">
        <v>516</v>
      </c>
      <c r="E314" s="74">
        <f>SUM(E315)</f>
        <v>99900</v>
      </c>
      <c r="F314" s="74">
        <f>SUM(F315)</f>
        <v>0</v>
      </c>
      <c r="G314" s="74">
        <f>SUM(G315)</f>
        <v>0</v>
      </c>
      <c r="H314" s="74">
        <f t="shared" si="303"/>
        <v>99900</v>
      </c>
      <c r="I314" s="74">
        <f aca="true" t="shared" si="326" ref="I314:AH314">SUM(I315)</f>
        <v>-21500</v>
      </c>
      <c r="J314" s="74">
        <f t="shared" si="326"/>
        <v>78400</v>
      </c>
      <c r="K314" s="74">
        <f t="shared" si="326"/>
        <v>0</v>
      </c>
      <c r="L314" s="74">
        <f t="shared" si="326"/>
        <v>78400</v>
      </c>
      <c r="M314" s="74">
        <f t="shared" si="326"/>
        <v>0</v>
      </c>
      <c r="N314" s="74">
        <f t="shared" si="326"/>
        <v>78400</v>
      </c>
      <c r="O314" s="74">
        <f t="shared" si="326"/>
        <v>0</v>
      </c>
      <c r="P314" s="74">
        <f t="shared" si="326"/>
        <v>78400</v>
      </c>
      <c r="Q314" s="74">
        <f t="shared" si="326"/>
        <v>0</v>
      </c>
      <c r="R314" s="74">
        <f t="shared" si="326"/>
        <v>78400</v>
      </c>
      <c r="S314" s="74">
        <f t="shared" si="326"/>
        <v>0</v>
      </c>
      <c r="T314" s="74">
        <f t="shared" si="326"/>
        <v>78400</v>
      </c>
      <c r="U314" s="74">
        <f t="shared" si="326"/>
        <v>0</v>
      </c>
      <c r="V314" s="74">
        <f t="shared" si="326"/>
        <v>78400</v>
      </c>
      <c r="W314" s="74">
        <f t="shared" si="326"/>
        <v>0</v>
      </c>
      <c r="X314" s="74">
        <f t="shared" si="326"/>
        <v>78400</v>
      </c>
      <c r="Y314" s="74">
        <f t="shared" si="326"/>
        <v>0</v>
      </c>
      <c r="Z314" s="74">
        <f t="shared" si="326"/>
        <v>78400</v>
      </c>
      <c r="AA314" s="74">
        <f t="shared" si="326"/>
        <v>0</v>
      </c>
      <c r="AB314" s="74">
        <f t="shared" si="326"/>
        <v>78400</v>
      </c>
      <c r="AC314" s="74">
        <f t="shared" si="326"/>
        <v>0</v>
      </c>
      <c r="AD314" s="74">
        <f t="shared" si="326"/>
        <v>78400</v>
      </c>
      <c r="AE314" s="74">
        <f t="shared" si="326"/>
        <v>0</v>
      </c>
      <c r="AF314" s="74">
        <f t="shared" si="326"/>
        <v>78400</v>
      </c>
      <c r="AG314" s="74">
        <f t="shared" si="326"/>
        <v>0</v>
      </c>
      <c r="AH314" s="74">
        <f t="shared" si="326"/>
        <v>78400</v>
      </c>
    </row>
    <row r="315" spans="1:36" s="27" customFormat="1" ht="21" customHeight="1">
      <c r="A315" s="76"/>
      <c r="B315" s="261"/>
      <c r="C315" s="263">
        <v>4130</v>
      </c>
      <c r="D315" s="264" t="s">
        <v>384</v>
      </c>
      <c r="E315" s="138">
        <v>99900</v>
      </c>
      <c r="F315" s="138"/>
      <c r="G315" s="138"/>
      <c r="H315" s="138">
        <f t="shared" si="303"/>
        <v>99900</v>
      </c>
      <c r="I315" s="138">
        <v>-21500</v>
      </c>
      <c r="J315" s="138">
        <f t="shared" si="324"/>
        <v>78400</v>
      </c>
      <c r="K315" s="138">
        <v>0</v>
      </c>
      <c r="L315" s="138">
        <f t="shared" si="325"/>
        <v>78400</v>
      </c>
      <c r="M315" s="138">
        <v>0</v>
      </c>
      <c r="N315" s="138">
        <f>SUM(L315:M315)</f>
        <v>78400</v>
      </c>
      <c r="O315" s="138">
        <v>0</v>
      </c>
      <c r="P315" s="138">
        <f>SUM(N315:O315)</f>
        <v>78400</v>
      </c>
      <c r="Q315" s="138">
        <v>0</v>
      </c>
      <c r="R315" s="138">
        <f>SUM(P315:Q315)</f>
        <v>78400</v>
      </c>
      <c r="S315" s="138">
        <v>0</v>
      </c>
      <c r="T315" s="138">
        <f>SUM(R315:S315)</f>
        <v>78400</v>
      </c>
      <c r="U315" s="138">
        <v>0</v>
      </c>
      <c r="V315" s="138">
        <f>SUM(T315:U315)</f>
        <v>78400</v>
      </c>
      <c r="W315" s="138">
        <v>0</v>
      </c>
      <c r="X315" s="138">
        <f>SUM(V315:W315)</f>
        <v>78400</v>
      </c>
      <c r="Y315" s="138">
        <v>0</v>
      </c>
      <c r="Z315" s="138">
        <f>SUM(X315:Y315)</f>
        <v>78400</v>
      </c>
      <c r="AA315" s="138">
        <v>0</v>
      </c>
      <c r="AB315" s="138">
        <f>SUM(Z315:AA315)</f>
        <v>78400</v>
      </c>
      <c r="AC315" s="138">
        <v>0</v>
      </c>
      <c r="AD315" s="138">
        <f>SUM(AB315:AC315)</f>
        <v>78400</v>
      </c>
      <c r="AE315" s="138">
        <v>0</v>
      </c>
      <c r="AF315" s="138">
        <f>SUM(AD315:AE315)</f>
        <v>78400</v>
      </c>
      <c r="AG315" s="138">
        <v>0</v>
      </c>
      <c r="AH315" s="138">
        <f>SUM(AF315:AG315)</f>
        <v>78400</v>
      </c>
      <c r="AI315" s="107"/>
      <c r="AJ315" s="107"/>
    </row>
    <row r="316" spans="1:34" s="27" customFormat="1" ht="24">
      <c r="A316" s="76"/>
      <c r="B316" s="75">
        <v>85214</v>
      </c>
      <c r="C316" s="58"/>
      <c r="D316" s="14" t="s">
        <v>524</v>
      </c>
      <c r="E316" s="74">
        <f>SUM(E317:E318)</f>
        <v>1514100</v>
      </c>
      <c r="F316" s="74">
        <f>SUM(F317:F318)</f>
        <v>0</v>
      </c>
      <c r="G316" s="74">
        <f>SUM(G317:G318)</f>
        <v>0</v>
      </c>
      <c r="H316" s="74">
        <f t="shared" si="303"/>
        <v>1514100</v>
      </c>
      <c r="I316" s="74">
        <f aca="true" t="shared" si="327" ref="I316:N316">SUM(I317:I318)</f>
        <v>-8400</v>
      </c>
      <c r="J316" s="74">
        <f t="shared" si="327"/>
        <v>1505700</v>
      </c>
      <c r="K316" s="74">
        <f t="shared" si="327"/>
        <v>0</v>
      </c>
      <c r="L316" s="74">
        <f t="shared" si="327"/>
        <v>1505700</v>
      </c>
      <c r="M316" s="74">
        <f t="shared" si="327"/>
        <v>0</v>
      </c>
      <c r="N316" s="74">
        <f t="shared" si="327"/>
        <v>1505700</v>
      </c>
      <c r="O316" s="74">
        <f aca="true" t="shared" si="328" ref="O316:T316">SUM(O317:O318)</f>
        <v>0</v>
      </c>
      <c r="P316" s="74">
        <f t="shared" si="328"/>
        <v>1505700</v>
      </c>
      <c r="Q316" s="74">
        <f t="shared" si="328"/>
        <v>40648</v>
      </c>
      <c r="R316" s="74">
        <f t="shared" si="328"/>
        <v>1546348</v>
      </c>
      <c r="S316" s="74">
        <f t="shared" si="328"/>
        <v>0</v>
      </c>
      <c r="T316" s="74">
        <f t="shared" si="328"/>
        <v>1546348</v>
      </c>
      <c r="U316" s="74">
        <f aca="true" t="shared" si="329" ref="U316:Z316">SUM(U317:U318)</f>
        <v>-3000</v>
      </c>
      <c r="V316" s="74">
        <f t="shared" si="329"/>
        <v>1543348</v>
      </c>
      <c r="W316" s="74">
        <f t="shared" si="329"/>
        <v>10901</v>
      </c>
      <c r="X316" s="74">
        <f t="shared" si="329"/>
        <v>1554249</v>
      </c>
      <c r="Y316" s="74">
        <f t="shared" si="329"/>
        <v>16000</v>
      </c>
      <c r="Z316" s="74">
        <f t="shared" si="329"/>
        <v>1570249</v>
      </c>
      <c r="AA316" s="74">
        <f aca="true" t="shared" si="330" ref="AA316:AF316">SUM(AA317:AA318)</f>
        <v>0</v>
      </c>
      <c r="AB316" s="74">
        <f t="shared" si="330"/>
        <v>1570249</v>
      </c>
      <c r="AC316" s="74">
        <f t="shared" si="330"/>
        <v>0</v>
      </c>
      <c r="AD316" s="74">
        <f t="shared" si="330"/>
        <v>1570249</v>
      </c>
      <c r="AE316" s="74">
        <f t="shared" si="330"/>
        <v>91326</v>
      </c>
      <c r="AF316" s="74">
        <f t="shared" si="330"/>
        <v>1661575</v>
      </c>
      <c r="AG316" s="74">
        <f>SUM(AG317:AG318)</f>
        <v>0</v>
      </c>
      <c r="AH316" s="74">
        <f>SUM(AH317:AH318)</f>
        <v>1661575</v>
      </c>
    </row>
    <row r="317" spans="1:34" s="27" customFormat="1" ht="21" customHeight="1">
      <c r="A317" s="76"/>
      <c r="B317" s="75"/>
      <c r="C317" s="58">
        <v>3110</v>
      </c>
      <c r="D317" s="14" t="s">
        <v>376</v>
      </c>
      <c r="E317" s="74">
        <f>3000+500000+439200-3000+571900</f>
        <v>1511100</v>
      </c>
      <c r="F317" s="74"/>
      <c r="G317" s="74"/>
      <c r="H317" s="74">
        <f t="shared" si="303"/>
        <v>1511100</v>
      </c>
      <c r="I317" s="74">
        <v>-8400</v>
      </c>
      <c r="J317" s="74">
        <f t="shared" si="324"/>
        <v>1502700</v>
      </c>
      <c r="K317" s="74">
        <v>0</v>
      </c>
      <c r="L317" s="74">
        <f t="shared" si="325"/>
        <v>1502700</v>
      </c>
      <c r="M317" s="74">
        <v>0</v>
      </c>
      <c r="N317" s="74">
        <f>SUM(L317:M317)</f>
        <v>1502700</v>
      </c>
      <c r="O317" s="74">
        <v>0</v>
      </c>
      <c r="P317" s="74">
        <f>SUM(N317:O317)</f>
        <v>1502700</v>
      </c>
      <c r="Q317" s="74">
        <v>40648</v>
      </c>
      <c r="R317" s="74">
        <f>SUM(P317:Q317)</f>
        <v>1543348</v>
      </c>
      <c r="S317" s="74">
        <v>0</v>
      </c>
      <c r="T317" s="74">
        <f>SUM(R317:S317)</f>
        <v>1543348</v>
      </c>
      <c r="U317" s="74">
        <v>-3000</v>
      </c>
      <c r="V317" s="74">
        <f>SUM(T317:U317)</f>
        <v>1540348</v>
      </c>
      <c r="W317" s="74">
        <v>10901</v>
      </c>
      <c r="X317" s="74">
        <f>SUM(V317:W317)</f>
        <v>1551249</v>
      </c>
      <c r="Y317" s="74">
        <f>16000</f>
        <v>16000</v>
      </c>
      <c r="Z317" s="74">
        <f>SUM(X317:Y317)</f>
        <v>1567249</v>
      </c>
      <c r="AA317" s="74">
        <v>615</v>
      </c>
      <c r="AB317" s="74">
        <f>SUM(Z317:AA317)</f>
        <v>1567864</v>
      </c>
      <c r="AC317" s="74">
        <v>0</v>
      </c>
      <c r="AD317" s="74">
        <f>SUM(AB317:AC317)</f>
        <v>1567864</v>
      </c>
      <c r="AE317" s="74">
        <f>5941+85385</f>
        <v>91326</v>
      </c>
      <c r="AF317" s="74">
        <f>SUM(AD317:AE317)</f>
        <v>1659190</v>
      </c>
      <c r="AG317" s="74">
        <v>0</v>
      </c>
      <c r="AH317" s="74">
        <f>SUM(AF317:AG317)</f>
        <v>1659190</v>
      </c>
    </row>
    <row r="318" spans="1:36" s="27" customFormat="1" ht="21" customHeight="1">
      <c r="A318" s="76"/>
      <c r="B318" s="75"/>
      <c r="C318" s="58">
        <v>4110</v>
      </c>
      <c r="D318" s="14" t="s">
        <v>347</v>
      </c>
      <c r="E318" s="74">
        <v>3000</v>
      </c>
      <c r="F318" s="74"/>
      <c r="G318" s="74"/>
      <c r="H318" s="74">
        <f t="shared" si="303"/>
        <v>3000</v>
      </c>
      <c r="I318" s="74"/>
      <c r="J318" s="74">
        <f t="shared" si="324"/>
        <v>3000</v>
      </c>
      <c r="K318" s="74">
        <v>0</v>
      </c>
      <c r="L318" s="74">
        <f t="shared" si="325"/>
        <v>3000</v>
      </c>
      <c r="M318" s="74">
        <v>0</v>
      </c>
      <c r="N318" s="74">
        <f>SUM(L318:M318)</f>
        <v>3000</v>
      </c>
      <c r="O318" s="74">
        <v>0</v>
      </c>
      <c r="P318" s="74">
        <f>SUM(N318:O318)</f>
        <v>3000</v>
      </c>
      <c r="Q318" s="74">
        <v>0</v>
      </c>
      <c r="R318" s="74">
        <f>SUM(P318:Q318)</f>
        <v>3000</v>
      </c>
      <c r="S318" s="74">
        <v>0</v>
      </c>
      <c r="T318" s="74">
        <f>SUM(R318:S318)</f>
        <v>3000</v>
      </c>
      <c r="U318" s="74">
        <v>0</v>
      </c>
      <c r="V318" s="74">
        <f>SUM(T318:U318)</f>
        <v>3000</v>
      </c>
      <c r="W318" s="74">
        <v>0</v>
      </c>
      <c r="X318" s="74">
        <f>SUM(V318:W318)</f>
        <v>3000</v>
      </c>
      <c r="Y318" s="74">
        <v>0</v>
      </c>
      <c r="Z318" s="74">
        <f>SUM(X318:Y318)</f>
        <v>3000</v>
      </c>
      <c r="AA318" s="74">
        <v>-615</v>
      </c>
      <c r="AB318" s="74">
        <f>SUM(Z318:AA318)</f>
        <v>2385</v>
      </c>
      <c r="AC318" s="74">
        <v>0</v>
      </c>
      <c r="AD318" s="74">
        <f>SUM(AB318:AC318)</f>
        <v>2385</v>
      </c>
      <c r="AE318" s="74">
        <v>0</v>
      </c>
      <c r="AF318" s="74">
        <f>SUM(AD318:AE318)</f>
        <v>2385</v>
      </c>
      <c r="AG318" s="74">
        <v>0</v>
      </c>
      <c r="AH318" s="74">
        <f>SUM(AF318:AG318)</f>
        <v>2385</v>
      </c>
      <c r="AI318" s="119"/>
      <c r="AJ318" s="119"/>
    </row>
    <row r="319" spans="1:34" s="27" customFormat="1" ht="21.75" customHeight="1">
      <c r="A319" s="76"/>
      <c r="B319" s="75">
        <v>85215</v>
      </c>
      <c r="C319" s="58"/>
      <c r="D319" s="14" t="s">
        <v>318</v>
      </c>
      <c r="E319" s="74">
        <f>SUM(E320)</f>
        <v>1450000</v>
      </c>
      <c r="F319" s="74">
        <f>SUM(F320)</f>
        <v>0</v>
      </c>
      <c r="G319" s="74">
        <f>SUM(G320)</f>
        <v>0</v>
      </c>
      <c r="H319" s="74">
        <f aca="true" t="shared" si="331" ref="H319:H351">E319+F319-G319</f>
        <v>1450000</v>
      </c>
      <c r="I319" s="74">
        <f aca="true" t="shared" si="332" ref="I319:AH319">SUM(I320)</f>
        <v>0</v>
      </c>
      <c r="J319" s="74">
        <f t="shared" si="332"/>
        <v>1450000</v>
      </c>
      <c r="K319" s="74">
        <f t="shared" si="332"/>
        <v>0</v>
      </c>
      <c r="L319" s="74">
        <f t="shared" si="332"/>
        <v>1450000</v>
      </c>
      <c r="M319" s="74">
        <f t="shared" si="332"/>
        <v>0</v>
      </c>
      <c r="N319" s="74">
        <f t="shared" si="332"/>
        <v>1450000</v>
      </c>
      <c r="O319" s="74">
        <f t="shared" si="332"/>
        <v>0</v>
      </c>
      <c r="P319" s="74">
        <f t="shared" si="332"/>
        <v>1450000</v>
      </c>
      <c r="Q319" s="74">
        <f t="shared" si="332"/>
        <v>-200000</v>
      </c>
      <c r="R319" s="74">
        <f t="shared" si="332"/>
        <v>1250000</v>
      </c>
      <c r="S319" s="74">
        <f t="shared" si="332"/>
        <v>0</v>
      </c>
      <c r="T319" s="74">
        <f t="shared" si="332"/>
        <v>1250000</v>
      </c>
      <c r="U319" s="74">
        <f t="shared" si="332"/>
        <v>0</v>
      </c>
      <c r="V319" s="74">
        <f t="shared" si="332"/>
        <v>1250000</v>
      </c>
      <c r="W319" s="74">
        <f t="shared" si="332"/>
        <v>0</v>
      </c>
      <c r="X319" s="74">
        <f t="shared" si="332"/>
        <v>1250000</v>
      </c>
      <c r="Y319" s="74">
        <f t="shared" si="332"/>
        <v>0</v>
      </c>
      <c r="Z319" s="74">
        <f t="shared" si="332"/>
        <v>1250000</v>
      </c>
      <c r="AA319" s="74">
        <f t="shared" si="332"/>
        <v>0</v>
      </c>
      <c r="AB319" s="74">
        <f t="shared" si="332"/>
        <v>1250000</v>
      </c>
      <c r="AC319" s="74">
        <f t="shared" si="332"/>
        <v>0</v>
      </c>
      <c r="AD319" s="74">
        <f t="shared" si="332"/>
        <v>1250000</v>
      </c>
      <c r="AE319" s="74">
        <f t="shared" si="332"/>
        <v>-7000</v>
      </c>
      <c r="AF319" s="74">
        <f t="shared" si="332"/>
        <v>1243000</v>
      </c>
      <c r="AG319" s="74">
        <f t="shared" si="332"/>
        <v>-44551</v>
      </c>
      <c r="AH319" s="74">
        <f t="shared" si="332"/>
        <v>1198449</v>
      </c>
    </row>
    <row r="320" spans="1:34" s="27" customFormat="1" ht="21" customHeight="1">
      <c r="A320" s="76"/>
      <c r="B320" s="75"/>
      <c r="C320" s="58">
        <v>3110</v>
      </c>
      <c r="D320" s="14" t="s">
        <v>376</v>
      </c>
      <c r="E320" s="74">
        <v>1450000</v>
      </c>
      <c r="F320" s="74"/>
      <c r="G320" s="74"/>
      <c r="H320" s="74">
        <f t="shared" si="331"/>
        <v>1450000</v>
      </c>
      <c r="I320" s="74"/>
      <c r="J320" s="74">
        <f t="shared" si="324"/>
        <v>1450000</v>
      </c>
      <c r="K320" s="74">
        <v>0</v>
      </c>
      <c r="L320" s="74">
        <f t="shared" si="325"/>
        <v>1450000</v>
      </c>
      <c r="M320" s="74">
        <v>0</v>
      </c>
      <c r="N320" s="74">
        <f>SUM(L320:M320)</f>
        <v>1450000</v>
      </c>
      <c r="O320" s="74">
        <v>0</v>
      </c>
      <c r="P320" s="74">
        <f>SUM(N320:O320)</f>
        <v>1450000</v>
      </c>
      <c r="Q320" s="210">
        <v>-200000</v>
      </c>
      <c r="R320" s="74">
        <f>SUM(P320:Q320)</f>
        <v>1250000</v>
      </c>
      <c r="S320" s="138">
        <v>0</v>
      </c>
      <c r="T320" s="74">
        <f>SUM(R320:S320)</f>
        <v>1250000</v>
      </c>
      <c r="U320" s="138">
        <v>0</v>
      </c>
      <c r="V320" s="74">
        <f>SUM(T320:U320)</f>
        <v>1250000</v>
      </c>
      <c r="W320" s="138">
        <v>0</v>
      </c>
      <c r="X320" s="74">
        <f>SUM(V320:W320)</f>
        <v>1250000</v>
      </c>
      <c r="Y320" s="138">
        <v>0</v>
      </c>
      <c r="Z320" s="74">
        <f>SUM(X320:Y320)</f>
        <v>1250000</v>
      </c>
      <c r="AA320" s="138">
        <v>0</v>
      </c>
      <c r="AB320" s="74">
        <f>SUM(Z320:AA320)</f>
        <v>1250000</v>
      </c>
      <c r="AC320" s="138">
        <v>0</v>
      </c>
      <c r="AD320" s="74">
        <f>SUM(AB320:AC320)</f>
        <v>1250000</v>
      </c>
      <c r="AE320" s="138">
        <v>-7000</v>
      </c>
      <c r="AF320" s="74">
        <f>SUM(AD320:AE320)</f>
        <v>1243000</v>
      </c>
      <c r="AG320" s="138">
        <f>-30191-14360</f>
        <v>-44551</v>
      </c>
      <c r="AH320" s="74">
        <f>SUM(AF320:AG320)</f>
        <v>1198449</v>
      </c>
    </row>
    <row r="321" spans="1:34" s="27" customFormat="1" ht="21.75" customHeight="1">
      <c r="A321" s="76"/>
      <c r="B321" s="75">
        <v>85219</v>
      </c>
      <c r="C321" s="58"/>
      <c r="D321" s="14" t="s">
        <v>319</v>
      </c>
      <c r="E321" s="74">
        <f>SUM(E322:E345)</f>
        <v>1045805</v>
      </c>
      <c r="F321" s="74">
        <f>SUM(F322:F345)</f>
        <v>0</v>
      </c>
      <c r="G321" s="74">
        <f>SUM(G322:G345)</f>
        <v>0</v>
      </c>
      <c r="H321" s="74">
        <f t="shared" si="331"/>
        <v>1045805</v>
      </c>
      <c r="I321" s="74">
        <f aca="true" t="shared" si="333" ref="I321:N321">SUM(I322:I345)</f>
        <v>0</v>
      </c>
      <c r="J321" s="74">
        <f t="shared" si="333"/>
        <v>1045805</v>
      </c>
      <c r="K321" s="74">
        <f t="shared" si="333"/>
        <v>0</v>
      </c>
      <c r="L321" s="74">
        <f t="shared" si="333"/>
        <v>1045805</v>
      </c>
      <c r="M321" s="74">
        <f t="shared" si="333"/>
        <v>0</v>
      </c>
      <c r="N321" s="74">
        <f t="shared" si="333"/>
        <v>1045805</v>
      </c>
      <c r="O321" s="74">
        <f aca="true" t="shared" si="334" ref="O321:T321">SUM(O322:O345)</f>
        <v>0</v>
      </c>
      <c r="P321" s="74">
        <f t="shared" si="334"/>
        <v>1045805</v>
      </c>
      <c r="Q321" s="74">
        <f t="shared" si="334"/>
        <v>0</v>
      </c>
      <c r="R321" s="74">
        <f t="shared" si="334"/>
        <v>1045805</v>
      </c>
      <c r="S321" s="74">
        <f t="shared" si="334"/>
        <v>0</v>
      </c>
      <c r="T321" s="74">
        <f t="shared" si="334"/>
        <v>1045805</v>
      </c>
      <c r="U321" s="74">
        <f aca="true" t="shared" si="335" ref="U321:Z321">SUM(U322:U345)</f>
        <v>0</v>
      </c>
      <c r="V321" s="74">
        <f t="shared" si="335"/>
        <v>1045805</v>
      </c>
      <c r="W321" s="74">
        <f t="shared" si="335"/>
        <v>47000</v>
      </c>
      <c r="X321" s="74">
        <f t="shared" si="335"/>
        <v>1092805</v>
      </c>
      <c r="Y321" s="74">
        <f t="shared" si="335"/>
        <v>0</v>
      </c>
      <c r="Z321" s="74">
        <f t="shared" si="335"/>
        <v>1092805</v>
      </c>
      <c r="AA321" s="74">
        <f aca="true" t="shared" si="336" ref="AA321:AF321">SUM(AA322:AA345)</f>
        <v>-16650</v>
      </c>
      <c r="AB321" s="74">
        <f t="shared" si="336"/>
        <v>1076155</v>
      </c>
      <c r="AC321" s="74">
        <f t="shared" si="336"/>
        <v>0</v>
      </c>
      <c r="AD321" s="74">
        <f t="shared" si="336"/>
        <v>1076155</v>
      </c>
      <c r="AE321" s="74">
        <f t="shared" si="336"/>
        <v>6614</v>
      </c>
      <c r="AF321" s="74">
        <f t="shared" si="336"/>
        <v>1082769</v>
      </c>
      <c r="AG321" s="74">
        <f>SUM(AG322:AG345)</f>
        <v>0</v>
      </c>
      <c r="AH321" s="74">
        <f>SUM(AH322:AH345)</f>
        <v>1082769</v>
      </c>
    </row>
    <row r="322" spans="1:34" s="27" customFormat="1" ht="21" customHeight="1">
      <c r="A322" s="76"/>
      <c r="B322" s="75"/>
      <c r="C322" s="58">
        <v>3020</v>
      </c>
      <c r="D322" s="14" t="s">
        <v>533</v>
      </c>
      <c r="E322" s="74">
        <f>2100+550</f>
        <v>2650</v>
      </c>
      <c r="F322" s="74"/>
      <c r="G322" s="74"/>
      <c r="H322" s="74">
        <f t="shared" si="331"/>
        <v>2650</v>
      </c>
      <c r="I322" s="74"/>
      <c r="J322" s="74">
        <f t="shared" si="324"/>
        <v>2650</v>
      </c>
      <c r="K322" s="74">
        <v>0</v>
      </c>
      <c r="L322" s="74">
        <f t="shared" si="325"/>
        <v>2650</v>
      </c>
      <c r="M322" s="74">
        <v>0</v>
      </c>
      <c r="N322" s="74">
        <f aca="true" t="shared" si="337" ref="N322:N345">SUM(L322:M322)</f>
        <v>2650</v>
      </c>
      <c r="O322" s="74">
        <v>0</v>
      </c>
      <c r="P322" s="74">
        <f aca="true" t="shared" si="338" ref="P322:P345">SUM(N322:O322)</f>
        <v>2650</v>
      </c>
      <c r="Q322" s="74">
        <v>0</v>
      </c>
      <c r="R322" s="74">
        <f aca="true" t="shared" si="339" ref="R322:R345">SUM(P322:Q322)</f>
        <v>2650</v>
      </c>
      <c r="S322" s="74">
        <v>0</v>
      </c>
      <c r="T322" s="74">
        <f aca="true" t="shared" si="340" ref="T322:T345">SUM(R322:S322)</f>
        <v>2650</v>
      </c>
      <c r="U322" s="74">
        <v>0</v>
      </c>
      <c r="V322" s="74">
        <f aca="true" t="shared" si="341" ref="V322:V345">SUM(T322:U322)</f>
        <v>2650</v>
      </c>
      <c r="W322" s="74">
        <v>0</v>
      </c>
      <c r="X322" s="74">
        <f aca="true" t="shared" si="342" ref="X322:X345">SUM(V322:W322)</f>
        <v>2650</v>
      </c>
      <c r="Y322" s="74">
        <v>0</v>
      </c>
      <c r="Z322" s="74">
        <f aca="true" t="shared" si="343" ref="Z322:Z345">SUM(X322:Y322)</f>
        <v>2650</v>
      </c>
      <c r="AA322" s="74">
        <v>0</v>
      </c>
      <c r="AB322" s="74">
        <f aca="true" t="shared" si="344" ref="AB322:AB345">SUM(Z322:AA322)</f>
        <v>2650</v>
      </c>
      <c r="AC322" s="74">
        <v>0</v>
      </c>
      <c r="AD322" s="74">
        <f aca="true" t="shared" si="345" ref="AD322:AD345">SUM(AB322:AC322)</f>
        <v>2650</v>
      </c>
      <c r="AE322" s="74">
        <f>-155-270</f>
        <v>-425</v>
      </c>
      <c r="AF322" s="74">
        <f aca="true" t="shared" si="346" ref="AF322:AF345">SUM(AD322:AE322)</f>
        <v>2225</v>
      </c>
      <c r="AG322" s="74">
        <v>0</v>
      </c>
      <c r="AH322" s="74">
        <f aca="true" t="shared" si="347" ref="AH322:AH345">SUM(AF322:AG322)</f>
        <v>2225</v>
      </c>
    </row>
    <row r="323" spans="1:36" s="27" customFormat="1" ht="21" customHeight="1">
      <c r="A323" s="76"/>
      <c r="B323" s="75"/>
      <c r="C323" s="58">
        <v>4010</v>
      </c>
      <c r="D323" s="14" t="s">
        <v>345</v>
      </c>
      <c r="E323" s="74">
        <f>19769+463372+44252</f>
        <v>527393</v>
      </c>
      <c r="F323" s="74"/>
      <c r="G323" s="74"/>
      <c r="H323" s="74">
        <f t="shared" si="331"/>
        <v>527393</v>
      </c>
      <c r="I323" s="74"/>
      <c r="J323" s="74">
        <f t="shared" si="324"/>
        <v>527393</v>
      </c>
      <c r="K323" s="74">
        <v>1661</v>
      </c>
      <c r="L323" s="74">
        <f t="shared" si="325"/>
        <v>529054</v>
      </c>
      <c r="M323" s="74">
        <v>0</v>
      </c>
      <c r="N323" s="74">
        <f t="shared" si="337"/>
        <v>529054</v>
      </c>
      <c r="O323" s="74">
        <v>0</v>
      </c>
      <c r="P323" s="74">
        <f t="shared" si="338"/>
        <v>529054</v>
      </c>
      <c r="Q323" s="74">
        <v>0</v>
      </c>
      <c r="R323" s="74">
        <f t="shared" si="339"/>
        <v>529054</v>
      </c>
      <c r="S323" s="74">
        <v>0</v>
      </c>
      <c r="T323" s="74">
        <f t="shared" si="340"/>
        <v>529054</v>
      </c>
      <c r="U323" s="74">
        <v>0</v>
      </c>
      <c r="V323" s="74">
        <f t="shared" si="341"/>
        <v>529054</v>
      </c>
      <c r="W323" s="74">
        <v>521</v>
      </c>
      <c r="X323" s="74">
        <f t="shared" si="342"/>
        <v>529575</v>
      </c>
      <c r="Y323" s="74">
        <v>0</v>
      </c>
      <c r="Z323" s="74">
        <f t="shared" si="343"/>
        <v>529575</v>
      </c>
      <c r="AA323" s="74">
        <v>0</v>
      </c>
      <c r="AB323" s="74">
        <f t="shared" si="344"/>
        <v>529575</v>
      </c>
      <c r="AC323" s="74">
        <v>0</v>
      </c>
      <c r="AD323" s="74">
        <f t="shared" si="345"/>
        <v>529575</v>
      </c>
      <c r="AE323" s="74">
        <f>12988+1290</f>
        <v>14278</v>
      </c>
      <c r="AF323" s="74">
        <f t="shared" si="346"/>
        <v>543853</v>
      </c>
      <c r="AG323" s="74">
        <v>0</v>
      </c>
      <c r="AH323" s="74">
        <f t="shared" si="347"/>
        <v>543853</v>
      </c>
      <c r="AI323" s="119"/>
      <c r="AJ323" s="119"/>
    </row>
    <row r="324" spans="1:36" s="27" customFormat="1" ht="21" customHeight="1">
      <c r="A324" s="76"/>
      <c r="B324" s="75"/>
      <c r="C324" s="58">
        <v>4040</v>
      </c>
      <c r="D324" s="14" t="s">
        <v>346</v>
      </c>
      <c r="E324" s="74">
        <f>1500+32700+2985</f>
        <v>37185</v>
      </c>
      <c r="F324" s="74"/>
      <c r="G324" s="74"/>
      <c r="H324" s="74">
        <f t="shared" si="331"/>
        <v>37185</v>
      </c>
      <c r="I324" s="74"/>
      <c r="J324" s="74">
        <f t="shared" si="324"/>
        <v>37185</v>
      </c>
      <c r="K324" s="74">
        <v>0</v>
      </c>
      <c r="L324" s="74">
        <f t="shared" si="325"/>
        <v>37185</v>
      </c>
      <c r="M324" s="74">
        <v>0</v>
      </c>
      <c r="N324" s="74">
        <f t="shared" si="337"/>
        <v>37185</v>
      </c>
      <c r="O324" s="74">
        <v>0</v>
      </c>
      <c r="P324" s="74">
        <f t="shared" si="338"/>
        <v>37185</v>
      </c>
      <c r="Q324" s="74">
        <v>0</v>
      </c>
      <c r="R324" s="74">
        <f t="shared" si="339"/>
        <v>37185</v>
      </c>
      <c r="S324" s="74">
        <v>0</v>
      </c>
      <c r="T324" s="74">
        <f t="shared" si="340"/>
        <v>37185</v>
      </c>
      <c r="U324" s="74">
        <v>0</v>
      </c>
      <c r="V324" s="74">
        <f t="shared" si="341"/>
        <v>37185</v>
      </c>
      <c r="W324" s="74">
        <v>0</v>
      </c>
      <c r="X324" s="74">
        <f t="shared" si="342"/>
        <v>37185</v>
      </c>
      <c r="Y324" s="74">
        <v>0</v>
      </c>
      <c r="Z324" s="74">
        <f t="shared" si="343"/>
        <v>37185</v>
      </c>
      <c r="AA324" s="74">
        <v>0</v>
      </c>
      <c r="AB324" s="74">
        <f t="shared" si="344"/>
        <v>37185</v>
      </c>
      <c r="AC324" s="74">
        <v>0</v>
      </c>
      <c r="AD324" s="74">
        <f t="shared" si="345"/>
        <v>37185</v>
      </c>
      <c r="AE324" s="74">
        <f>-294-67-83</f>
        <v>-444</v>
      </c>
      <c r="AF324" s="74">
        <f t="shared" si="346"/>
        <v>36741</v>
      </c>
      <c r="AG324" s="74">
        <v>0</v>
      </c>
      <c r="AH324" s="74">
        <f t="shared" si="347"/>
        <v>36741</v>
      </c>
      <c r="AI324" s="119"/>
      <c r="AJ324" s="119"/>
    </row>
    <row r="325" spans="1:36" s="27" customFormat="1" ht="21" customHeight="1">
      <c r="A325" s="76"/>
      <c r="B325" s="75"/>
      <c r="C325" s="58">
        <v>4110</v>
      </c>
      <c r="D325" s="14" t="s">
        <v>347</v>
      </c>
      <c r="E325" s="74">
        <f>3771+86738+8141</f>
        <v>98650</v>
      </c>
      <c r="F325" s="74"/>
      <c r="G325" s="74"/>
      <c r="H325" s="74">
        <f t="shared" si="331"/>
        <v>98650</v>
      </c>
      <c r="I325" s="74"/>
      <c r="J325" s="74">
        <f t="shared" si="324"/>
        <v>98650</v>
      </c>
      <c r="K325" s="74">
        <v>279</v>
      </c>
      <c r="L325" s="74">
        <f t="shared" si="325"/>
        <v>98929</v>
      </c>
      <c r="M325" s="74">
        <v>0</v>
      </c>
      <c r="N325" s="74">
        <f t="shared" si="337"/>
        <v>98929</v>
      </c>
      <c r="O325" s="74">
        <v>0</v>
      </c>
      <c r="P325" s="74">
        <f t="shared" si="338"/>
        <v>98929</v>
      </c>
      <c r="Q325" s="74">
        <v>0</v>
      </c>
      <c r="R325" s="74">
        <f t="shared" si="339"/>
        <v>98929</v>
      </c>
      <c r="S325" s="74">
        <v>0</v>
      </c>
      <c r="T325" s="74">
        <f t="shared" si="340"/>
        <v>98929</v>
      </c>
      <c r="U325" s="74">
        <v>0</v>
      </c>
      <c r="V325" s="74">
        <f t="shared" si="341"/>
        <v>98929</v>
      </c>
      <c r="W325" s="74">
        <v>341</v>
      </c>
      <c r="X325" s="74">
        <f t="shared" si="342"/>
        <v>99270</v>
      </c>
      <c r="Y325" s="74">
        <v>0</v>
      </c>
      <c r="Z325" s="74">
        <f t="shared" si="343"/>
        <v>99270</v>
      </c>
      <c r="AA325" s="74">
        <v>0</v>
      </c>
      <c r="AB325" s="74">
        <f t="shared" si="344"/>
        <v>99270</v>
      </c>
      <c r="AC325" s="74">
        <v>0</v>
      </c>
      <c r="AD325" s="74">
        <f t="shared" si="345"/>
        <v>99270</v>
      </c>
      <c r="AE325" s="74">
        <f>-378-81</f>
        <v>-459</v>
      </c>
      <c r="AF325" s="74">
        <f t="shared" si="346"/>
        <v>98811</v>
      </c>
      <c r="AG325" s="74">
        <v>0</v>
      </c>
      <c r="AH325" s="74">
        <f t="shared" si="347"/>
        <v>98811</v>
      </c>
      <c r="AI325" s="119"/>
      <c r="AJ325" s="119"/>
    </row>
    <row r="326" spans="1:36" s="27" customFormat="1" ht="21" customHeight="1">
      <c r="A326" s="76"/>
      <c r="B326" s="75"/>
      <c r="C326" s="58">
        <v>4120</v>
      </c>
      <c r="D326" s="14" t="s">
        <v>348</v>
      </c>
      <c r="E326" s="74">
        <f>522+1125+11986</f>
        <v>13633</v>
      </c>
      <c r="F326" s="74"/>
      <c r="G326" s="74"/>
      <c r="H326" s="74">
        <f t="shared" si="331"/>
        <v>13633</v>
      </c>
      <c r="I326" s="74"/>
      <c r="J326" s="74">
        <f t="shared" si="324"/>
        <v>13633</v>
      </c>
      <c r="K326" s="74">
        <v>38</v>
      </c>
      <c r="L326" s="74">
        <f t="shared" si="325"/>
        <v>13671</v>
      </c>
      <c r="M326" s="74">
        <v>0</v>
      </c>
      <c r="N326" s="74">
        <f t="shared" si="337"/>
        <v>13671</v>
      </c>
      <c r="O326" s="74">
        <v>0</v>
      </c>
      <c r="P326" s="74">
        <f t="shared" si="338"/>
        <v>13671</v>
      </c>
      <c r="Q326" s="74">
        <v>0</v>
      </c>
      <c r="R326" s="74">
        <f t="shared" si="339"/>
        <v>13671</v>
      </c>
      <c r="S326" s="74">
        <v>0</v>
      </c>
      <c r="T326" s="74">
        <f t="shared" si="340"/>
        <v>13671</v>
      </c>
      <c r="U326" s="74">
        <v>0</v>
      </c>
      <c r="V326" s="74">
        <f t="shared" si="341"/>
        <v>13671</v>
      </c>
      <c r="W326" s="74">
        <v>0</v>
      </c>
      <c r="X326" s="74">
        <f t="shared" si="342"/>
        <v>13671</v>
      </c>
      <c r="Y326" s="74">
        <v>0</v>
      </c>
      <c r="Z326" s="74">
        <f t="shared" si="343"/>
        <v>13671</v>
      </c>
      <c r="AA326" s="74">
        <v>0</v>
      </c>
      <c r="AB326" s="74">
        <f t="shared" si="344"/>
        <v>13671</v>
      </c>
      <c r="AC326" s="74">
        <v>0</v>
      </c>
      <c r="AD326" s="74">
        <f t="shared" si="345"/>
        <v>13671</v>
      </c>
      <c r="AE326" s="74">
        <f>-326-55</f>
        <v>-381</v>
      </c>
      <c r="AF326" s="74">
        <f t="shared" si="346"/>
        <v>13290</v>
      </c>
      <c r="AG326" s="74">
        <v>0</v>
      </c>
      <c r="AH326" s="74">
        <f t="shared" si="347"/>
        <v>13290</v>
      </c>
      <c r="AI326" s="119"/>
      <c r="AJ326" s="119"/>
    </row>
    <row r="327" spans="1:36" s="27" customFormat="1" ht="21" customHeight="1">
      <c r="A327" s="76"/>
      <c r="B327" s="75"/>
      <c r="C327" s="58">
        <v>4170</v>
      </c>
      <c r="D327" s="14" t="s">
        <v>478</v>
      </c>
      <c r="E327" s="74">
        <f>13200+9240</f>
        <v>22440</v>
      </c>
      <c r="F327" s="74"/>
      <c r="G327" s="74"/>
      <c r="H327" s="74">
        <f t="shared" si="331"/>
        <v>22440</v>
      </c>
      <c r="I327" s="74"/>
      <c r="J327" s="74">
        <f t="shared" si="324"/>
        <v>22440</v>
      </c>
      <c r="K327" s="74">
        <v>0</v>
      </c>
      <c r="L327" s="74">
        <f t="shared" si="325"/>
        <v>22440</v>
      </c>
      <c r="M327" s="74">
        <v>0</v>
      </c>
      <c r="N327" s="74">
        <f t="shared" si="337"/>
        <v>22440</v>
      </c>
      <c r="O327" s="74">
        <v>0</v>
      </c>
      <c r="P327" s="74">
        <f t="shared" si="338"/>
        <v>22440</v>
      </c>
      <c r="Q327" s="74">
        <v>0</v>
      </c>
      <c r="R327" s="74">
        <f t="shared" si="339"/>
        <v>22440</v>
      </c>
      <c r="S327" s="74">
        <v>0</v>
      </c>
      <c r="T327" s="74">
        <f t="shared" si="340"/>
        <v>22440</v>
      </c>
      <c r="U327" s="74">
        <v>0</v>
      </c>
      <c r="V327" s="74">
        <f t="shared" si="341"/>
        <v>22440</v>
      </c>
      <c r="W327" s="74">
        <v>0</v>
      </c>
      <c r="X327" s="74">
        <f t="shared" si="342"/>
        <v>22440</v>
      </c>
      <c r="Y327" s="74">
        <v>0</v>
      </c>
      <c r="Z327" s="74">
        <f t="shared" si="343"/>
        <v>22440</v>
      </c>
      <c r="AA327" s="74">
        <v>0</v>
      </c>
      <c r="AB327" s="74">
        <f t="shared" si="344"/>
        <v>22440</v>
      </c>
      <c r="AC327" s="74">
        <v>0</v>
      </c>
      <c r="AD327" s="74">
        <f t="shared" si="345"/>
        <v>22440</v>
      </c>
      <c r="AE327" s="74">
        <v>-2660</v>
      </c>
      <c r="AF327" s="74">
        <f t="shared" si="346"/>
        <v>19780</v>
      </c>
      <c r="AG327" s="74">
        <v>658</v>
      </c>
      <c r="AH327" s="74">
        <f t="shared" si="347"/>
        <v>20438</v>
      </c>
      <c r="AI327" s="119"/>
      <c r="AJ327" s="119"/>
    </row>
    <row r="328" spans="1:34" s="27" customFormat="1" ht="21" customHeight="1">
      <c r="A328" s="76"/>
      <c r="B328" s="75"/>
      <c r="C328" s="58">
        <v>4210</v>
      </c>
      <c r="D328" s="14" t="s">
        <v>354</v>
      </c>
      <c r="E328" s="74">
        <f>9300+5600+20500</f>
        <v>35400</v>
      </c>
      <c r="F328" s="74"/>
      <c r="G328" s="74"/>
      <c r="H328" s="74">
        <f t="shared" si="331"/>
        <v>35400</v>
      </c>
      <c r="I328" s="74"/>
      <c r="J328" s="74">
        <f t="shared" si="324"/>
        <v>35400</v>
      </c>
      <c r="K328" s="74">
        <v>0</v>
      </c>
      <c r="L328" s="74">
        <f t="shared" si="325"/>
        <v>35400</v>
      </c>
      <c r="M328" s="74">
        <v>0</v>
      </c>
      <c r="N328" s="74">
        <f t="shared" si="337"/>
        <v>35400</v>
      </c>
      <c r="O328" s="74">
        <v>0</v>
      </c>
      <c r="P328" s="74">
        <f t="shared" si="338"/>
        <v>35400</v>
      </c>
      <c r="Q328" s="74">
        <v>0</v>
      </c>
      <c r="R328" s="74">
        <f t="shared" si="339"/>
        <v>35400</v>
      </c>
      <c r="S328" s="74">
        <v>0</v>
      </c>
      <c r="T328" s="74">
        <f t="shared" si="340"/>
        <v>35400</v>
      </c>
      <c r="U328" s="74">
        <v>0</v>
      </c>
      <c r="V328" s="74">
        <f t="shared" si="341"/>
        <v>35400</v>
      </c>
      <c r="W328" s="74">
        <v>0</v>
      </c>
      <c r="X328" s="74">
        <f t="shared" si="342"/>
        <v>35400</v>
      </c>
      <c r="Y328" s="74">
        <v>0</v>
      </c>
      <c r="Z328" s="74">
        <f t="shared" si="343"/>
        <v>35400</v>
      </c>
      <c r="AA328" s="74">
        <v>0</v>
      </c>
      <c r="AB328" s="74">
        <f t="shared" si="344"/>
        <v>35400</v>
      </c>
      <c r="AC328" s="74">
        <v>0</v>
      </c>
      <c r="AD328" s="74">
        <f t="shared" si="345"/>
        <v>35400</v>
      </c>
      <c r="AE328" s="74">
        <f>472+2437</f>
        <v>2909</v>
      </c>
      <c r="AF328" s="74">
        <f t="shared" si="346"/>
        <v>38309</v>
      </c>
      <c r="AG328" s="74">
        <f>1533+623</f>
        <v>2156</v>
      </c>
      <c r="AH328" s="74">
        <f t="shared" si="347"/>
        <v>40465</v>
      </c>
    </row>
    <row r="329" spans="1:34" s="27" customFormat="1" ht="21" customHeight="1">
      <c r="A329" s="76"/>
      <c r="B329" s="75"/>
      <c r="C329" s="58">
        <v>4220</v>
      </c>
      <c r="D329" s="14" t="s">
        <v>460</v>
      </c>
      <c r="E329" s="74">
        <v>85000</v>
      </c>
      <c r="F329" s="74"/>
      <c r="G329" s="74"/>
      <c r="H329" s="74">
        <f t="shared" si="331"/>
        <v>85000</v>
      </c>
      <c r="I329" s="74"/>
      <c r="J329" s="74">
        <f t="shared" si="324"/>
        <v>85000</v>
      </c>
      <c r="K329" s="74">
        <v>0</v>
      </c>
      <c r="L329" s="74">
        <f t="shared" si="325"/>
        <v>85000</v>
      </c>
      <c r="M329" s="74">
        <v>0</v>
      </c>
      <c r="N329" s="74">
        <f t="shared" si="337"/>
        <v>85000</v>
      </c>
      <c r="O329" s="74">
        <v>0</v>
      </c>
      <c r="P329" s="74">
        <f t="shared" si="338"/>
        <v>85000</v>
      </c>
      <c r="Q329" s="74">
        <v>0</v>
      </c>
      <c r="R329" s="74">
        <f t="shared" si="339"/>
        <v>85000</v>
      </c>
      <c r="S329" s="74">
        <v>0</v>
      </c>
      <c r="T329" s="74">
        <f t="shared" si="340"/>
        <v>85000</v>
      </c>
      <c r="U329" s="74">
        <v>0</v>
      </c>
      <c r="V329" s="74">
        <f t="shared" si="341"/>
        <v>85000</v>
      </c>
      <c r="W329" s="74">
        <v>47000</v>
      </c>
      <c r="X329" s="74">
        <f t="shared" si="342"/>
        <v>132000</v>
      </c>
      <c r="Y329" s="74">
        <v>0</v>
      </c>
      <c r="Z329" s="74">
        <f t="shared" si="343"/>
        <v>132000</v>
      </c>
      <c r="AA329" s="74">
        <v>0</v>
      </c>
      <c r="AB329" s="74">
        <f t="shared" si="344"/>
        <v>132000</v>
      </c>
      <c r="AC329" s="74">
        <v>0</v>
      </c>
      <c r="AD329" s="74">
        <f t="shared" si="345"/>
        <v>132000</v>
      </c>
      <c r="AE329" s="74">
        <v>-1087</v>
      </c>
      <c r="AF329" s="74">
        <f t="shared" si="346"/>
        <v>130913</v>
      </c>
      <c r="AG329" s="74">
        <v>0</v>
      </c>
      <c r="AH329" s="74">
        <f t="shared" si="347"/>
        <v>130913</v>
      </c>
    </row>
    <row r="330" spans="1:34" s="27" customFormat="1" ht="21" customHeight="1">
      <c r="A330" s="76"/>
      <c r="B330" s="75"/>
      <c r="C330" s="58">
        <v>4230</v>
      </c>
      <c r="D330" s="14" t="s">
        <v>77</v>
      </c>
      <c r="E330" s="74">
        <v>200</v>
      </c>
      <c r="F330" s="74"/>
      <c r="G330" s="74"/>
      <c r="H330" s="74">
        <f t="shared" si="331"/>
        <v>200</v>
      </c>
      <c r="I330" s="74"/>
      <c r="J330" s="74">
        <f t="shared" si="324"/>
        <v>200</v>
      </c>
      <c r="K330" s="74">
        <v>0</v>
      </c>
      <c r="L330" s="74">
        <f t="shared" si="325"/>
        <v>200</v>
      </c>
      <c r="M330" s="74">
        <v>0</v>
      </c>
      <c r="N330" s="74">
        <f t="shared" si="337"/>
        <v>200</v>
      </c>
      <c r="O330" s="74">
        <v>0</v>
      </c>
      <c r="P330" s="74">
        <f t="shared" si="338"/>
        <v>200</v>
      </c>
      <c r="Q330" s="74">
        <v>0</v>
      </c>
      <c r="R330" s="74">
        <f t="shared" si="339"/>
        <v>200</v>
      </c>
      <c r="S330" s="74">
        <v>0</v>
      </c>
      <c r="T330" s="74">
        <f t="shared" si="340"/>
        <v>200</v>
      </c>
      <c r="U330" s="74">
        <v>0</v>
      </c>
      <c r="V330" s="74">
        <f t="shared" si="341"/>
        <v>200</v>
      </c>
      <c r="W330" s="74">
        <v>0</v>
      </c>
      <c r="X330" s="74">
        <f t="shared" si="342"/>
        <v>200</v>
      </c>
      <c r="Y330" s="74">
        <v>0</v>
      </c>
      <c r="Z330" s="74">
        <f t="shared" si="343"/>
        <v>200</v>
      </c>
      <c r="AA330" s="74">
        <v>0</v>
      </c>
      <c r="AB330" s="74">
        <f t="shared" si="344"/>
        <v>200</v>
      </c>
      <c r="AC330" s="74">
        <v>0</v>
      </c>
      <c r="AD330" s="74">
        <f t="shared" si="345"/>
        <v>200</v>
      </c>
      <c r="AE330" s="74">
        <v>-100</v>
      </c>
      <c r="AF330" s="74">
        <f t="shared" si="346"/>
        <v>100</v>
      </c>
      <c r="AG330" s="74">
        <v>0</v>
      </c>
      <c r="AH330" s="74">
        <f t="shared" si="347"/>
        <v>100</v>
      </c>
    </row>
    <row r="331" spans="1:34" s="27" customFormat="1" ht="21" customHeight="1">
      <c r="A331" s="76"/>
      <c r="B331" s="75"/>
      <c r="C331" s="58">
        <v>4260</v>
      </c>
      <c r="D331" s="14" t="s">
        <v>357</v>
      </c>
      <c r="E331" s="74">
        <f>4000+5200</f>
        <v>9200</v>
      </c>
      <c r="F331" s="74"/>
      <c r="G331" s="74"/>
      <c r="H331" s="74">
        <f t="shared" si="331"/>
        <v>9200</v>
      </c>
      <c r="I331" s="74"/>
      <c r="J331" s="74">
        <f t="shared" si="324"/>
        <v>9200</v>
      </c>
      <c r="K331" s="74">
        <v>0</v>
      </c>
      <c r="L331" s="74">
        <f t="shared" si="325"/>
        <v>9200</v>
      </c>
      <c r="M331" s="74">
        <v>0</v>
      </c>
      <c r="N331" s="74">
        <f t="shared" si="337"/>
        <v>9200</v>
      </c>
      <c r="O331" s="74">
        <v>0</v>
      </c>
      <c r="P331" s="74">
        <f t="shared" si="338"/>
        <v>9200</v>
      </c>
      <c r="Q331" s="74">
        <v>0</v>
      </c>
      <c r="R331" s="74">
        <f t="shared" si="339"/>
        <v>9200</v>
      </c>
      <c r="S331" s="74">
        <v>0</v>
      </c>
      <c r="T331" s="74">
        <f t="shared" si="340"/>
        <v>9200</v>
      </c>
      <c r="U331" s="74">
        <v>0</v>
      </c>
      <c r="V331" s="74">
        <f t="shared" si="341"/>
        <v>9200</v>
      </c>
      <c r="W331" s="74">
        <v>0</v>
      </c>
      <c r="X331" s="74">
        <f t="shared" si="342"/>
        <v>9200</v>
      </c>
      <c r="Y331" s="74">
        <v>0</v>
      </c>
      <c r="Z331" s="74">
        <f t="shared" si="343"/>
        <v>9200</v>
      </c>
      <c r="AA331" s="74">
        <v>0</v>
      </c>
      <c r="AB331" s="74">
        <f t="shared" si="344"/>
        <v>9200</v>
      </c>
      <c r="AC331" s="74">
        <v>0</v>
      </c>
      <c r="AD331" s="74">
        <f t="shared" si="345"/>
        <v>9200</v>
      </c>
      <c r="AE331" s="74">
        <f>935-700</f>
        <v>235</v>
      </c>
      <c r="AF331" s="74">
        <f t="shared" si="346"/>
        <v>9435</v>
      </c>
      <c r="AG331" s="74">
        <v>0</v>
      </c>
      <c r="AH331" s="74">
        <f t="shared" si="347"/>
        <v>9435</v>
      </c>
    </row>
    <row r="332" spans="1:34" s="27" customFormat="1" ht="21" customHeight="1">
      <c r="A332" s="76"/>
      <c r="B332" s="75"/>
      <c r="C332" s="58">
        <v>4270</v>
      </c>
      <c r="D332" s="14" t="s">
        <v>339</v>
      </c>
      <c r="E332" s="74">
        <v>3244</v>
      </c>
      <c r="F332" s="74"/>
      <c r="G332" s="74"/>
      <c r="H332" s="74">
        <f t="shared" si="331"/>
        <v>3244</v>
      </c>
      <c r="I332" s="74"/>
      <c r="J332" s="74">
        <f t="shared" si="324"/>
        <v>3244</v>
      </c>
      <c r="K332" s="74">
        <v>0</v>
      </c>
      <c r="L332" s="74">
        <f t="shared" si="325"/>
        <v>3244</v>
      </c>
      <c r="M332" s="74">
        <v>0</v>
      </c>
      <c r="N332" s="74">
        <f t="shared" si="337"/>
        <v>3244</v>
      </c>
      <c r="O332" s="74">
        <v>0</v>
      </c>
      <c r="P332" s="74">
        <f t="shared" si="338"/>
        <v>3244</v>
      </c>
      <c r="Q332" s="74">
        <v>0</v>
      </c>
      <c r="R332" s="74">
        <f t="shared" si="339"/>
        <v>3244</v>
      </c>
      <c r="S332" s="74">
        <v>0</v>
      </c>
      <c r="T332" s="74">
        <f t="shared" si="340"/>
        <v>3244</v>
      </c>
      <c r="U332" s="74">
        <v>0</v>
      </c>
      <c r="V332" s="74">
        <f t="shared" si="341"/>
        <v>3244</v>
      </c>
      <c r="W332" s="74">
        <v>0</v>
      </c>
      <c r="X332" s="74">
        <f t="shared" si="342"/>
        <v>3244</v>
      </c>
      <c r="Y332" s="74">
        <v>0</v>
      </c>
      <c r="Z332" s="74">
        <f t="shared" si="343"/>
        <v>3244</v>
      </c>
      <c r="AA332" s="74">
        <v>0</v>
      </c>
      <c r="AB332" s="74">
        <f t="shared" si="344"/>
        <v>3244</v>
      </c>
      <c r="AC332" s="74">
        <v>0</v>
      </c>
      <c r="AD332" s="74">
        <f t="shared" si="345"/>
        <v>3244</v>
      </c>
      <c r="AE332" s="74">
        <v>-2356</v>
      </c>
      <c r="AF332" s="74">
        <f t="shared" si="346"/>
        <v>888</v>
      </c>
      <c r="AG332" s="74">
        <v>-204</v>
      </c>
      <c r="AH332" s="74">
        <f t="shared" si="347"/>
        <v>684</v>
      </c>
    </row>
    <row r="333" spans="1:34" s="27" customFormat="1" ht="21" customHeight="1">
      <c r="A333" s="76"/>
      <c r="B333" s="75"/>
      <c r="C333" s="58">
        <v>4280</v>
      </c>
      <c r="D333" s="14" t="s">
        <v>508</v>
      </c>
      <c r="E333" s="74">
        <f>150+350+300</f>
        <v>800</v>
      </c>
      <c r="F333" s="74"/>
      <c r="G333" s="74"/>
      <c r="H333" s="74">
        <f t="shared" si="331"/>
        <v>800</v>
      </c>
      <c r="I333" s="74"/>
      <c r="J333" s="74">
        <f t="shared" si="324"/>
        <v>800</v>
      </c>
      <c r="K333" s="74">
        <v>0</v>
      </c>
      <c r="L333" s="74">
        <f t="shared" si="325"/>
        <v>800</v>
      </c>
      <c r="M333" s="74">
        <v>0</v>
      </c>
      <c r="N333" s="74">
        <f t="shared" si="337"/>
        <v>800</v>
      </c>
      <c r="O333" s="74">
        <v>0</v>
      </c>
      <c r="P333" s="74">
        <f t="shared" si="338"/>
        <v>800</v>
      </c>
      <c r="Q333" s="74">
        <v>300</v>
      </c>
      <c r="R333" s="74">
        <f t="shared" si="339"/>
        <v>1100</v>
      </c>
      <c r="S333" s="74">
        <v>0</v>
      </c>
      <c r="T333" s="74">
        <f t="shared" si="340"/>
        <v>1100</v>
      </c>
      <c r="U333" s="74">
        <v>0</v>
      </c>
      <c r="V333" s="74">
        <f t="shared" si="341"/>
        <v>1100</v>
      </c>
      <c r="W333" s="74">
        <v>0</v>
      </c>
      <c r="X333" s="74">
        <f t="shared" si="342"/>
        <v>1100</v>
      </c>
      <c r="Y333" s="74">
        <v>0</v>
      </c>
      <c r="Z333" s="74">
        <f t="shared" si="343"/>
        <v>1100</v>
      </c>
      <c r="AA333" s="74">
        <v>0</v>
      </c>
      <c r="AB333" s="74">
        <f t="shared" si="344"/>
        <v>1100</v>
      </c>
      <c r="AC333" s="74">
        <v>0</v>
      </c>
      <c r="AD333" s="74">
        <f t="shared" si="345"/>
        <v>1100</v>
      </c>
      <c r="AE333" s="74">
        <f>-350-150-50</f>
        <v>-550</v>
      </c>
      <c r="AF333" s="74">
        <f t="shared" si="346"/>
        <v>550</v>
      </c>
      <c r="AG333" s="74">
        <v>0</v>
      </c>
      <c r="AH333" s="74">
        <f t="shared" si="347"/>
        <v>550</v>
      </c>
    </row>
    <row r="334" spans="1:34" s="27" customFormat="1" ht="21" customHeight="1">
      <c r="A334" s="76"/>
      <c r="B334" s="75"/>
      <c r="C334" s="58">
        <v>4300</v>
      </c>
      <c r="D334" s="14" t="s">
        <v>340</v>
      </c>
      <c r="E334" s="74">
        <f>46605+23261+4400</f>
        <v>74266</v>
      </c>
      <c r="F334" s="74"/>
      <c r="G334" s="74"/>
      <c r="H334" s="74">
        <f t="shared" si="331"/>
        <v>74266</v>
      </c>
      <c r="I334" s="74"/>
      <c r="J334" s="74">
        <f t="shared" si="324"/>
        <v>74266</v>
      </c>
      <c r="K334" s="74">
        <f>-4978-300+3000</f>
        <v>-2278</v>
      </c>
      <c r="L334" s="74">
        <f t="shared" si="325"/>
        <v>71988</v>
      </c>
      <c r="M334" s="74">
        <v>0</v>
      </c>
      <c r="N334" s="74">
        <f t="shared" si="337"/>
        <v>71988</v>
      </c>
      <c r="O334" s="74">
        <v>0</v>
      </c>
      <c r="P334" s="74">
        <f t="shared" si="338"/>
        <v>71988</v>
      </c>
      <c r="Q334" s="74">
        <v>-800</v>
      </c>
      <c r="R334" s="74">
        <f t="shared" si="339"/>
        <v>71188</v>
      </c>
      <c r="S334" s="74">
        <v>0</v>
      </c>
      <c r="T334" s="74">
        <f t="shared" si="340"/>
        <v>71188</v>
      </c>
      <c r="U334" s="74">
        <v>0</v>
      </c>
      <c r="V334" s="74">
        <f t="shared" si="341"/>
        <v>71188</v>
      </c>
      <c r="W334" s="74">
        <v>-862</v>
      </c>
      <c r="X334" s="74">
        <f t="shared" si="342"/>
        <v>70326</v>
      </c>
      <c r="Y334" s="74">
        <v>6000</v>
      </c>
      <c r="Z334" s="74">
        <f t="shared" si="343"/>
        <v>76326</v>
      </c>
      <c r="AA334" s="74">
        <v>-16650</v>
      </c>
      <c r="AB334" s="74">
        <f t="shared" si="344"/>
        <v>59676</v>
      </c>
      <c r="AC334" s="74">
        <v>0</v>
      </c>
      <c r="AD334" s="74">
        <f t="shared" si="345"/>
        <v>59676</v>
      </c>
      <c r="AE334" s="74">
        <f>3200+800-2014</f>
        <v>1986</v>
      </c>
      <c r="AF334" s="74">
        <f t="shared" si="346"/>
        <v>61662</v>
      </c>
      <c r="AG334" s="74">
        <v>0</v>
      </c>
      <c r="AH334" s="74">
        <f t="shared" si="347"/>
        <v>61662</v>
      </c>
    </row>
    <row r="335" spans="1:34" s="27" customFormat="1" ht="21" customHeight="1">
      <c r="A335" s="76"/>
      <c r="B335" s="75"/>
      <c r="C335" s="58">
        <v>4350</v>
      </c>
      <c r="D335" s="14" t="s">
        <v>525</v>
      </c>
      <c r="E335" s="74">
        <f>665+627</f>
        <v>1292</v>
      </c>
      <c r="F335" s="74"/>
      <c r="G335" s="74"/>
      <c r="H335" s="74">
        <f t="shared" si="331"/>
        <v>1292</v>
      </c>
      <c r="I335" s="74"/>
      <c r="J335" s="74">
        <f t="shared" si="324"/>
        <v>1292</v>
      </c>
      <c r="K335" s="74">
        <v>-144</v>
      </c>
      <c r="L335" s="74">
        <f t="shared" si="325"/>
        <v>1148</v>
      </c>
      <c r="M335" s="74">
        <v>0</v>
      </c>
      <c r="N335" s="74">
        <f t="shared" si="337"/>
        <v>1148</v>
      </c>
      <c r="O335" s="74">
        <v>0</v>
      </c>
      <c r="P335" s="74">
        <f t="shared" si="338"/>
        <v>1148</v>
      </c>
      <c r="Q335" s="74">
        <v>0</v>
      </c>
      <c r="R335" s="74">
        <f t="shared" si="339"/>
        <v>1148</v>
      </c>
      <c r="S335" s="74">
        <v>0</v>
      </c>
      <c r="T335" s="74">
        <f t="shared" si="340"/>
        <v>1148</v>
      </c>
      <c r="U335" s="74">
        <v>0</v>
      </c>
      <c r="V335" s="74">
        <f t="shared" si="341"/>
        <v>1148</v>
      </c>
      <c r="W335" s="74">
        <v>0</v>
      </c>
      <c r="X335" s="74">
        <f t="shared" si="342"/>
        <v>1148</v>
      </c>
      <c r="Y335" s="74">
        <v>0</v>
      </c>
      <c r="Z335" s="74">
        <f t="shared" si="343"/>
        <v>1148</v>
      </c>
      <c r="AA335" s="74">
        <v>0</v>
      </c>
      <c r="AB335" s="74">
        <f t="shared" si="344"/>
        <v>1148</v>
      </c>
      <c r="AC335" s="74">
        <v>0</v>
      </c>
      <c r="AD335" s="74">
        <f t="shared" si="345"/>
        <v>1148</v>
      </c>
      <c r="AE335" s="74">
        <v>-87</v>
      </c>
      <c r="AF335" s="74">
        <f t="shared" si="346"/>
        <v>1061</v>
      </c>
      <c r="AG335" s="74">
        <v>0</v>
      </c>
      <c r="AH335" s="74">
        <f t="shared" si="347"/>
        <v>1061</v>
      </c>
    </row>
    <row r="336" spans="1:34" s="27" customFormat="1" ht="24">
      <c r="A336" s="76"/>
      <c r="B336" s="75"/>
      <c r="C336" s="58">
        <v>4360</v>
      </c>
      <c r="D336" s="14" t="s">
        <v>573</v>
      </c>
      <c r="E336" s="74">
        <v>366</v>
      </c>
      <c r="F336" s="74"/>
      <c r="G336" s="74"/>
      <c r="H336" s="74">
        <f t="shared" si="331"/>
        <v>366</v>
      </c>
      <c r="I336" s="74"/>
      <c r="J336" s="74">
        <f t="shared" si="324"/>
        <v>366</v>
      </c>
      <c r="K336" s="74">
        <v>0</v>
      </c>
      <c r="L336" s="74">
        <f t="shared" si="325"/>
        <v>366</v>
      </c>
      <c r="M336" s="74">
        <v>0</v>
      </c>
      <c r="N336" s="74">
        <f t="shared" si="337"/>
        <v>366</v>
      </c>
      <c r="O336" s="74">
        <v>0</v>
      </c>
      <c r="P336" s="74">
        <f t="shared" si="338"/>
        <v>366</v>
      </c>
      <c r="Q336" s="74">
        <v>275</v>
      </c>
      <c r="R336" s="74">
        <f t="shared" si="339"/>
        <v>641</v>
      </c>
      <c r="S336" s="74">
        <v>0</v>
      </c>
      <c r="T336" s="74">
        <f t="shared" si="340"/>
        <v>641</v>
      </c>
      <c r="U336" s="74">
        <v>0</v>
      </c>
      <c r="V336" s="74">
        <f t="shared" si="341"/>
        <v>641</v>
      </c>
      <c r="W336" s="74">
        <v>0</v>
      </c>
      <c r="X336" s="74">
        <f t="shared" si="342"/>
        <v>641</v>
      </c>
      <c r="Y336" s="74">
        <v>0</v>
      </c>
      <c r="Z336" s="74">
        <f t="shared" si="343"/>
        <v>641</v>
      </c>
      <c r="AA336" s="74">
        <v>0</v>
      </c>
      <c r="AB336" s="74">
        <f t="shared" si="344"/>
        <v>641</v>
      </c>
      <c r="AC336" s="74">
        <v>0</v>
      </c>
      <c r="AD336" s="74">
        <f t="shared" si="345"/>
        <v>641</v>
      </c>
      <c r="AE336" s="74">
        <v>0</v>
      </c>
      <c r="AF336" s="74">
        <f t="shared" si="346"/>
        <v>641</v>
      </c>
      <c r="AG336" s="74">
        <v>-43</v>
      </c>
      <c r="AH336" s="74">
        <f t="shared" si="347"/>
        <v>598</v>
      </c>
    </row>
    <row r="337" spans="1:34" s="27" customFormat="1" ht="24">
      <c r="A337" s="76"/>
      <c r="B337" s="75"/>
      <c r="C337" s="58">
        <v>4370</v>
      </c>
      <c r="D337" s="14" t="s">
        <v>568</v>
      </c>
      <c r="E337" s="74">
        <f>2400+10200+360</f>
        <v>12960</v>
      </c>
      <c r="F337" s="74"/>
      <c r="G337" s="74"/>
      <c r="H337" s="74">
        <f t="shared" si="331"/>
        <v>12960</v>
      </c>
      <c r="I337" s="74"/>
      <c r="J337" s="74">
        <f t="shared" si="324"/>
        <v>12960</v>
      </c>
      <c r="K337" s="74">
        <v>444</v>
      </c>
      <c r="L337" s="74">
        <f t="shared" si="325"/>
        <v>13404</v>
      </c>
      <c r="M337" s="74">
        <v>0</v>
      </c>
      <c r="N337" s="74">
        <f t="shared" si="337"/>
        <v>13404</v>
      </c>
      <c r="O337" s="74">
        <v>0</v>
      </c>
      <c r="P337" s="74">
        <f t="shared" si="338"/>
        <v>13404</v>
      </c>
      <c r="Q337" s="74">
        <v>0</v>
      </c>
      <c r="R337" s="74">
        <f t="shared" si="339"/>
        <v>13404</v>
      </c>
      <c r="S337" s="74">
        <v>0</v>
      </c>
      <c r="T337" s="74">
        <f t="shared" si="340"/>
        <v>13404</v>
      </c>
      <c r="U337" s="74">
        <v>0</v>
      </c>
      <c r="V337" s="74">
        <f t="shared" si="341"/>
        <v>13404</v>
      </c>
      <c r="W337" s="74">
        <v>0</v>
      </c>
      <c r="X337" s="74">
        <f t="shared" si="342"/>
        <v>13404</v>
      </c>
      <c r="Y337" s="74">
        <v>-2500</v>
      </c>
      <c r="Z337" s="74">
        <f t="shared" si="343"/>
        <v>10904</v>
      </c>
      <c r="AA337" s="74">
        <v>0</v>
      </c>
      <c r="AB337" s="74">
        <f t="shared" si="344"/>
        <v>10904</v>
      </c>
      <c r="AC337" s="74">
        <v>0</v>
      </c>
      <c r="AD337" s="74">
        <f t="shared" si="345"/>
        <v>10904</v>
      </c>
      <c r="AE337" s="74">
        <v>-800</v>
      </c>
      <c r="AF337" s="74">
        <f t="shared" si="346"/>
        <v>10104</v>
      </c>
      <c r="AG337" s="74">
        <f>-1688-343</f>
        <v>-2031</v>
      </c>
      <c r="AH337" s="74">
        <f t="shared" si="347"/>
        <v>8073</v>
      </c>
    </row>
    <row r="338" spans="1:34" s="27" customFormat="1" ht="24">
      <c r="A338" s="76"/>
      <c r="B338" s="75"/>
      <c r="C338" s="58">
        <v>4400</v>
      </c>
      <c r="D338" s="14" t="s">
        <v>95</v>
      </c>
      <c r="E338" s="74">
        <f>1922+54307+11378</f>
        <v>67607</v>
      </c>
      <c r="F338" s="74"/>
      <c r="G338" s="74"/>
      <c r="H338" s="74">
        <f t="shared" si="331"/>
        <v>67607</v>
      </c>
      <c r="I338" s="74"/>
      <c r="J338" s="74">
        <f t="shared" si="324"/>
        <v>67607</v>
      </c>
      <c r="K338" s="74">
        <v>0</v>
      </c>
      <c r="L338" s="74">
        <f t="shared" si="325"/>
        <v>67607</v>
      </c>
      <c r="M338" s="74">
        <v>0</v>
      </c>
      <c r="N338" s="74">
        <f t="shared" si="337"/>
        <v>67607</v>
      </c>
      <c r="O338" s="74">
        <v>0</v>
      </c>
      <c r="P338" s="74">
        <f t="shared" si="338"/>
        <v>67607</v>
      </c>
      <c r="Q338" s="74">
        <v>0</v>
      </c>
      <c r="R338" s="74">
        <f t="shared" si="339"/>
        <v>67607</v>
      </c>
      <c r="S338" s="74">
        <v>0</v>
      </c>
      <c r="T338" s="74">
        <f t="shared" si="340"/>
        <v>67607</v>
      </c>
      <c r="U338" s="74">
        <v>0</v>
      </c>
      <c r="V338" s="74">
        <f t="shared" si="341"/>
        <v>67607</v>
      </c>
      <c r="W338" s="74">
        <v>0</v>
      </c>
      <c r="X338" s="74">
        <f t="shared" si="342"/>
        <v>67607</v>
      </c>
      <c r="Y338" s="74">
        <v>0</v>
      </c>
      <c r="Z338" s="74">
        <f t="shared" si="343"/>
        <v>67607</v>
      </c>
      <c r="AA338" s="74">
        <v>0</v>
      </c>
      <c r="AB338" s="74">
        <f t="shared" si="344"/>
        <v>67607</v>
      </c>
      <c r="AC338" s="74">
        <v>0</v>
      </c>
      <c r="AD338" s="74">
        <f t="shared" si="345"/>
        <v>67607</v>
      </c>
      <c r="AE338" s="74">
        <v>-1860</v>
      </c>
      <c r="AF338" s="74">
        <f t="shared" si="346"/>
        <v>65747</v>
      </c>
      <c r="AG338" s="74">
        <v>-890</v>
      </c>
      <c r="AH338" s="74">
        <f t="shared" si="347"/>
        <v>64857</v>
      </c>
    </row>
    <row r="339" spans="1:34" s="27" customFormat="1" ht="21" customHeight="1">
      <c r="A339" s="76"/>
      <c r="B339" s="75"/>
      <c r="C339" s="58">
        <v>4410</v>
      </c>
      <c r="D339" s="14" t="s">
        <v>352</v>
      </c>
      <c r="E339" s="74">
        <f>500+10260</f>
        <v>10760</v>
      </c>
      <c r="F339" s="74"/>
      <c r="G339" s="74"/>
      <c r="H339" s="74">
        <f t="shared" si="331"/>
        <v>10760</v>
      </c>
      <c r="I339" s="74"/>
      <c r="J339" s="74">
        <f t="shared" si="324"/>
        <v>10760</v>
      </c>
      <c r="K339" s="74">
        <v>0</v>
      </c>
      <c r="L339" s="74">
        <f t="shared" si="325"/>
        <v>10760</v>
      </c>
      <c r="M339" s="74">
        <v>0</v>
      </c>
      <c r="N339" s="74">
        <f t="shared" si="337"/>
        <v>10760</v>
      </c>
      <c r="O339" s="74">
        <v>0</v>
      </c>
      <c r="P339" s="74">
        <f t="shared" si="338"/>
        <v>10760</v>
      </c>
      <c r="Q339" s="74">
        <v>300</v>
      </c>
      <c r="R339" s="74">
        <f t="shared" si="339"/>
        <v>11060</v>
      </c>
      <c r="S339" s="74">
        <v>0</v>
      </c>
      <c r="T339" s="74">
        <f t="shared" si="340"/>
        <v>11060</v>
      </c>
      <c r="U339" s="74">
        <v>0</v>
      </c>
      <c r="V339" s="74">
        <f t="shared" si="341"/>
        <v>11060</v>
      </c>
      <c r="W339" s="74">
        <v>0</v>
      </c>
      <c r="X339" s="74">
        <f t="shared" si="342"/>
        <v>11060</v>
      </c>
      <c r="Y339" s="74">
        <v>-3500</v>
      </c>
      <c r="Z339" s="74">
        <f t="shared" si="343"/>
        <v>7560</v>
      </c>
      <c r="AA339" s="74">
        <v>0</v>
      </c>
      <c r="AB339" s="74">
        <f t="shared" si="344"/>
        <v>7560</v>
      </c>
      <c r="AC339" s="74">
        <v>0</v>
      </c>
      <c r="AD339" s="74">
        <f t="shared" si="345"/>
        <v>7560</v>
      </c>
      <c r="AE339" s="74">
        <v>300</v>
      </c>
      <c r="AF339" s="74">
        <f t="shared" si="346"/>
        <v>7860</v>
      </c>
      <c r="AG339" s="74">
        <v>-250</v>
      </c>
      <c r="AH339" s="74">
        <f t="shared" si="347"/>
        <v>7610</v>
      </c>
    </row>
    <row r="340" spans="1:34" s="27" customFormat="1" ht="21" customHeight="1">
      <c r="A340" s="76"/>
      <c r="B340" s="75"/>
      <c r="C340" s="58">
        <v>4430</v>
      </c>
      <c r="D340" s="14" t="s">
        <v>356</v>
      </c>
      <c r="E340" s="74">
        <v>600</v>
      </c>
      <c r="F340" s="74"/>
      <c r="G340" s="74"/>
      <c r="H340" s="74">
        <f t="shared" si="331"/>
        <v>600</v>
      </c>
      <c r="I340" s="74"/>
      <c r="J340" s="74">
        <f t="shared" si="324"/>
        <v>600</v>
      </c>
      <c r="K340" s="74">
        <v>0</v>
      </c>
      <c r="L340" s="74">
        <f t="shared" si="325"/>
        <v>600</v>
      </c>
      <c r="M340" s="74">
        <v>0</v>
      </c>
      <c r="N340" s="74">
        <f t="shared" si="337"/>
        <v>600</v>
      </c>
      <c r="O340" s="74">
        <v>0</v>
      </c>
      <c r="P340" s="74">
        <f t="shared" si="338"/>
        <v>600</v>
      </c>
      <c r="Q340" s="74">
        <v>0</v>
      </c>
      <c r="R340" s="74">
        <f t="shared" si="339"/>
        <v>600</v>
      </c>
      <c r="S340" s="74">
        <v>0</v>
      </c>
      <c r="T340" s="74">
        <f t="shared" si="340"/>
        <v>600</v>
      </c>
      <c r="U340" s="74">
        <v>0</v>
      </c>
      <c r="V340" s="74">
        <f t="shared" si="341"/>
        <v>600</v>
      </c>
      <c r="W340" s="74">
        <v>0</v>
      </c>
      <c r="X340" s="74">
        <f t="shared" si="342"/>
        <v>600</v>
      </c>
      <c r="Y340" s="74">
        <v>0</v>
      </c>
      <c r="Z340" s="74">
        <f t="shared" si="343"/>
        <v>600</v>
      </c>
      <c r="AA340" s="74">
        <v>0</v>
      </c>
      <c r="AB340" s="74">
        <f t="shared" si="344"/>
        <v>600</v>
      </c>
      <c r="AC340" s="74">
        <v>0</v>
      </c>
      <c r="AD340" s="74">
        <f t="shared" si="345"/>
        <v>600</v>
      </c>
      <c r="AE340" s="74">
        <v>1505</v>
      </c>
      <c r="AF340" s="74">
        <f t="shared" si="346"/>
        <v>2105</v>
      </c>
      <c r="AG340" s="74">
        <v>0</v>
      </c>
      <c r="AH340" s="74">
        <f t="shared" si="347"/>
        <v>2105</v>
      </c>
    </row>
    <row r="341" spans="1:34" s="27" customFormat="1" ht="21" customHeight="1">
      <c r="A341" s="76"/>
      <c r="B341" s="75"/>
      <c r="C341" s="58">
        <v>4440</v>
      </c>
      <c r="D341" s="14" t="s">
        <v>349</v>
      </c>
      <c r="E341" s="74">
        <f>776+2327+14690</f>
        <v>17793</v>
      </c>
      <c r="F341" s="74"/>
      <c r="G341" s="74"/>
      <c r="H341" s="74">
        <f t="shared" si="331"/>
        <v>17793</v>
      </c>
      <c r="I341" s="74"/>
      <c r="J341" s="74">
        <f t="shared" si="324"/>
        <v>17793</v>
      </c>
      <c r="K341" s="74">
        <v>0</v>
      </c>
      <c r="L341" s="74">
        <f t="shared" si="325"/>
        <v>17793</v>
      </c>
      <c r="M341" s="74">
        <v>0</v>
      </c>
      <c r="N341" s="74">
        <f t="shared" si="337"/>
        <v>17793</v>
      </c>
      <c r="O341" s="74">
        <v>0</v>
      </c>
      <c r="P341" s="74">
        <f t="shared" si="338"/>
        <v>17793</v>
      </c>
      <c r="Q341" s="74">
        <v>0</v>
      </c>
      <c r="R341" s="74">
        <f t="shared" si="339"/>
        <v>17793</v>
      </c>
      <c r="S341" s="74">
        <v>0</v>
      </c>
      <c r="T341" s="74">
        <f t="shared" si="340"/>
        <v>17793</v>
      </c>
      <c r="U341" s="74">
        <v>0</v>
      </c>
      <c r="V341" s="74">
        <f t="shared" si="341"/>
        <v>17793</v>
      </c>
      <c r="W341" s="74">
        <v>0</v>
      </c>
      <c r="X341" s="74">
        <f t="shared" si="342"/>
        <v>17793</v>
      </c>
      <c r="Y341" s="74">
        <v>0</v>
      </c>
      <c r="Z341" s="74">
        <f t="shared" si="343"/>
        <v>17793</v>
      </c>
      <c r="AA341" s="74">
        <v>0</v>
      </c>
      <c r="AB341" s="74">
        <f t="shared" si="344"/>
        <v>17793</v>
      </c>
      <c r="AC341" s="74">
        <v>0</v>
      </c>
      <c r="AD341" s="74">
        <f t="shared" si="345"/>
        <v>17793</v>
      </c>
      <c r="AE341" s="74">
        <f>-106+87+297</f>
        <v>278</v>
      </c>
      <c r="AF341" s="74">
        <f t="shared" si="346"/>
        <v>18071</v>
      </c>
      <c r="AG341" s="74">
        <v>0</v>
      </c>
      <c r="AH341" s="74">
        <f t="shared" si="347"/>
        <v>18071</v>
      </c>
    </row>
    <row r="342" spans="1:34" s="27" customFormat="1" ht="24" customHeight="1">
      <c r="A342" s="76"/>
      <c r="B342" s="75"/>
      <c r="C342" s="58">
        <v>4700</v>
      </c>
      <c r="D342" s="14" t="s">
        <v>571</v>
      </c>
      <c r="E342" s="74">
        <v>3500</v>
      </c>
      <c r="F342" s="74"/>
      <c r="G342" s="74"/>
      <c r="H342" s="74">
        <f t="shared" si="331"/>
        <v>3500</v>
      </c>
      <c r="I342" s="74"/>
      <c r="J342" s="74">
        <f t="shared" si="324"/>
        <v>3500</v>
      </c>
      <c r="K342" s="74">
        <v>0</v>
      </c>
      <c r="L342" s="74">
        <f t="shared" si="325"/>
        <v>3500</v>
      </c>
      <c r="M342" s="74">
        <v>0</v>
      </c>
      <c r="N342" s="74">
        <f t="shared" si="337"/>
        <v>3500</v>
      </c>
      <c r="O342" s="74">
        <v>0</v>
      </c>
      <c r="P342" s="74">
        <f t="shared" si="338"/>
        <v>3500</v>
      </c>
      <c r="Q342" s="74">
        <f>500-1575</f>
        <v>-1075</v>
      </c>
      <c r="R342" s="74">
        <f t="shared" si="339"/>
        <v>2425</v>
      </c>
      <c r="S342" s="74">
        <v>0</v>
      </c>
      <c r="T342" s="74">
        <f t="shared" si="340"/>
        <v>2425</v>
      </c>
      <c r="U342" s="74">
        <v>0</v>
      </c>
      <c r="V342" s="74">
        <f t="shared" si="341"/>
        <v>2425</v>
      </c>
      <c r="W342" s="74">
        <v>0</v>
      </c>
      <c r="X342" s="74">
        <f t="shared" si="342"/>
        <v>2425</v>
      </c>
      <c r="Y342" s="74">
        <v>0</v>
      </c>
      <c r="Z342" s="74">
        <f t="shared" si="343"/>
        <v>2425</v>
      </c>
      <c r="AA342" s="74">
        <v>0</v>
      </c>
      <c r="AB342" s="74">
        <f t="shared" si="344"/>
        <v>2425</v>
      </c>
      <c r="AC342" s="74">
        <v>0</v>
      </c>
      <c r="AD342" s="74">
        <f t="shared" si="345"/>
        <v>2425</v>
      </c>
      <c r="AE342" s="74">
        <v>-990</v>
      </c>
      <c r="AF342" s="74">
        <f t="shared" si="346"/>
        <v>1435</v>
      </c>
      <c r="AG342" s="74">
        <f>-745-30</f>
        <v>-775</v>
      </c>
      <c r="AH342" s="74">
        <f t="shared" si="347"/>
        <v>660</v>
      </c>
    </row>
    <row r="343" spans="1:34" s="27" customFormat="1" ht="24">
      <c r="A343" s="76"/>
      <c r="B343" s="75"/>
      <c r="C343" s="58">
        <v>4740</v>
      </c>
      <c r="D343" s="14" t="s">
        <v>185</v>
      </c>
      <c r="E343" s="74">
        <f>200+1406</f>
        <v>1606</v>
      </c>
      <c r="F343" s="74"/>
      <c r="G343" s="74"/>
      <c r="H343" s="74">
        <f t="shared" si="331"/>
        <v>1606</v>
      </c>
      <c r="I343" s="74"/>
      <c r="J343" s="74">
        <f t="shared" si="324"/>
        <v>1606</v>
      </c>
      <c r="K343" s="74">
        <v>0</v>
      </c>
      <c r="L343" s="74">
        <f t="shared" si="325"/>
        <v>1606</v>
      </c>
      <c r="M343" s="74">
        <v>0</v>
      </c>
      <c r="N343" s="74">
        <f t="shared" si="337"/>
        <v>1606</v>
      </c>
      <c r="O343" s="74">
        <v>0</v>
      </c>
      <c r="P343" s="74">
        <f t="shared" si="338"/>
        <v>1606</v>
      </c>
      <c r="Q343" s="74">
        <v>0</v>
      </c>
      <c r="R343" s="74">
        <f t="shared" si="339"/>
        <v>1606</v>
      </c>
      <c r="S343" s="74">
        <v>0</v>
      </c>
      <c r="T343" s="74">
        <f t="shared" si="340"/>
        <v>1606</v>
      </c>
      <c r="U343" s="74">
        <v>0</v>
      </c>
      <c r="V343" s="74">
        <f t="shared" si="341"/>
        <v>1606</v>
      </c>
      <c r="W343" s="74">
        <v>0</v>
      </c>
      <c r="X343" s="74">
        <f t="shared" si="342"/>
        <v>1606</v>
      </c>
      <c r="Y343" s="74">
        <v>0</v>
      </c>
      <c r="Z343" s="74">
        <f t="shared" si="343"/>
        <v>1606</v>
      </c>
      <c r="AA343" s="74">
        <v>0</v>
      </c>
      <c r="AB343" s="74">
        <f t="shared" si="344"/>
        <v>1606</v>
      </c>
      <c r="AC343" s="74">
        <v>0</v>
      </c>
      <c r="AD343" s="74">
        <f t="shared" si="345"/>
        <v>1606</v>
      </c>
      <c r="AE343" s="74">
        <v>0</v>
      </c>
      <c r="AF343" s="74">
        <f t="shared" si="346"/>
        <v>1606</v>
      </c>
      <c r="AG343" s="74">
        <v>0</v>
      </c>
      <c r="AH343" s="74">
        <f t="shared" si="347"/>
        <v>1606</v>
      </c>
    </row>
    <row r="344" spans="1:34" s="27" customFormat="1" ht="24">
      <c r="A344" s="76"/>
      <c r="B344" s="75"/>
      <c r="C344" s="58">
        <v>4750</v>
      </c>
      <c r="D344" s="14" t="s">
        <v>572</v>
      </c>
      <c r="E344" s="74">
        <v>710</v>
      </c>
      <c r="F344" s="74"/>
      <c r="G344" s="74"/>
      <c r="H344" s="74">
        <f t="shared" si="331"/>
        <v>710</v>
      </c>
      <c r="I344" s="74"/>
      <c r="J344" s="74">
        <f t="shared" si="324"/>
        <v>710</v>
      </c>
      <c r="K344" s="74">
        <v>0</v>
      </c>
      <c r="L344" s="74">
        <f t="shared" si="325"/>
        <v>710</v>
      </c>
      <c r="M344" s="74">
        <v>0</v>
      </c>
      <c r="N344" s="74">
        <f t="shared" si="337"/>
        <v>710</v>
      </c>
      <c r="O344" s="74">
        <v>0</v>
      </c>
      <c r="P344" s="74">
        <f t="shared" si="338"/>
        <v>710</v>
      </c>
      <c r="Q344" s="74">
        <v>1000</v>
      </c>
      <c r="R344" s="74">
        <f t="shared" si="339"/>
        <v>1710</v>
      </c>
      <c r="S344" s="74">
        <v>0</v>
      </c>
      <c r="T344" s="74">
        <f t="shared" si="340"/>
        <v>1710</v>
      </c>
      <c r="U344" s="74">
        <v>0</v>
      </c>
      <c r="V344" s="74">
        <f t="shared" si="341"/>
        <v>1710</v>
      </c>
      <c r="W344" s="74">
        <v>0</v>
      </c>
      <c r="X344" s="74">
        <f t="shared" si="342"/>
        <v>1710</v>
      </c>
      <c r="Y344" s="74">
        <v>0</v>
      </c>
      <c r="Z344" s="74">
        <f t="shared" si="343"/>
        <v>1710</v>
      </c>
      <c r="AA344" s="74">
        <v>0</v>
      </c>
      <c r="AB344" s="74">
        <f t="shared" si="344"/>
        <v>1710</v>
      </c>
      <c r="AC344" s="74">
        <v>0</v>
      </c>
      <c r="AD344" s="74">
        <f t="shared" si="345"/>
        <v>1710</v>
      </c>
      <c r="AE344" s="74">
        <v>0</v>
      </c>
      <c r="AF344" s="74">
        <f t="shared" si="346"/>
        <v>1710</v>
      </c>
      <c r="AG344" s="74">
        <v>1379</v>
      </c>
      <c r="AH344" s="74">
        <f t="shared" si="347"/>
        <v>3089</v>
      </c>
    </row>
    <row r="345" spans="1:38" s="27" customFormat="1" ht="21" customHeight="1">
      <c r="A345" s="76"/>
      <c r="B345" s="75"/>
      <c r="C345" s="58">
        <v>6060</v>
      </c>
      <c r="D345" s="14" t="s">
        <v>358</v>
      </c>
      <c r="E345" s="74">
        <f>9750+8800</f>
        <v>18550</v>
      </c>
      <c r="F345" s="74"/>
      <c r="G345" s="74"/>
      <c r="H345" s="74">
        <f t="shared" si="331"/>
        <v>18550</v>
      </c>
      <c r="I345" s="74"/>
      <c r="J345" s="74">
        <f t="shared" si="324"/>
        <v>18550</v>
      </c>
      <c r="K345" s="74">
        <v>0</v>
      </c>
      <c r="L345" s="74">
        <f t="shared" si="325"/>
        <v>18550</v>
      </c>
      <c r="M345" s="74">
        <v>0</v>
      </c>
      <c r="N345" s="74">
        <f t="shared" si="337"/>
        <v>18550</v>
      </c>
      <c r="O345" s="74">
        <v>0</v>
      </c>
      <c r="P345" s="74">
        <f t="shared" si="338"/>
        <v>18550</v>
      </c>
      <c r="Q345" s="74">
        <v>0</v>
      </c>
      <c r="R345" s="74">
        <f t="shared" si="339"/>
        <v>18550</v>
      </c>
      <c r="S345" s="74">
        <v>0</v>
      </c>
      <c r="T345" s="74">
        <f t="shared" si="340"/>
        <v>18550</v>
      </c>
      <c r="U345" s="74">
        <v>0</v>
      </c>
      <c r="V345" s="74">
        <f t="shared" si="341"/>
        <v>18550</v>
      </c>
      <c r="W345" s="74">
        <v>0</v>
      </c>
      <c r="X345" s="74">
        <f t="shared" si="342"/>
        <v>18550</v>
      </c>
      <c r="Y345" s="74">
        <v>0</v>
      </c>
      <c r="Z345" s="74">
        <f t="shared" si="343"/>
        <v>18550</v>
      </c>
      <c r="AA345" s="74">
        <v>0</v>
      </c>
      <c r="AB345" s="74">
        <f t="shared" si="344"/>
        <v>18550</v>
      </c>
      <c r="AC345" s="74">
        <v>0</v>
      </c>
      <c r="AD345" s="74">
        <f t="shared" si="345"/>
        <v>18550</v>
      </c>
      <c r="AE345" s="74">
        <f>-2539-139</f>
        <v>-2678</v>
      </c>
      <c r="AF345" s="74">
        <f t="shared" si="346"/>
        <v>15872</v>
      </c>
      <c r="AG345" s="74">
        <v>0</v>
      </c>
      <c r="AH345" s="74">
        <f t="shared" si="347"/>
        <v>15872</v>
      </c>
      <c r="AK345" s="119"/>
      <c r="AL345" s="119"/>
    </row>
    <row r="346" spans="1:34" s="27" customFormat="1" ht="21.75" customHeight="1">
      <c r="A346" s="76"/>
      <c r="B346" s="75">
        <v>85228</v>
      </c>
      <c r="C346" s="58"/>
      <c r="D346" s="14" t="s">
        <v>385</v>
      </c>
      <c r="E346" s="74">
        <f>SUM(E347)</f>
        <v>140000</v>
      </c>
      <c r="F346" s="74">
        <f>SUM(F347)</f>
        <v>0</v>
      </c>
      <c r="G346" s="74">
        <f>SUM(G347)</f>
        <v>0</v>
      </c>
      <c r="H346" s="74">
        <f t="shared" si="331"/>
        <v>140000</v>
      </c>
      <c r="I346" s="74">
        <f aca="true" t="shared" si="348" ref="I346:AH346">SUM(I347)</f>
        <v>0</v>
      </c>
      <c r="J346" s="74">
        <f t="shared" si="348"/>
        <v>140000</v>
      </c>
      <c r="K346" s="74">
        <f t="shared" si="348"/>
        <v>0</v>
      </c>
      <c r="L346" s="74">
        <f t="shared" si="348"/>
        <v>140000</v>
      </c>
      <c r="M346" s="74">
        <f t="shared" si="348"/>
        <v>0</v>
      </c>
      <c r="N346" s="74">
        <f t="shared" si="348"/>
        <v>140000</v>
      </c>
      <c r="O346" s="74">
        <f t="shared" si="348"/>
        <v>0</v>
      </c>
      <c r="P346" s="74">
        <f t="shared" si="348"/>
        <v>140000</v>
      </c>
      <c r="Q346" s="74">
        <f t="shared" si="348"/>
        <v>0</v>
      </c>
      <c r="R346" s="74">
        <f t="shared" si="348"/>
        <v>140000</v>
      </c>
      <c r="S346" s="74">
        <f t="shared" si="348"/>
        <v>0</v>
      </c>
      <c r="T346" s="74">
        <f t="shared" si="348"/>
        <v>140000</v>
      </c>
      <c r="U346" s="74">
        <f t="shared" si="348"/>
        <v>0</v>
      </c>
      <c r="V346" s="74">
        <f t="shared" si="348"/>
        <v>140000</v>
      </c>
      <c r="W346" s="74">
        <f t="shared" si="348"/>
        <v>0</v>
      </c>
      <c r="X346" s="74">
        <f t="shared" si="348"/>
        <v>140000</v>
      </c>
      <c r="Y346" s="74">
        <f t="shared" si="348"/>
        <v>0</v>
      </c>
      <c r="Z346" s="74">
        <f t="shared" si="348"/>
        <v>140000</v>
      </c>
      <c r="AA346" s="74">
        <f t="shared" si="348"/>
        <v>0</v>
      </c>
      <c r="AB346" s="74">
        <f t="shared" si="348"/>
        <v>140000</v>
      </c>
      <c r="AC346" s="74">
        <f t="shared" si="348"/>
        <v>0</v>
      </c>
      <c r="AD346" s="74">
        <f t="shared" si="348"/>
        <v>140000</v>
      </c>
      <c r="AE346" s="74">
        <f t="shared" si="348"/>
        <v>7000</v>
      </c>
      <c r="AF346" s="74">
        <f t="shared" si="348"/>
        <v>147000</v>
      </c>
      <c r="AG346" s="74">
        <f t="shared" si="348"/>
        <v>0</v>
      </c>
      <c r="AH346" s="74">
        <f t="shared" si="348"/>
        <v>147000</v>
      </c>
    </row>
    <row r="347" spans="1:34" s="27" customFormat="1" ht="21" customHeight="1">
      <c r="A347" s="76"/>
      <c r="B347" s="75"/>
      <c r="C347" s="58">
        <v>4300</v>
      </c>
      <c r="D347" s="14" t="s">
        <v>340</v>
      </c>
      <c r="E347" s="74">
        <v>140000</v>
      </c>
      <c r="F347" s="74"/>
      <c r="G347" s="74"/>
      <c r="H347" s="74">
        <f t="shared" si="331"/>
        <v>140000</v>
      </c>
      <c r="I347" s="74"/>
      <c r="J347" s="74">
        <f t="shared" si="324"/>
        <v>140000</v>
      </c>
      <c r="K347" s="74">
        <v>0</v>
      </c>
      <c r="L347" s="74">
        <f t="shared" si="325"/>
        <v>140000</v>
      </c>
      <c r="M347" s="74">
        <v>0</v>
      </c>
      <c r="N347" s="74">
        <f>SUM(L347:M347)</f>
        <v>140000</v>
      </c>
      <c r="O347" s="74">
        <v>0</v>
      </c>
      <c r="P347" s="74">
        <f>SUM(N347:O347)</f>
        <v>140000</v>
      </c>
      <c r="Q347" s="74">
        <v>0</v>
      </c>
      <c r="R347" s="74">
        <f>SUM(P347:Q347)</f>
        <v>140000</v>
      </c>
      <c r="S347" s="74">
        <v>0</v>
      </c>
      <c r="T347" s="74">
        <f>SUM(R347:S347)</f>
        <v>140000</v>
      </c>
      <c r="U347" s="74">
        <v>0</v>
      </c>
      <c r="V347" s="74">
        <f>SUM(T347:U347)</f>
        <v>140000</v>
      </c>
      <c r="W347" s="74">
        <v>0</v>
      </c>
      <c r="X347" s="74">
        <f>SUM(V347:W347)</f>
        <v>140000</v>
      </c>
      <c r="Y347" s="74">
        <v>0</v>
      </c>
      <c r="Z347" s="74">
        <f>SUM(X347:Y347)</f>
        <v>140000</v>
      </c>
      <c r="AA347" s="74">
        <v>0</v>
      </c>
      <c r="AB347" s="74">
        <f>SUM(Z347:AA347)</f>
        <v>140000</v>
      </c>
      <c r="AC347" s="74">
        <v>0</v>
      </c>
      <c r="AD347" s="74">
        <f>SUM(AB347:AC347)</f>
        <v>140000</v>
      </c>
      <c r="AE347" s="74">
        <v>7000</v>
      </c>
      <c r="AF347" s="74">
        <f>SUM(AD347:AE347)</f>
        <v>147000</v>
      </c>
      <c r="AG347" s="74">
        <v>0</v>
      </c>
      <c r="AH347" s="74">
        <f>SUM(AF347:AG347)</f>
        <v>147000</v>
      </c>
    </row>
    <row r="348" spans="1:34" s="27" customFormat="1" ht="21.75" customHeight="1">
      <c r="A348" s="76"/>
      <c r="B348" s="75" t="s">
        <v>434</v>
      </c>
      <c r="C348" s="58"/>
      <c r="D348" s="14" t="s">
        <v>250</v>
      </c>
      <c r="E348" s="74">
        <f>SUM(E349:E351)</f>
        <v>333720</v>
      </c>
      <c r="F348" s="74">
        <f>SUM(F349:F351)</f>
        <v>0</v>
      </c>
      <c r="G348" s="74">
        <f>SUM(G349:G351)</f>
        <v>0</v>
      </c>
      <c r="H348" s="74">
        <f t="shared" si="331"/>
        <v>333720</v>
      </c>
      <c r="I348" s="74">
        <f aca="true" t="shared" si="349" ref="I348:N348">SUM(I349:I351)</f>
        <v>0</v>
      </c>
      <c r="J348" s="74">
        <f t="shared" si="349"/>
        <v>333720</v>
      </c>
      <c r="K348" s="74">
        <f t="shared" si="349"/>
        <v>0</v>
      </c>
      <c r="L348" s="74">
        <f t="shared" si="349"/>
        <v>333720</v>
      </c>
      <c r="M348" s="74">
        <f t="shared" si="349"/>
        <v>234778</v>
      </c>
      <c r="N348" s="74">
        <f t="shared" si="349"/>
        <v>568498</v>
      </c>
      <c r="O348" s="74">
        <f aca="true" t="shared" si="350" ref="O348:T348">SUM(O349:O351)</f>
        <v>10000</v>
      </c>
      <c r="P348" s="74">
        <f t="shared" si="350"/>
        <v>578498</v>
      </c>
      <c r="Q348" s="74">
        <f t="shared" si="350"/>
        <v>0</v>
      </c>
      <c r="R348" s="74">
        <f t="shared" si="350"/>
        <v>578498</v>
      </c>
      <c r="S348" s="74">
        <f t="shared" si="350"/>
        <v>0</v>
      </c>
      <c r="T348" s="74">
        <f t="shared" si="350"/>
        <v>578498</v>
      </c>
      <c r="U348" s="74">
        <f>SUM(U349:U351)</f>
        <v>160521</v>
      </c>
      <c r="V348" s="74">
        <f aca="true" t="shared" si="351" ref="V348:AB348">SUM(V349:V352)</f>
        <v>739019</v>
      </c>
      <c r="W348" s="74">
        <f t="shared" si="351"/>
        <v>37492</v>
      </c>
      <c r="X348" s="74">
        <f t="shared" si="351"/>
        <v>776511</v>
      </c>
      <c r="Y348" s="74">
        <f t="shared" si="351"/>
        <v>0</v>
      </c>
      <c r="Z348" s="74">
        <f t="shared" si="351"/>
        <v>776511</v>
      </c>
      <c r="AA348" s="74">
        <f t="shared" si="351"/>
        <v>225925</v>
      </c>
      <c r="AB348" s="74">
        <f t="shared" si="351"/>
        <v>1002436</v>
      </c>
      <c r="AC348" s="74">
        <f aca="true" t="shared" si="352" ref="AC348:AH348">SUM(AC349:AC352)</f>
        <v>0</v>
      </c>
      <c r="AD348" s="74">
        <f t="shared" si="352"/>
        <v>1002436</v>
      </c>
      <c r="AE348" s="74">
        <f t="shared" si="352"/>
        <v>-3717</v>
      </c>
      <c r="AF348" s="74">
        <f t="shared" si="352"/>
        <v>998719</v>
      </c>
      <c r="AG348" s="74">
        <f t="shared" si="352"/>
        <v>0</v>
      </c>
      <c r="AH348" s="74">
        <f t="shared" si="352"/>
        <v>998719</v>
      </c>
    </row>
    <row r="349" spans="1:34" s="27" customFormat="1" ht="21" customHeight="1">
      <c r="A349" s="76"/>
      <c r="B349" s="75"/>
      <c r="C349" s="58">
        <v>3110</v>
      </c>
      <c r="D349" s="14" t="s">
        <v>376</v>
      </c>
      <c r="E349" s="74">
        <v>328200</v>
      </c>
      <c r="F349" s="74"/>
      <c r="G349" s="74"/>
      <c r="H349" s="74">
        <f t="shared" si="331"/>
        <v>328200</v>
      </c>
      <c r="I349" s="74"/>
      <c r="J349" s="74">
        <f t="shared" si="324"/>
        <v>328200</v>
      </c>
      <c r="K349" s="74">
        <v>0</v>
      </c>
      <c r="L349" s="74">
        <f t="shared" si="325"/>
        <v>328200</v>
      </c>
      <c r="M349" s="74">
        <v>234778</v>
      </c>
      <c r="N349" s="74">
        <f>SUM(L349:M349)</f>
        <v>562978</v>
      </c>
      <c r="O349" s="74">
        <v>10000</v>
      </c>
      <c r="P349" s="74">
        <f>SUM(N349:O349)</f>
        <v>572978</v>
      </c>
      <c r="Q349" s="74"/>
      <c r="R349" s="74">
        <f>SUM(P349:Q349)</f>
        <v>572978</v>
      </c>
      <c r="S349" s="74">
        <v>0</v>
      </c>
      <c r="T349" s="74">
        <f>SUM(R349:S349)</f>
        <v>572978</v>
      </c>
      <c r="U349" s="74">
        <v>160521</v>
      </c>
      <c r="V349" s="74">
        <f>SUM(T349:U349)</f>
        <v>733499</v>
      </c>
      <c r="W349" s="74">
        <v>0</v>
      </c>
      <c r="X349" s="74">
        <f>SUM(V349:W349)</f>
        <v>733499</v>
      </c>
      <c r="Y349" s="74">
        <v>0</v>
      </c>
      <c r="Z349" s="74">
        <f>SUM(X349:Y349)</f>
        <v>733499</v>
      </c>
      <c r="AA349" s="74">
        <v>225925</v>
      </c>
      <c r="AB349" s="74">
        <f>SUM(Z349:AA349)</f>
        <v>959424</v>
      </c>
      <c r="AC349" s="74">
        <v>0</v>
      </c>
      <c r="AD349" s="74">
        <f>SUM(AB349:AC349)</f>
        <v>959424</v>
      </c>
      <c r="AE349" s="74">
        <v>0</v>
      </c>
      <c r="AF349" s="74">
        <f>SUM(AD349:AE349)</f>
        <v>959424</v>
      </c>
      <c r="AG349" s="74">
        <v>0</v>
      </c>
      <c r="AH349" s="74">
        <f>SUM(AF349:AG349)</f>
        <v>959424</v>
      </c>
    </row>
    <row r="350" spans="1:34" s="27" customFormat="1" ht="36">
      <c r="A350" s="76"/>
      <c r="B350" s="75"/>
      <c r="C350" s="58">
        <v>2910</v>
      </c>
      <c r="D350" s="14" t="s">
        <v>178</v>
      </c>
      <c r="E350" s="74"/>
      <c r="F350" s="74"/>
      <c r="G350" s="74"/>
      <c r="H350" s="74"/>
      <c r="I350" s="74"/>
      <c r="J350" s="74"/>
      <c r="K350" s="74"/>
      <c r="L350" s="74"/>
      <c r="M350" s="74"/>
      <c r="N350" s="74"/>
      <c r="O350" s="74"/>
      <c r="P350" s="74"/>
      <c r="Q350" s="74"/>
      <c r="R350" s="74"/>
      <c r="S350" s="74"/>
      <c r="T350" s="74"/>
      <c r="U350" s="74"/>
      <c r="V350" s="74">
        <v>0</v>
      </c>
      <c r="W350" s="74">
        <v>35849</v>
      </c>
      <c r="X350" s="74">
        <f>SUM(V350:W350)</f>
        <v>35849</v>
      </c>
      <c r="Y350" s="74">
        <v>0</v>
      </c>
      <c r="Z350" s="74">
        <f>SUM(X350:Y350)</f>
        <v>35849</v>
      </c>
      <c r="AA350" s="74">
        <v>0</v>
      </c>
      <c r="AB350" s="74">
        <f>SUM(Z350:AA350)</f>
        <v>35849</v>
      </c>
      <c r="AC350" s="74">
        <v>0</v>
      </c>
      <c r="AD350" s="74">
        <f>SUM(AB350:AC350)</f>
        <v>35849</v>
      </c>
      <c r="AE350" s="74">
        <v>-3554</v>
      </c>
      <c r="AF350" s="74">
        <f>SUM(AD350:AE350)</f>
        <v>32295</v>
      </c>
      <c r="AG350" s="74">
        <v>0</v>
      </c>
      <c r="AH350" s="74">
        <f>SUM(AF350:AG350)</f>
        <v>32295</v>
      </c>
    </row>
    <row r="351" spans="1:34" s="27" customFormat="1" ht="21" customHeight="1">
      <c r="A351" s="76"/>
      <c r="B351" s="75"/>
      <c r="C351" s="58">
        <v>4430</v>
      </c>
      <c r="D351" s="14" t="s">
        <v>356</v>
      </c>
      <c r="E351" s="74">
        <v>5520</v>
      </c>
      <c r="F351" s="74"/>
      <c r="G351" s="74"/>
      <c r="H351" s="74">
        <f t="shared" si="331"/>
        <v>5520</v>
      </c>
      <c r="I351" s="74"/>
      <c r="J351" s="74">
        <f t="shared" si="324"/>
        <v>5520</v>
      </c>
      <c r="K351" s="74">
        <v>0</v>
      </c>
      <c r="L351" s="74">
        <f t="shared" si="325"/>
        <v>5520</v>
      </c>
      <c r="M351" s="74">
        <v>0</v>
      </c>
      <c r="N351" s="74">
        <f>SUM(L351:M351)</f>
        <v>5520</v>
      </c>
      <c r="O351" s="74">
        <v>0</v>
      </c>
      <c r="P351" s="74">
        <f>SUM(N351:O351)</f>
        <v>5520</v>
      </c>
      <c r="Q351" s="74">
        <v>0</v>
      </c>
      <c r="R351" s="74">
        <f>SUM(P351:Q351)</f>
        <v>5520</v>
      </c>
      <c r="S351" s="74">
        <v>0</v>
      </c>
      <c r="T351" s="74">
        <f>SUM(R351:S351)</f>
        <v>5520</v>
      </c>
      <c r="U351" s="74">
        <v>0</v>
      </c>
      <c r="V351" s="74">
        <f>SUM(T351:U351)</f>
        <v>5520</v>
      </c>
      <c r="W351" s="74">
        <v>0</v>
      </c>
      <c r="X351" s="74">
        <f>SUM(V351:W351)</f>
        <v>5520</v>
      </c>
      <c r="Y351" s="74">
        <v>0</v>
      </c>
      <c r="Z351" s="74">
        <f>SUM(X351:Y351)</f>
        <v>5520</v>
      </c>
      <c r="AA351" s="74">
        <v>0</v>
      </c>
      <c r="AB351" s="74">
        <f>SUM(Z351:AA351)</f>
        <v>5520</v>
      </c>
      <c r="AC351" s="74">
        <v>0</v>
      </c>
      <c r="AD351" s="74">
        <f>SUM(AB351:AC351)</f>
        <v>5520</v>
      </c>
      <c r="AE351" s="74">
        <v>0</v>
      </c>
      <c r="AF351" s="74">
        <f>SUM(AD351:AE351)</f>
        <v>5520</v>
      </c>
      <c r="AG351" s="74">
        <v>0</v>
      </c>
      <c r="AH351" s="74">
        <f>SUM(AF351:AG351)</f>
        <v>5520</v>
      </c>
    </row>
    <row r="352" spans="1:34" s="27" customFormat="1" ht="36">
      <c r="A352" s="76"/>
      <c r="B352" s="75"/>
      <c r="C352" s="58">
        <v>4560</v>
      </c>
      <c r="D352" s="14" t="s">
        <v>177</v>
      </c>
      <c r="E352" s="74"/>
      <c r="F352" s="74"/>
      <c r="G352" s="74"/>
      <c r="H352" s="74"/>
      <c r="I352" s="74"/>
      <c r="J352" s="74"/>
      <c r="K352" s="74"/>
      <c r="L352" s="74"/>
      <c r="M352" s="74"/>
      <c r="N352" s="74"/>
      <c r="O352" s="74"/>
      <c r="P352" s="74"/>
      <c r="Q352" s="74"/>
      <c r="R352" s="74"/>
      <c r="S352" s="74"/>
      <c r="T352" s="74"/>
      <c r="U352" s="74"/>
      <c r="V352" s="74">
        <v>0</v>
      </c>
      <c r="W352" s="74">
        <v>1643</v>
      </c>
      <c r="X352" s="74">
        <f>SUM(V352:W352)</f>
        <v>1643</v>
      </c>
      <c r="Y352" s="74">
        <v>0</v>
      </c>
      <c r="Z352" s="74">
        <f>SUM(X352:Y352)</f>
        <v>1643</v>
      </c>
      <c r="AA352" s="74">
        <v>0</v>
      </c>
      <c r="AB352" s="74">
        <f>SUM(Z352:AA352)</f>
        <v>1643</v>
      </c>
      <c r="AC352" s="74">
        <v>0</v>
      </c>
      <c r="AD352" s="74">
        <f>SUM(AB352:AC352)</f>
        <v>1643</v>
      </c>
      <c r="AE352" s="74">
        <v>-163</v>
      </c>
      <c r="AF352" s="74">
        <f>SUM(AD352:AE352)</f>
        <v>1480</v>
      </c>
      <c r="AG352" s="74">
        <v>0</v>
      </c>
      <c r="AH352" s="74">
        <f>SUM(AF352:AG352)</f>
        <v>1480</v>
      </c>
    </row>
    <row r="353" spans="1:34" s="43" customFormat="1" ht="26.25" customHeight="1">
      <c r="A353" s="36">
        <v>853</v>
      </c>
      <c r="B353" s="33"/>
      <c r="C353" s="5"/>
      <c r="D353" s="22" t="s">
        <v>153</v>
      </c>
      <c r="E353" s="271"/>
      <c r="F353" s="271"/>
      <c r="G353" s="271"/>
      <c r="H353" s="271"/>
      <c r="I353" s="271"/>
      <c r="J353" s="271"/>
      <c r="K353" s="271"/>
      <c r="L353" s="271"/>
      <c r="M353" s="271"/>
      <c r="N353" s="271"/>
      <c r="O353" s="271"/>
      <c r="P353" s="271">
        <f aca="true" t="shared" si="353" ref="P353:AG354">SUM(P354)</f>
        <v>0</v>
      </c>
      <c r="Q353" s="271">
        <f t="shared" si="353"/>
        <v>5352</v>
      </c>
      <c r="R353" s="271">
        <f t="shared" si="353"/>
        <v>5352</v>
      </c>
      <c r="S353" s="271">
        <f t="shared" si="353"/>
        <v>0</v>
      </c>
      <c r="T353" s="271">
        <f t="shared" si="353"/>
        <v>5352</v>
      </c>
      <c r="U353" s="271">
        <f t="shared" si="353"/>
        <v>0</v>
      </c>
      <c r="V353" s="271">
        <f t="shared" si="353"/>
        <v>5352</v>
      </c>
      <c r="W353" s="271">
        <f t="shared" si="353"/>
        <v>0</v>
      </c>
      <c r="X353" s="271">
        <f t="shared" si="353"/>
        <v>5352</v>
      </c>
      <c r="Y353" s="271">
        <f t="shared" si="353"/>
        <v>0</v>
      </c>
      <c r="Z353" s="271">
        <f t="shared" si="353"/>
        <v>5352</v>
      </c>
      <c r="AA353" s="271">
        <f t="shared" si="353"/>
        <v>0</v>
      </c>
      <c r="AB353" s="271">
        <f t="shared" si="353"/>
        <v>5352</v>
      </c>
      <c r="AC353" s="271">
        <f t="shared" si="353"/>
        <v>0</v>
      </c>
      <c r="AD353" s="271">
        <f t="shared" si="353"/>
        <v>5352</v>
      </c>
      <c r="AE353" s="271">
        <f t="shared" si="353"/>
        <v>0</v>
      </c>
      <c r="AF353" s="271">
        <f>SUM(AF354)</f>
        <v>5352</v>
      </c>
      <c r="AG353" s="271">
        <f t="shared" si="353"/>
        <v>0</v>
      </c>
      <c r="AH353" s="271">
        <f>SUM(AH354)</f>
        <v>5352</v>
      </c>
    </row>
    <row r="354" spans="1:34" s="27" customFormat="1" ht="21" customHeight="1">
      <c r="A354" s="76"/>
      <c r="B354" s="75">
        <v>85311</v>
      </c>
      <c r="C354" s="58"/>
      <c r="D354" s="14" t="s">
        <v>156</v>
      </c>
      <c r="E354" s="74"/>
      <c r="F354" s="74"/>
      <c r="G354" s="74"/>
      <c r="H354" s="74"/>
      <c r="I354" s="74"/>
      <c r="J354" s="74"/>
      <c r="K354" s="74"/>
      <c r="L354" s="74"/>
      <c r="M354" s="74"/>
      <c r="N354" s="74"/>
      <c r="O354" s="74"/>
      <c r="P354" s="74">
        <f t="shared" si="353"/>
        <v>0</v>
      </c>
      <c r="Q354" s="74">
        <f t="shared" si="353"/>
        <v>5352</v>
      </c>
      <c r="R354" s="74">
        <f t="shared" si="353"/>
        <v>5352</v>
      </c>
      <c r="S354" s="74">
        <f t="shared" si="353"/>
        <v>0</v>
      </c>
      <c r="T354" s="74">
        <f t="shared" si="353"/>
        <v>5352</v>
      </c>
      <c r="U354" s="74">
        <f t="shared" si="353"/>
        <v>0</v>
      </c>
      <c r="V354" s="74">
        <f t="shared" si="353"/>
        <v>5352</v>
      </c>
      <c r="W354" s="74">
        <f t="shared" si="353"/>
        <v>0</v>
      </c>
      <c r="X354" s="74">
        <f t="shared" si="353"/>
        <v>5352</v>
      </c>
      <c r="Y354" s="74">
        <f t="shared" si="353"/>
        <v>0</v>
      </c>
      <c r="Z354" s="74">
        <f t="shared" si="353"/>
        <v>5352</v>
      </c>
      <c r="AA354" s="74">
        <f t="shared" si="353"/>
        <v>0</v>
      </c>
      <c r="AB354" s="74">
        <f t="shared" si="353"/>
        <v>5352</v>
      </c>
      <c r="AC354" s="74">
        <f t="shared" si="353"/>
        <v>0</v>
      </c>
      <c r="AD354" s="74">
        <f t="shared" si="353"/>
        <v>5352</v>
      </c>
      <c r="AE354" s="74">
        <f>SUM(AE355)</f>
        <v>0</v>
      </c>
      <c r="AF354" s="74">
        <f>SUM(AF355)</f>
        <v>5352</v>
      </c>
      <c r="AG354" s="74">
        <f>SUM(AG355)</f>
        <v>0</v>
      </c>
      <c r="AH354" s="74">
        <f>SUM(AH355)</f>
        <v>5352</v>
      </c>
    </row>
    <row r="355" spans="1:34" s="27" customFormat="1" ht="48">
      <c r="A355" s="76"/>
      <c r="B355" s="75"/>
      <c r="C355" s="58">
        <v>2710</v>
      </c>
      <c r="D355" s="14" t="s">
        <v>44</v>
      </c>
      <c r="E355" s="74"/>
      <c r="F355" s="74"/>
      <c r="G355" s="74"/>
      <c r="H355" s="74"/>
      <c r="I355" s="74"/>
      <c r="J355" s="74"/>
      <c r="K355" s="74"/>
      <c r="L355" s="74"/>
      <c r="M355" s="74"/>
      <c r="N355" s="74"/>
      <c r="O355" s="74"/>
      <c r="P355" s="74">
        <v>0</v>
      </c>
      <c r="Q355" s="74">
        <v>5352</v>
      </c>
      <c r="R355" s="74">
        <f>SUM(P355:Q355)</f>
        <v>5352</v>
      </c>
      <c r="S355" s="74">
        <v>0</v>
      </c>
      <c r="T355" s="74">
        <f>SUM(R355:S355)</f>
        <v>5352</v>
      </c>
      <c r="U355" s="74">
        <v>0</v>
      </c>
      <c r="V355" s="74">
        <f>SUM(T355:U355)</f>
        <v>5352</v>
      </c>
      <c r="W355" s="74">
        <v>0</v>
      </c>
      <c r="X355" s="74">
        <f>SUM(V355:W355)</f>
        <v>5352</v>
      </c>
      <c r="Y355" s="74">
        <v>0</v>
      </c>
      <c r="Z355" s="74">
        <f>SUM(X355:Y355)</f>
        <v>5352</v>
      </c>
      <c r="AA355" s="74">
        <v>0</v>
      </c>
      <c r="AB355" s="74">
        <f>SUM(Z355:AA355)</f>
        <v>5352</v>
      </c>
      <c r="AC355" s="74">
        <v>0</v>
      </c>
      <c r="AD355" s="74">
        <f>SUM(AB355:AC355)</f>
        <v>5352</v>
      </c>
      <c r="AE355" s="74">
        <v>0</v>
      </c>
      <c r="AF355" s="74">
        <f>SUM(AD355:AE355)</f>
        <v>5352</v>
      </c>
      <c r="AG355" s="74">
        <v>0</v>
      </c>
      <c r="AH355" s="74">
        <f>SUM(AF355:AG355)</f>
        <v>5352</v>
      </c>
    </row>
    <row r="356" spans="1:34" s="8" customFormat="1" ht="24.75" customHeight="1">
      <c r="A356" s="36" t="s">
        <v>386</v>
      </c>
      <c r="B356" s="6"/>
      <c r="C356" s="5"/>
      <c r="D356" s="22" t="s">
        <v>320</v>
      </c>
      <c r="E356" s="271">
        <f>SUM(E357,E373,E391,E388,E380)</f>
        <v>1173390</v>
      </c>
      <c r="F356" s="271">
        <f>SUM(F357,F373,F391,F388,F380)</f>
        <v>0</v>
      </c>
      <c r="G356" s="271">
        <f>SUM(G357,G373,G391,G388,G380)</f>
        <v>70000</v>
      </c>
      <c r="H356" s="271">
        <f aca="true" t="shared" si="354" ref="H356:H381">E356+F356-G356</f>
        <v>1103390</v>
      </c>
      <c r="I356" s="271">
        <f>SUM(I357,I373,I391,I388,I380)</f>
        <v>0</v>
      </c>
      <c r="J356" s="271">
        <f aca="true" t="shared" si="355" ref="J356:P356">SUM(J357,J373,J380,J388,J391,)</f>
        <v>1103390</v>
      </c>
      <c r="K356" s="271">
        <f t="shared" si="355"/>
        <v>252197</v>
      </c>
      <c r="L356" s="271">
        <f t="shared" si="355"/>
        <v>1355587</v>
      </c>
      <c r="M356" s="271">
        <f t="shared" si="355"/>
        <v>0</v>
      </c>
      <c r="N356" s="271">
        <f t="shared" si="355"/>
        <v>1355587</v>
      </c>
      <c r="O356" s="271">
        <f t="shared" si="355"/>
        <v>-500</v>
      </c>
      <c r="P356" s="271">
        <f t="shared" si="355"/>
        <v>1355087</v>
      </c>
      <c r="Q356" s="271">
        <f>SUM(Q357,Q373,Q380,Q388,Q391,)</f>
        <v>60224</v>
      </c>
      <c r="R356" s="271">
        <f>SUM(R357,R373,R380,R388,R391,)</f>
        <v>1415311</v>
      </c>
      <c r="S356" s="271">
        <f>SUM(S357,S373,S380,S388,S391,)</f>
        <v>0</v>
      </c>
      <c r="T356" s="271">
        <f>SUM(T357,T373,T380,T388,T391,)</f>
        <v>1415311</v>
      </c>
      <c r="U356" s="271">
        <f>SUM(U357,U373,U380,U388,U391,)</f>
        <v>56396</v>
      </c>
      <c r="V356" s="271">
        <f aca="true" t="shared" si="356" ref="V356:AB356">SUM(V357,V373,V380,V388,V391,V371)</f>
        <v>1471707</v>
      </c>
      <c r="W356" s="271">
        <f t="shared" si="356"/>
        <v>44338</v>
      </c>
      <c r="X356" s="271">
        <f t="shared" si="356"/>
        <v>1516045</v>
      </c>
      <c r="Y356" s="271">
        <f t="shared" si="356"/>
        <v>0</v>
      </c>
      <c r="Z356" s="271">
        <f t="shared" si="356"/>
        <v>1516045</v>
      </c>
      <c r="AA356" s="271">
        <f t="shared" si="356"/>
        <v>148977</v>
      </c>
      <c r="AB356" s="271">
        <f t="shared" si="356"/>
        <v>1665022</v>
      </c>
      <c r="AC356" s="271">
        <f aca="true" t="shared" si="357" ref="AC356:AH356">SUM(AC357,AC373,AC380,AC388,AC391,AC371)</f>
        <v>31088</v>
      </c>
      <c r="AD356" s="271">
        <f t="shared" si="357"/>
        <v>1696110</v>
      </c>
      <c r="AE356" s="271">
        <f t="shared" si="357"/>
        <v>-15645</v>
      </c>
      <c r="AF356" s="271">
        <f t="shared" si="357"/>
        <v>1680465</v>
      </c>
      <c r="AG356" s="271">
        <f t="shared" si="357"/>
        <v>-5775</v>
      </c>
      <c r="AH356" s="271">
        <f t="shared" si="357"/>
        <v>1674690</v>
      </c>
    </row>
    <row r="357" spans="1:34" s="27" customFormat="1" ht="21.75" customHeight="1">
      <c r="A357" s="76"/>
      <c r="B357" s="75">
        <v>85401</v>
      </c>
      <c r="C357" s="58"/>
      <c r="D357" s="14" t="s">
        <v>321</v>
      </c>
      <c r="E357" s="74">
        <f>SUM(E358:E370)</f>
        <v>675335</v>
      </c>
      <c r="F357" s="74">
        <f>SUM(F358:F370)</f>
        <v>0</v>
      </c>
      <c r="G357" s="74">
        <f>SUM(G358:G370)</f>
        <v>0</v>
      </c>
      <c r="H357" s="74">
        <f t="shared" si="354"/>
        <v>675335</v>
      </c>
      <c r="I357" s="74">
        <f aca="true" t="shared" si="358" ref="I357:N357">SUM(I358:I370)</f>
        <v>0</v>
      </c>
      <c r="J357" s="74">
        <f t="shared" si="358"/>
        <v>675335</v>
      </c>
      <c r="K357" s="74">
        <f t="shared" si="358"/>
        <v>0</v>
      </c>
      <c r="L357" s="74">
        <f t="shared" si="358"/>
        <v>675335</v>
      </c>
      <c r="M357" s="74">
        <f t="shared" si="358"/>
        <v>0</v>
      </c>
      <c r="N357" s="74">
        <f t="shared" si="358"/>
        <v>675335</v>
      </c>
      <c r="O357" s="74">
        <f aca="true" t="shared" si="359" ref="O357:T357">SUM(O358:O370)</f>
        <v>0</v>
      </c>
      <c r="P357" s="74">
        <f t="shared" si="359"/>
        <v>675335</v>
      </c>
      <c r="Q357" s="74">
        <f t="shared" si="359"/>
        <v>-4812</v>
      </c>
      <c r="R357" s="74">
        <f t="shared" si="359"/>
        <v>670523</v>
      </c>
      <c r="S357" s="74">
        <f t="shared" si="359"/>
        <v>0</v>
      </c>
      <c r="T357" s="74">
        <f t="shared" si="359"/>
        <v>670523</v>
      </c>
      <c r="U357" s="74">
        <f aca="true" t="shared" si="360" ref="U357:Z357">SUM(U358:U370)</f>
        <v>0</v>
      </c>
      <c r="V357" s="74">
        <f t="shared" si="360"/>
        <v>670523</v>
      </c>
      <c r="W357" s="74">
        <f t="shared" si="360"/>
        <v>4600</v>
      </c>
      <c r="X357" s="74">
        <f t="shared" si="360"/>
        <v>675123</v>
      </c>
      <c r="Y357" s="74">
        <f t="shared" si="360"/>
        <v>0</v>
      </c>
      <c r="Z357" s="74">
        <f t="shared" si="360"/>
        <v>675123</v>
      </c>
      <c r="AA357" s="74">
        <f aca="true" t="shared" si="361" ref="AA357:AF357">SUM(AA358:AA370)</f>
        <v>0</v>
      </c>
      <c r="AB357" s="74">
        <f t="shared" si="361"/>
        <v>675123</v>
      </c>
      <c r="AC357" s="74">
        <f t="shared" si="361"/>
        <v>0</v>
      </c>
      <c r="AD357" s="74">
        <f t="shared" si="361"/>
        <v>675123</v>
      </c>
      <c r="AE357" s="74">
        <f t="shared" si="361"/>
        <v>-40604</v>
      </c>
      <c r="AF357" s="74">
        <f t="shared" si="361"/>
        <v>634519</v>
      </c>
      <c r="AG357" s="74">
        <f>SUM(AG358:AG370)</f>
        <v>225</v>
      </c>
      <c r="AH357" s="74">
        <f>SUM(AH358:AH370)</f>
        <v>634744</v>
      </c>
    </row>
    <row r="358" spans="1:34" s="27" customFormat="1" ht="21" customHeight="1">
      <c r="A358" s="76"/>
      <c r="B358" s="75"/>
      <c r="C358" s="58">
        <v>3020</v>
      </c>
      <c r="D358" s="14" t="s">
        <v>533</v>
      </c>
      <c r="E358" s="74">
        <v>10983</v>
      </c>
      <c r="F358" s="74"/>
      <c r="G358" s="74"/>
      <c r="H358" s="74">
        <f t="shared" si="354"/>
        <v>10983</v>
      </c>
      <c r="I358" s="74"/>
      <c r="J358" s="74">
        <f t="shared" si="324"/>
        <v>10983</v>
      </c>
      <c r="K358" s="74">
        <v>0</v>
      </c>
      <c r="L358" s="74">
        <f t="shared" si="325"/>
        <v>10983</v>
      </c>
      <c r="M358" s="74">
        <v>0</v>
      </c>
      <c r="N358" s="74">
        <f aca="true" t="shared" si="362" ref="N358:N370">SUM(L358:M358)</f>
        <v>10983</v>
      </c>
      <c r="O358" s="74">
        <v>0</v>
      </c>
      <c r="P358" s="74">
        <f aca="true" t="shared" si="363" ref="P358:P370">SUM(N358:O358)</f>
        <v>10983</v>
      </c>
      <c r="Q358" s="74">
        <v>0</v>
      </c>
      <c r="R358" s="74">
        <f aca="true" t="shared" si="364" ref="R358:R370">SUM(P358:Q358)</f>
        <v>10983</v>
      </c>
      <c r="S358" s="74">
        <v>0</v>
      </c>
      <c r="T358" s="74">
        <f aca="true" t="shared" si="365" ref="T358:T370">SUM(R358:S358)</f>
        <v>10983</v>
      </c>
      <c r="U358" s="74">
        <v>0</v>
      </c>
      <c r="V358" s="74">
        <f aca="true" t="shared" si="366" ref="V358:V370">SUM(T358:U358)</f>
        <v>10983</v>
      </c>
      <c r="W358" s="74">
        <v>0</v>
      </c>
      <c r="X358" s="74">
        <f aca="true" t="shared" si="367" ref="X358:X370">SUM(V358:W358)</f>
        <v>10983</v>
      </c>
      <c r="Y358" s="74">
        <v>0</v>
      </c>
      <c r="Z358" s="74">
        <f aca="true" t="shared" si="368" ref="Z358:Z370">SUM(X358:Y358)</f>
        <v>10983</v>
      </c>
      <c r="AA358" s="74">
        <v>0</v>
      </c>
      <c r="AB358" s="74">
        <f aca="true" t="shared" si="369" ref="AB358:AB370">SUM(Z358:AA358)</f>
        <v>10983</v>
      </c>
      <c r="AC358" s="74">
        <v>0</v>
      </c>
      <c r="AD358" s="74">
        <f aca="true" t="shared" si="370" ref="AD358:AD370">SUM(AB358:AC358)</f>
        <v>10983</v>
      </c>
      <c r="AE358" s="74">
        <v>-998</v>
      </c>
      <c r="AF358" s="74">
        <f aca="true" t="shared" si="371" ref="AF358:AF370">SUM(AD358:AE358)</f>
        <v>9985</v>
      </c>
      <c r="AG358" s="74">
        <v>0</v>
      </c>
      <c r="AH358" s="74">
        <f aca="true" t="shared" si="372" ref="AH358:AH370">SUM(AF358:AG358)</f>
        <v>9985</v>
      </c>
    </row>
    <row r="359" spans="1:36" s="27" customFormat="1" ht="21" customHeight="1">
      <c r="A359" s="76"/>
      <c r="B359" s="75"/>
      <c r="C359" s="58">
        <v>4010</v>
      </c>
      <c r="D359" s="14" t="s">
        <v>345</v>
      </c>
      <c r="E359" s="74">
        <v>485405</v>
      </c>
      <c r="F359" s="74"/>
      <c r="G359" s="74"/>
      <c r="H359" s="74">
        <f t="shared" si="354"/>
        <v>485405</v>
      </c>
      <c r="I359" s="74"/>
      <c r="J359" s="74">
        <f t="shared" si="324"/>
        <v>485405</v>
      </c>
      <c r="K359" s="74">
        <v>0</v>
      </c>
      <c r="L359" s="74">
        <f t="shared" si="325"/>
        <v>485405</v>
      </c>
      <c r="M359" s="74">
        <v>0</v>
      </c>
      <c r="N359" s="74">
        <f t="shared" si="362"/>
        <v>485405</v>
      </c>
      <c r="O359" s="74">
        <v>0</v>
      </c>
      <c r="P359" s="74">
        <f t="shared" si="363"/>
        <v>485405</v>
      </c>
      <c r="Q359" s="74">
        <v>0</v>
      </c>
      <c r="R359" s="74">
        <f t="shared" si="364"/>
        <v>485405</v>
      </c>
      <c r="S359" s="74">
        <v>0</v>
      </c>
      <c r="T359" s="74">
        <f t="shared" si="365"/>
        <v>485405</v>
      </c>
      <c r="U359" s="74">
        <v>0</v>
      </c>
      <c r="V359" s="74">
        <f t="shared" si="366"/>
        <v>485405</v>
      </c>
      <c r="W359" s="74">
        <f>-1200+4000</f>
        <v>2800</v>
      </c>
      <c r="X359" s="74">
        <f t="shared" si="367"/>
        <v>488205</v>
      </c>
      <c r="Y359" s="74">
        <v>0</v>
      </c>
      <c r="Z359" s="74">
        <f t="shared" si="368"/>
        <v>488205</v>
      </c>
      <c r="AA359" s="74">
        <v>0</v>
      </c>
      <c r="AB359" s="74">
        <f t="shared" si="369"/>
        <v>488205</v>
      </c>
      <c r="AC359" s="74">
        <v>0</v>
      </c>
      <c r="AD359" s="74">
        <f t="shared" si="370"/>
        <v>488205</v>
      </c>
      <c r="AE359" s="74">
        <v>-33803</v>
      </c>
      <c r="AF359" s="74">
        <f t="shared" si="371"/>
        <v>454402</v>
      </c>
      <c r="AG359" s="74">
        <v>225</v>
      </c>
      <c r="AH359" s="74">
        <f t="shared" si="372"/>
        <v>454627</v>
      </c>
      <c r="AI359" s="119"/>
      <c r="AJ359" s="119"/>
    </row>
    <row r="360" spans="1:36" s="27" customFormat="1" ht="21" customHeight="1">
      <c r="A360" s="76"/>
      <c r="B360" s="75"/>
      <c r="C360" s="58">
        <v>4040</v>
      </c>
      <c r="D360" s="14" t="s">
        <v>346</v>
      </c>
      <c r="E360" s="74">
        <v>34981</v>
      </c>
      <c r="F360" s="74"/>
      <c r="G360" s="74"/>
      <c r="H360" s="74">
        <f t="shared" si="354"/>
        <v>34981</v>
      </c>
      <c r="I360" s="74"/>
      <c r="J360" s="74">
        <f t="shared" si="324"/>
        <v>34981</v>
      </c>
      <c r="K360" s="74">
        <v>0</v>
      </c>
      <c r="L360" s="74">
        <f t="shared" si="325"/>
        <v>34981</v>
      </c>
      <c r="M360" s="74">
        <v>0</v>
      </c>
      <c r="N360" s="74">
        <f t="shared" si="362"/>
        <v>34981</v>
      </c>
      <c r="O360" s="74">
        <v>0</v>
      </c>
      <c r="P360" s="74">
        <f t="shared" si="363"/>
        <v>34981</v>
      </c>
      <c r="Q360" s="74">
        <v>-4812</v>
      </c>
      <c r="R360" s="74">
        <f t="shared" si="364"/>
        <v>30169</v>
      </c>
      <c r="S360" s="74">
        <v>0</v>
      </c>
      <c r="T360" s="74">
        <f t="shared" si="365"/>
        <v>30169</v>
      </c>
      <c r="U360" s="74">
        <v>0</v>
      </c>
      <c r="V360" s="74">
        <f t="shared" si="366"/>
        <v>30169</v>
      </c>
      <c r="W360" s="74">
        <v>0</v>
      </c>
      <c r="X360" s="74">
        <f t="shared" si="367"/>
        <v>30169</v>
      </c>
      <c r="Y360" s="74">
        <v>0</v>
      </c>
      <c r="Z360" s="74">
        <f t="shared" si="368"/>
        <v>30169</v>
      </c>
      <c r="AA360" s="74">
        <v>0</v>
      </c>
      <c r="AB360" s="74">
        <f t="shared" si="369"/>
        <v>30169</v>
      </c>
      <c r="AC360" s="74">
        <v>0</v>
      </c>
      <c r="AD360" s="74">
        <f t="shared" si="370"/>
        <v>30169</v>
      </c>
      <c r="AE360" s="74">
        <v>0</v>
      </c>
      <c r="AF360" s="74">
        <f t="shared" si="371"/>
        <v>30169</v>
      </c>
      <c r="AG360" s="74">
        <v>0</v>
      </c>
      <c r="AH360" s="74">
        <f t="shared" si="372"/>
        <v>30169</v>
      </c>
      <c r="AI360" s="119"/>
      <c r="AJ360" s="119"/>
    </row>
    <row r="361" spans="1:36" s="27" customFormat="1" ht="21" customHeight="1">
      <c r="A361" s="76"/>
      <c r="B361" s="75"/>
      <c r="C361" s="58">
        <v>4110</v>
      </c>
      <c r="D361" s="14" t="s">
        <v>347</v>
      </c>
      <c r="E361" s="74">
        <v>84863</v>
      </c>
      <c r="F361" s="74"/>
      <c r="G361" s="74"/>
      <c r="H361" s="74">
        <f t="shared" si="354"/>
        <v>84863</v>
      </c>
      <c r="I361" s="74"/>
      <c r="J361" s="74">
        <f t="shared" si="324"/>
        <v>84863</v>
      </c>
      <c r="K361" s="74">
        <v>0</v>
      </c>
      <c r="L361" s="74">
        <f t="shared" si="325"/>
        <v>84863</v>
      </c>
      <c r="M361" s="74">
        <v>0</v>
      </c>
      <c r="N361" s="74">
        <f t="shared" si="362"/>
        <v>84863</v>
      </c>
      <c r="O361" s="74">
        <v>0</v>
      </c>
      <c r="P361" s="74">
        <f t="shared" si="363"/>
        <v>84863</v>
      </c>
      <c r="Q361" s="74">
        <v>0</v>
      </c>
      <c r="R361" s="74">
        <f t="shared" si="364"/>
        <v>84863</v>
      </c>
      <c r="S361" s="74">
        <v>0</v>
      </c>
      <c r="T361" s="74">
        <f t="shared" si="365"/>
        <v>84863</v>
      </c>
      <c r="U361" s="74">
        <v>0</v>
      </c>
      <c r="V361" s="74">
        <f t="shared" si="366"/>
        <v>84863</v>
      </c>
      <c r="W361" s="74">
        <v>500</v>
      </c>
      <c r="X361" s="74">
        <f t="shared" si="367"/>
        <v>85363</v>
      </c>
      <c r="Y361" s="74">
        <v>0</v>
      </c>
      <c r="Z361" s="74">
        <f t="shared" si="368"/>
        <v>85363</v>
      </c>
      <c r="AA361" s="74">
        <v>0</v>
      </c>
      <c r="AB361" s="74">
        <f t="shared" si="369"/>
        <v>85363</v>
      </c>
      <c r="AC361" s="74">
        <v>0</v>
      </c>
      <c r="AD361" s="74">
        <f t="shared" si="370"/>
        <v>85363</v>
      </c>
      <c r="AE361" s="74">
        <v>-4248</v>
      </c>
      <c r="AF361" s="74">
        <f t="shared" si="371"/>
        <v>81115</v>
      </c>
      <c r="AG361" s="74">
        <v>0</v>
      </c>
      <c r="AH361" s="74">
        <f t="shared" si="372"/>
        <v>81115</v>
      </c>
      <c r="AI361" s="119"/>
      <c r="AJ361" s="119"/>
    </row>
    <row r="362" spans="1:36" s="27" customFormat="1" ht="21" customHeight="1">
      <c r="A362" s="76"/>
      <c r="B362" s="75"/>
      <c r="C362" s="58">
        <v>4120</v>
      </c>
      <c r="D362" s="14" t="s">
        <v>348</v>
      </c>
      <c r="E362" s="74">
        <v>11990</v>
      </c>
      <c r="F362" s="74"/>
      <c r="G362" s="74"/>
      <c r="H362" s="74">
        <f t="shared" si="354"/>
        <v>11990</v>
      </c>
      <c r="I362" s="74"/>
      <c r="J362" s="74">
        <f t="shared" si="324"/>
        <v>11990</v>
      </c>
      <c r="K362" s="74">
        <v>0</v>
      </c>
      <c r="L362" s="74">
        <f t="shared" si="325"/>
        <v>11990</v>
      </c>
      <c r="M362" s="74">
        <v>0</v>
      </c>
      <c r="N362" s="74">
        <f t="shared" si="362"/>
        <v>11990</v>
      </c>
      <c r="O362" s="74">
        <v>0</v>
      </c>
      <c r="P362" s="74">
        <f t="shared" si="363"/>
        <v>11990</v>
      </c>
      <c r="Q362" s="74">
        <v>0</v>
      </c>
      <c r="R362" s="74">
        <f t="shared" si="364"/>
        <v>11990</v>
      </c>
      <c r="S362" s="74">
        <v>0</v>
      </c>
      <c r="T362" s="74">
        <f t="shared" si="365"/>
        <v>11990</v>
      </c>
      <c r="U362" s="74">
        <v>0</v>
      </c>
      <c r="V362" s="74">
        <f t="shared" si="366"/>
        <v>11990</v>
      </c>
      <c r="W362" s="74">
        <v>100</v>
      </c>
      <c r="X362" s="74">
        <f t="shared" si="367"/>
        <v>12090</v>
      </c>
      <c r="Y362" s="74">
        <v>0</v>
      </c>
      <c r="Z362" s="74">
        <f t="shared" si="368"/>
        <v>12090</v>
      </c>
      <c r="AA362" s="74">
        <v>0</v>
      </c>
      <c r="AB362" s="74">
        <f t="shared" si="369"/>
        <v>12090</v>
      </c>
      <c r="AC362" s="74">
        <v>0</v>
      </c>
      <c r="AD362" s="74">
        <f t="shared" si="370"/>
        <v>12090</v>
      </c>
      <c r="AE362" s="74">
        <v>-483</v>
      </c>
      <c r="AF362" s="74">
        <f t="shared" si="371"/>
        <v>11607</v>
      </c>
      <c r="AG362" s="74">
        <v>0</v>
      </c>
      <c r="AH362" s="74">
        <f t="shared" si="372"/>
        <v>11607</v>
      </c>
      <c r="AI362" s="119"/>
      <c r="AJ362" s="119"/>
    </row>
    <row r="363" spans="1:36" s="27" customFormat="1" ht="21" customHeight="1">
      <c r="A363" s="76"/>
      <c r="B363" s="75"/>
      <c r="C363" s="58">
        <v>4170</v>
      </c>
      <c r="D363" s="14" t="s">
        <v>478</v>
      </c>
      <c r="E363" s="74"/>
      <c r="F363" s="74"/>
      <c r="G363" s="74"/>
      <c r="H363" s="74"/>
      <c r="I363" s="74"/>
      <c r="J363" s="74"/>
      <c r="K363" s="74"/>
      <c r="L363" s="74"/>
      <c r="M363" s="74"/>
      <c r="N363" s="74"/>
      <c r="O363" s="74"/>
      <c r="P363" s="74"/>
      <c r="Q363" s="74"/>
      <c r="R363" s="74"/>
      <c r="S363" s="74"/>
      <c r="T363" s="74"/>
      <c r="U363" s="74"/>
      <c r="V363" s="74">
        <v>0</v>
      </c>
      <c r="W363" s="74">
        <v>1200</v>
      </c>
      <c r="X363" s="74">
        <f t="shared" si="367"/>
        <v>1200</v>
      </c>
      <c r="Y363" s="74">
        <v>0</v>
      </c>
      <c r="Z363" s="74">
        <f t="shared" si="368"/>
        <v>1200</v>
      </c>
      <c r="AA363" s="74">
        <v>0</v>
      </c>
      <c r="AB363" s="74">
        <f t="shared" si="369"/>
        <v>1200</v>
      </c>
      <c r="AC363" s="74">
        <v>0</v>
      </c>
      <c r="AD363" s="74">
        <f t="shared" si="370"/>
        <v>1200</v>
      </c>
      <c r="AE363" s="74">
        <v>0</v>
      </c>
      <c r="AF363" s="74">
        <f t="shared" si="371"/>
        <v>1200</v>
      </c>
      <c r="AG363" s="74">
        <v>0</v>
      </c>
      <c r="AH363" s="74">
        <f t="shared" si="372"/>
        <v>1200</v>
      </c>
      <c r="AI363" s="119"/>
      <c r="AJ363" s="119"/>
    </row>
    <row r="364" spans="1:34" s="27" customFormat="1" ht="21" customHeight="1">
      <c r="A364" s="76"/>
      <c r="B364" s="75"/>
      <c r="C364" s="58">
        <v>4210</v>
      </c>
      <c r="D364" s="14" t="s">
        <v>354</v>
      </c>
      <c r="E364" s="74">
        <v>14070</v>
      </c>
      <c r="F364" s="74"/>
      <c r="G364" s="74"/>
      <c r="H364" s="74">
        <f t="shared" si="354"/>
        <v>14070</v>
      </c>
      <c r="I364" s="74"/>
      <c r="J364" s="74">
        <f t="shared" si="324"/>
        <v>14070</v>
      </c>
      <c r="K364" s="74">
        <v>0</v>
      </c>
      <c r="L364" s="74">
        <f t="shared" si="325"/>
        <v>14070</v>
      </c>
      <c r="M364" s="74">
        <v>0</v>
      </c>
      <c r="N364" s="74">
        <f t="shared" si="362"/>
        <v>14070</v>
      </c>
      <c r="O364" s="74">
        <v>0</v>
      </c>
      <c r="P364" s="74">
        <f t="shared" si="363"/>
        <v>14070</v>
      </c>
      <c r="Q364" s="74">
        <v>0</v>
      </c>
      <c r="R364" s="74">
        <f t="shared" si="364"/>
        <v>14070</v>
      </c>
      <c r="S364" s="74">
        <v>0</v>
      </c>
      <c r="T364" s="74">
        <f t="shared" si="365"/>
        <v>14070</v>
      </c>
      <c r="U364" s="74">
        <v>0</v>
      </c>
      <c r="V364" s="74">
        <f t="shared" si="366"/>
        <v>14070</v>
      </c>
      <c r="W364" s="74">
        <v>300</v>
      </c>
      <c r="X364" s="74">
        <f t="shared" si="367"/>
        <v>14370</v>
      </c>
      <c r="Y364" s="74">
        <v>0</v>
      </c>
      <c r="Z364" s="74">
        <f t="shared" si="368"/>
        <v>14370</v>
      </c>
      <c r="AA364" s="74">
        <v>0</v>
      </c>
      <c r="AB364" s="74">
        <f t="shared" si="369"/>
        <v>14370</v>
      </c>
      <c r="AC364" s="74">
        <v>0</v>
      </c>
      <c r="AD364" s="74">
        <f t="shared" si="370"/>
        <v>14370</v>
      </c>
      <c r="AE364" s="74">
        <v>500</v>
      </c>
      <c r="AF364" s="74">
        <f t="shared" si="371"/>
        <v>14870</v>
      </c>
      <c r="AG364" s="74">
        <v>0</v>
      </c>
      <c r="AH364" s="74">
        <f t="shared" si="372"/>
        <v>14870</v>
      </c>
    </row>
    <row r="365" spans="1:34" s="27" customFormat="1" ht="21" customHeight="1">
      <c r="A365" s="76"/>
      <c r="B365" s="75"/>
      <c r="C365" s="58">
        <v>4230</v>
      </c>
      <c r="D365" s="14" t="s">
        <v>77</v>
      </c>
      <c r="E365" s="74">
        <v>100</v>
      </c>
      <c r="F365" s="74"/>
      <c r="G365" s="74"/>
      <c r="H365" s="74">
        <f t="shared" si="354"/>
        <v>100</v>
      </c>
      <c r="I365" s="74"/>
      <c r="J365" s="74">
        <f t="shared" si="324"/>
        <v>100</v>
      </c>
      <c r="K365" s="74">
        <v>0</v>
      </c>
      <c r="L365" s="74">
        <f t="shared" si="325"/>
        <v>100</v>
      </c>
      <c r="M365" s="74">
        <v>0</v>
      </c>
      <c r="N365" s="74">
        <f t="shared" si="362"/>
        <v>100</v>
      </c>
      <c r="O365" s="74">
        <v>0</v>
      </c>
      <c r="P365" s="74">
        <f t="shared" si="363"/>
        <v>100</v>
      </c>
      <c r="Q365" s="74">
        <v>0</v>
      </c>
      <c r="R365" s="74">
        <f t="shared" si="364"/>
        <v>100</v>
      </c>
      <c r="S365" s="74">
        <v>0</v>
      </c>
      <c r="T365" s="74">
        <f t="shared" si="365"/>
        <v>100</v>
      </c>
      <c r="U365" s="74">
        <v>0</v>
      </c>
      <c r="V365" s="74">
        <f t="shared" si="366"/>
        <v>100</v>
      </c>
      <c r="W365" s="74">
        <v>0</v>
      </c>
      <c r="X365" s="74">
        <f t="shared" si="367"/>
        <v>100</v>
      </c>
      <c r="Y365" s="74">
        <v>0</v>
      </c>
      <c r="Z365" s="74">
        <f t="shared" si="368"/>
        <v>100</v>
      </c>
      <c r="AA365" s="74">
        <v>0</v>
      </c>
      <c r="AB365" s="74">
        <f t="shared" si="369"/>
        <v>100</v>
      </c>
      <c r="AC365" s="74">
        <v>0</v>
      </c>
      <c r="AD365" s="74">
        <f t="shared" si="370"/>
        <v>100</v>
      </c>
      <c r="AE365" s="74">
        <v>0</v>
      </c>
      <c r="AF365" s="74">
        <f t="shared" si="371"/>
        <v>100</v>
      </c>
      <c r="AG365" s="74">
        <v>0</v>
      </c>
      <c r="AH365" s="74">
        <f t="shared" si="372"/>
        <v>100</v>
      </c>
    </row>
    <row r="366" spans="1:34" s="27" customFormat="1" ht="21" customHeight="1">
      <c r="A366" s="76"/>
      <c r="B366" s="75"/>
      <c r="C366" s="58">
        <v>4240</v>
      </c>
      <c r="D366" s="14" t="s">
        <v>387</v>
      </c>
      <c r="E366" s="74">
        <v>1100</v>
      </c>
      <c r="F366" s="74"/>
      <c r="G366" s="74"/>
      <c r="H366" s="74">
        <f t="shared" si="354"/>
        <v>1100</v>
      </c>
      <c r="I366" s="74"/>
      <c r="J366" s="74">
        <f t="shared" si="324"/>
        <v>1100</v>
      </c>
      <c r="K366" s="74">
        <v>0</v>
      </c>
      <c r="L366" s="74">
        <f t="shared" si="325"/>
        <v>1100</v>
      </c>
      <c r="M366" s="74">
        <v>0</v>
      </c>
      <c r="N366" s="74">
        <f t="shared" si="362"/>
        <v>1100</v>
      </c>
      <c r="O366" s="74">
        <v>0</v>
      </c>
      <c r="P366" s="74">
        <f t="shared" si="363"/>
        <v>1100</v>
      </c>
      <c r="Q366" s="74">
        <v>0</v>
      </c>
      <c r="R366" s="74">
        <f t="shared" si="364"/>
        <v>1100</v>
      </c>
      <c r="S366" s="74">
        <v>0</v>
      </c>
      <c r="T366" s="74">
        <f t="shared" si="365"/>
        <v>1100</v>
      </c>
      <c r="U366" s="74">
        <v>0</v>
      </c>
      <c r="V366" s="74">
        <f t="shared" si="366"/>
        <v>1100</v>
      </c>
      <c r="W366" s="74">
        <v>0</v>
      </c>
      <c r="X366" s="74">
        <f t="shared" si="367"/>
        <v>1100</v>
      </c>
      <c r="Y366" s="74">
        <v>0</v>
      </c>
      <c r="Z366" s="74">
        <f t="shared" si="368"/>
        <v>1100</v>
      </c>
      <c r="AA366" s="74">
        <v>0</v>
      </c>
      <c r="AB366" s="74">
        <f t="shared" si="369"/>
        <v>1100</v>
      </c>
      <c r="AC366" s="74">
        <v>0</v>
      </c>
      <c r="AD366" s="74">
        <f t="shared" si="370"/>
        <v>1100</v>
      </c>
      <c r="AE366" s="74">
        <v>0</v>
      </c>
      <c r="AF366" s="74">
        <f t="shared" si="371"/>
        <v>1100</v>
      </c>
      <c r="AG366" s="74">
        <v>0</v>
      </c>
      <c r="AH366" s="74">
        <f t="shared" si="372"/>
        <v>1100</v>
      </c>
    </row>
    <row r="367" spans="1:34" s="27" customFormat="1" ht="21" customHeight="1">
      <c r="A367" s="76"/>
      <c r="B367" s="75"/>
      <c r="C367" s="58">
        <v>4270</v>
      </c>
      <c r="D367" s="14" t="s">
        <v>339</v>
      </c>
      <c r="E367" s="74">
        <v>600</v>
      </c>
      <c r="F367" s="74"/>
      <c r="G367" s="74"/>
      <c r="H367" s="74">
        <f t="shared" si="354"/>
        <v>600</v>
      </c>
      <c r="I367" s="74"/>
      <c r="J367" s="74">
        <f t="shared" si="324"/>
        <v>600</v>
      </c>
      <c r="K367" s="74">
        <v>0</v>
      </c>
      <c r="L367" s="74">
        <f t="shared" si="325"/>
        <v>600</v>
      </c>
      <c r="M367" s="74">
        <v>0</v>
      </c>
      <c r="N367" s="74">
        <f t="shared" si="362"/>
        <v>600</v>
      </c>
      <c r="O367" s="74">
        <v>0</v>
      </c>
      <c r="P367" s="74">
        <f t="shared" si="363"/>
        <v>600</v>
      </c>
      <c r="Q367" s="74">
        <v>0</v>
      </c>
      <c r="R367" s="74">
        <f t="shared" si="364"/>
        <v>600</v>
      </c>
      <c r="S367" s="74">
        <v>0</v>
      </c>
      <c r="T367" s="74">
        <f t="shared" si="365"/>
        <v>600</v>
      </c>
      <c r="U367" s="74">
        <v>0</v>
      </c>
      <c r="V367" s="74">
        <f t="shared" si="366"/>
        <v>600</v>
      </c>
      <c r="W367" s="74">
        <v>-300</v>
      </c>
      <c r="X367" s="74">
        <f t="shared" si="367"/>
        <v>300</v>
      </c>
      <c r="Y367" s="74">
        <v>0</v>
      </c>
      <c r="Z367" s="74">
        <f t="shared" si="368"/>
        <v>300</v>
      </c>
      <c r="AA367" s="74">
        <v>0</v>
      </c>
      <c r="AB367" s="74">
        <f t="shared" si="369"/>
        <v>300</v>
      </c>
      <c r="AC367" s="74">
        <v>0</v>
      </c>
      <c r="AD367" s="74">
        <f t="shared" si="370"/>
        <v>300</v>
      </c>
      <c r="AE367" s="74">
        <v>-300</v>
      </c>
      <c r="AF367" s="74">
        <f t="shared" si="371"/>
        <v>0</v>
      </c>
      <c r="AG367" s="74">
        <v>0</v>
      </c>
      <c r="AH367" s="74">
        <f t="shared" si="372"/>
        <v>0</v>
      </c>
    </row>
    <row r="368" spans="1:34" s="27" customFormat="1" ht="21" customHeight="1">
      <c r="A368" s="76"/>
      <c r="B368" s="75"/>
      <c r="C368" s="58">
        <v>4280</v>
      </c>
      <c r="D368" s="14" t="s">
        <v>508</v>
      </c>
      <c r="E368" s="74">
        <v>610</v>
      </c>
      <c r="F368" s="74"/>
      <c r="G368" s="74"/>
      <c r="H368" s="74">
        <f t="shared" si="354"/>
        <v>610</v>
      </c>
      <c r="I368" s="74"/>
      <c r="J368" s="74">
        <f t="shared" si="324"/>
        <v>610</v>
      </c>
      <c r="K368" s="74">
        <v>0</v>
      </c>
      <c r="L368" s="74">
        <f t="shared" si="325"/>
        <v>610</v>
      </c>
      <c r="M368" s="74">
        <v>0</v>
      </c>
      <c r="N368" s="74">
        <f t="shared" si="362"/>
        <v>610</v>
      </c>
      <c r="O368" s="74">
        <v>0</v>
      </c>
      <c r="P368" s="74">
        <f t="shared" si="363"/>
        <v>610</v>
      </c>
      <c r="Q368" s="74">
        <v>0</v>
      </c>
      <c r="R368" s="74">
        <f t="shared" si="364"/>
        <v>610</v>
      </c>
      <c r="S368" s="74">
        <v>0</v>
      </c>
      <c r="T368" s="74">
        <f t="shared" si="365"/>
        <v>610</v>
      </c>
      <c r="U368" s="74">
        <v>0</v>
      </c>
      <c r="V368" s="74">
        <f t="shared" si="366"/>
        <v>610</v>
      </c>
      <c r="W368" s="74">
        <v>0</v>
      </c>
      <c r="X368" s="74">
        <f t="shared" si="367"/>
        <v>610</v>
      </c>
      <c r="Y368" s="74">
        <v>0</v>
      </c>
      <c r="Z368" s="74">
        <f t="shared" si="368"/>
        <v>610</v>
      </c>
      <c r="AA368" s="74">
        <v>0</v>
      </c>
      <c r="AB368" s="74">
        <f t="shared" si="369"/>
        <v>610</v>
      </c>
      <c r="AC368" s="74">
        <v>0</v>
      </c>
      <c r="AD368" s="74">
        <f t="shared" si="370"/>
        <v>610</v>
      </c>
      <c r="AE368" s="74">
        <v>0</v>
      </c>
      <c r="AF368" s="74">
        <f t="shared" si="371"/>
        <v>610</v>
      </c>
      <c r="AG368" s="74">
        <v>0</v>
      </c>
      <c r="AH368" s="74">
        <f t="shared" si="372"/>
        <v>610</v>
      </c>
    </row>
    <row r="369" spans="1:34" s="27" customFormat="1" ht="21" customHeight="1">
      <c r="A369" s="76"/>
      <c r="B369" s="75"/>
      <c r="C369" s="58">
        <v>4300</v>
      </c>
      <c r="D369" s="14" t="s">
        <v>340</v>
      </c>
      <c r="E369" s="74">
        <v>300</v>
      </c>
      <c r="F369" s="74"/>
      <c r="G369" s="74"/>
      <c r="H369" s="74">
        <f t="shared" si="354"/>
        <v>300</v>
      </c>
      <c r="I369" s="74"/>
      <c r="J369" s="74">
        <f t="shared" si="324"/>
        <v>300</v>
      </c>
      <c r="K369" s="74">
        <v>0</v>
      </c>
      <c r="L369" s="74">
        <f t="shared" si="325"/>
        <v>300</v>
      </c>
      <c r="M369" s="74">
        <v>0</v>
      </c>
      <c r="N369" s="74">
        <f t="shared" si="362"/>
        <v>300</v>
      </c>
      <c r="O369" s="74">
        <v>0</v>
      </c>
      <c r="P369" s="74">
        <f t="shared" si="363"/>
        <v>300</v>
      </c>
      <c r="Q369" s="74">
        <v>0</v>
      </c>
      <c r="R369" s="74">
        <f t="shared" si="364"/>
        <v>300</v>
      </c>
      <c r="S369" s="74">
        <v>0</v>
      </c>
      <c r="T369" s="74">
        <f t="shared" si="365"/>
        <v>300</v>
      </c>
      <c r="U369" s="74">
        <v>0</v>
      </c>
      <c r="V369" s="74">
        <f t="shared" si="366"/>
        <v>300</v>
      </c>
      <c r="W369" s="74">
        <v>0</v>
      </c>
      <c r="X369" s="74">
        <f t="shared" si="367"/>
        <v>300</v>
      </c>
      <c r="Y369" s="74">
        <v>0</v>
      </c>
      <c r="Z369" s="74">
        <f t="shared" si="368"/>
        <v>300</v>
      </c>
      <c r="AA369" s="74">
        <v>0</v>
      </c>
      <c r="AB369" s="74">
        <f t="shared" si="369"/>
        <v>300</v>
      </c>
      <c r="AC369" s="74">
        <v>0</v>
      </c>
      <c r="AD369" s="74">
        <f t="shared" si="370"/>
        <v>300</v>
      </c>
      <c r="AE369" s="74">
        <v>-98</v>
      </c>
      <c r="AF369" s="74">
        <f t="shared" si="371"/>
        <v>202</v>
      </c>
      <c r="AG369" s="74">
        <v>0</v>
      </c>
      <c r="AH369" s="74">
        <f t="shared" si="372"/>
        <v>202</v>
      </c>
    </row>
    <row r="370" spans="1:34" s="27" customFormat="1" ht="24">
      <c r="A370" s="76"/>
      <c r="B370" s="75"/>
      <c r="C370" s="58">
        <v>4440</v>
      </c>
      <c r="D370" s="14" t="s">
        <v>349</v>
      </c>
      <c r="E370" s="74">
        <v>30333</v>
      </c>
      <c r="F370" s="74"/>
      <c r="G370" s="74"/>
      <c r="H370" s="74">
        <f t="shared" si="354"/>
        <v>30333</v>
      </c>
      <c r="I370" s="74"/>
      <c r="J370" s="74">
        <f t="shared" si="324"/>
        <v>30333</v>
      </c>
      <c r="K370" s="74">
        <v>0</v>
      </c>
      <c r="L370" s="74">
        <f t="shared" si="325"/>
        <v>30333</v>
      </c>
      <c r="M370" s="74">
        <v>0</v>
      </c>
      <c r="N370" s="74">
        <f t="shared" si="362"/>
        <v>30333</v>
      </c>
      <c r="O370" s="74">
        <v>0</v>
      </c>
      <c r="P370" s="74">
        <f t="shared" si="363"/>
        <v>30333</v>
      </c>
      <c r="Q370" s="74">
        <v>0</v>
      </c>
      <c r="R370" s="74">
        <f t="shared" si="364"/>
        <v>30333</v>
      </c>
      <c r="S370" s="74">
        <v>0</v>
      </c>
      <c r="T370" s="74">
        <f t="shared" si="365"/>
        <v>30333</v>
      </c>
      <c r="U370" s="74">
        <v>0</v>
      </c>
      <c r="V370" s="74">
        <f t="shared" si="366"/>
        <v>30333</v>
      </c>
      <c r="W370" s="74">
        <v>0</v>
      </c>
      <c r="X370" s="74">
        <f t="shared" si="367"/>
        <v>30333</v>
      </c>
      <c r="Y370" s="74">
        <v>0</v>
      </c>
      <c r="Z370" s="74">
        <f t="shared" si="368"/>
        <v>30333</v>
      </c>
      <c r="AA370" s="74">
        <v>0</v>
      </c>
      <c r="AB370" s="74">
        <f t="shared" si="369"/>
        <v>30333</v>
      </c>
      <c r="AC370" s="74">
        <v>0</v>
      </c>
      <c r="AD370" s="74">
        <f t="shared" si="370"/>
        <v>30333</v>
      </c>
      <c r="AE370" s="74">
        <v>-1174</v>
      </c>
      <c r="AF370" s="74">
        <f t="shared" si="371"/>
        <v>29159</v>
      </c>
      <c r="AG370" s="74">
        <v>0</v>
      </c>
      <c r="AH370" s="74">
        <f t="shared" si="372"/>
        <v>29159</v>
      </c>
    </row>
    <row r="371" spans="1:34" s="27" customFormat="1" ht="21.75" customHeight="1">
      <c r="A371" s="76"/>
      <c r="B371" s="75">
        <v>85407</v>
      </c>
      <c r="C371" s="58"/>
      <c r="D371" s="14" t="s">
        <v>108</v>
      </c>
      <c r="E371" s="74"/>
      <c r="F371" s="74"/>
      <c r="G371" s="74"/>
      <c r="H371" s="74"/>
      <c r="I371" s="74"/>
      <c r="J371" s="74"/>
      <c r="K371" s="74"/>
      <c r="L371" s="74"/>
      <c r="M371" s="74"/>
      <c r="N371" s="74"/>
      <c r="O371" s="74"/>
      <c r="P371" s="74"/>
      <c r="Q371" s="74"/>
      <c r="R371" s="74"/>
      <c r="S371" s="74"/>
      <c r="T371" s="74"/>
      <c r="U371" s="74"/>
      <c r="V371" s="74">
        <f aca="true" t="shared" si="373" ref="V371:AH371">SUM(V372)</f>
        <v>0</v>
      </c>
      <c r="W371" s="74">
        <f t="shared" si="373"/>
        <v>3000</v>
      </c>
      <c r="X371" s="74">
        <f t="shared" si="373"/>
        <v>3000</v>
      </c>
      <c r="Y371" s="74">
        <f t="shared" si="373"/>
        <v>0</v>
      </c>
      <c r="Z371" s="74">
        <f t="shared" si="373"/>
        <v>3000</v>
      </c>
      <c r="AA371" s="74">
        <f t="shared" si="373"/>
        <v>0</v>
      </c>
      <c r="AB371" s="74">
        <f t="shared" si="373"/>
        <v>3000</v>
      </c>
      <c r="AC371" s="74">
        <f t="shared" si="373"/>
        <v>0</v>
      </c>
      <c r="AD371" s="74">
        <f t="shared" si="373"/>
        <v>3000</v>
      </c>
      <c r="AE371" s="74">
        <f t="shared" si="373"/>
        <v>0</v>
      </c>
      <c r="AF371" s="74">
        <f t="shared" si="373"/>
        <v>3000</v>
      </c>
      <c r="AG371" s="74">
        <f t="shared" si="373"/>
        <v>0</v>
      </c>
      <c r="AH371" s="74">
        <f t="shared" si="373"/>
        <v>3000</v>
      </c>
    </row>
    <row r="372" spans="1:34" s="27" customFormat="1" ht="48">
      <c r="A372" s="76"/>
      <c r="B372" s="75"/>
      <c r="C372" s="58">
        <v>2320</v>
      </c>
      <c r="D372" s="14" t="s">
        <v>427</v>
      </c>
      <c r="E372" s="74"/>
      <c r="F372" s="74"/>
      <c r="G372" s="74"/>
      <c r="H372" s="74"/>
      <c r="I372" s="74"/>
      <c r="J372" s="74"/>
      <c r="K372" s="74"/>
      <c r="L372" s="74"/>
      <c r="M372" s="74"/>
      <c r="N372" s="74"/>
      <c r="O372" s="74"/>
      <c r="P372" s="74"/>
      <c r="Q372" s="74"/>
      <c r="R372" s="74"/>
      <c r="S372" s="74"/>
      <c r="T372" s="74"/>
      <c r="U372" s="74"/>
      <c r="V372" s="74">
        <v>0</v>
      </c>
      <c r="W372" s="74">
        <v>3000</v>
      </c>
      <c r="X372" s="74">
        <f>SUM(V372:W372)</f>
        <v>3000</v>
      </c>
      <c r="Y372" s="74">
        <v>0</v>
      </c>
      <c r="Z372" s="74">
        <f>SUM(X372:Y372)</f>
        <v>3000</v>
      </c>
      <c r="AA372" s="74">
        <v>0</v>
      </c>
      <c r="AB372" s="74">
        <f>SUM(Z372:AA372)</f>
        <v>3000</v>
      </c>
      <c r="AC372" s="74">
        <v>0</v>
      </c>
      <c r="AD372" s="74">
        <f>SUM(AB372:AC372)</f>
        <v>3000</v>
      </c>
      <c r="AE372" s="74">
        <v>0</v>
      </c>
      <c r="AF372" s="74">
        <f>SUM(AD372:AE372)</f>
        <v>3000</v>
      </c>
      <c r="AG372" s="74">
        <v>0</v>
      </c>
      <c r="AH372" s="74">
        <f>SUM(AF372:AG372)</f>
        <v>3000</v>
      </c>
    </row>
    <row r="373" spans="1:34" s="27" customFormat="1" ht="36">
      <c r="A373" s="76"/>
      <c r="B373" s="75" t="s">
        <v>390</v>
      </c>
      <c r="C373" s="58"/>
      <c r="D373" s="14" t="s">
        <v>435</v>
      </c>
      <c r="E373" s="74">
        <f>SUM(E374:E379)</f>
        <v>149500</v>
      </c>
      <c r="F373" s="74">
        <f>SUM(F374:F379)</f>
        <v>0</v>
      </c>
      <c r="G373" s="74">
        <f>SUM(G374:G379)</f>
        <v>70000</v>
      </c>
      <c r="H373" s="74">
        <f t="shared" si="354"/>
        <v>79500</v>
      </c>
      <c r="I373" s="74">
        <f aca="true" t="shared" si="374" ref="I373:N373">SUM(I374:I379)</f>
        <v>0</v>
      </c>
      <c r="J373" s="74">
        <f t="shared" si="374"/>
        <v>79500</v>
      </c>
      <c r="K373" s="74">
        <f t="shared" si="374"/>
        <v>0</v>
      </c>
      <c r="L373" s="74">
        <f t="shared" si="374"/>
        <v>79500</v>
      </c>
      <c r="M373" s="74">
        <f t="shared" si="374"/>
        <v>0</v>
      </c>
      <c r="N373" s="74">
        <f t="shared" si="374"/>
        <v>79500</v>
      </c>
      <c r="O373" s="74">
        <f aca="true" t="shared" si="375" ref="O373:T373">SUM(O374:O379)</f>
        <v>-500</v>
      </c>
      <c r="P373" s="74">
        <f t="shared" si="375"/>
        <v>79000</v>
      </c>
      <c r="Q373" s="74">
        <f t="shared" si="375"/>
        <v>69808</v>
      </c>
      <c r="R373" s="74">
        <f t="shared" si="375"/>
        <v>148808</v>
      </c>
      <c r="S373" s="74">
        <f t="shared" si="375"/>
        <v>0</v>
      </c>
      <c r="T373" s="74">
        <f t="shared" si="375"/>
        <v>148808</v>
      </c>
      <c r="U373" s="74">
        <f aca="true" t="shared" si="376" ref="U373:Z373">SUM(U374:U379)</f>
        <v>0</v>
      </c>
      <c r="V373" s="74">
        <f t="shared" si="376"/>
        <v>148808</v>
      </c>
      <c r="W373" s="74">
        <f t="shared" si="376"/>
        <v>15000</v>
      </c>
      <c r="X373" s="74">
        <f t="shared" si="376"/>
        <v>163808</v>
      </c>
      <c r="Y373" s="74">
        <f t="shared" si="376"/>
        <v>0</v>
      </c>
      <c r="Z373" s="74">
        <f t="shared" si="376"/>
        <v>163808</v>
      </c>
      <c r="AA373" s="74">
        <f aca="true" t="shared" si="377" ref="AA373:AF373">SUM(AA374:AA379)</f>
        <v>2000</v>
      </c>
      <c r="AB373" s="74">
        <f t="shared" si="377"/>
        <v>165808</v>
      </c>
      <c r="AC373" s="74">
        <f t="shared" si="377"/>
        <v>0</v>
      </c>
      <c r="AD373" s="74">
        <f t="shared" si="377"/>
        <v>165808</v>
      </c>
      <c r="AE373" s="74">
        <f t="shared" si="377"/>
        <v>25710</v>
      </c>
      <c r="AF373" s="74">
        <f t="shared" si="377"/>
        <v>191518</v>
      </c>
      <c r="AG373" s="74">
        <f>SUM(AG374:AG379)</f>
        <v>-6000</v>
      </c>
      <c r="AH373" s="74">
        <f>SUM(AH374:AH379)</f>
        <v>185518</v>
      </c>
    </row>
    <row r="374" spans="1:34" s="27" customFormat="1" ht="36">
      <c r="A374" s="76"/>
      <c r="B374" s="75"/>
      <c r="C374" s="58">
        <v>2630</v>
      </c>
      <c r="D374" s="14" t="s">
        <v>558</v>
      </c>
      <c r="E374" s="74">
        <v>36000</v>
      </c>
      <c r="F374" s="74"/>
      <c r="G374" s="74"/>
      <c r="H374" s="74">
        <f t="shared" si="354"/>
        <v>36000</v>
      </c>
      <c r="I374" s="74"/>
      <c r="J374" s="74">
        <f t="shared" si="324"/>
        <v>36000</v>
      </c>
      <c r="K374" s="74">
        <v>0</v>
      </c>
      <c r="L374" s="74">
        <f t="shared" si="325"/>
        <v>36000</v>
      </c>
      <c r="M374" s="74">
        <v>0</v>
      </c>
      <c r="N374" s="74">
        <f aca="true" t="shared" si="378" ref="N374:N381">SUM(L374:M374)</f>
        <v>36000</v>
      </c>
      <c r="O374" s="74">
        <v>0</v>
      </c>
      <c r="P374" s="74">
        <f aca="true" t="shared" si="379" ref="P374:P381">SUM(N374:O374)</f>
        <v>36000</v>
      </c>
      <c r="Q374" s="74">
        <v>-36000</v>
      </c>
      <c r="R374" s="74">
        <f aca="true" t="shared" si="380" ref="R374:R381">SUM(P374:Q374)</f>
        <v>0</v>
      </c>
      <c r="S374" s="74">
        <v>0</v>
      </c>
      <c r="T374" s="74">
        <f aca="true" t="shared" si="381" ref="T374:T381">SUM(R374:S374)</f>
        <v>0</v>
      </c>
      <c r="U374" s="74">
        <v>0</v>
      </c>
      <c r="V374" s="74">
        <f aca="true" t="shared" si="382" ref="V374:V382">SUM(T374:U374)</f>
        <v>0</v>
      </c>
      <c r="W374" s="74">
        <v>0</v>
      </c>
      <c r="X374" s="74">
        <f aca="true" t="shared" si="383" ref="X374:X379">SUM(V374:W374)</f>
        <v>0</v>
      </c>
      <c r="Y374" s="74">
        <v>0</v>
      </c>
      <c r="Z374" s="74">
        <f aca="true" t="shared" si="384" ref="Z374:Z379">SUM(X374:Y374)</f>
        <v>0</v>
      </c>
      <c r="AA374" s="74">
        <v>0</v>
      </c>
      <c r="AB374" s="74">
        <f aca="true" t="shared" si="385" ref="AB374:AB379">SUM(Z374:AA374)</f>
        <v>0</v>
      </c>
      <c r="AC374" s="74">
        <v>0</v>
      </c>
      <c r="AD374" s="74">
        <f aca="true" t="shared" si="386" ref="AD374:AD379">SUM(AB374:AC374)</f>
        <v>0</v>
      </c>
      <c r="AE374" s="74">
        <v>25710</v>
      </c>
      <c r="AF374" s="74">
        <f aca="true" t="shared" si="387" ref="AF374:AF379">SUM(AD374:AE374)</f>
        <v>25710</v>
      </c>
      <c r="AG374" s="74">
        <v>0</v>
      </c>
      <c r="AH374" s="74">
        <f aca="true" t="shared" si="388" ref="AH374:AH379">SUM(AF374:AG374)</f>
        <v>25710</v>
      </c>
    </row>
    <row r="375" spans="1:34" s="27" customFormat="1" ht="36">
      <c r="A375" s="76"/>
      <c r="B375" s="75"/>
      <c r="C375" s="58">
        <v>2820</v>
      </c>
      <c r="D375" s="14" t="s">
        <v>712</v>
      </c>
      <c r="E375" s="74"/>
      <c r="F375" s="74"/>
      <c r="G375" s="74"/>
      <c r="H375" s="74"/>
      <c r="I375" s="74"/>
      <c r="J375" s="74"/>
      <c r="K375" s="74"/>
      <c r="L375" s="74"/>
      <c r="M375" s="74"/>
      <c r="N375" s="74"/>
      <c r="O375" s="74"/>
      <c r="P375" s="74">
        <v>0</v>
      </c>
      <c r="Q375" s="74">
        <f>5680+3610</f>
        <v>9290</v>
      </c>
      <c r="R375" s="74">
        <f t="shared" si="380"/>
        <v>9290</v>
      </c>
      <c r="S375" s="74">
        <v>0</v>
      </c>
      <c r="T375" s="74">
        <f t="shared" si="381"/>
        <v>9290</v>
      </c>
      <c r="U375" s="74">
        <v>0</v>
      </c>
      <c r="V375" s="74">
        <f t="shared" si="382"/>
        <v>9290</v>
      </c>
      <c r="W375" s="74">
        <v>0</v>
      </c>
      <c r="X375" s="74">
        <f t="shared" si="383"/>
        <v>9290</v>
      </c>
      <c r="Y375" s="74">
        <v>0</v>
      </c>
      <c r="Z375" s="74">
        <f t="shared" si="384"/>
        <v>9290</v>
      </c>
      <c r="AA375" s="74">
        <v>0</v>
      </c>
      <c r="AB375" s="74">
        <f t="shared" si="385"/>
        <v>9290</v>
      </c>
      <c r="AC375" s="74">
        <v>0</v>
      </c>
      <c r="AD375" s="74">
        <f t="shared" si="386"/>
        <v>9290</v>
      </c>
      <c r="AE375" s="74">
        <v>0</v>
      </c>
      <c r="AF375" s="74">
        <f t="shared" si="387"/>
        <v>9290</v>
      </c>
      <c r="AG375" s="74">
        <v>0</v>
      </c>
      <c r="AH375" s="74">
        <f t="shared" si="388"/>
        <v>9290</v>
      </c>
    </row>
    <row r="376" spans="1:34" s="27" customFormat="1" ht="48">
      <c r="A376" s="76"/>
      <c r="B376" s="75"/>
      <c r="C376" s="58">
        <v>2830</v>
      </c>
      <c r="D376" s="14" t="s">
        <v>711</v>
      </c>
      <c r="E376" s="74"/>
      <c r="F376" s="74"/>
      <c r="G376" s="74"/>
      <c r="H376" s="74"/>
      <c r="I376" s="74"/>
      <c r="J376" s="74"/>
      <c r="K376" s="74"/>
      <c r="L376" s="74"/>
      <c r="M376" s="74"/>
      <c r="N376" s="74"/>
      <c r="O376" s="74"/>
      <c r="P376" s="74">
        <v>0</v>
      </c>
      <c r="Q376" s="74">
        <v>26710</v>
      </c>
      <c r="R376" s="74">
        <f t="shared" si="380"/>
        <v>26710</v>
      </c>
      <c r="S376" s="74">
        <v>0</v>
      </c>
      <c r="T376" s="74">
        <f t="shared" si="381"/>
        <v>26710</v>
      </c>
      <c r="U376" s="74">
        <v>0</v>
      </c>
      <c r="V376" s="74">
        <f t="shared" si="382"/>
        <v>26710</v>
      </c>
      <c r="W376" s="74">
        <v>0</v>
      </c>
      <c r="X376" s="74">
        <f t="shared" si="383"/>
        <v>26710</v>
      </c>
      <c r="Y376" s="74">
        <v>0</v>
      </c>
      <c r="Z376" s="74">
        <f t="shared" si="384"/>
        <v>26710</v>
      </c>
      <c r="AA376" s="74">
        <v>0</v>
      </c>
      <c r="AB376" s="74">
        <f t="shared" si="385"/>
        <v>26710</v>
      </c>
      <c r="AC376" s="74">
        <v>0</v>
      </c>
      <c r="AD376" s="74">
        <f t="shared" si="386"/>
        <v>26710</v>
      </c>
      <c r="AE376" s="74">
        <v>0</v>
      </c>
      <c r="AF376" s="74">
        <f t="shared" si="387"/>
        <v>26710</v>
      </c>
      <c r="AG376" s="74">
        <v>0</v>
      </c>
      <c r="AH376" s="74">
        <f t="shared" si="388"/>
        <v>26710</v>
      </c>
    </row>
    <row r="377" spans="1:34" s="27" customFormat="1" ht="21" customHeight="1">
      <c r="A377" s="76"/>
      <c r="B377" s="75"/>
      <c r="C377" s="58">
        <v>4210</v>
      </c>
      <c r="D377" s="14" t="s">
        <v>354</v>
      </c>
      <c r="E377" s="74">
        <f>5500+1500</f>
        <v>7000</v>
      </c>
      <c r="F377" s="74"/>
      <c r="G377" s="74"/>
      <c r="H377" s="74">
        <f t="shared" si="354"/>
        <v>7000</v>
      </c>
      <c r="I377" s="74"/>
      <c r="J377" s="74">
        <f t="shared" si="324"/>
        <v>7000</v>
      </c>
      <c r="K377" s="74">
        <v>0</v>
      </c>
      <c r="L377" s="74">
        <f t="shared" si="325"/>
        <v>7000</v>
      </c>
      <c r="M377" s="74">
        <v>0</v>
      </c>
      <c r="N377" s="74">
        <f t="shared" si="378"/>
        <v>7000</v>
      </c>
      <c r="O377" s="74">
        <v>-500</v>
      </c>
      <c r="P377" s="74">
        <f t="shared" si="379"/>
        <v>6500</v>
      </c>
      <c r="Q377" s="74">
        <f>250+2100+803</f>
        <v>3153</v>
      </c>
      <c r="R377" s="74">
        <f t="shared" si="380"/>
        <v>9653</v>
      </c>
      <c r="S377" s="74">
        <v>0</v>
      </c>
      <c r="T377" s="74">
        <f t="shared" si="381"/>
        <v>9653</v>
      </c>
      <c r="U377" s="74">
        <v>0</v>
      </c>
      <c r="V377" s="74">
        <f t="shared" si="382"/>
        <v>9653</v>
      </c>
      <c r="W377" s="74">
        <v>0</v>
      </c>
      <c r="X377" s="74">
        <f t="shared" si="383"/>
        <v>9653</v>
      </c>
      <c r="Y377" s="74">
        <v>0</v>
      </c>
      <c r="Z377" s="74">
        <f t="shared" si="384"/>
        <v>9653</v>
      </c>
      <c r="AA377" s="74">
        <v>0</v>
      </c>
      <c r="AB377" s="74">
        <f t="shared" si="385"/>
        <v>9653</v>
      </c>
      <c r="AC377" s="74">
        <v>0</v>
      </c>
      <c r="AD377" s="74">
        <f t="shared" si="386"/>
        <v>9653</v>
      </c>
      <c r="AE377" s="74">
        <v>0</v>
      </c>
      <c r="AF377" s="74">
        <f t="shared" si="387"/>
        <v>9653</v>
      </c>
      <c r="AG377" s="74">
        <v>0</v>
      </c>
      <c r="AH377" s="74">
        <f t="shared" si="388"/>
        <v>9653</v>
      </c>
    </row>
    <row r="378" spans="1:34" s="27" customFormat="1" ht="21" customHeight="1">
      <c r="A378" s="58"/>
      <c r="B378" s="82"/>
      <c r="C378" s="58">
        <v>4300</v>
      </c>
      <c r="D378" s="14" t="s">
        <v>340</v>
      </c>
      <c r="E378" s="74">
        <f>5500+1000</f>
        <v>6500</v>
      </c>
      <c r="F378" s="74"/>
      <c r="G378" s="74"/>
      <c r="H378" s="74">
        <f t="shared" si="354"/>
        <v>6500</v>
      </c>
      <c r="I378" s="74"/>
      <c r="J378" s="74">
        <f aca="true" t="shared" si="389" ref="J378:J452">SUM(H378:I378)</f>
        <v>6500</v>
      </c>
      <c r="K378" s="74">
        <v>0</v>
      </c>
      <c r="L378" s="74">
        <f aca="true" t="shared" si="390" ref="L378:L452">SUM(J378:K378)</f>
        <v>6500</v>
      </c>
      <c r="M378" s="74">
        <v>0</v>
      </c>
      <c r="N378" s="74">
        <f t="shared" si="378"/>
        <v>6500</v>
      </c>
      <c r="O378" s="74">
        <v>0</v>
      </c>
      <c r="P378" s="74">
        <f t="shared" si="379"/>
        <v>6500</v>
      </c>
      <c r="Q378" s="74">
        <v>-4345</v>
      </c>
      <c r="R378" s="74">
        <f t="shared" si="380"/>
        <v>2155</v>
      </c>
      <c r="S378" s="74">
        <v>0</v>
      </c>
      <c r="T378" s="74">
        <f t="shared" si="381"/>
        <v>2155</v>
      </c>
      <c r="U378" s="74">
        <v>0</v>
      </c>
      <c r="V378" s="74">
        <f t="shared" si="382"/>
        <v>2155</v>
      </c>
      <c r="W378" s="74">
        <v>0</v>
      </c>
      <c r="X378" s="74">
        <f t="shared" si="383"/>
        <v>2155</v>
      </c>
      <c r="Y378" s="74">
        <v>0</v>
      </c>
      <c r="Z378" s="74">
        <f t="shared" si="384"/>
        <v>2155</v>
      </c>
      <c r="AA378" s="74">
        <v>0</v>
      </c>
      <c r="AB378" s="74">
        <f t="shared" si="385"/>
        <v>2155</v>
      </c>
      <c r="AC378" s="74">
        <v>0</v>
      </c>
      <c r="AD378" s="74">
        <f t="shared" si="386"/>
        <v>2155</v>
      </c>
      <c r="AE378" s="74">
        <v>0</v>
      </c>
      <c r="AF378" s="74">
        <f t="shared" si="387"/>
        <v>2155</v>
      </c>
      <c r="AG378" s="74">
        <v>0</v>
      </c>
      <c r="AH378" s="74">
        <f t="shared" si="388"/>
        <v>2155</v>
      </c>
    </row>
    <row r="379" spans="1:38" s="27" customFormat="1" ht="21" customHeight="1">
      <c r="A379" s="58"/>
      <c r="B379" s="82"/>
      <c r="C379" s="58">
        <v>6050</v>
      </c>
      <c r="D379" s="264" t="s">
        <v>334</v>
      </c>
      <c r="E379" s="138">
        <v>100000</v>
      </c>
      <c r="F379" s="138"/>
      <c r="G379" s="138">
        <v>70000</v>
      </c>
      <c r="H379" s="138">
        <f t="shared" si="354"/>
        <v>30000</v>
      </c>
      <c r="I379" s="138"/>
      <c r="J379" s="138">
        <f t="shared" si="389"/>
        <v>30000</v>
      </c>
      <c r="K379" s="138">
        <v>0</v>
      </c>
      <c r="L379" s="138">
        <f t="shared" si="390"/>
        <v>30000</v>
      </c>
      <c r="M379" s="138">
        <v>0</v>
      </c>
      <c r="N379" s="138">
        <f t="shared" si="378"/>
        <v>30000</v>
      </c>
      <c r="O379" s="138">
        <v>0</v>
      </c>
      <c r="P379" s="138">
        <f t="shared" si="379"/>
        <v>30000</v>
      </c>
      <c r="Q379" s="210">
        <f>11000+60000</f>
        <v>71000</v>
      </c>
      <c r="R379" s="138">
        <f t="shared" si="380"/>
        <v>101000</v>
      </c>
      <c r="S379" s="138">
        <v>0</v>
      </c>
      <c r="T379" s="138">
        <f t="shared" si="381"/>
        <v>101000</v>
      </c>
      <c r="U379" s="138">
        <v>0</v>
      </c>
      <c r="V379" s="138">
        <f t="shared" si="382"/>
        <v>101000</v>
      </c>
      <c r="W379" s="138">
        <v>15000</v>
      </c>
      <c r="X379" s="138">
        <f t="shared" si="383"/>
        <v>116000</v>
      </c>
      <c r="Y379" s="138">
        <v>0</v>
      </c>
      <c r="Z379" s="138">
        <f t="shared" si="384"/>
        <v>116000</v>
      </c>
      <c r="AA379" s="138">
        <v>2000</v>
      </c>
      <c r="AB379" s="138">
        <f t="shared" si="385"/>
        <v>118000</v>
      </c>
      <c r="AC379" s="138">
        <v>0</v>
      </c>
      <c r="AD379" s="138">
        <f t="shared" si="386"/>
        <v>118000</v>
      </c>
      <c r="AE379" s="138">
        <v>0</v>
      </c>
      <c r="AF379" s="138">
        <f t="shared" si="387"/>
        <v>118000</v>
      </c>
      <c r="AG379" s="138">
        <v>-6000</v>
      </c>
      <c r="AH379" s="138">
        <f t="shared" si="388"/>
        <v>112000</v>
      </c>
      <c r="AK379" s="119"/>
      <c r="AL379" s="119"/>
    </row>
    <row r="380" spans="1:34" s="27" customFormat="1" ht="21" customHeight="1">
      <c r="A380" s="58"/>
      <c r="B380" s="82">
        <v>85415</v>
      </c>
      <c r="C380" s="58"/>
      <c r="D380" s="14" t="s">
        <v>577</v>
      </c>
      <c r="E380" s="74">
        <f>SUM(E381)</f>
        <v>117924</v>
      </c>
      <c r="F380" s="74">
        <f>SUM(F381)</f>
        <v>0</v>
      </c>
      <c r="G380" s="74">
        <f>SUM(G381)</f>
        <v>0</v>
      </c>
      <c r="H380" s="74">
        <f t="shared" si="354"/>
        <v>117924</v>
      </c>
      <c r="I380" s="74">
        <f>SUM(I381)</f>
        <v>0</v>
      </c>
      <c r="J380" s="74">
        <f t="shared" si="389"/>
        <v>117924</v>
      </c>
      <c r="K380" s="74">
        <f>SUM(K381)</f>
        <v>252197</v>
      </c>
      <c r="L380" s="74">
        <f t="shared" si="390"/>
        <v>370121</v>
      </c>
      <c r="M380" s="74">
        <f>SUM(M381)</f>
        <v>0</v>
      </c>
      <c r="N380" s="74">
        <f t="shared" si="378"/>
        <v>370121</v>
      </c>
      <c r="O380" s="74">
        <f>SUM(O381)</f>
        <v>0</v>
      </c>
      <c r="P380" s="74">
        <f t="shared" si="379"/>
        <v>370121</v>
      </c>
      <c r="Q380" s="74">
        <f>SUM(Q381)</f>
        <v>-4772</v>
      </c>
      <c r="R380" s="74">
        <f t="shared" si="380"/>
        <v>365349</v>
      </c>
      <c r="S380" s="74">
        <f>SUM(S381)</f>
        <v>0</v>
      </c>
      <c r="T380" s="74">
        <f>SUM(T381:T382)</f>
        <v>365349</v>
      </c>
      <c r="U380" s="74">
        <f>SUM(U381:U382)</f>
        <v>56396</v>
      </c>
      <c r="V380" s="74">
        <f aca="true" t="shared" si="391" ref="V380:AB380">SUM(V381:V387)</f>
        <v>421745</v>
      </c>
      <c r="W380" s="74">
        <f t="shared" si="391"/>
        <v>21980</v>
      </c>
      <c r="X380" s="74">
        <f t="shared" si="391"/>
        <v>443725</v>
      </c>
      <c r="Y380" s="74">
        <f t="shared" si="391"/>
        <v>0</v>
      </c>
      <c r="Z380" s="74">
        <f t="shared" si="391"/>
        <v>443725</v>
      </c>
      <c r="AA380" s="74">
        <f t="shared" si="391"/>
        <v>146977</v>
      </c>
      <c r="AB380" s="74">
        <f t="shared" si="391"/>
        <v>590702</v>
      </c>
      <c r="AC380" s="74">
        <f aca="true" t="shared" si="392" ref="AC380:AH380">SUM(AC381:AC387)</f>
        <v>31088</v>
      </c>
      <c r="AD380" s="74">
        <f t="shared" si="392"/>
        <v>621790</v>
      </c>
      <c r="AE380" s="74">
        <f t="shared" si="392"/>
        <v>0</v>
      </c>
      <c r="AF380" s="74">
        <f t="shared" si="392"/>
        <v>621790</v>
      </c>
      <c r="AG380" s="74">
        <f t="shared" si="392"/>
        <v>0</v>
      </c>
      <c r="AH380" s="74">
        <f t="shared" si="392"/>
        <v>621790</v>
      </c>
    </row>
    <row r="381" spans="1:34" s="27" customFormat="1" ht="21" customHeight="1">
      <c r="A381" s="58"/>
      <c r="B381" s="82"/>
      <c r="C381" s="58">
        <v>3240</v>
      </c>
      <c r="D381" s="14" t="s">
        <v>578</v>
      </c>
      <c r="E381" s="74">
        <v>117924</v>
      </c>
      <c r="F381" s="74"/>
      <c r="G381" s="74"/>
      <c r="H381" s="74">
        <f t="shared" si="354"/>
        <v>117924</v>
      </c>
      <c r="I381" s="74"/>
      <c r="J381" s="74">
        <f t="shared" si="389"/>
        <v>117924</v>
      </c>
      <c r="K381" s="74">
        <v>252197</v>
      </c>
      <c r="L381" s="74">
        <f t="shared" si="390"/>
        <v>370121</v>
      </c>
      <c r="M381" s="74">
        <v>0</v>
      </c>
      <c r="N381" s="74">
        <f t="shared" si="378"/>
        <v>370121</v>
      </c>
      <c r="O381" s="74">
        <v>0</v>
      </c>
      <c r="P381" s="74">
        <f t="shared" si="379"/>
        <v>370121</v>
      </c>
      <c r="Q381" s="74">
        <v>-4772</v>
      </c>
      <c r="R381" s="74">
        <f t="shared" si="380"/>
        <v>365349</v>
      </c>
      <c r="S381" s="74">
        <v>0</v>
      </c>
      <c r="T381" s="74">
        <f t="shared" si="381"/>
        <v>365349</v>
      </c>
      <c r="U381" s="74">
        <v>0</v>
      </c>
      <c r="V381" s="74">
        <f t="shared" si="382"/>
        <v>365349</v>
      </c>
      <c r="W381" s="210">
        <v>0</v>
      </c>
      <c r="X381" s="74">
        <f aca="true" t="shared" si="393" ref="X381:X387">SUM(V381:W381)</f>
        <v>365349</v>
      </c>
      <c r="Y381" s="210">
        <v>0</v>
      </c>
      <c r="Z381" s="74">
        <f aca="true" t="shared" si="394" ref="Z381:Z387">SUM(X381:Y381)</f>
        <v>365349</v>
      </c>
      <c r="AA381" s="74">
        <v>143533</v>
      </c>
      <c r="AB381" s="74">
        <f aca="true" t="shared" si="395" ref="AB381:AB387">SUM(Z381:AA381)</f>
        <v>508882</v>
      </c>
      <c r="AC381" s="74">
        <v>31088</v>
      </c>
      <c r="AD381" s="74">
        <f aca="true" t="shared" si="396" ref="AD381:AD387">SUM(AB381:AC381)</f>
        <v>539970</v>
      </c>
      <c r="AE381" s="74">
        <v>0</v>
      </c>
      <c r="AF381" s="74">
        <f aca="true" t="shared" si="397" ref="AF381:AF387">SUM(AD381:AE381)</f>
        <v>539970</v>
      </c>
      <c r="AG381" s="74">
        <v>0</v>
      </c>
      <c r="AH381" s="74">
        <f aca="true" t="shared" si="398" ref="AH381:AH387">SUM(AF381:AG381)</f>
        <v>539970</v>
      </c>
    </row>
    <row r="382" spans="1:34" s="27" customFormat="1" ht="21" customHeight="1">
      <c r="A382" s="58"/>
      <c r="B382" s="82"/>
      <c r="C382" s="58">
        <v>3260</v>
      </c>
      <c r="D382" s="14" t="s">
        <v>182</v>
      </c>
      <c r="E382" s="74"/>
      <c r="F382" s="74"/>
      <c r="G382" s="74"/>
      <c r="H382" s="74"/>
      <c r="I382" s="74"/>
      <c r="J382" s="74"/>
      <c r="K382" s="74"/>
      <c r="L382" s="74"/>
      <c r="M382" s="74"/>
      <c r="N382" s="74"/>
      <c r="O382" s="74"/>
      <c r="P382" s="74"/>
      <c r="Q382" s="74"/>
      <c r="R382" s="74"/>
      <c r="S382" s="74"/>
      <c r="T382" s="74">
        <v>0</v>
      </c>
      <c r="U382" s="74">
        <v>56396</v>
      </c>
      <c r="V382" s="74">
        <f t="shared" si="382"/>
        <v>56396</v>
      </c>
      <c r="W382" s="74">
        <v>0</v>
      </c>
      <c r="X382" s="74">
        <f t="shared" si="393"/>
        <v>56396</v>
      </c>
      <c r="Y382" s="74">
        <v>0</v>
      </c>
      <c r="Z382" s="74">
        <f t="shared" si="394"/>
        <v>56396</v>
      </c>
      <c r="AA382" s="74">
        <v>3444</v>
      </c>
      <c r="AB382" s="74">
        <f t="shared" si="395"/>
        <v>59840</v>
      </c>
      <c r="AC382" s="74">
        <v>0</v>
      </c>
      <c r="AD382" s="74">
        <f t="shared" si="396"/>
        <v>59840</v>
      </c>
      <c r="AE382" s="74">
        <v>0</v>
      </c>
      <c r="AF382" s="74">
        <f t="shared" si="397"/>
        <v>59840</v>
      </c>
      <c r="AG382" s="74">
        <v>0</v>
      </c>
      <c r="AH382" s="74">
        <f t="shared" si="398"/>
        <v>59840</v>
      </c>
    </row>
    <row r="383" spans="1:36" s="27" customFormat="1" ht="21" customHeight="1">
      <c r="A383" s="58"/>
      <c r="B383" s="82"/>
      <c r="C383" s="58">
        <v>4110</v>
      </c>
      <c r="D383" s="14" t="s">
        <v>347</v>
      </c>
      <c r="E383" s="74"/>
      <c r="F383" s="74"/>
      <c r="G383" s="74"/>
      <c r="H383" s="74"/>
      <c r="I383" s="74"/>
      <c r="J383" s="74"/>
      <c r="K383" s="74"/>
      <c r="L383" s="74"/>
      <c r="M383" s="74"/>
      <c r="N383" s="74"/>
      <c r="O383" s="74"/>
      <c r="P383" s="74"/>
      <c r="Q383" s="74"/>
      <c r="R383" s="74"/>
      <c r="S383" s="74"/>
      <c r="T383" s="74"/>
      <c r="U383" s="74"/>
      <c r="V383" s="74">
        <v>0</v>
      </c>
      <c r="W383" s="74">
        <v>2598</v>
      </c>
      <c r="X383" s="74">
        <f t="shared" si="393"/>
        <v>2598</v>
      </c>
      <c r="Y383" s="74">
        <v>0</v>
      </c>
      <c r="Z383" s="74">
        <f t="shared" si="394"/>
        <v>2598</v>
      </c>
      <c r="AA383" s="74">
        <v>0</v>
      </c>
      <c r="AB383" s="74">
        <f t="shared" si="395"/>
        <v>2598</v>
      </c>
      <c r="AC383" s="74">
        <v>0</v>
      </c>
      <c r="AD383" s="74">
        <f t="shared" si="396"/>
        <v>2598</v>
      </c>
      <c r="AE383" s="74">
        <v>0</v>
      </c>
      <c r="AF383" s="74">
        <f t="shared" si="397"/>
        <v>2598</v>
      </c>
      <c r="AG383" s="74">
        <v>0</v>
      </c>
      <c r="AH383" s="74">
        <f t="shared" si="398"/>
        <v>2598</v>
      </c>
      <c r="AI383" s="119"/>
      <c r="AJ383" s="119"/>
    </row>
    <row r="384" spans="1:36" s="27" customFormat="1" ht="21" customHeight="1">
      <c r="A384" s="58"/>
      <c r="B384" s="82"/>
      <c r="C384" s="58">
        <v>4120</v>
      </c>
      <c r="D384" s="14" t="s">
        <v>348</v>
      </c>
      <c r="E384" s="74"/>
      <c r="F384" s="74"/>
      <c r="G384" s="74"/>
      <c r="H384" s="74"/>
      <c r="I384" s="74"/>
      <c r="J384" s="74"/>
      <c r="K384" s="74"/>
      <c r="L384" s="74"/>
      <c r="M384" s="74"/>
      <c r="N384" s="74"/>
      <c r="O384" s="74"/>
      <c r="P384" s="74"/>
      <c r="Q384" s="74"/>
      <c r="R384" s="74"/>
      <c r="S384" s="74"/>
      <c r="T384" s="74"/>
      <c r="U384" s="74"/>
      <c r="V384" s="74">
        <v>0</v>
      </c>
      <c r="W384" s="74">
        <v>365</v>
      </c>
      <c r="X384" s="74">
        <f t="shared" si="393"/>
        <v>365</v>
      </c>
      <c r="Y384" s="74">
        <v>0</v>
      </c>
      <c r="Z384" s="74">
        <f t="shared" si="394"/>
        <v>365</v>
      </c>
      <c r="AA384" s="74">
        <v>0</v>
      </c>
      <c r="AB384" s="74">
        <f t="shared" si="395"/>
        <v>365</v>
      </c>
      <c r="AC384" s="74">
        <v>0</v>
      </c>
      <c r="AD384" s="74">
        <f t="shared" si="396"/>
        <v>365</v>
      </c>
      <c r="AE384" s="74">
        <v>0</v>
      </c>
      <c r="AF384" s="74">
        <f t="shared" si="397"/>
        <v>365</v>
      </c>
      <c r="AG384" s="74">
        <v>0</v>
      </c>
      <c r="AH384" s="74">
        <f t="shared" si="398"/>
        <v>365</v>
      </c>
      <c r="AI384" s="119"/>
      <c r="AJ384" s="119"/>
    </row>
    <row r="385" spans="1:36" s="27" customFormat="1" ht="21" customHeight="1">
      <c r="A385" s="58"/>
      <c r="B385" s="82"/>
      <c r="C385" s="58">
        <v>4170</v>
      </c>
      <c r="D385" s="14" t="s">
        <v>478</v>
      </c>
      <c r="E385" s="74"/>
      <c r="F385" s="74"/>
      <c r="G385" s="74"/>
      <c r="H385" s="74"/>
      <c r="I385" s="74"/>
      <c r="J385" s="74"/>
      <c r="K385" s="74"/>
      <c r="L385" s="74"/>
      <c r="M385" s="74"/>
      <c r="N385" s="74"/>
      <c r="O385" s="74"/>
      <c r="P385" s="74"/>
      <c r="Q385" s="74"/>
      <c r="R385" s="74"/>
      <c r="S385" s="74"/>
      <c r="T385" s="74"/>
      <c r="U385" s="74"/>
      <c r="V385" s="74">
        <v>0</v>
      </c>
      <c r="W385" s="74">
        <v>14877</v>
      </c>
      <c r="X385" s="74">
        <f t="shared" si="393"/>
        <v>14877</v>
      </c>
      <c r="Y385" s="74">
        <v>0</v>
      </c>
      <c r="Z385" s="74">
        <f t="shared" si="394"/>
        <v>14877</v>
      </c>
      <c r="AA385" s="74">
        <v>0</v>
      </c>
      <c r="AB385" s="74">
        <f t="shared" si="395"/>
        <v>14877</v>
      </c>
      <c r="AC385" s="74">
        <v>0</v>
      </c>
      <c r="AD385" s="74">
        <f t="shared" si="396"/>
        <v>14877</v>
      </c>
      <c r="AE385" s="74">
        <v>0</v>
      </c>
      <c r="AF385" s="74">
        <f t="shared" si="397"/>
        <v>14877</v>
      </c>
      <c r="AG385" s="74">
        <v>0</v>
      </c>
      <c r="AH385" s="74">
        <f t="shared" si="398"/>
        <v>14877</v>
      </c>
      <c r="AI385" s="119"/>
      <c r="AJ385" s="119"/>
    </row>
    <row r="386" spans="1:34" s="27" customFormat="1" ht="21" customHeight="1">
      <c r="A386" s="58"/>
      <c r="B386" s="82"/>
      <c r="C386" s="58">
        <v>4210</v>
      </c>
      <c r="D386" s="14" t="s">
        <v>354</v>
      </c>
      <c r="E386" s="74"/>
      <c r="F386" s="74"/>
      <c r="G386" s="74"/>
      <c r="H386" s="74"/>
      <c r="I386" s="74"/>
      <c r="J386" s="74"/>
      <c r="K386" s="74"/>
      <c r="L386" s="74"/>
      <c r="M386" s="74"/>
      <c r="N386" s="74"/>
      <c r="O386" s="74"/>
      <c r="P386" s="74"/>
      <c r="Q386" s="74"/>
      <c r="R386" s="74"/>
      <c r="S386" s="74"/>
      <c r="T386" s="74"/>
      <c r="U386" s="74"/>
      <c r="V386" s="74">
        <v>0</v>
      </c>
      <c r="W386" s="74">
        <v>240</v>
      </c>
      <c r="X386" s="74">
        <f t="shared" si="393"/>
        <v>240</v>
      </c>
      <c r="Y386" s="74">
        <v>0</v>
      </c>
      <c r="Z386" s="74">
        <f t="shared" si="394"/>
        <v>240</v>
      </c>
      <c r="AA386" s="74">
        <v>0</v>
      </c>
      <c r="AB386" s="74">
        <f t="shared" si="395"/>
        <v>240</v>
      </c>
      <c r="AC386" s="74">
        <v>0</v>
      </c>
      <c r="AD386" s="74">
        <f t="shared" si="396"/>
        <v>240</v>
      </c>
      <c r="AE386" s="74">
        <v>-10</v>
      </c>
      <c r="AF386" s="74">
        <f t="shared" si="397"/>
        <v>230</v>
      </c>
      <c r="AG386" s="74">
        <v>0</v>
      </c>
      <c r="AH386" s="74">
        <f t="shared" si="398"/>
        <v>230</v>
      </c>
    </row>
    <row r="387" spans="1:34" s="27" customFormat="1" ht="21" customHeight="1">
      <c r="A387" s="58"/>
      <c r="B387" s="82"/>
      <c r="C387" s="58">
        <v>4300</v>
      </c>
      <c r="D387" s="14" t="s">
        <v>340</v>
      </c>
      <c r="E387" s="74"/>
      <c r="F387" s="74"/>
      <c r="G387" s="74"/>
      <c r="H387" s="74"/>
      <c r="I387" s="74"/>
      <c r="J387" s="74"/>
      <c r="K387" s="74"/>
      <c r="L387" s="74"/>
      <c r="M387" s="74"/>
      <c r="N387" s="74"/>
      <c r="O387" s="74"/>
      <c r="P387" s="74"/>
      <c r="Q387" s="74"/>
      <c r="R387" s="74"/>
      <c r="S387" s="74"/>
      <c r="T387" s="74"/>
      <c r="U387" s="74"/>
      <c r="V387" s="74">
        <v>0</v>
      </c>
      <c r="W387" s="74">
        <v>3900</v>
      </c>
      <c r="X387" s="74">
        <f t="shared" si="393"/>
        <v>3900</v>
      </c>
      <c r="Y387" s="74">
        <v>0</v>
      </c>
      <c r="Z387" s="74">
        <f t="shared" si="394"/>
        <v>3900</v>
      </c>
      <c r="AA387" s="74">
        <v>0</v>
      </c>
      <c r="AB387" s="74">
        <f t="shared" si="395"/>
        <v>3900</v>
      </c>
      <c r="AC387" s="74">
        <v>0</v>
      </c>
      <c r="AD387" s="74">
        <f t="shared" si="396"/>
        <v>3900</v>
      </c>
      <c r="AE387" s="74">
        <v>10</v>
      </c>
      <c r="AF387" s="74">
        <f t="shared" si="397"/>
        <v>3910</v>
      </c>
      <c r="AG387" s="74">
        <v>0</v>
      </c>
      <c r="AH387" s="74">
        <f t="shared" si="398"/>
        <v>3910</v>
      </c>
    </row>
    <row r="388" spans="1:34" s="27" customFormat="1" ht="21.75" customHeight="1">
      <c r="A388" s="58"/>
      <c r="B388" s="82">
        <v>85446</v>
      </c>
      <c r="C388" s="58"/>
      <c r="D388" s="14" t="s">
        <v>424</v>
      </c>
      <c r="E388" s="74">
        <f>SUM(E389:E389)</f>
        <v>3981</v>
      </c>
      <c r="F388" s="74">
        <f>SUM(F389:F389)</f>
        <v>0</v>
      </c>
      <c r="G388" s="74">
        <f>SUM(G389:G389)</f>
        <v>0</v>
      </c>
      <c r="H388" s="74">
        <f aca="true" t="shared" si="399" ref="H388:N388">SUM(H389:H390)</f>
        <v>3981</v>
      </c>
      <c r="I388" s="74">
        <f t="shared" si="399"/>
        <v>0</v>
      </c>
      <c r="J388" s="74">
        <f t="shared" si="399"/>
        <v>3981</v>
      </c>
      <c r="K388" s="74">
        <f t="shared" si="399"/>
        <v>0</v>
      </c>
      <c r="L388" s="74">
        <f t="shared" si="399"/>
        <v>3981</v>
      </c>
      <c r="M388" s="74">
        <f t="shared" si="399"/>
        <v>0</v>
      </c>
      <c r="N388" s="74">
        <f t="shared" si="399"/>
        <v>3981</v>
      </c>
      <c r="O388" s="74">
        <f aca="true" t="shared" si="400" ref="O388:T388">SUM(O389:O390)</f>
        <v>0</v>
      </c>
      <c r="P388" s="74">
        <f t="shared" si="400"/>
        <v>3981</v>
      </c>
      <c r="Q388" s="74">
        <f t="shared" si="400"/>
        <v>0</v>
      </c>
      <c r="R388" s="74">
        <f t="shared" si="400"/>
        <v>3981</v>
      </c>
      <c r="S388" s="74">
        <f t="shared" si="400"/>
        <v>0</v>
      </c>
      <c r="T388" s="74">
        <f t="shared" si="400"/>
        <v>3981</v>
      </c>
      <c r="U388" s="74">
        <f aca="true" t="shared" si="401" ref="U388:Z388">SUM(U389:U390)</f>
        <v>0</v>
      </c>
      <c r="V388" s="74">
        <f t="shared" si="401"/>
        <v>3981</v>
      </c>
      <c r="W388" s="74">
        <f t="shared" si="401"/>
        <v>-242</v>
      </c>
      <c r="X388" s="74">
        <f t="shared" si="401"/>
        <v>3739</v>
      </c>
      <c r="Y388" s="74">
        <f t="shared" si="401"/>
        <v>0</v>
      </c>
      <c r="Z388" s="74">
        <f t="shared" si="401"/>
        <v>3739</v>
      </c>
      <c r="AA388" s="74">
        <f aca="true" t="shared" si="402" ref="AA388:AF388">SUM(AA389:AA390)</f>
        <v>0</v>
      </c>
      <c r="AB388" s="74">
        <f t="shared" si="402"/>
        <v>3739</v>
      </c>
      <c r="AC388" s="74">
        <f t="shared" si="402"/>
        <v>0</v>
      </c>
      <c r="AD388" s="74">
        <f t="shared" si="402"/>
        <v>3739</v>
      </c>
      <c r="AE388" s="74">
        <f t="shared" si="402"/>
        <v>-751</v>
      </c>
      <c r="AF388" s="74">
        <f t="shared" si="402"/>
        <v>2988</v>
      </c>
      <c r="AG388" s="74">
        <f>SUM(AG389:AG390)</f>
        <v>0</v>
      </c>
      <c r="AH388" s="74">
        <f>SUM(AH389:AH390)</f>
        <v>2988</v>
      </c>
    </row>
    <row r="389" spans="1:34" s="27" customFormat="1" ht="21" customHeight="1">
      <c r="A389" s="58"/>
      <c r="B389" s="82"/>
      <c r="C389" s="58">
        <v>4300</v>
      </c>
      <c r="D389" s="14" t="s">
        <v>340</v>
      </c>
      <c r="E389" s="74">
        <v>3981</v>
      </c>
      <c r="F389" s="74"/>
      <c r="G389" s="74"/>
      <c r="H389" s="74">
        <f>E389+F389-G389</f>
        <v>3981</v>
      </c>
      <c r="I389" s="74">
        <v>-998</v>
      </c>
      <c r="J389" s="74">
        <f t="shared" si="389"/>
        <v>2983</v>
      </c>
      <c r="K389" s="74">
        <v>0</v>
      </c>
      <c r="L389" s="74">
        <f t="shared" si="390"/>
        <v>2983</v>
      </c>
      <c r="M389" s="74">
        <v>0</v>
      </c>
      <c r="N389" s="74">
        <f>SUM(L389:M389)</f>
        <v>2983</v>
      </c>
      <c r="O389" s="74">
        <v>0</v>
      </c>
      <c r="P389" s="74">
        <f>SUM(N389:O389)</f>
        <v>2983</v>
      </c>
      <c r="Q389" s="74">
        <v>0</v>
      </c>
      <c r="R389" s="74">
        <f>SUM(P389:Q389)</f>
        <v>2983</v>
      </c>
      <c r="S389" s="74">
        <v>0</v>
      </c>
      <c r="T389" s="74">
        <f>SUM(R389:S389)</f>
        <v>2983</v>
      </c>
      <c r="U389" s="74">
        <v>0</v>
      </c>
      <c r="V389" s="74">
        <f>SUM(T389:U389)</f>
        <v>2983</v>
      </c>
      <c r="W389" s="74">
        <v>-987</v>
      </c>
      <c r="X389" s="74">
        <f>SUM(V389:W389)</f>
        <v>1996</v>
      </c>
      <c r="Y389" s="74">
        <v>0</v>
      </c>
      <c r="Z389" s="74">
        <f>SUM(X389:Y389)</f>
        <v>1996</v>
      </c>
      <c r="AA389" s="74">
        <v>0</v>
      </c>
      <c r="AB389" s="74">
        <f>SUM(Z389:AA389)</f>
        <v>1996</v>
      </c>
      <c r="AC389" s="74">
        <v>0</v>
      </c>
      <c r="AD389" s="74">
        <f>SUM(AB389:AC389)</f>
        <v>1996</v>
      </c>
      <c r="AE389" s="74">
        <v>-601</v>
      </c>
      <c r="AF389" s="74">
        <f>SUM(AD389:AE389)</f>
        <v>1395</v>
      </c>
      <c r="AG389" s="74">
        <v>0</v>
      </c>
      <c r="AH389" s="74">
        <f>SUM(AF389:AG389)</f>
        <v>1395</v>
      </c>
    </row>
    <row r="390" spans="1:34" s="27" customFormat="1" ht="21" customHeight="1">
      <c r="A390" s="58"/>
      <c r="B390" s="82"/>
      <c r="C390" s="58">
        <v>4410</v>
      </c>
      <c r="D390" s="14" t="s">
        <v>352</v>
      </c>
      <c r="E390" s="74"/>
      <c r="F390" s="74"/>
      <c r="G390" s="74"/>
      <c r="H390" s="74">
        <v>0</v>
      </c>
      <c r="I390" s="74">
        <v>998</v>
      </c>
      <c r="J390" s="74">
        <f t="shared" si="389"/>
        <v>998</v>
      </c>
      <c r="K390" s="74">
        <v>0</v>
      </c>
      <c r="L390" s="74">
        <f t="shared" si="390"/>
        <v>998</v>
      </c>
      <c r="M390" s="74">
        <v>0</v>
      </c>
      <c r="N390" s="74">
        <f>SUM(L390:M390)</f>
        <v>998</v>
      </c>
      <c r="O390" s="74">
        <v>0</v>
      </c>
      <c r="P390" s="74">
        <f>SUM(N390:O390)</f>
        <v>998</v>
      </c>
      <c r="Q390" s="74">
        <v>0</v>
      </c>
      <c r="R390" s="74">
        <f>SUM(P390:Q390)</f>
        <v>998</v>
      </c>
      <c r="S390" s="74">
        <v>0</v>
      </c>
      <c r="T390" s="74">
        <f>SUM(R390:S390)</f>
        <v>998</v>
      </c>
      <c r="U390" s="74">
        <v>0</v>
      </c>
      <c r="V390" s="74">
        <f>SUM(T390:U390)</f>
        <v>998</v>
      </c>
      <c r="W390" s="74">
        <v>745</v>
      </c>
      <c r="X390" s="74">
        <f>SUM(V390:W390)</f>
        <v>1743</v>
      </c>
      <c r="Y390" s="74">
        <v>0</v>
      </c>
      <c r="Z390" s="74">
        <f>SUM(X390:Y390)</f>
        <v>1743</v>
      </c>
      <c r="AA390" s="74">
        <v>0</v>
      </c>
      <c r="AB390" s="74">
        <f>SUM(Z390:AA390)</f>
        <v>1743</v>
      </c>
      <c r="AC390" s="74">
        <v>0</v>
      </c>
      <c r="AD390" s="74">
        <f>SUM(AB390:AC390)</f>
        <v>1743</v>
      </c>
      <c r="AE390" s="74">
        <v>-150</v>
      </c>
      <c r="AF390" s="74">
        <f>SUM(AD390:AE390)</f>
        <v>1593</v>
      </c>
      <c r="AG390" s="74">
        <v>0</v>
      </c>
      <c r="AH390" s="74">
        <f>SUM(AF390:AG390)</f>
        <v>1593</v>
      </c>
    </row>
    <row r="391" spans="1:34" s="27" customFormat="1" ht="21.75" customHeight="1">
      <c r="A391" s="58"/>
      <c r="B391" s="82">
        <v>85495</v>
      </c>
      <c r="C391" s="58"/>
      <c r="D391" s="14" t="s">
        <v>250</v>
      </c>
      <c r="E391" s="74">
        <f>SUM(E392:E392)</f>
        <v>226650</v>
      </c>
      <c r="F391" s="74">
        <f>SUM(F392:F392)</f>
        <v>0</v>
      </c>
      <c r="G391" s="74">
        <f>SUM(G392:G392)</f>
        <v>0</v>
      </c>
      <c r="H391" s="74">
        <f aca="true" t="shared" si="403" ref="H391:H436">E391+F391-G391</f>
        <v>226650</v>
      </c>
      <c r="I391" s="74">
        <f>SUM(I392:I392)</f>
        <v>0</v>
      </c>
      <c r="J391" s="74">
        <f aca="true" t="shared" si="404" ref="J391:AH391">SUM(J392)</f>
        <v>226650</v>
      </c>
      <c r="K391" s="74">
        <f t="shared" si="404"/>
        <v>0</v>
      </c>
      <c r="L391" s="74">
        <f t="shared" si="404"/>
        <v>226650</v>
      </c>
      <c r="M391" s="74">
        <f t="shared" si="404"/>
        <v>0</v>
      </c>
      <c r="N391" s="74">
        <f t="shared" si="404"/>
        <v>226650</v>
      </c>
      <c r="O391" s="74">
        <f t="shared" si="404"/>
        <v>0</v>
      </c>
      <c r="P391" s="74">
        <f t="shared" si="404"/>
        <v>226650</v>
      </c>
      <c r="Q391" s="74">
        <f t="shared" si="404"/>
        <v>0</v>
      </c>
      <c r="R391" s="74">
        <f t="shared" si="404"/>
        <v>226650</v>
      </c>
      <c r="S391" s="74">
        <f t="shared" si="404"/>
        <v>0</v>
      </c>
      <c r="T391" s="74">
        <f t="shared" si="404"/>
        <v>226650</v>
      </c>
      <c r="U391" s="74">
        <f t="shared" si="404"/>
        <v>0</v>
      </c>
      <c r="V391" s="74">
        <f t="shared" si="404"/>
        <v>226650</v>
      </c>
      <c r="W391" s="74">
        <f t="shared" si="404"/>
        <v>0</v>
      </c>
      <c r="X391" s="74">
        <f t="shared" si="404"/>
        <v>226650</v>
      </c>
      <c r="Y391" s="74">
        <f t="shared" si="404"/>
        <v>0</v>
      </c>
      <c r="Z391" s="74">
        <f t="shared" si="404"/>
        <v>226650</v>
      </c>
      <c r="AA391" s="74">
        <f t="shared" si="404"/>
        <v>0</v>
      </c>
      <c r="AB391" s="74">
        <f t="shared" si="404"/>
        <v>226650</v>
      </c>
      <c r="AC391" s="74">
        <f t="shared" si="404"/>
        <v>0</v>
      </c>
      <c r="AD391" s="74">
        <f t="shared" si="404"/>
        <v>226650</v>
      </c>
      <c r="AE391" s="74">
        <f t="shared" si="404"/>
        <v>0</v>
      </c>
      <c r="AF391" s="74">
        <f t="shared" si="404"/>
        <v>226650</v>
      </c>
      <c r="AG391" s="74">
        <f t="shared" si="404"/>
        <v>0</v>
      </c>
      <c r="AH391" s="74">
        <f t="shared" si="404"/>
        <v>226650</v>
      </c>
    </row>
    <row r="392" spans="1:34" s="27" customFormat="1" ht="48">
      <c r="A392" s="58"/>
      <c r="B392" s="82"/>
      <c r="C392" s="58">
        <v>2320</v>
      </c>
      <c r="D392" s="14" t="s">
        <v>427</v>
      </c>
      <c r="E392" s="74">
        <f>200000+26650</f>
        <v>226650</v>
      </c>
      <c r="F392" s="74"/>
      <c r="G392" s="74"/>
      <c r="H392" s="74">
        <f t="shared" si="403"/>
        <v>226650</v>
      </c>
      <c r="I392" s="74"/>
      <c r="J392" s="74">
        <f t="shared" si="389"/>
        <v>226650</v>
      </c>
      <c r="K392" s="74">
        <v>0</v>
      </c>
      <c r="L392" s="74">
        <f t="shared" si="390"/>
        <v>226650</v>
      </c>
      <c r="M392" s="74">
        <v>0</v>
      </c>
      <c r="N392" s="74">
        <f>SUM(L392:M392)</f>
        <v>226650</v>
      </c>
      <c r="O392" s="74">
        <v>0</v>
      </c>
      <c r="P392" s="74">
        <f>SUM(N392:O392)</f>
        <v>226650</v>
      </c>
      <c r="Q392" s="74">
        <v>0</v>
      </c>
      <c r="R392" s="74">
        <f>SUM(P392:Q392)</f>
        <v>226650</v>
      </c>
      <c r="S392" s="74">
        <v>0</v>
      </c>
      <c r="T392" s="74">
        <f>SUM(R392:S392)</f>
        <v>226650</v>
      </c>
      <c r="U392" s="74">
        <v>0</v>
      </c>
      <c r="V392" s="74">
        <f>SUM(T392:U392)</f>
        <v>226650</v>
      </c>
      <c r="W392" s="74">
        <v>0</v>
      </c>
      <c r="X392" s="74">
        <f>SUM(V392:W392)</f>
        <v>226650</v>
      </c>
      <c r="Y392" s="74">
        <v>0</v>
      </c>
      <c r="Z392" s="74">
        <f>SUM(X392:Y392)</f>
        <v>226650</v>
      </c>
      <c r="AA392" s="74">
        <v>0</v>
      </c>
      <c r="AB392" s="74">
        <f>SUM(Z392:AA392)</f>
        <v>226650</v>
      </c>
      <c r="AC392" s="74">
        <v>0</v>
      </c>
      <c r="AD392" s="74">
        <f>SUM(AB392:AC392)</f>
        <v>226650</v>
      </c>
      <c r="AE392" s="74">
        <v>0</v>
      </c>
      <c r="AF392" s="74">
        <f>SUM(AD392:AE392)</f>
        <v>226650</v>
      </c>
      <c r="AG392" s="74">
        <v>0</v>
      </c>
      <c r="AH392" s="74">
        <f>SUM(AF392:AG392)</f>
        <v>226650</v>
      </c>
    </row>
    <row r="393" spans="1:34" s="8" customFormat="1" ht="24.75" customHeight="1">
      <c r="A393" s="36" t="s">
        <v>392</v>
      </c>
      <c r="B393" s="6"/>
      <c r="C393" s="5"/>
      <c r="D393" s="22" t="s">
        <v>322</v>
      </c>
      <c r="E393" s="271">
        <f>SUM(E394,E399,E401,E405,E407,E409,E414,)</f>
        <v>2120241</v>
      </c>
      <c r="F393" s="271">
        <f>SUM(F394,F399,F401,F405,F407,F409,F414,)</f>
        <v>560000</v>
      </c>
      <c r="G393" s="271">
        <f>SUM(G394,G399,G401,G405,G407,G409,G414,)</f>
        <v>268000</v>
      </c>
      <c r="H393" s="271">
        <f t="shared" si="403"/>
        <v>2412241</v>
      </c>
      <c r="I393" s="271">
        <f aca="true" t="shared" si="405" ref="I393:N393">SUM(I394,I399,I401,I405,I407,I409,I414,)</f>
        <v>-12</v>
      </c>
      <c r="J393" s="271">
        <f t="shared" si="405"/>
        <v>2412229</v>
      </c>
      <c r="K393" s="271">
        <f t="shared" si="405"/>
        <v>554715</v>
      </c>
      <c r="L393" s="271">
        <f t="shared" si="405"/>
        <v>2966944</v>
      </c>
      <c r="M393" s="271">
        <f t="shared" si="405"/>
        <v>0</v>
      </c>
      <c r="N393" s="271">
        <f t="shared" si="405"/>
        <v>2966944</v>
      </c>
      <c r="O393" s="271">
        <f aca="true" t="shared" si="406" ref="O393:T393">SUM(O394,O399,O401,O405,O407,O409,O414,)</f>
        <v>15847</v>
      </c>
      <c r="P393" s="271">
        <f t="shared" si="406"/>
        <v>2982791</v>
      </c>
      <c r="Q393" s="271">
        <f t="shared" si="406"/>
        <v>873078</v>
      </c>
      <c r="R393" s="271">
        <f t="shared" si="406"/>
        <v>3855869</v>
      </c>
      <c r="S393" s="271">
        <f t="shared" si="406"/>
        <v>0</v>
      </c>
      <c r="T393" s="271">
        <f t="shared" si="406"/>
        <v>3855869</v>
      </c>
      <c r="U393" s="271">
        <f aca="true" t="shared" si="407" ref="U393:Z393">SUM(U394,U399,U401,U405,U407,U409,U414,)</f>
        <v>0</v>
      </c>
      <c r="V393" s="271">
        <f t="shared" si="407"/>
        <v>3855869</v>
      </c>
      <c r="W393" s="271">
        <f t="shared" si="407"/>
        <v>-1247</v>
      </c>
      <c r="X393" s="271">
        <f t="shared" si="407"/>
        <v>3854622</v>
      </c>
      <c r="Y393" s="271">
        <f t="shared" si="407"/>
        <v>0</v>
      </c>
      <c r="Z393" s="271">
        <f t="shared" si="407"/>
        <v>3854622</v>
      </c>
      <c r="AA393" s="271">
        <f aca="true" t="shared" si="408" ref="AA393:AF393">SUM(AA394,AA399,AA401,AA405,AA407,AA409,AA414,)</f>
        <v>-236700</v>
      </c>
      <c r="AB393" s="271">
        <f t="shared" si="408"/>
        <v>3617922</v>
      </c>
      <c r="AC393" s="271">
        <f t="shared" si="408"/>
        <v>0</v>
      </c>
      <c r="AD393" s="271">
        <f t="shared" si="408"/>
        <v>3617922</v>
      </c>
      <c r="AE393" s="271">
        <f t="shared" si="408"/>
        <v>-6007</v>
      </c>
      <c r="AF393" s="271">
        <f t="shared" si="408"/>
        <v>3611915</v>
      </c>
      <c r="AG393" s="271">
        <f>SUM(AG394,AG399,AG401,AG405,AG407,AG409,AG414,)</f>
        <v>-70500</v>
      </c>
      <c r="AH393" s="271">
        <f>SUM(AH394,AH399,AH401,AH405,AH407,AH409,AH414,)</f>
        <v>3541415</v>
      </c>
    </row>
    <row r="394" spans="1:34" s="27" customFormat="1" ht="21.75" customHeight="1">
      <c r="A394" s="76"/>
      <c r="B394" s="75" t="s">
        <v>393</v>
      </c>
      <c r="C394" s="58"/>
      <c r="D394" s="14" t="s">
        <v>323</v>
      </c>
      <c r="E394" s="74">
        <f>SUM(E395:E398)</f>
        <v>303075</v>
      </c>
      <c r="F394" s="74">
        <f>SUM(F395:F398)</f>
        <v>560000</v>
      </c>
      <c r="G394" s="74">
        <f>SUM(G395:G398)</f>
        <v>260000</v>
      </c>
      <c r="H394" s="74">
        <f t="shared" si="403"/>
        <v>603075</v>
      </c>
      <c r="I394" s="74">
        <f aca="true" t="shared" si="409" ref="I394:N394">SUM(I395:I398)</f>
        <v>0</v>
      </c>
      <c r="J394" s="74">
        <f t="shared" si="409"/>
        <v>603075</v>
      </c>
      <c r="K394" s="74">
        <f t="shared" si="409"/>
        <v>505115</v>
      </c>
      <c r="L394" s="74">
        <f t="shared" si="409"/>
        <v>1108190</v>
      </c>
      <c r="M394" s="74">
        <f t="shared" si="409"/>
        <v>0</v>
      </c>
      <c r="N394" s="74">
        <f t="shared" si="409"/>
        <v>1108190</v>
      </c>
      <c r="O394" s="74">
        <f aca="true" t="shared" si="410" ref="O394:T394">SUM(O395:O398)</f>
        <v>777</v>
      </c>
      <c r="P394" s="74">
        <f t="shared" si="410"/>
        <v>1108967</v>
      </c>
      <c r="Q394" s="74">
        <f t="shared" si="410"/>
        <v>797078</v>
      </c>
      <c r="R394" s="74">
        <f t="shared" si="410"/>
        <v>1906045</v>
      </c>
      <c r="S394" s="74">
        <f t="shared" si="410"/>
        <v>0</v>
      </c>
      <c r="T394" s="74">
        <f t="shared" si="410"/>
        <v>1906045</v>
      </c>
      <c r="U394" s="74">
        <f aca="true" t="shared" si="411" ref="U394:Z394">SUM(U395:U398)</f>
        <v>0</v>
      </c>
      <c r="V394" s="74">
        <f t="shared" si="411"/>
        <v>1906045</v>
      </c>
      <c r="W394" s="74">
        <f t="shared" si="411"/>
        <v>34000</v>
      </c>
      <c r="X394" s="74">
        <f t="shared" si="411"/>
        <v>1940045</v>
      </c>
      <c r="Y394" s="74">
        <f t="shared" si="411"/>
        <v>0</v>
      </c>
      <c r="Z394" s="74">
        <f t="shared" si="411"/>
        <v>1940045</v>
      </c>
      <c r="AA394" s="74">
        <f aca="true" t="shared" si="412" ref="AA394:AF394">SUM(AA395:AA398)</f>
        <v>-228000</v>
      </c>
      <c r="AB394" s="74">
        <f t="shared" si="412"/>
        <v>1712045</v>
      </c>
      <c r="AC394" s="74">
        <f t="shared" si="412"/>
        <v>0</v>
      </c>
      <c r="AD394" s="74">
        <f t="shared" si="412"/>
        <v>1712045</v>
      </c>
      <c r="AE394" s="74">
        <f t="shared" si="412"/>
        <v>-3500</v>
      </c>
      <c r="AF394" s="74">
        <f t="shared" si="412"/>
        <v>1708545</v>
      </c>
      <c r="AG394" s="74">
        <f>SUM(AG395:AG398)</f>
        <v>-84000</v>
      </c>
      <c r="AH394" s="74">
        <f>SUM(AH395:AH398)</f>
        <v>1624545</v>
      </c>
    </row>
    <row r="395" spans="1:34" s="27" customFormat="1" ht="21" customHeight="1">
      <c r="A395" s="76"/>
      <c r="B395" s="75"/>
      <c r="C395" s="76">
        <v>4300</v>
      </c>
      <c r="D395" s="14" t="s">
        <v>340</v>
      </c>
      <c r="E395" s="74">
        <f>40000+3000</f>
        <v>43000</v>
      </c>
      <c r="F395" s="74">
        <v>50000</v>
      </c>
      <c r="G395" s="74"/>
      <c r="H395" s="74">
        <f t="shared" si="403"/>
        <v>93000</v>
      </c>
      <c r="I395" s="74"/>
      <c r="J395" s="74">
        <f t="shared" si="389"/>
        <v>93000</v>
      </c>
      <c r="K395" s="74">
        <v>0</v>
      </c>
      <c r="L395" s="74">
        <f t="shared" si="390"/>
        <v>93000</v>
      </c>
      <c r="M395" s="74">
        <v>0</v>
      </c>
      <c r="N395" s="74">
        <f>SUM(L395:M395)</f>
        <v>93000</v>
      </c>
      <c r="O395" s="74">
        <v>720</v>
      </c>
      <c r="P395" s="74">
        <f>SUM(N395:O395)</f>
        <v>93720</v>
      </c>
      <c r="Q395" s="74">
        <v>0</v>
      </c>
      <c r="R395" s="74">
        <f>SUM(P395:Q395)</f>
        <v>93720</v>
      </c>
      <c r="S395" s="74">
        <v>0</v>
      </c>
      <c r="T395" s="74">
        <f>SUM(R395:S395)</f>
        <v>93720</v>
      </c>
      <c r="U395" s="74">
        <v>0</v>
      </c>
      <c r="V395" s="74">
        <f>SUM(T395:U395)</f>
        <v>93720</v>
      </c>
      <c r="W395" s="74">
        <v>0</v>
      </c>
      <c r="X395" s="74">
        <f>SUM(V395:W395)</f>
        <v>93720</v>
      </c>
      <c r="Y395" s="74">
        <v>0</v>
      </c>
      <c r="Z395" s="74">
        <f>SUM(X395:Y395)</f>
        <v>93720</v>
      </c>
      <c r="AA395" s="74">
        <v>0</v>
      </c>
      <c r="AB395" s="74">
        <f>SUM(Z395:AA395)</f>
        <v>93720</v>
      </c>
      <c r="AC395" s="74">
        <v>0</v>
      </c>
      <c r="AD395" s="74">
        <f>SUM(AB395:AC395)</f>
        <v>93720</v>
      </c>
      <c r="AE395" s="74">
        <v>0</v>
      </c>
      <c r="AF395" s="74">
        <f>SUM(AD395:AE395)</f>
        <v>93720</v>
      </c>
      <c r="AG395" s="74">
        <v>0</v>
      </c>
      <c r="AH395" s="74">
        <f>SUM(AF395:AG395)</f>
        <v>93720</v>
      </c>
    </row>
    <row r="396" spans="1:34" s="27" customFormat="1" ht="21" customHeight="1">
      <c r="A396" s="76"/>
      <c r="B396" s="75"/>
      <c r="C396" s="76">
        <v>4430</v>
      </c>
      <c r="D396" s="14" t="s">
        <v>356</v>
      </c>
      <c r="E396" s="74">
        <v>75</v>
      </c>
      <c r="F396" s="74"/>
      <c r="G396" s="74"/>
      <c r="H396" s="74">
        <f t="shared" si="403"/>
        <v>75</v>
      </c>
      <c r="I396" s="74"/>
      <c r="J396" s="74">
        <f t="shared" si="389"/>
        <v>75</v>
      </c>
      <c r="K396" s="74">
        <v>0</v>
      </c>
      <c r="L396" s="74">
        <f t="shared" si="390"/>
        <v>75</v>
      </c>
      <c r="M396" s="74">
        <v>0</v>
      </c>
      <c r="N396" s="74">
        <f>SUM(L396:M396)</f>
        <v>75</v>
      </c>
      <c r="O396" s="74">
        <v>0</v>
      </c>
      <c r="P396" s="74">
        <f>SUM(N396:O396)</f>
        <v>75</v>
      </c>
      <c r="Q396" s="74">
        <v>0</v>
      </c>
      <c r="R396" s="74">
        <f>SUM(P396:Q396)</f>
        <v>75</v>
      </c>
      <c r="S396" s="74">
        <v>0</v>
      </c>
      <c r="T396" s="74">
        <f>SUM(R396:S396)</f>
        <v>75</v>
      </c>
      <c r="U396" s="74">
        <v>0</v>
      </c>
      <c r="V396" s="74">
        <f>SUM(T396:U396)</f>
        <v>75</v>
      </c>
      <c r="W396" s="74">
        <v>0</v>
      </c>
      <c r="X396" s="74">
        <f>SUM(V396:W396)</f>
        <v>75</v>
      </c>
      <c r="Y396" s="74">
        <v>0</v>
      </c>
      <c r="Z396" s="74">
        <f>SUM(X396:Y396)</f>
        <v>75</v>
      </c>
      <c r="AA396" s="74">
        <v>0</v>
      </c>
      <c r="AB396" s="74">
        <f>SUM(Z396:AA396)</f>
        <v>75</v>
      </c>
      <c r="AC396" s="74">
        <v>0</v>
      </c>
      <c r="AD396" s="74">
        <f>SUM(AB396:AC396)</f>
        <v>75</v>
      </c>
      <c r="AE396" s="74">
        <v>0</v>
      </c>
      <c r="AF396" s="74">
        <f>SUM(AD396:AE396)</f>
        <v>75</v>
      </c>
      <c r="AG396" s="74">
        <v>0</v>
      </c>
      <c r="AH396" s="74">
        <f>SUM(AF396:AG396)</f>
        <v>75</v>
      </c>
    </row>
    <row r="397" spans="1:38" s="27" customFormat="1" ht="48">
      <c r="A397" s="76"/>
      <c r="B397" s="75"/>
      <c r="C397" s="76">
        <v>6010</v>
      </c>
      <c r="D397" s="14" t="s">
        <v>576</v>
      </c>
      <c r="E397" s="74"/>
      <c r="F397" s="74"/>
      <c r="G397" s="74"/>
      <c r="H397" s="74"/>
      <c r="I397" s="74"/>
      <c r="J397" s="74">
        <v>0</v>
      </c>
      <c r="K397" s="74">
        <v>115</v>
      </c>
      <c r="L397" s="74">
        <f t="shared" si="390"/>
        <v>115</v>
      </c>
      <c r="M397" s="74">
        <v>0</v>
      </c>
      <c r="N397" s="74">
        <f>SUM(L397:M397)</f>
        <v>115</v>
      </c>
      <c r="O397" s="74">
        <v>57</v>
      </c>
      <c r="P397" s="74">
        <f>SUM(N397:O397)</f>
        <v>172</v>
      </c>
      <c r="Q397" s="74">
        <v>578</v>
      </c>
      <c r="R397" s="74">
        <f>SUM(P397:Q397)</f>
        <v>750</v>
      </c>
      <c r="S397" s="74">
        <v>0</v>
      </c>
      <c r="T397" s="74">
        <f>SUM(R397:S397)</f>
        <v>750</v>
      </c>
      <c r="U397" s="74">
        <v>0</v>
      </c>
      <c r="V397" s="74">
        <f>SUM(T397:U397)</f>
        <v>750</v>
      </c>
      <c r="W397" s="74">
        <v>0</v>
      </c>
      <c r="X397" s="74">
        <f>SUM(V397:W397)</f>
        <v>750</v>
      </c>
      <c r="Y397" s="74">
        <v>0</v>
      </c>
      <c r="Z397" s="74">
        <f>SUM(X397:Y397)</f>
        <v>750</v>
      </c>
      <c r="AA397" s="74">
        <v>0</v>
      </c>
      <c r="AB397" s="74">
        <f>SUM(Z397:AA397)</f>
        <v>750</v>
      </c>
      <c r="AC397" s="74">
        <v>0</v>
      </c>
      <c r="AD397" s="74">
        <f>SUM(AB397:AC397)</f>
        <v>750</v>
      </c>
      <c r="AE397" s="74">
        <v>0</v>
      </c>
      <c r="AF397" s="74">
        <f>SUM(AD397:AE397)</f>
        <v>750</v>
      </c>
      <c r="AG397" s="74">
        <v>0</v>
      </c>
      <c r="AH397" s="74">
        <f>SUM(AF397:AG397)</f>
        <v>750</v>
      </c>
      <c r="AK397" s="119"/>
      <c r="AL397" s="119"/>
    </row>
    <row r="398" spans="1:38" s="27" customFormat="1" ht="21" customHeight="1">
      <c r="A398" s="76"/>
      <c r="B398" s="75"/>
      <c r="C398" s="76">
        <v>6050</v>
      </c>
      <c r="D398" s="14" t="s">
        <v>334</v>
      </c>
      <c r="E398" s="74">
        <f>110000+150000</f>
        <v>260000</v>
      </c>
      <c r="F398" s="74">
        <f>250000+150000+110000</f>
        <v>510000</v>
      </c>
      <c r="G398" s="74">
        <f>110000+150000</f>
        <v>260000</v>
      </c>
      <c r="H398" s="74">
        <f t="shared" si="403"/>
        <v>510000</v>
      </c>
      <c r="I398" s="74"/>
      <c r="J398" s="74">
        <f t="shared" si="389"/>
        <v>510000</v>
      </c>
      <c r="K398" s="74">
        <f>5000+500000</f>
        <v>505000</v>
      </c>
      <c r="L398" s="74">
        <f t="shared" si="390"/>
        <v>1015000</v>
      </c>
      <c r="M398" s="74">
        <v>0</v>
      </c>
      <c r="N398" s="74">
        <f>SUM(L398:M398)</f>
        <v>1015000</v>
      </c>
      <c r="O398" s="74">
        <v>0</v>
      </c>
      <c r="P398" s="74">
        <f>SUM(N398:O398)</f>
        <v>1015000</v>
      </c>
      <c r="Q398" s="210">
        <f>75000+480000+22000+350000+95000+65000+15000+21000+110000-1233000+796500</f>
        <v>796500</v>
      </c>
      <c r="R398" s="74">
        <f>SUM(P398:Q398)</f>
        <v>1811500</v>
      </c>
      <c r="S398" s="210"/>
      <c r="T398" s="74">
        <f>SUM(R398:S398)</f>
        <v>1811500</v>
      </c>
      <c r="U398" s="210"/>
      <c r="V398" s="74">
        <f>SUM(T398:U398)</f>
        <v>1811500</v>
      </c>
      <c r="W398" s="74">
        <f>-13000+31000+190000+86000+46000+15000+29000+68500-418500</f>
        <v>34000</v>
      </c>
      <c r="X398" s="74">
        <f>SUM(V398:W398)</f>
        <v>1845500</v>
      </c>
      <c r="Y398" s="74">
        <v>0</v>
      </c>
      <c r="Z398" s="74">
        <f>SUM(X398:Y398)</f>
        <v>1845500</v>
      </c>
      <c r="AA398" s="74">
        <f>-2000-1000-60000-35000-130000</f>
        <v>-228000</v>
      </c>
      <c r="AB398" s="74">
        <f>SUM(Z398:AA398)</f>
        <v>1617500</v>
      </c>
      <c r="AC398" s="74">
        <v>0</v>
      </c>
      <c r="AD398" s="74">
        <f>SUM(AB398:AC398)</f>
        <v>1617500</v>
      </c>
      <c r="AE398" s="74">
        <v>-3500</v>
      </c>
      <c r="AF398" s="74">
        <f>SUM(AD398:AE398)</f>
        <v>1614000</v>
      </c>
      <c r="AG398" s="74">
        <f>-84000</f>
        <v>-84000</v>
      </c>
      <c r="AH398" s="74">
        <f>SUM(AF398:AG398)</f>
        <v>1530000</v>
      </c>
      <c r="AK398" s="119"/>
      <c r="AL398" s="119"/>
    </row>
    <row r="399" spans="1:34" s="27" customFormat="1" ht="21.75" customHeight="1">
      <c r="A399" s="76"/>
      <c r="B399" s="75" t="s">
        <v>394</v>
      </c>
      <c r="C399" s="58"/>
      <c r="D399" s="14" t="s">
        <v>395</v>
      </c>
      <c r="E399" s="74">
        <f>SUM(E400:E400)</f>
        <v>650946</v>
      </c>
      <c r="F399" s="74">
        <f>SUM(F400:F400)</f>
        <v>0</v>
      </c>
      <c r="G399" s="74">
        <f>SUM(G400:G400)</f>
        <v>0</v>
      </c>
      <c r="H399" s="74">
        <f t="shared" si="403"/>
        <v>650946</v>
      </c>
      <c r="I399" s="74">
        <f>SUM(I400:I400)</f>
        <v>0</v>
      </c>
      <c r="J399" s="74">
        <f aca="true" t="shared" si="413" ref="J399:AH399">SUM(J400)</f>
        <v>650946</v>
      </c>
      <c r="K399" s="74">
        <f t="shared" si="413"/>
        <v>38000</v>
      </c>
      <c r="L399" s="74">
        <f t="shared" si="413"/>
        <v>688946</v>
      </c>
      <c r="M399" s="74">
        <f t="shared" si="413"/>
        <v>0</v>
      </c>
      <c r="N399" s="74">
        <f t="shared" si="413"/>
        <v>688946</v>
      </c>
      <c r="O399" s="74">
        <f t="shared" si="413"/>
        <v>0</v>
      </c>
      <c r="P399" s="74">
        <f t="shared" si="413"/>
        <v>688946</v>
      </c>
      <c r="Q399" s="74">
        <f t="shared" si="413"/>
        <v>0</v>
      </c>
      <c r="R399" s="74">
        <f t="shared" si="413"/>
        <v>688946</v>
      </c>
      <c r="S399" s="74">
        <f t="shared" si="413"/>
        <v>0</v>
      </c>
      <c r="T399" s="74">
        <f t="shared" si="413"/>
        <v>688946</v>
      </c>
      <c r="U399" s="74">
        <f t="shared" si="413"/>
        <v>0</v>
      </c>
      <c r="V399" s="74">
        <f t="shared" si="413"/>
        <v>688946</v>
      </c>
      <c r="W399" s="74">
        <f t="shared" si="413"/>
        <v>-2000</v>
      </c>
      <c r="X399" s="74">
        <f t="shared" si="413"/>
        <v>686946</v>
      </c>
      <c r="Y399" s="74">
        <f t="shared" si="413"/>
        <v>0</v>
      </c>
      <c r="Z399" s="74">
        <f t="shared" si="413"/>
        <v>686946</v>
      </c>
      <c r="AA399" s="74">
        <f t="shared" si="413"/>
        <v>0</v>
      </c>
      <c r="AB399" s="74">
        <f t="shared" si="413"/>
        <v>686946</v>
      </c>
      <c r="AC399" s="74">
        <f t="shared" si="413"/>
        <v>0</v>
      </c>
      <c r="AD399" s="74">
        <f t="shared" si="413"/>
        <v>686946</v>
      </c>
      <c r="AE399" s="74">
        <f t="shared" si="413"/>
        <v>-200</v>
      </c>
      <c r="AF399" s="74">
        <f t="shared" si="413"/>
        <v>686746</v>
      </c>
      <c r="AG399" s="74">
        <f t="shared" si="413"/>
        <v>0</v>
      </c>
      <c r="AH399" s="74">
        <f t="shared" si="413"/>
        <v>686746</v>
      </c>
    </row>
    <row r="400" spans="1:34" s="27" customFormat="1" ht="21" customHeight="1">
      <c r="A400" s="76"/>
      <c r="B400" s="75"/>
      <c r="C400" s="58">
        <v>4300</v>
      </c>
      <c r="D400" s="182" t="s">
        <v>340</v>
      </c>
      <c r="E400" s="74">
        <f>2500+648446</f>
        <v>650946</v>
      </c>
      <c r="F400" s="74"/>
      <c r="G400" s="74"/>
      <c r="H400" s="74">
        <f t="shared" si="403"/>
        <v>650946</v>
      </c>
      <c r="I400" s="74"/>
      <c r="J400" s="74">
        <f t="shared" si="389"/>
        <v>650946</v>
      </c>
      <c r="K400" s="74">
        <v>38000</v>
      </c>
      <c r="L400" s="74">
        <f t="shared" si="390"/>
        <v>688946</v>
      </c>
      <c r="M400" s="74"/>
      <c r="N400" s="74">
        <f>SUM(L400:M400)</f>
        <v>688946</v>
      </c>
      <c r="O400" s="74"/>
      <c r="P400" s="74">
        <f>SUM(N400:O400)</f>
        <v>688946</v>
      </c>
      <c r="Q400" s="74"/>
      <c r="R400" s="74">
        <f>SUM(P400:Q400)</f>
        <v>688946</v>
      </c>
      <c r="S400" s="74">
        <v>0</v>
      </c>
      <c r="T400" s="74">
        <f>SUM(R400:S400)</f>
        <v>688946</v>
      </c>
      <c r="U400" s="74">
        <v>0</v>
      </c>
      <c r="V400" s="74">
        <f>SUM(T400:U400)</f>
        <v>688946</v>
      </c>
      <c r="W400" s="74">
        <v>-2000</v>
      </c>
      <c r="X400" s="74">
        <f>SUM(V400:W400)</f>
        <v>686946</v>
      </c>
      <c r="Y400" s="74">
        <v>0</v>
      </c>
      <c r="Z400" s="74">
        <f>SUM(X400:Y400)</f>
        <v>686946</v>
      </c>
      <c r="AA400" s="74">
        <v>0</v>
      </c>
      <c r="AB400" s="74">
        <f>SUM(Z400:AA400)</f>
        <v>686946</v>
      </c>
      <c r="AC400" s="74">
        <v>0</v>
      </c>
      <c r="AD400" s="74">
        <f>SUM(AB400:AC400)</f>
        <v>686946</v>
      </c>
      <c r="AE400" s="74">
        <v>-200</v>
      </c>
      <c r="AF400" s="74">
        <f>SUM(AD400:AE400)</f>
        <v>686746</v>
      </c>
      <c r="AG400" s="74">
        <v>0</v>
      </c>
      <c r="AH400" s="74">
        <f>SUM(AF400:AG400)</f>
        <v>686746</v>
      </c>
    </row>
    <row r="401" spans="1:34" s="27" customFormat="1" ht="21.75" customHeight="1">
      <c r="A401" s="76"/>
      <c r="B401" s="75" t="s">
        <v>396</v>
      </c>
      <c r="C401" s="58"/>
      <c r="D401" s="14" t="s">
        <v>429</v>
      </c>
      <c r="E401" s="74">
        <f>SUM(E402:E404)</f>
        <v>209620</v>
      </c>
      <c r="F401" s="74">
        <f>SUM(F402:F404)</f>
        <v>0</v>
      </c>
      <c r="G401" s="74">
        <f>SUM(G402:G404)</f>
        <v>0</v>
      </c>
      <c r="H401" s="74">
        <f t="shared" si="403"/>
        <v>209620</v>
      </c>
      <c r="I401" s="74">
        <f aca="true" t="shared" si="414" ref="I401:N401">SUM(I402:I404)</f>
        <v>-12</v>
      </c>
      <c r="J401" s="74">
        <f t="shared" si="414"/>
        <v>209608</v>
      </c>
      <c r="K401" s="74">
        <f t="shared" si="414"/>
        <v>-8400</v>
      </c>
      <c r="L401" s="74">
        <f t="shared" si="414"/>
        <v>201208</v>
      </c>
      <c r="M401" s="74">
        <f t="shared" si="414"/>
        <v>0</v>
      </c>
      <c r="N401" s="74">
        <f t="shared" si="414"/>
        <v>201208</v>
      </c>
      <c r="O401" s="74">
        <f aca="true" t="shared" si="415" ref="O401:T401">SUM(O402:O404)</f>
        <v>1070</v>
      </c>
      <c r="P401" s="74">
        <f t="shared" si="415"/>
        <v>202278</v>
      </c>
      <c r="Q401" s="74">
        <f t="shared" si="415"/>
        <v>0</v>
      </c>
      <c r="R401" s="74">
        <f t="shared" si="415"/>
        <v>202278</v>
      </c>
      <c r="S401" s="74">
        <f t="shared" si="415"/>
        <v>0</v>
      </c>
      <c r="T401" s="74">
        <f t="shared" si="415"/>
        <v>202278</v>
      </c>
      <c r="U401" s="74">
        <f aca="true" t="shared" si="416" ref="U401:Z401">SUM(U402:U404)</f>
        <v>0</v>
      </c>
      <c r="V401" s="74">
        <f t="shared" si="416"/>
        <v>202278</v>
      </c>
      <c r="W401" s="74">
        <f t="shared" si="416"/>
        <v>-3148</v>
      </c>
      <c r="X401" s="74">
        <f t="shared" si="416"/>
        <v>199130</v>
      </c>
      <c r="Y401" s="74">
        <f t="shared" si="416"/>
        <v>0</v>
      </c>
      <c r="Z401" s="74">
        <f t="shared" si="416"/>
        <v>199130</v>
      </c>
      <c r="AA401" s="74">
        <f aca="true" t="shared" si="417" ref="AA401:AF401">SUM(AA402:AA404)</f>
        <v>0</v>
      </c>
      <c r="AB401" s="74">
        <f t="shared" si="417"/>
        <v>199130</v>
      </c>
      <c r="AC401" s="74">
        <f t="shared" si="417"/>
        <v>0</v>
      </c>
      <c r="AD401" s="74">
        <f t="shared" si="417"/>
        <v>199130</v>
      </c>
      <c r="AE401" s="74">
        <f t="shared" si="417"/>
        <v>-307</v>
      </c>
      <c r="AF401" s="74">
        <f t="shared" si="417"/>
        <v>198823</v>
      </c>
      <c r="AG401" s="74">
        <f>SUM(AG402:AG404)</f>
        <v>0</v>
      </c>
      <c r="AH401" s="74">
        <f>SUM(AH402:AH404)</f>
        <v>198823</v>
      </c>
    </row>
    <row r="402" spans="1:34" s="27" customFormat="1" ht="21" customHeight="1">
      <c r="A402" s="76"/>
      <c r="B402" s="75"/>
      <c r="C402" s="76">
        <v>4210</v>
      </c>
      <c r="D402" s="14" t="s">
        <v>354</v>
      </c>
      <c r="E402" s="74">
        <f>20420+18000+10000</f>
        <v>48420</v>
      </c>
      <c r="F402" s="74"/>
      <c r="G402" s="74"/>
      <c r="H402" s="74">
        <f t="shared" si="403"/>
        <v>48420</v>
      </c>
      <c r="I402" s="74">
        <v>-12</v>
      </c>
      <c r="J402" s="74">
        <f t="shared" si="389"/>
        <v>48408</v>
      </c>
      <c r="K402" s="74">
        <v>-400</v>
      </c>
      <c r="L402" s="74">
        <f t="shared" si="390"/>
        <v>48008</v>
      </c>
      <c r="M402" s="74">
        <v>0</v>
      </c>
      <c r="N402" s="74">
        <f>SUM(L402:M402)</f>
        <v>48008</v>
      </c>
      <c r="O402" s="74">
        <f>370+5000</f>
        <v>5370</v>
      </c>
      <c r="P402" s="74">
        <f>SUM(N402:O402)</f>
        <v>53378</v>
      </c>
      <c r="Q402" s="74"/>
      <c r="R402" s="74">
        <f>SUM(P402:Q402)</f>
        <v>53378</v>
      </c>
      <c r="S402" s="74">
        <v>0</v>
      </c>
      <c r="T402" s="74">
        <f>SUM(R402:S402)</f>
        <v>53378</v>
      </c>
      <c r="U402" s="74">
        <v>0</v>
      </c>
      <c r="V402" s="74">
        <f>SUM(T402:U402)</f>
        <v>53378</v>
      </c>
      <c r="W402" s="74">
        <f>-3348-100</f>
        <v>-3448</v>
      </c>
      <c r="X402" s="74">
        <f>SUM(V402:W402)</f>
        <v>49930</v>
      </c>
      <c r="Y402" s="74">
        <v>0</v>
      </c>
      <c r="Z402" s="74">
        <f>SUM(X402:Y402)</f>
        <v>49930</v>
      </c>
      <c r="AA402" s="74">
        <v>0</v>
      </c>
      <c r="AB402" s="74">
        <f>SUM(Z402:AA402)</f>
        <v>49930</v>
      </c>
      <c r="AC402" s="74">
        <v>0</v>
      </c>
      <c r="AD402" s="74">
        <f>SUM(AB402:AC402)</f>
        <v>49930</v>
      </c>
      <c r="AE402" s="74">
        <v>820</v>
      </c>
      <c r="AF402" s="74">
        <f>SUM(AD402:AE402)</f>
        <v>50750</v>
      </c>
      <c r="AG402" s="74">
        <v>285</v>
      </c>
      <c r="AH402" s="74">
        <f>SUM(AF402:AG402)</f>
        <v>51035</v>
      </c>
    </row>
    <row r="403" spans="1:34" s="27" customFormat="1" ht="21" customHeight="1">
      <c r="A403" s="76"/>
      <c r="B403" s="75"/>
      <c r="C403" s="76">
        <v>4270</v>
      </c>
      <c r="D403" s="14" t="s">
        <v>339</v>
      </c>
      <c r="E403" s="74">
        <v>5000</v>
      </c>
      <c r="F403" s="74"/>
      <c r="G403" s="74"/>
      <c r="H403" s="74">
        <f t="shared" si="403"/>
        <v>5000</v>
      </c>
      <c r="I403" s="74"/>
      <c r="J403" s="74">
        <f t="shared" si="389"/>
        <v>5000</v>
      </c>
      <c r="K403" s="74">
        <v>0</v>
      </c>
      <c r="L403" s="74">
        <f t="shared" si="390"/>
        <v>5000</v>
      </c>
      <c r="M403" s="74">
        <v>0</v>
      </c>
      <c r="N403" s="74">
        <f>SUM(L403:M403)</f>
        <v>5000</v>
      </c>
      <c r="O403" s="74">
        <v>-5000</v>
      </c>
      <c r="P403" s="74">
        <f>SUM(N403:O403)</f>
        <v>0</v>
      </c>
      <c r="Q403" s="74"/>
      <c r="R403" s="74">
        <f>SUM(P403:Q403)</f>
        <v>0</v>
      </c>
      <c r="S403" s="74">
        <v>0</v>
      </c>
      <c r="T403" s="74">
        <f>SUM(R403:S403)</f>
        <v>0</v>
      </c>
      <c r="U403" s="74">
        <v>0</v>
      </c>
      <c r="V403" s="74">
        <f>SUM(T403:U403)</f>
        <v>0</v>
      </c>
      <c r="W403" s="74">
        <v>0</v>
      </c>
      <c r="X403" s="74">
        <f>SUM(V403:W403)</f>
        <v>0</v>
      </c>
      <c r="Y403" s="74">
        <v>0</v>
      </c>
      <c r="Z403" s="74">
        <f>SUM(X403:Y403)</f>
        <v>0</v>
      </c>
      <c r="AA403" s="74">
        <v>0</v>
      </c>
      <c r="AB403" s="74">
        <f>SUM(Z403:AA403)</f>
        <v>0</v>
      </c>
      <c r="AC403" s="74">
        <v>0</v>
      </c>
      <c r="AD403" s="74">
        <f>SUM(AB403:AC403)</f>
        <v>0</v>
      </c>
      <c r="AE403" s="74">
        <v>0</v>
      </c>
      <c r="AF403" s="74">
        <f>SUM(AD403:AE403)</f>
        <v>0</v>
      </c>
      <c r="AG403" s="74">
        <v>0</v>
      </c>
      <c r="AH403" s="74">
        <f>SUM(AF403:AG403)</f>
        <v>0</v>
      </c>
    </row>
    <row r="404" spans="1:34" s="27" customFormat="1" ht="21" customHeight="1">
      <c r="A404" s="76"/>
      <c r="B404" s="75"/>
      <c r="C404" s="76">
        <v>4300</v>
      </c>
      <c r="D404" s="14" t="s">
        <v>340</v>
      </c>
      <c r="E404" s="74">
        <f>12940+143260</f>
        <v>156200</v>
      </c>
      <c r="F404" s="74"/>
      <c r="G404" s="74"/>
      <c r="H404" s="74">
        <f t="shared" si="403"/>
        <v>156200</v>
      </c>
      <c r="I404" s="74"/>
      <c r="J404" s="74">
        <f t="shared" si="389"/>
        <v>156200</v>
      </c>
      <c r="K404" s="74">
        <v>-8000</v>
      </c>
      <c r="L404" s="74">
        <f t="shared" si="390"/>
        <v>148200</v>
      </c>
      <c r="M404" s="74">
        <v>0</v>
      </c>
      <c r="N404" s="74">
        <f>SUM(L404:M404)</f>
        <v>148200</v>
      </c>
      <c r="O404" s="74">
        <v>700</v>
      </c>
      <c r="P404" s="74">
        <f>SUM(N404:O404)</f>
        <v>148900</v>
      </c>
      <c r="Q404" s="74"/>
      <c r="R404" s="74">
        <f>SUM(P404:Q404)</f>
        <v>148900</v>
      </c>
      <c r="S404" s="74">
        <v>0</v>
      </c>
      <c r="T404" s="74">
        <f>SUM(R404:S404)</f>
        <v>148900</v>
      </c>
      <c r="U404" s="74">
        <v>0</v>
      </c>
      <c r="V404" s="74">
        <f>SUM(T404:U404)</f>
        <v>148900</v>
      </c>
      <c r="W404" s="74">
        <v>300</v>
      </c>
      <c r="X404" s="74">
        <f>SUM(V404:W404)</f>
        <v>149200</v>
      </c>
      <c r="Y404" s="74">
        <v>0</v>
      </c>
      <c r="Z404" s="74">
        <f>SUM(X404:Y404)</f>
        <v>149200</v>
      </c>
      <c r="AA404" s="74">
        <v>0</v>
      </c>
      <c r="AB404" s="74">
        <f>SUM(Z404:AA404)</f>
        <v>149200</v>
      </c>
      <c r="AC404" s="74">
        <v>0</v>
      </c>
      <c r="AD404" s="74">
        <f>SUM(AB404:AC404)</f>
        <v>149200</v>
      </c>
      <c r="AE404" s="74">
        <v>-1127</v>
      </c>
      <c r="AF404" s="74">
        <f>SUM(AD404:AE404)</f>
        <v>148073</v>
      </c>
      <c r="AG404" s="74">
        <v>-285</v>
      </c>
      <c r="AH404" s="74">
        <f>SUM(AF404:AG404)</f>
        <v>147788</v>
      </c>
    </row>
    <row r="405" spans="1:34" s="27" customFormat="1" ht="21.75" customHeight="1">
      <c r="A405" s="76"/>
      <c r="B405" s="75" t="s">
        <v>397</v>
      </c>
      <c r="C405" s="58"/>
      <c r="D405" s="14" t="s">
        <v>398</v>
      </c>
      <c r="E405" s="74">
        <f>SUM(E406:E406)</f>
        <v>12000</v>
      </c>
      <c r="F405" s="74">
        <f>SUM(F406:F406)</f>
        <v>0</v>
      </c>
      <c r="G405" s="74">
        <f>SUM(G406:G406)</f>
        <v>0</v>
      </c>
      <c r="H405" s="74">
        <f t="shared" si="403"/>
        <v>12000</v>
      </c>
      <c r="I405" s="74">
        <f>SUM(I406:I406)</f>
        <v>0</v>
      </c>
      <c r="J405" s="74">
        <f aca="true" t="shared" si="418" ref="J405:AH405">SUM(J406)</f>
        <v>12000</v>
      </c>
      <c r="K405" s="74">
        <f t="shared" si="418"/>
        <v>0</v>
      </c>
      <c r="L405" s="74">
        <f t="shared" si="418"/>
        <v>12000</v>
      </c>
      <c r="M405" s="74">
        <f t="shared" si="418"/>
        <v>0</v>
      </c>
      <c r="N405" s="74">
        <f t="shared" si="418"/>
        <v>12000</v>
      </c>
      <c r="O405" s="74">
        <f t="shared" si="418"/>
        <v>0</v>
      </c>
      <c r="P405" s="74">
        <f t="shared" si="418"/>
        <v>12000</v>
      </c>
      <c r="Q405" s="74">
        <f t="shared" si="418"/>
        <v>0</v>
      </c>
      <c r="R405" s="74">
        <f t="shared" si="418"/>
        <v>12000</v>
      </c>
      <c r="S405" s="74">
        <f t="shared" si="418"/>
        <v>0</v>
      </c>
      <c r="T405" s="74">
        <f t="shared" si="418"/>
        <v>12000</v>
      </c>
      <c r="U405" s="74">
        <f t="shared" si="418"/>
        <v>0</v>
      </c>
      <c r="V405" s="74">
        <f t="shared" si="418"/>
        <v>12000</v>
      </c>
      <c r="W405" s="74">
        <f t="shared" si="418"/>
        <v>0</v>
      </c>
      <c r="X405" s="74">
        <f t="shared" si="418"/>
        <v>12000</v>
      </c>
      <c r="Y405" s="74">
        <f t="shared" si="418"/>
        <v>0</v>
      </c>
      <c r="Z405" s="74">
        <f t="shared" si="418"/>
        <v>12000</v>
      </c>
      <c r="AA405" s="74">
        <f t="shared" si="418"/>
        <v>300</v>
      </c>
      <c r="AB405" s="74">
        <f t="shared" si="418"/>
        <v>12300</v>
      </c>
      <c r="AC405" s="74">
        <f t="shared" si="418"/>
        <v>0</v>
      </c>
      <c r="AD405" s="74">
        <f t="shared" si="418"/>
        <v>12300</v>
      </c>
      <c r="AE405" s="74">
        <f t="shared" si="418"/>
        <v>0</v>
      </c>
      <c r="AF405" s="74">
        <f t="shared" si="418"/>
        <v>12300</v>
      </c>
      <c r="AG405" s="74">
        <f t="shared" si="418"/>
        <v>0</v>
      </c>
      <c r="AH405" s="74">
        <f t="shared" si="418"/>
        <v>12300</v>
      </c>
    </row>
    <row r="406" spans="1:34" s="27" customFormat="1" ht="24">
      <c r="A406" s="76"/>
      <c r="B406" s="75"/>
      <c r="C406" s="58">
        <v>4520</v>
      </c>
      <c r="D406" s="14" t="s">
        <v>399</v>
      </c>
      <c r="E406" s="74">
        <v>12000</v>
      </c>
      <c r="F406" s="74"/>
      <c r="G406" s="74"/>
      <c r="H406" s="74">
        <f t="shared" si="403"/>
        <v>12000</v>
      </c>
      <c r="I406" s="74"/>
      <c r="J406" s="74">
        <f t="shared" si="389"/>
        <v>12000</v>
      </c>
      <c r="K406" s="74">
        <v>0</v>
      </c>
      <c r="L406" s="74">
        <f t="shared" si="390"/>
        <v>12000</v>
      </c>
      <c r="M406" s="74">
        <v>0</v>
      </c>
      <c r="N406" s="74">
        <f>SUM(L406:M406)</f>
        <v>12000</v>
      </c>
      <c r="O406" s="74">
        <v>0</v>
      </c>
      <c r="P406" s="74">
        <f>SUM(N406:O406)</f>
        <v>12000</v>
      </c>
      <c r="Q406" s="74">
        <v>0</v>
      </c>
      <c r="R406" s="74">
        <f>SUM(P406:Q406)</f>
        <v>12000</v>
      </c>
      <c r="S406" s="74">
        <v>0</v>
      </c>
      <c r="T406" s="74">
        <f>SUM(R406:S406)</f>
        <v>12000</v>
      </c>
      <c r="U406" s="74">
        <v>0</v>
      </c>
      <c r="V406" s="74">
        <f>SUM(T406:U406)</f>
        <v>12000</v>
      </c>
      <c r="W406" s="74">
        <v>0</v>
      </c>
      <c r="X406" s="74">
        <f>SUM(V406:W406)</f>
        <v>12000</v>
      </c>
      <c r="Y406" s="74">
        <v>0</v>
      </c>
      <c r="Z406" s="74">
        <f>SUM(X406:Y406)</f>
        <v>12000</v>
      </c>
      <c r="AA406" s="74">
        <v>300</v>
      </c>
      <c r="AB406" s="74">
        <f>SUM(Z406:AA406)</f>
        <v>12300</v>
      </c>
      <c r="AC406" s="74">
        <v>0</v>
      </c>
      <c r="AD406" s="74">
        <f>SUM(AB406:AC406)</f>
        <v>12300</v>
      </c>
      <c r="AE406" s="74">
        <v>0</v>
      </c>
      <c r="AF406" s="74">
        <f>SUM(AD406:AE406)</f>
        <v>12300</v>
      </c>
      <c r="AG406" s="74">
        <v>0</v>
      </c>
      <c r="AH406" s="74">
        <f>SUM(AF406:AG406)</f>
        <v>12300</v>
      </c>
    </row>
    <row r="407" spans="1:34" s="27" customFormat="1" ht="21" customHeight="1">
      <c r="A407" s="76"/>
      <c r="B407" s="75" t="s">
        <v>400</v>
      </c>
      <c r="C407" s="58"/>
      <c r="D407" s="14" t="s">
        <v>401</v>
      </c>
      <c r="E407" s="74">
        <f>SUM(E408)</f>
        <v>84000</v>
      </c>
      <c r="F407" s="74">
        <f>SUM(F408)</f>
        <v>0</v>
      </c>
      <c r="G407" s="74">
        <f>SUM(G408)</f>
        <v>0</v>
      </c>
      <c r="H407" s="74">
        <f t="shared" si="403"/>
        <v>84000</v>
      </c>
      <c r="I407" s="74">
        <f aca="true" t="shared" si="419" ref="I407:AH407">SUM(I408)</f>
        <v>0</v>
      </c>
      <c r="J407" s="74">
        <f t="shared" si="419"/>
        <v>84000</v>
      </c>
      <c r="K407" s="74">
        <f t="shared" si="419"/>
        <v>20000</v>
      </c>
      <c r="L407" s="74">
        <f t="shared" si="419"/>
        <v>104000</v>
      </c>
      <c r="M407" s="74">
        <f t="shared" si="419"/>
        <v>0</v>
      </c>
      <c r="N407" s="74">
        <f t="shared" si="419"/>
        <v>104000</v>
      </c>
      <c r="O407" s="74">
        <f t="shared" si="419"/>
        <v>0</v>
      </c>
      <c r="P407" s="74">
        <f t="shared" si="419"/>
        <v>104000</v>
      </c>
      <c r="Q407" s="74">
        <f t="shared" si="419"/>
        <v>0</v>
      </c>
      <c r="R407" s="74">
        <f t="shared" si="419"/>
        <v>104000</v>
      </c>
      <c r="S407" s="74">
        <f t="shared" si="419"/>
        <v>0</v>
      </c>
      <c r="T407" s="74">
        <f t="shared" si="419"/>
        <v>104000</v>
      </c>
      <c r="U407" s="74">
        <f t="shared" si="419"/>
        <v>0</v>
      </c>
      <c r="V407" s="74">
        <f t="shared" si="419"/>
        <v>104000</v>
      </c>
      <c r="W407" s="74">
        <f t="shared" si="419"/>
        <v>0</v>
      </c>
      <c r="X407" s="74">
        <f t="shared" si="419"/>
        <v>104000</v>
      </c>
      <c r="Y407" s="74">
        <f t="shared" si="419"/>
        <v>0</v>
      </c>
      <c r="Z407" s="74">
        <f t="shared" si="419"/>
        <v>104000</v>
      </c>
      <c r="AA407" s="74">
        <f t="shared" si="419"/>
        <v>0</v>
      </c>
      <c r="AB407" s="74">
        <f t="shared" si="419"/>
        <v>104000</v>
      </c>
      <c r="AC407" s="74">
        <f t="shared" si="419"/>
        <v>0</v>
      </c>
      <c r="AD407" s="74">
        <f t="shared" si="419"/>
        <v>104000</v>
      </c>
      <c r="AE407" s="74">
        <f t="shared" si="419"/>
        <v>0</v>
      </c>
      <c r="AF407" s="74">
        <f t="shared" si="419"/>
        <v>104000</v>
      </c>
      <c r="AG407" s="74">
        <f t="shared" si="419"/>
        <v>0</v>
      </c>
      <c r="AH407" s="74">
        <f t="shared" si="419"/>
        <v>104000</v>
      </c>
    </row>
    <row r="408" spans="1:34" s="27" customFormat="1" ht="21" customHeight="1">
      <c r="A408" s="76"/>
      <c r="B408" s="75"/>
      <c r="C408" s="58">
        <v>4300</v>
      </c>
      <c r="D408" s="182" t="s">
        <v>340</v>
      </c>
      <c r="E408" s="74">
        <f>84000</f>
        <v>84000</v>
      </c>
      <c r="F408" s="74"/>
      <c r="G408" s="74"/>
      <c r="H408" s="74">
        <f t="shared" si="403"/>
        <v>84000</v>
      </c>
      <c r="I408" s="74"/>
      <c r="J408" s="74">
        <f t="shared" si="389"/>
        <v>84000</v>
      </c>
      <c r="K408" s="74">
        <v>20000</v>
      </c>
      <c r="L408" s="74">
        <f t="shared" si="390"/>
        <v>104000</v>
      </c>
      <c r="M408" s="74">
        <v>0</v>
      </c>
      <c r="N408" s="74">
        <f>SUM(L408:M408)</f>
        <v>104000</v>
      </c>
      <c r="O408" s="74">
        <v>0</v>
      </c>
      <c r="P408" s="74">
        <f>SUM(N408:O408)</f>
        <v>104000</v>
      </c>
      <c r="Q408" s="74">
        <v>0</v>
      </c>
      <c r="R408" s="74">
        <f>SUM(P408:Q408)</f>
        <v>104000</v>
      </c>
      <c r="S408" s="74">
        <v>0</v>
      </c>
      <c r="T408" s="74">
        <f>SUM(R408:S408)</f>
        <v>104000</v>
      </c>
      <c r="U408" s="74">
        <v>0</v>
      </c>
      <c r="V408" s="74">
        <f>SUM(T408:U408)</f>
        <v>104000</v>
      </c>
      <c r="W408" s="74">
        <v>0</v>
      </c>
      <c r="X408" s="74">
        <f>SUM(V408:W408)</f>
        <v>104000</v>
      </c>
      <c r="Y408" s="74">
        <v>0</v>
      </c>
      <c r="Z408" s="74">
        <f>SUM(X408:Y408)</f>
        <v>104000</v>
      </c>
      <c r="AA408" s="74">
        <v>0</v>
      </c>
      <c r="AB408" s="74">
        <f>SUM(Z408:AA408)</f>
        <v>104000</v>
      </c>
      <c r="AC408" s="74">
        <v>0</v>
      </c>
      <c r="AD408" s="74">
        <f>SUM(AB408:AC408)</f>
        <v>104000</v>
      </c>
      <c r="AE408" s="74">
        <v>0</v>
      </c>
      <c r="AF408" s="74">
        <f>SUM(AD408:AE408)</f>
        <v>104000</v>
      </c>
      <c r="AG408" s="74">
        <v>0</v>
      </c>
      <c r="AH408" s="74">
        <f>SUM(AF408:AG408)</f>
        <v>104000</v>
      </c>
    </row>
    <row r="409" spans="1:34" s="27" customFormat="1" ht="21" customHeight="1">
      <c r="A409" s="76"/>
      <c r="B409" s="75" t="s">
        <v>402</v>
      </c>
      <c r="C409" s="58"/>
      <c r="D409" s="14" t="s">
        <v>403</v>
      </c>
      <c r="E409" s="74">
        <f>SUM(E410:E413)</f>
        <v>760400</v>
      </c>
      <c r="F409" s="74">
        <f>SUM(F410:F413)</f>
        <v>0</v>
      </c>
      <c r="G409" s="74">
        <f>SUM(G410:G413)</f>
        <v>0</v>
      </c>
      <c r="H409" s="74">
        <f t="shared" si="403"/>
        <v>760400</v>
      </c>
      <c r="I409" s="74">
        <f aca="true" t="shared" si="420" ref="I409:N409">SUM(I410:I413)</f>
        <v>0</v>
      </c>
      <c r="J409" s="74">
        <f t="shared" si="420"/>
        <v>760400</v>
      </c>
      <c r="K409" s="74">
        <f t="shared" si="420"/>
        <v>0</v>
      </c>
      <c r="L409" s="74">
        <f t="shared" si="420"/>
        <v>760400</v>
      </c>
      <c r="M409" s="74">
        <f t="shared" si="420"/>
        <v>0</v>
      </c>
      <c r="N409" s="74">
        <f t="shared" si="420"/>
        <v>760400</v>
      </c>
      <c r="O409" s="74">
        <f aca="true" t="shared" si="421" ref="O409:T409">SUM(O410:O413)</f>
        <v>14000</v>
      </c>
      <c r="P409" s="74">
        <f t="shared" si="421"/>
        <v>774400</v>
      </c>
      <c r="Q409" s="74">
        <f t="shared" si="421"/>
        <v>76000</v>
      </c>
      <c r="R409" s="74">
        <f t="shared" si="421"/>
        <v>850400</v>
      </c>
      <c r="S409" s="74">
        <f t="shared" si="421"/>
        <v>0</v>
      </c>
      <c r="T409" s="74">
        <f t="shared" si="421"/>
        <v>850400</v>
      </c>
      <c r="U409" s="74">
        <f aca="true" t="shared" si="422" ref="U409:Z409">SUM(U410:U413)</f>
        <v>0</v>
      </c>
      <c r="V409" s="74">
        <f t="shared" si="422"/>
        <v>850400</v>
      </c>
      <c r="W409" s="74">
        <f t="shared" si="422"/>
        <v>-30000</v>
      </c>
      <c r="X409" s="74">
        <f t="shared" si="422"/>
        <v>820400</v>
      </c>
      <c r="Y409" s="74">
        <f t="shared" si="422"/>
        <v>0</v>
      </c>
      <c r="Z409" s="74">
        <f t="shared" si="422"/>
        <v>820400</v>
      </c>
      <c r="AA409" s="74">
        <f aca="true" t="shared" si="423" ref="AA409:AF409">SUM(AA410:AA413)</f>
        <v>-9000</v>
      </c>
      <c r="AB409" s="74">
        <f t="shared" si="423"/>
        <v>811400</v>
      </c>
      <c r="AC409" s="74">
        <f t="shared" si="423"/>
        <v>0</v>
      </c>
      <c r="AD409" s="74">
        <f t="shared" si="423"/>
        <v>811400</v>
      </c>
      <c r="AE409" s="74">
        <f t="shared" si="423"/>
        <v>0</v>
      </c>
      <c r="AF409" s="74">
        <f t="shared" si="423"/>
        <v>811400</v>
      </c>
      <c r="AG409" s="74">
        <f>SUM(AG410:AG413)</f>
        <v>13500</v>
      </c>
      <c r="AH409" s="74">
        <f>SUM(AH410:AH413)</f>
        <v>824900</v>
      </c>
    </row>
    <row r="410" spans="1:34" s="27" customFormat="1" ht="21" customHeight="1">
      <c r="A410" s="76"/>
      <c r="B410" s="82"/>
      <c r="C410" s="76">
        <v>4260</v>
      </c>
      <c r="D410" s="14" t="s">
        <v>357</v>
      </c>
      <c r="E410" s="74">
        <v>450000</v>
      </c>
      <c r="F410" s="74"/>
      <c r="G410" s="74"/>
      <c r="H410" s="74">
        <f t="shared" si="403"/>
        <v>450000</v>
      </c>
      <c r="I410" s="74"/>
      <c r="J410" s="74">
        <f t="shared" si="389"/>
        <v>450000</v>
      </c>
      <c r="K410" s="74">
        <v>0</v>
      </c>
      <c r="L410" s="74">
        <f t="shared" si="390"/>
        <v>450000</v>
      </c>
      <c r="M410" s="74">
        <v>0</v>
      </c>
      <c r="N410" s="74">
        <f>SUM(L410:M410)</f>
        <v>450000</v>
      </c>
      <c r="O410" s="74">
        <v>0</v>
      </c>
      <c r="P410" s="74">
        <f>SUM(N410:O410)</f>
        <v>450000</v>
      </c>
      <c r="Q410" s="74">
        <v>0</v>
      </c>
      <c r="R410" s="74">
        <f>SUM(P410:Q410)</f>
        <v>450000</v>
      </c>
      <c r="S410" s="74">
        <v>0</v>
      </c>
      <c r="T410" s="74">
        <f>SUM(R410:S410)</f>
        <v>450000</v>
      </c>
      <c r="U410" s="74">
        <v>0</v>
      </c>
      <c r="V410" s="74">
        <f>SUM(T410:U410)</f>
        <v>450000</v>
      </c>
      <c r="W410" s="74">
        <v>0</v>
      </c>
      <c r="X410" s="74">
        <f>SUM(V410:W410)</f>
        <v>450000</v>
      </c>
      <c r="Y410" s="74">
        <v>0</v>
      </c>
      <c r="Z410" s="74">
        <f>SUM(X410:Y410)</f>
        <v>450000</v>
      </c>
      <c r="AA410" s="74">
        <v>0</v>
      </c>
      <c r="AB410" s="74">
        <f>SUM(Z410:AA410)</f>
        <v>450000</v>
      </c>
      <c r="AC410" s="74">
        <v>0</v>
      </c>
      <c r="AD410" s="74">
        <f>SUM(AB410:AC410)</f>
        <v>450000</v>
      </c>
      <c r="AE410" s="74">
        <v>0</v>
      </c>
      <c r="AF410" s="74">
        <f>SUM(AD410:AE410)</f>
        <v>450000</v>
      </c>
      <c r="AG410" s="74">
        <v>36000</v>
      </c>
      <c r="AH410" s="74">
        <f>SUM(AF410:AG410)</f>
        <v>486000</v>
      </c>
    </row>
    <row r="411" spans="1:34" s="27" customFormat="1" ht="21" customHeight="1">
      <c r="A411" s="76"/>
      <c r="B411" s="82"/>
      <c r="C411" s="76">
        <v>4270</v>
      </c>
      <c r="D411" s="14" t="s">
        <v>339</v>
      </c>
      <c r="E411" s="74">
        <v>130000</v>
      </c>
      <c r="F411" s="74"/>
      <c r="G411" s="74"/>
      <c r="H411" s="74">
        <f t="shared" si="403"/>
        <v>130000</v>
      </c>
      <c r="I411" s="74"/>
      <c r="J411" s="74">
        <f t="shared" si="389"/>
        <v>130000</v>
      </c>
      <c r="K411" s="74">
        <v>0</v>
      </c>
      <c r="L411" s="74">
        <f t="shared" si="390"/>
        <v>130000</v>
      </c>
      <c r="M411" s="74">
        <v>0</v>
      </c>
      <c r="N411" s="74">
        <f>SUM(L411:M411)</f>
        <v>130000</v>
      </c>
      <c r="O411" s="74">
        <v>0</v>
      </c>
      <c r="P411" s="74">
        <f>SUM(N411:O411)</f>
        <v>130000</v>
      </c>
      <c r="Q411" s="74">
        <v>0</v>
      </c>
      <c r="R411" s="74">
        <f>SUM(P411:Q411)</f>
        <v>130000</v>
      </c>
      <c r="S411" s="74">
        <v>0</v>
      </c>
      <c r="T411" s="74">
        <f>SUM(R411:S411)</f>
        <v>130000</v>
      </c>
      <c r="U411" s="74">
        <v>0</v>
      </c>
      <c r="V411" s="74">
        <f>SUM(T411:U411)</f>
        <v>130000</v>
      </c>
      <c r="W411" s="74">
        <v>0</v>
      </c>
      <c r="X411" s="74">
        <f>SUM(V411:W411)</f>
        <v>130000</v>
      </c>
      <c r="Y411" s="74">
        <v>0</v>
      </c>
      <c r="Z411" s="74">
        <f>SUM(X411:Y411)</f>
        <v>130000</v>
      </c>
      <c r="AA411" s="74">
        <v>0</v>
      </c>
      <c r="AB411" s="74">
        <f>SUM(Z411:AA411)</f>
        <v>130000</v>
      </c>
      <c r="AC411" s="74">
        <v>0</v>
      </c>
      <c r="AD411" s="74">
        <f>SUM(AB411:AC411)</f>
        <v>130000</v>
      </c>
      <c r="AE411" s="74">
        <v>0</v>
      </c>
      <c r="AF411" s="74">
        <f>SUM(AD411:AE411)</f>
        <v>130000</v>
      </c>
      <c r="AG411" s="74">
        <v>10000</v>
      </c>
      <c r="AH411" s="74">
        <f>SUM(AF411:AG411)</f>
        <v>140000</v>
      </c>
    </row>
    <row r="412" spans="1:34" s="27" customFormat="1" ht="21" customHeight="1">
      <c r="A412" s="76"/>
      <c r="B412" s="82"/>
      <c r="C412" s="76">
        <v>4300</v>
      </c>
      <c r="D412" s="14" t="s">
        <v>340</v>
      </c>
      <c r="E412" s="74">
        <v>25000</v>
      </c>
      <c r="F412" s="74"/>
      <c r="G412" s="74"/>
      <c r="H412" s="74">
        <f t="shared" si="403"/>
        <v>25000</v>
      </c>
      <c r="I412" s="74"/>
      <c r="J412" s="74">
        <f t="shared" si="389"/>
        <v>25000</v>
      </c>
      <c r="K412" s="74">
        <v>0</v>
      </c>
      <c r="L412" s="74">
        <f t="shared" si="390"/>
        <v>25000</v>
      </c>
      <c r="M412" s="74">
        <v>0</v>
      </c>
      <c r="N412" s="74">
        <f>SUM(L412:M412)</f>
        <v>25000</v>
      </c>
      <c r="O412" s="74">
        <v>0</v>
      </c>
      <c r="P412" s="74">
        <f>SUM(N412:O412)</f>
        <v>25000</v>
      </c>
      <c r="Q412" s="74">
        <v>0</v>
      </c>
      <c r="R412" s="74">
        <f>SUM(P412:Q412)</f>
        <v>25000</v>
      </c>
      <c r="S412" s="74">
        <v>0</v>
      </c>
      <c r="T412" s="74">
        <f>SUM(R412:S412)</f>
        <v>25000</v>
      </c>
      <c r="U412" s="74">
        <v>0</v>
      </c>
      <c r="V412" s="74">
        <f>SUM(T412:U412)</f>
        <v>25000</v>
      </c>
      <c r="W412" s="74">
        <v>0</v>
      </c>
      <c r="X412" s="74">
        <f>SUM(V412:W412)</f>
        <v>25000</v>
      </c>
      <c r="Y412" s="74">
        <v>0</v>
      </c>
      <c r="Z412" s="74">
        <f>SUM(X412:Y412)</f>
        <v>25000</v>
      </c>
      <c r="AA412" s="74">
        <v>0</v>
      </c>
      <c r="AB412" s="74">
        <f>SUM(Z412:AA412)</f>
        <v>25000</v>
      </c>
      <c r="AC412" s="74">
        <v>0</v>
      </c>
      <c r="AD412" s="74">
        <f>SUM(AB412:AC412)</f>
        <v>25000</v>
      </c>
      <c r="AE412" s="74">
        <v>0</v>
      </c>
      <c r="AF412" s="74">
        <f>SUM(AD412:AE412)</f>
        <v>25000</v>
      </c>
      <c r="AG412" s="74">
        <v>0</v>
      </c>
      <c r="AH412" s="74">
        <f>SUM(AF412:AG412)</f>
        <v>25000</v>
      </c>
    </row>
    <row r="413" spans="1:38" s="27" customFormat="1" ht="21" customHeight="1">
      <c r="A413" s="76"/>
      <c r="B413" s="82"/>
      <c r="C413" s="76">
        <v>6050</v>
      </c>
      <c r="D413" s="14" t="s">
        <v>334</v>
      </c>
      <c r="E413" s="74">
        <f>20400+85000+20000+10000+20000</f>
        <v>155400</v>
      </c>
      <c r="F413" s="74"/>
      <c r="G413" s="74"/>
      <c r="H413" s="74">
        <f t="shared" si="403"/>
        <v>155400</v>
      </c>
      <c r="I413" s="74"/>
      <c r="J413" s="74">
        <f t="shared" si="389"/>
        <v>155400</v>
      </c>
      <c r="K413" s="74">
        <v>0</v>
      </c>
      <c r="L413" s="74">
        <f t="shared" si="390"/>
        <v>155400</v>
      </c>
      <c r="M413" s="74">
        <v>0</v>
      </c>
      <c r="N413" s="74">
        <f>SUM(L413:M413)</f>
        <v>155400</v>
      </c>
      <c r="O413" s="74">
        <v>14000</v>
      </c>
      <c r="P413" s="74">
        <f>SUM(N413:O413)</f>
        <v>169400</v>
      </c>
      <c r="Q413" s="210">
        <f>100000+14000+33000+25000+30000-202000+76000</f>
        <v>76000</v>
      </c>
      <c r="R413" s="74">
        <f>SUM(P413:Q413)</f>
        <v>245400</v>
      </c>
      <c r="S413" s="138">
        <v>0</v>
      </c>
      <c r="T413" s="74">
        <f>SUM(R413:S413)</f>
        <v>245400</v>
      </c>
      <c r="U413" s="138">
        <v>0</v>
      </c>
      <c r="V413" s="74">
        <f>SUM(T413:U413)</f>
        <v>245400</v>
      </c>
      <c r="W413" s="138">
        <f>-30000</f>
        <v>-30000</v>
      </c>
      <c r="X413" s="74">
        <f>SUM(V413:W413)</f>
        <v>215400</v>
      </c>
      <c r="Y413" s="138">
        <v>0</v>
      </c>
      <c r="Z413" s="74">
        <f>SUM(X413:Y413)</f>
        <v>215400</v>
      </c>
      <c r="AA413" s="138">
        <f>-9000+6500-6500</f>
        <v>-9000</v>
      </c>
      <c r="AB413" s="74">
        <f>SUM(Z413:AA413)</f>
        <v>206400</v>
      </c>
      <c r="AC413" s="138">
        <v>0</v>
      </c>
      <c r="AD413" s="74">
        <f>SUM(AB413:AC413)</f>
        <v>206400</v>
      </c>
      <c r="AE413" s="138">
        <v>0</v>
      </c>
      <c r="AF413" s="74">
        <f>SUM(AD413:AE413)</f>
        <v>206400</v>
      </c>
      <c r="AG413" s="138">
        <f>-11000-21500</f>
        <v>-32500</v>
      </c>
      <c r="AH413" s="74">
        <f>SUM(AF413:AG413)</f>
        <v>173900</v>
      </c>
      <c r="AK413" s="119"/>
      <c r="AL413" s="119"/>
    </row>
    <row r="414" spans="1:34" s="27" customFormat="1" ht="21" customHeight="1">
      <c r="A414" s="76"/>
      <c r="B414" s="75" t="s">
        <v>404</v>
      </c>
      <c r="C414" s="58"/>
      <c r="D414" s="14" t="s">
        <v>250</v>
      </c>
      <c r="E414" s="74">
        <f>SUM(E415:E419)</f>
        <v>100200</v>
      </c>
      <c r="F414" s="74">
        <f>SUM(F415:F419)</f>
        <v>0</v>
      </c>
      <c r="G414" s="74">
        <f>SUM(G415:G419)</f>
        <v>8000</v>
      </c>
      <c r="H414" s="74">
        <f t="shared" si="403"/>
        <v>92200</v>
      </c>
      <c r="I414" s="74">
        <f aca="true" t="shared" si="424" ref="I414:N414">SUM(I415:I419)</f>
        <v>0</v>
      </c>
      <c r="J414" s="74">
        <f t="shared" si="424"/>
        <v>92200</v>
      </c>
      <c r="K414" s="74">
        <f t="shared" si="424"/>
        <v>0</v>
      </c>
      <c r="L414" s="74">
        <f t="shared" si="424"/>
        <v>92200</v>
      </c>
      <c r="M414" s="74">
        <f t="shared" si="424"/>
        <v>0</v>
      </c>
      <c r="N414" s="74">
        <f t="shared" si="424"/>
        <v>92200</v>
      </c>
      <c r="O414" s="74">
        <f aca="true" t="shared" si="425" ref="O414:T414">SUM(O415:O419)</f>
        <v>0</v>
      </c>
      <c r="P414" s="74">
        <f t="shared" si="425"/>
        <v>92200</v>
      </c>
      <c r="Q414" s="74">
        <f t="shared" si="425"/>
        <v>0</v>
      </c>
      <c r="R414" s="74">
        <f t="shared" si="425"/>
        <v>92200</v>
      </c>
      <c r="S414" s="74">
        <f t="shared" si="425"/>
        <v>0</v>
      </c>
      <c r="T414" s="74">
        <f t="shared" si="425"/>
        <v>92200</v>
      </c>
      <c r="U414" s="74">
        <f aca="true" t="shared" si="426" ref="U414:Z414">SUM(U415:U419)</f>
        <v>0</v>
      </c>
      <c r="V414" s="74">
        <f t="shared" si="426"/>
        <v>92200</v>
      </c>
      <c r="W414" s="74">
        <f t="shared" si="426"/>
        <v>-99</v>
      </c>
      <c r="X414" s="74">
        <f t="shared" si="426"/>
        <v>92101</v>
      </c>
      <c r="Y414" s="74">
        <f t="shared" si="426"/>
        <v>0</v>
      </c>
      <c r="Z414" s="74">
        <f t="shared" si="426"/>
        <v>92101</v>
      </c>
      <c r="AA414" s="74">
        <f aca="true" t="shared" si="427" ref="AA414:AF414">SUM(AA415:AA419)</f>
        <v>0</v>
      </c>
      <c r="AB414" s="74">
        <f t="shared" si="427"/>
        <v>92101</v>
      </c>
      <c r="AC414" s="74">
        <f t="shared" si="427"/>
        <v>0</v>
      </c>
      <c r="AD414" s="74">
        <f t="shared" si="427"/>
        <v>92101</v>
      </c>
      <c r="AE414" s="74">
        <f t="shared" si="427"/>
        <v>-2000</v>
      </c>
      <c r="AF414" s="74">
        <f t="shared" si="427"/>
        <v>90101</v>
      </c>
      <c r="AG414" s="74">
        <f>SUM(AG415:AG419)</f>
        <v>0</v>
      </c>
      <c r="AH414" s="74">
        <f>SUM(AH415:AH419)</f>
        <v>90101</v>
      </c>
    </row>
    <row r="415" spans="1:34" s="27" customFormat="1" ht="21" customHeight="1">
      <c r="A415" s="76"/>
      <c r="B415" s="82"/>
      <c r="C415" s="58">
        <v>4210</v>
      </c>
      <c r="D415" s="14" t="s">
        <v>354</v>
      </c>
      <c r="E415" s="74">
        <v>2700</v>
      </c>
      <c r="F415" s="74"/>
      <c r="G415" s="74"/>
      <c r="H415" s="74">
        <f t="shared" si="403"/>
        <v>2700</v>
      </c>
      <c r="I415" s="74"/>
      <c r="J415" s="74">
        <f t="shared" si="389"/>
        <v>2700</v>
      </c>
      <c r="K415" s="74">
        <v>0</v>
      </c>
      <c r="L415" s="74">
        <f t="shared" si="390"/>
        <v>2700</v>
      </c>
      <c r="M415" s="74">
        <v>0</v>
      </c>
      <c r="N415" s="74">
        <f>SUM(L415:M415)</f>
        <v>2700</v>
      </c>
      <c r="O415" s="74">
        <v>0</v>
      </c>
      <c r="P415" s="74">
        <f>SUM(N415:O415)</f>
        <v>2700</v>
      </c>
      <c r="Q415" s="74">
        <v>0</v>
      </c>
      <c r="R415" s="74">
        <f>SUM(P415:Q415)</f>
        <v>2700</v>
      </c>
      <c r="S415" s="74">
        <v>0</v>
      </c>
      <c r="T415" s="74">
        <f>SUM(R415:S415)</f>
        <v>2700</v>
      </c>
      <c r="U415" s="74">
        <v>0</v>
      </c>
      <c r="V415" s="74">
        <f>SUM(T415:U415)</f>
        <v>2700</v>
      </c>
      <c r="W415" s="74">
        <v>-99</v>
      </c>
      <c r="X415" s="74">
        <f>SUM(V415:W415)</f>
        <v>2601</v>
      </c>
      <c r="Y415" s="74">
        <v>0</v>
      </c>
      <c r="Z415" s="74">
        <f>SUM(X415:Y415)</f>
        <v>2601</v>
      </c>
      <c r="AA415" s="74">
        <v>0</v>
      </c>
      <c r="AB415" s="74">
        <f>SUM(Z415:AA415)</f>
        <v>2601</v>
      </c>
      <c r="AC415" s="74">
        <v>0</v>
      </c>
      <c r="AD415" s="74">
        <f>SUM(AB415:AC415)</f>
        <v>2601</v>
      </c>
      <c r="AE415" s="74">
        <v>0</v>
      </c>
      <c r="AF415" s="74">
        <f>SUM(AD415:AE415)</f>
        <v>2601</v>
      </c>
      <c r="AG415" s="74">
        <v>0</v>
      </c>
      <c r="AH415" s="74">
        <f>SUM(AF415:AG415)</f>
        <v>2601</v>
      </c>
    </row>
    <row r="416" spans="1:34" s="27" customFormat="1" ht="21" customHeight="1">
      <c r="A416" s="76"/>
      <c r="B416" s="82"/>
      <c r="C416" s="76">
        <v>4260</v>
      </c>
      <c r="D416" s="14" t="s">
        <v>357</v>
      </c>
      <c r="E416" s="74">
        <v>5500</v>
      </c>
      <c r="F416" s="74"/>
      <c r="G416" s="74"/>
      <c r="H416" s="74">
        <f t="shared" si="403"/>
        <v>5500</v>
      </c>
      <c r="I416" s="74"/>
      <c r="J416" s="74">
        <f t="shared" si="389"/>
        <v>5500</v>
      </c>
      <c r="K416" s="74">
        <v>0</v>
      </c>
      <c r="L416" s="74">
        <f t="shared" si="390"/>
        <v>5500</v>
      </c>
      <c r="M416" s="74">
        <v>0</v>
      </c>
      <c r="N416" s="74">
        <f>SUM(L416:M416)</f>
        <v>5500</v>
      </c>
      <c r="O416" s="74">
        <v>0</v>
      </c>
      <c r="P416" s="74">
        <f>SUM(N416:O416)</f>
        <v>5500</v>
      </c>
      <c r="Q416" s="74">
        <v>0</v>
      </c>
      <c r="R416" s="74">
        <f>SUM(P416:Q416)</f>
        <v>5500</v>
      </c>
      <c r="S416" s="74">
        <v>0</v>
      </c>
      <c r="T416" s="74">
        <f>SUM(R416:S416)</f>
        <v>5500</v>
      </c>
      <c r="U416" s="74">
        <v>0</v>
      </c>
      <c r="V416" s="74">
        <f>SUM(T416:U416)</f>
        <v>5500</v>
      </c>
      <c r="W416" s="74">
        <v>0</v>
      </c>
      <c r="X416" s="74">
        <f>SUM(V416:W416)</f>
        <v>5500</v>
      </c>
      <c r="Y416" s="74">
        <v>0</v>
      </c>
      <c r="Z416" s="74">
        <f>SUM(X416:Y416)</f>
        <v>5500</v>
      </c>
      <c r="AA416" s="74">
        <v>0</v>
      </c>
      <c r="AB416" s="74">
        <f>SUM(Z416:AA416)</f>
        <v>5500</v>
      </c>
      <c r="AC416" s="74">
        <v>0</v>
      </c>
      <c r="AD416" s="74">
        <f>SUM(AB416:AC416)</f>
        <v>5500</v>
      </c>
      <c r="AE416" s="74">
        <v>0</v>
      </c>
      <c r="AF416" s="74">
        <f>SUM(AD416:AE416)</f>
        <v>5500</v>
      </c>
      <c r="AG416" s="74">
        <v>0</v>
      </c>
      <c r="AH416" s="74">
        <f>SUM(AF416:AG416)</f>
        <v>5500</v>
      </c>
    </row>
    <row r="417" spans="1:34" s="27" customFormat="1" ht="21" customHeight="1">
      <c r="A417" s="76"/>
      <c r="B417" s="82"/>
      <c r="C417" s="76">
        <v>4270</v>
      </c>
      <c r="D417" s="14" t="s">
        <v>339</v>
      </c>
      <c r="E417" s="74">
        <v>8000</v>
      </c>
      <c r="F417" s="74"/>
      <c r="G417" s="74">
        <v>8000</v>
      </c>
      <c r="H417" s="74">
        <f t="shared" si="403"/>
        <v>0</v>
      </c>
      <c r="I417" s="74"/>
      <c r="J417" s="74">
        <f t="shared" si="389"/>
        <v>0</v>
      </c>
      <c r="K417" s="74">
        <v>0</v>
      </c>
      <c r="L417" s="74">
        <f t="shared" si="390"/>
        <v>0</v>
      </c>
      <c r="M417" s="74">
        <v>0</v>
      </c>
      <c r="N417" s="74">
        <f>SUM(L417:M417)</f>
        <v>0</v>
      </c>
      <c r="O417" s="74">
        <v>0</v>
      </c>
      <c r="P417" s="74">
        <f>SUM(N417:O417)</f>
        <v>0</v>
      </c>
      <c r="Q417" s="74">
        <v>0</v>
      </c>
      <c r="R417" s="74">
        <f>SUM(P417:Q417)</f>
        <v>0</v>
      </c>
      <c r="S417" s="74">
        <v>0</v>
      </c>
      <c r="T417" s="74">
        <f>SUM(R417:S417)</f>
        <v>0</v>
      </c>
      <c r="U417" s="74">
        <v>0</v>
      </c>
      <c r="V417" s="74">
        <f>SUM(T417:U417)</f>
        <v>0</v>
      </c>
      <c r="W417" s="74">
        <v>0</v>
      </c>
      <c r="X417" s="74">
        <f>SUM(V417:W417)</f>
        <v>0</v>
      </c>
      <c r="Y417" s="74">
        <v>0</v>
      </c>
      <c r="Z417" s="74">
        <f>SUM(X417:Y417)</f>
        <v>0</v>
      </c>
      <c r="AA417" s="74">
        <v>0</v>
      </c>
      <c r="AB417" s="74">
        <f>SUM(Z417:AA417)</f>
        <v>0</v>
      </c>
      <c r="AC417" s="74">
        <v>0</v>
      </c>
      <c r="AD417" s="74">
        <f>SUM(AB417:AC417)</f>
        <v>0</v>
      </c>
      <c r="AE417" s="74">
        <v>0</v>
      </c>
      <c r="AF417" s="74">
        <f>SUM(AD417:AE417)</f>
        <v>0</v>
      </c>
      <c r="AG417" s="74">
        <v>0</v>
      </c>
      <c r="AH417" s="74">
        <f>SUM(AF417:AG417)</f>
        <v>0</v>
      </c>
    </row>
    <row r="418" spans="1:34" s="27" customFormat="1" ht="21" customHeight="1">
      <c r="A418" s="76"/>
      <c r="B418" s="82"/>
      <c r="C418" s="58">
        <v>4300</v>
      </c>
      <c r="D418" s="182" t="s">
        <v>340</v>
      </c>
      <c r="E418" s="74">
        <f>67000+5000+2000</f>
        <v>74000</v>
      </c>
      <c r="F418" s="74"/>
      <c r="G418" s="74"/>
      <c r="H418" s="74">
        <f t="shared" si="403"/>
        <v>74000</v>
      </c>
      <c r="I418" s="74"/>
      <c r="J418" s="74">
        <f t="shared" si="389"/>
        <v>74000</v>
      </c>
      <c r="K418" s="74">
        <v>0</v>
      </c>
      <c r="L418" s="74">
        <f t="shared" si="390"/>
        <v>74000</v>
      </c>
      <c r="M418" s="74">
        <v>0</v>
      </c>
      <c r="N418" s="74">
        <f>SUM(L418:M418)</f>
        <v>74000</v>
      </c>
      <c r="O418" s="74">
        <v>0</v>
      </c>
      <c r="P418" s="74">
        <f>SUM(N418:O418)</f>
        <v>74000</v>
      </c>
      <c r="Q418" s="74">
        <v>0</v>
      </c>
      <c r="R418" s="74">
        <f>SUM(P418:Q418)</f>
        <v>74000</v>
      </c>
      <c r="S418" s="74">
        <v>0</v>
      </c>
      <c r="T418" s="74">
        <f>SUM(R418:S418)</f>
        <v>74000</v>
      </c>
      <c r="U418" s="74">
        <v>0</v>
      </c>
      <c r="V418" s="74">
        <f>SUM(T418:U418)</f>
        <v>74000</v>
      </c>
      <c r="W418" s="74">
        <v>0</v>
      </c>
      <c r="X418" s="74">
        <f>SUM(V418:W418)</f>
        <v>74000</v>
      </c>
      <c r="Y418" s="74">
        <v>0</v>
      </c>
      <c r="Z418" s="74">
        <f>SUM(X418:Y418)</f>
        <v>74000</v>
      </c>
      <c r="AA418" s="74">
        <v>0</v>
      </c>
      <c r="AB418" s="74">
        <f>SUM(Z418:AA418)</f>
        <v>74000</v>
      </c>
      <c r="AC418" s="74">
        <v>0</v>
      </c>
      <c r="AD418" s="74">
        <f>SUM(AB418:AC418)</f>
        <v>74000</v>
      </c>
      <c r="AE418" s="74">
        <v>-2000</v>
      </c>
      <c r="AF418" s="74">
        <f>SUM(AD418:AE418)</f>
        <v>72000</v>
      </c>
      <c r="AG418" s="74">
        <v>0</v>
      </c>
      <c r="AH418" s="74">
        <f>SUM(AF418:AG418)</f>
        <v>72000</v>
      </c>
    </row>
    <row r="419" spans="1:34" s="27" customFormat="1" ht="21" customHeight="1">
      <c r="A419" s="76"/>
      <c r="B419" s="82"/>
      <c r="C419" s="58">
        <v>4390</v>
      </c>
      <c r="D419" s="14" t="s">
        <v>574</v>
      </c>
      <c r="E419" s="74">
        <f>6000+4000</f>
        <v>10000</v>
      </c>
      <c r="F419" s="74"/>
      <c r="G419" s="74"/>
      <c r="H419" s="74">
        <f t="shared" si="403"/>
        <v>10000</v>
      </c>
      <c r="I419" s="74"/>
      <c r="J419" s="74">
        <f t="shared" si="389"/>
        <v>10000</v>
      </c>
      <c r="K419" s="74">
        <v>0</v>
      </c>
      <c r="L419" s="74">
        <f t="shared" si="390"/>
        <v>10000</v>
      </c>
      <c r="M419" s="74">
        <v>0</v>
      </c>
      <c r="N419" s="74">
        <f>SUM(L419:M419)</f>
        <v>10000</v>
      </c>
      <c r="O419" s="74">
        <v>0</v>
      </c>
      <c r="P419" s="74">
        <f>SUM(N419:O419)</f>
        <v>10000</v>
      </c>
      <c r="Q419" s="74">
        <v>0</v>
      </c>
      <c r="R419" s="74">
        <f>SUM(P419:Q419)</f>
        <v>10000</v>
      </c>
      <c r="S419" s="74">
        <v>0</v>
      </c>
      <c r="T419" s="74">
        <f>SUM(R419:S419)</f>
        <v>10000</v>
      </c>
      <c r="U419" s="74">
        <v>0</v>
      </c>
      <c r="V419" s="74">
        <f>SUM(T419:U419)</f>
        <v>10000</v>
      </c>
      <c r="W419" s="74">
        <v>0</v>
      </c>
      <c r="X419" s="74">
        <f>SUM(V419:W419)</f>
        <v>10000</v>
      </c>
      <c r="Y419" s="74">
        <v>0</v>
      </c>
      <c r="Z419" s="74">
        <f>SUM(X419:Y419)</f>
        <v>10000</v>
      </c>
      <c r="AA419" s="74">
        <v>0</v>
      </c>
      <c r="AB419" s="74">
        <f>SUM(Z419:AA419)</f>
        <v>10000</v>
      </c>
      <c r="AC419" s="74">
        <v>0</v>
      </c>
      <c r="AD419" s="74">
        <f>SUM(AB419:AC419)</f>
        <v>10000</v>
      </c>
      <c r="AE419" s="74">
        <v>0</v>
      </c>
      <c r="AF419" s="74">
        <f>SUM(AD419:AE419)</f>
        <v>10000</v>
      </c>
      <c r="AG419" s="74">
        <v>0</v>
      </c>
      <c r="AH419" s="74">
        <f>SUM(AF419:AG419)</f>
        <v>10000</v>
      </c>
    </row>
    <row r="420" spans="1:34" s="7" customFormat="1" ht="24.75" customHeight="1">
      <c r="A420" s="36" t="s">
        <v>324</v>
      </c>
      <c r="B420" s="6"/>
      <c r="C420" s="5"/>
      <c r="D420" s="22" t="s">
        <v>406</v>
      </c>
      <c r="E420" s="271">
        <f>SUM(E421,E430,E432,)</f>
        <v>1797130</v>
      </c>
      <c r="F420" s="271">
        <f>SUM(F421,F430,F432,)</f>
        <v>76900</v>
      </c>
      <c r="G420" s="271">
        <f>SUM(G421,G430,G432,)</f>
        <v>0</v>
      </c>
      <c r="H420" s="271">
        <f t="shared" si="403"/>
        <v>1874030</v>
      </c>
      <c r="I420" s="271">
        <f aca="true" t="shared" si="428" ref="I420:N420">SUM(I421,I430,I432,)</f>
        <v>10258</v>
      </c>
      <c r="J420" s="271">
        <f t="shared" si="428"/>
        <v>1884288</v>
      </c>
      <c r="K420" s="271">
        <f t="shared" si="428"/>
        <v>0</v>
      </c>
      <c r="L420" s="271">
        <f t="shared" si="428"/>
        <v>1884288</v>
      </c>
      <c r="M420" s="271">
        <f t="shared" si="428"/>
        <v>0</v>
      </c>
      <c r="N420" s="271">
        <f t="shared" si="428"/>
        <v>1884288</v>
      </c>
      <c r="O420" s="271">
        <f aca="true" t="shared" si="429" ref="O420:T420">SUM(O421,O430,O432,)</f>
        <v>-2390</v>
      </c>
      <c r="P420" s="271">
        <f t="shared" si="429"/>
        <v>1881898</v>
      </c>
      <c r="Q420" s="271">
        <f t="shared" si="429"/>
        <v>20000</v>
      </c>
      <c r="R420" s="271">
        <f t="shared" si="429"/>
        <v>1901898</v>
      </c>
      <c r="S420" s="271">
        <f t="shared" si="429"/>
        <v>0</v>
      </c>
      <c r="T420" s="271">
        <f t="shared" si="429"/>
        <v>1901898</v>
      </c>
      <c r="U420" s="271">
        <f aca="true" t="shared" si="430" ref="U420:Z420">SUM(U421,U430,U432,)</f>
        <v>0</v>
      </c>
      <c r="V420" s="271">
        <f t="shared" si="430"/>
        <v>1901898</v>
      </c>
      <c r="W420" s="271">
        <f t="shared" si="430"/>
        <v>8847</v>
      </c>
      <c r="X420" s="271">
        <f t="shared" si="430"/>
        <v>1910745</v>
      </c>
      <c r="Y420" s="271">
        <f t="shared" si="430"/>
        <v>0</v>
      </c>
      <c r="Z420" s="271">
        <f t="shared" si="430"/>
        <v>1910745</v>
      </c>
      <c r="AA420" s="271">
        <f aca="true" t="shared" si="431" ref="AA420:AF420">SUM(AA421,AA430,AA432,)</f>
        <v>0</v>
      </c>
      <c r="AB420" s="271">
        <f t="shared" si="431"/>
        <v>1910745</v>
      </c>
      <c r="AC420" s="271">
        <f t="shared" si="431"/>
        <v>0</v>
      </c>
      <c r="AD420" s="271">
        <f t="shared" si="431"/>
        <v>1910745</v>
      </c>
      <c r="AE420" s="271">
        <f t="shared" si="431"/>
        <v>-2751</v>
      </c>
      <c r="AF420" s="271">
        <f t="shared" si="431"/>
        <v>1907994</v>
      </c>
      <c r="AG420" s="271">
        <f>SUM(AG421,AG430,AG432,)</f>
        <v>-4147</v>
      </c>
      <c r="AH420" s="271">
        <f>SUM(AH421,AH430,AH432,)</f>
        <v>1903847</v>
      </c>
    </row>
    <row r="421" spans="1:34" s="27" customFormat="1" ht="21.75" customHeight="1">
      <c r="A421" s="76"/>
      <c r="B421" s="75" t="s">
        <v>407</v>
      </c>
      <c r="C421" s="58"/>
      <c r="D421" s="14" t="s">
        <v>428</v>
      </c>
      <c r="E421" s="74">
        <f>SUM(E422:E428)</f>
        <v>504660</v>
      </c>
      <c r="F421" s="74">
        <f>SUM(F422:F428)</f>
        <v>76000</v>
      </c>
      <c r="G421" s="74">
        <f>SUM(G422:G428)</f>
        <v>0</v>
      </c>
      <c r="H421" s="74">
        <f t="shared" si="403"/>
        <v>580660</v>
      </c>
      <c r="I421" s="74">
        <f>SUM(I422:I428)</f>
        <v>8258</v>
      </c>
      <c r="J421" s="74">
        <f aca="true" t="shared" si="432" ref="J421:P421">SUM(J422:J429)</f>
        <v>588918</v>
      </c>
      <c r="K421" s="74">
        <f t="shared" si="432"/>
        <v>0</v>
      </c>
      <c r="L421" s="74">
        <f t="shared" si="432"/>
        <v>588918</v>
      </c>
      <c r="M421" s="74">
        <f t="shared" si="432"/>
        <v>0</v>
      </c>
      <c r="N421" s="74">
        <f t="shared" si="432"/>
        <v>588918</v>
      </c>
      <c r="O421" s="74">
        <f t="shared" si="432"/>
        <v>-2390</v>
      </c>
      <c r="P421" s="74">
        <f t="shared" si="432"/>
        <v>586528</v>
      </c>
      <c r="Q421" s="74">
        <f aca="true" t="shared" si="433" ref="Q421:V421">SUM(Q422:Q429)</f>
        <v>20000</v>
      </c>
      <c r="R421" s="74">
        <f t="shared" si="433"/>
        <v>606528</v>
      </c>
      <c r="S421" s="74">
        <f t="shared" si="433"/>
        <v>0</v>
      </c>
      <c r="T421" s="74">
        <f t="shared" si="433"/>
        <v>606528</v>
      </c>
      <c r="U421" s="74">
        <f t="shared" si="433"/>
        <v>0</v>
      </c>
      <c r="V421" s="74">
        <f t="shared" si="433"/>
        <v>606528</v>
      </c>
      <c r="W421" s="74">
        <f aca="true" t="shared" si="434" ref="W421:AB421">SUM(W422:W429)</f>
        <v>8847</v>
      </c>
      <c r="X421" s="74">
        <f t="shared" si="434"/>
        <v>615375</v>
      </c>
      <c r="Y421" s="74">
        <f t="shared" si="434"/>
        <v>0</v>
      </c>
      <c r="Z421" s="74">
        <f t="shared" si="434"/>
        <v>615375</v>
      </c>
      <c r="AA421" s="74">
        <f t="shared" si="434"/>
        <v>0</v>
      </c>
      <c r="AB421" s="74">
        <f t="shared" si="434"/>
        <v>615375</v>
      </c>
      <c r="AC421" s="74">
        <f aca="true" t="shared" si="435" ref="AC421:AH421">SUM(AC422:AC429)</f>
        <v>0</v>
      </c>
      <c r="AD421" s="74">
        <f t="shared" si="435"/>
        <v>615375</v>
      </c>
      <c r="AE421" s="74">
        <f t="shared" si="435"/>
        <v>-2751</v>
      </c>
      <c r="AF421" s="74">
        <f t="shared" si="435"/>
        <v>612624</v>
      </c>
      <c r="AG421" s="74">
        <f t="shared" si="435"/>
        <v>-4147</v>
      </c>
      <c r="AH421" s="74">
        <f t="shared" si="435"/>
        <v>608477</v>
      </c>
    </row>
    <row r="422" spans="1:34" s="27" customFormat="1" ht="24">
      <c r="A422" s="76"/>
      <c r="B422" s="75"/>
      <c r="C422" s="58">
        <v>2480</v>
      </c>
      <c r="D422" s="14" t="s">
        <v>473</v>
      </c>
      <c r="E422" s="74">
        <f>407340+43250</f>
        <v>450590</v>
      </c>
      <c r="F422" s="74">
        <v>76000</v>
      </c>
      <c r="G422" s="74"/>
      <c r="H422" s="74">
        <f t="shared" si="403"/>
        <v>526590</v>
      </c>
      <c r="I422" s="74">
        <f>1500+500+3500+1500+1000+1500</f>
        <v>9500</v>
      </c>
      <c r="J422" s="74">
        <f t="shared" si="389"/>
        <v>536090</v>
      </c>
      <c r="K422" s="74">
        <v>0</v>
      </c>
      <c r="L422" s="74">
        <f t="shared" si="390"/>
        <v>536090</v>
      </c>
      <c r="M422" s="74">
        <v>0</v>
      </c>
      <c r="N422" s="74">
        <f aca="true" t="shared" si="436" ref="N422:N429">SUM(L422:M422)</f>
        <v>536090</v>
      </c>
      <c r="O422" s="74">
        <v>0</v>
      </c>
      <c r="P422" s="74">
        <f aca="true" t="shared" si="437" ref="P422:P429">SUM(N422:O422)</f>
        <v>536090</v>
      </c>
      <c r="Q422" s="210">
        <v>20000</v>
      </c>
      <c r="R422" s="74">
        <f aca="true" t="shared" si="438" ref="R422:R429">SUM(P422:Q422)</f>
        <v>556090</v>
      </c>
      <c r="S422" s="138">
        <v>0</v>
      </c>
      <c r="T422" s="74">
        <f aca="true" t="shared" si="439" ref="T422:T429">SUM(R422:S422)</f>
        <v>556090</v>
      </c>
      <c r="U422" s="138">
        <v>0</v>
      </c>
      <c r="V422" s="74">
        <f aca="true" t="shared" si="440" ref="V422:V429">SUM(T422:U422)</f>
        <v>556090</v>
      </c>
      <c r="W422" s="138">
        <v>0</v>
      </c>
      <c r="X422" s="74">
        <f aca="true" t="shared" si="441" ref="X422:X429">SUM(V422:W422)</f>
        <v>556090</v>
      </c>
      <c r="Y422" s="138">
        <v>0</v>
      </c>
      <c r="Z422" s="74">
        <f aca="true" t="shared" si="442" ref="Z422:Z429">SUM(X422:Y422)</f>
        <v>556090</v>
      </c>
      <c r="AA422" s="138">
        <v>0</v>
      </c>
      <c r="AB422" s="74">
        <f aca="true" t="shared" si="443" ref="AB422:AB429">SUM(Z422:AA422)</f>
        <v>556090</v>
      </c>
      <c r="AC422" s="138">
        <v>0</v>
      </c>
      <c r="AD422" s="74">
        <f aca="true" t="shared" si="444" ref="AD422:AD429">SUM(AB422:AC422)</f>
        <v>556090</v>
      </c>
      <c r="AE422" s="138">
        <v>0</v>
      </c>
      <c r="AF422" s="74">
        <f aca="true" t="shared" si="445" ref="AF422:AF429">SUM(AD422:AE422)</f>
        <v>556090</v>
      </c>
      <c r="AG422" s="138">
        <v>0</v>
      </c>
      <c r="AH422" s="74">
        <f aca="true" t="shared" si="446" ref="AH422:AH429">SUM(AF422:AG422)</f>
        <v>556090</v>
      </c>
    </row>
    <row r="423" spans="1:34" s="27" customFormat="1" ht="20.25" customHeight="1">
      <c r="A423" s="76"/>
      <c r="B423" s="75"/>
      <c r="C423" s="76">
        <v>4210</v>
      </c>
      <c r="D423" s="14" t="s">
        <v>354</v>
      </c>
      <c r="E423" s="74">
        <v>16610</v>
      </c>
      <c r="F423" s="74"/>
      <c r="G423" s="74"/>
      <c r="H423" s="74">
        <f t="shared" si="403"/>
        <v>16610</v>
      </c>
      <c r="I423" s="74"/>
      <c r="J423" s="74">
        <f t="shared" si="389"/>
        <v>16610</v>
      </c>
      <c r="K423" s="74">
        <v>0</v>
      </c>
      <c r="L423" s="74">
        <f t="shared" si="390"/>
        <v>16610</v>
      </c>
      <c r="M423" s="74">
        <v>0</v>
      </c>
      <c r="N423" s="74">
        <f t="shared" si="436"/>
        <v>16610</v>
      </c>
      <c r="O423" s="74">
        <v>1620</v>
      </c>
      <c r="P423" s="74">
        <f t="shared" si="437"/>
        <v>18230</v>
      </c>
      <c r="Q423" s="74">
        <v>0</v>
      </c>
      <c r="R423" s="74">
        <f t="shared" si="438"/>
        <v>18230</v>
      </c>
      <c r="S423" s="74">
        <v>0</v>
      </c>
      <c r="T423" s="74">
        <f t="shared" si="439"/>
        <v>18230</v>
      </c>
      <c r="U423" s="74">
        <v>0</v>
      </c>
      <c r="V423" s="74">
        <f t="shared" si="440"/>
        <v>18230</v>
      </c>
      <c r="W423" s="74">
        <f>6693-200</f>
        <v>6493</v>
      </c>
      <c r="X423" s="74">
        <f t="shared" si="441"/>
        <v>24723</v>
      </c>
      <c r="Y423" s="74">
        <v>0</v>
      </c>
      <c r="Z423" s="74">
        <f t="shared" si="442"/>
        <v>24723</v>
      </c>
      <c r="AA423" s="74">
        <v>0</v>
      </c>
      <c r="AB423" s="74">
        <f t="shared" si="443"/>
        <v>24723</v>
      </c>
      <c r="AC423" s="74">
        <v>1000</v>
      </c>
      <c r="AD423" s="74">
        <f t="shared" si="444"/>
        <v>25723</v>
      </c>
      <c r="AE423" s="74">
        <v>5689</v>
      </c>
      <c r="AF423" s="74">
        <f t="shared" si="445"/>
        <v>31412</v>
      </c>
      <c r="AG423" s="74">
        <v>-2847</v>
      </c>
      <c r="AH423" s="74">
        <f t="shared" si="446"/>
        <v>28565</v>
      </c>
    </row>
    <row r="424" spans="1:34" s="27" customFormat="1" ht="21" customHeight="1">
      <c r="A424" s="76"/>
      <c r="B424" s="75"/>
      <c r="C424" s="76">
        <v>4260</v>
      </c>
      <c r="D424" s="14" t="s">
        <v>357</v>
      </c>
      <c r="E424" s="74">
        <v>9540</v>
      </c>
      <c r="F424" s="74"/>
      <c r="G424" s="74"/>
      <c r="H424" s="74">
        <f t="shared" si="403"/>
        <v>9540</v>
      </c>
      <c r="I424" s="74">
        <v>-42</v>
      </c>
      <c r="J424" s="74">
        <f t="shared" si="389"/>
        <v>9498</v>
      </c>
      <c r="K424" s="74">
        <v>0</v>
      </c>
      <c r="L424" s="74">
        <f t="shared" si="390"/>
        <v>9498</v>
      </c>
      <c r="M424" s="74">
        <v>0</v>
      </c>
      <c r="N424" s="74">
        <f t="shared" si="436"/>
        <v>9498</v>
      </c>
      <c r="O424" s="74">
        <v>0</v>
      </c>
      <c r="P424" s="74">
        <f t="shared" si="437"/>
        <v>9498</v>
      </c>
      <c r="Q424" s="74">
        <v>0</v>
      </c>
      <c r="R424" s="74">
        <f t="shared" si="438"/>
        <v>9498</v>
      </c>
      <c r="S424" s="74">
        <v>0</v>
      </c>
      <c r="T424" s="74">
        <f t="shared" si="439"/>
        <v>9498</v>
      </c>
      <c r="U424" s="74">
        <v>0</v>
      </c>
      <c r="V424" s="74">
        <f t="shared" si="440"/>
        <v>9498</v>
      </c>
      <c r="W424" s="74">
        <v>1354</v>
      </c>
      <c r="X424" s="74">
        <f t="shared" si="441"/>
        <v>10852</v>
      </c>
      <c r="Y424" s="74">
        <v>0</v>
      </c>
      <c r="Z424" s="74">
        <f t="shared" si="442"/>
        <v>10852</v>
      </c>
      <c r="AA424" s="74">
        <v>0</v>
      </c>
      <c r="AB424" s="74">
        <f t="shared" si="443"/>
        <v>10852</v>
      </c>
      <c r="AC424" s="74">
        <v>0</v>
      </c>
      <c r="AD424" s="74">
        <f t="shared" si="444"/>
        <v>10852</v>
      </c>
      <c r="AE424" s="74">
        <v>-851</v>
      </c>
      <c r="AF424" s="74">
        <f t="shared" si="445"/>
        <v>10001</v>
      </c>
      <c r="AG424" s="74">
        <v>-300</v>
      </c>
      <c r="AH424" s="74">
        <f t="shared" si="446"/>
        <v>9701</v>
      </c>
    </row>
    <row r="425" spans="1:34" s="27" customFormat="1" ht="21" customHeight="1">
      <c r="A425" s="76"/>
      <c r="B425" s="75"/>
      <c r="C425" s="76">
        <v>4270</v>
      </c>
      <c r="D425" s="14" t="s">
        <v>339</v>
      </c>
      <c r="E425" s="74">
        <v>20680</v>
      </c>
      <c r="F425" s="74"/>
      <c r="G425" s="74"/>
      <c r="H425" s="74">
        <f t="shared" si="403"/>
        <v>20680</v>
      </c>
      <c r="I425" s="74">
        <v>-1200</v>
      </c>
      <c r="J425" s="74">
        <f t="shared" si="389"/>
        <v>19480</v>
      </c>
      <c r="K425" s="74">
        <v>0</v>
      </c>
      <c r="L425" s="74">
        <f t="shared" si="390"/>
        <v>19480</v>
      </c>
      <c r="M425" s="74">
        <v>0</v>
      </c>
      <c r="N425" s="74">
        <f t="shared" si="436"/>
        <v>19480</v>
      </c>
      <c r="O425" s="74">
        <v>-3290</v>
      </c>
      <c r="P425" s="74">
        <f t="shared" si="437"/>
        <v>16190</v>
      </c>
      <c r="Q425" s="74">
        <v>0</v>
      </c>
      <c r="R425" s="74">
        <f t="shared" si="438"/>
        <v>16190</v>
      </c>
      <c r="S425" s="74">
        <v>0</v>
      </c>
      <c r="T425" s="74">
        <f t="shared" si="439"/>
        <v>16190</v>
      </c>
      <c r="U425" s="74">
        <v>0</v>
      </c>
      <c r="V425" s="74">
        <f t="shared" si="440"/>
        <v>16190</v>
      </c>
      <c r="W425" s="74">
        <v>1000</v>
      </c>
      <c r="X425" s="74">
        <f t="shared" si="441"/>
        <v>17190</v>
      </c>
      <c r="Y425" s="74">
        <v>0</v>
      </c>
      <c r="Z425" s="74">
        <f t="shared" si="442"/>
        <v>17190</v>
      </c>
      <c r="AA425" s="74">
        <v>0</v>
      </c>
      <c r="AB425" s="74">
        <f t="shared" si="443"/>
        <v>17190</v>
      </c>
      <c r="AC425" s="74">
        <v>-1000</v>
      </c>
      <c r="AD425" s="74">
        <f t="shared" si="444"/>
        <v>16190</v>
      </c>
      <c r="AE425" s="74">
        <v>-7750</v>
      </c>
      <c r="AF425" s="74">
        <f t="shared" si="445"/>
        <v>8440</v>
      </c>
      <c r="AG425" s="74">
        <v>-4000</v>
      </c>
      <c r="AH425" s="74">
        <f t="shared" si="446"/>
        <v>4440</v>
      </c>
    </row>
    <row r="426" spans="1:34" s="27" customFormat="1" ht="21" customHeight="1">
      <c r="A426" s="76"/>
      <c r="B426" s="75"/>
      <c r="C426" s="58">
        <v>4300</v>
      </c>
      <c r="D426" s="182" t="s">
        <v>340</v>
      </c>
      <c r="E426" s="74">
        <v>980</v>
      </c>
      <c r="F426" s="74"/>
      <c r="G426" s="74"/>
      <c r="H426" s="74">
        <f t="shared" si="403"/>
        <v>980</v>
      </c>
      <c r="I426" s="74"/>
      <c r="J426" s="74">
        <f t="shared" si="389"/>
        <v>980</v>
      </c>
      <c r="K426" s="74">
        <v>0</v>
      </c>
      <c r="L426" s="74">
        <f t="shared" si="390"/>
        <v>980</v>
      </c>
      <c r="M426" s="74">
        <v>0</v>
      </c>
      <c r="N426" s="74">
        <f t="shared" si="436"/>
        <v>980</v>
      </c>
      <c r="O426" s="74">
        <v>-720</v>
      </c>
      <c r="P426" s="74">
        <f t="shared" si="437"/>
        <v>260</v>
      </c>
      <c r="Q426" s="74">
        <v>0</v>
      </c>
      <c r="R426" s="74">
        <f t="shared" si="438"/>
        <v>260</v>
      </c>
      <c r="S426" s="74">
        <v>0</v>
      </c>
      <c r="T426" s="74">
        <f t="shared" si="439"/>
        <v>260</v>
      </c>
      <c r="U426" s="74">
        <v>0</v>
      </c>
      <c r="V426" s="74">
        <f t="shared" si="440"/>
        <v>260</v>
      </c>
      <c r="W426" s="74">
        <v>0</v>
      </c>
      <c r="X426" s="74">
        <f t="shared" si="441"/>
        <v>260</v>
      </c>
      <c r="Y426" s="74">
        <v>0</v>
      </c>
      <c r="Z426" s="74">
        <f t="shared" si="442"/>
        <v>260</v>
      </c>
      <c r="AA426" s="74">
        <v>0</v>
      </c>
      <c r="AB426" s="74">
        <f t="shared" si="443"/>
        <v>260</v>
      </c>
      <c r="AC426" s="74">
        <v>0</v>
      </c>
      <c r="AD426" s="74">
        <f t="shared" si="444"/>
        <v>260</v>
      </c>
      <c r="AE426" s="74">
        <v>161</v>
      </c>
      <c r="AF426" s="74">
        <f t="shared" si="445"/>
        <v>421</v>
      </c>
      <c r="AG426" s="74">
        <v>0</v>
      </c>
      <c r="AH426" s="74">
        <f t="shared" si="446"/>
        <v>421</v>
      </c>
    </row>
    <row r="427" spans="1:34" s="27" customFormat="1" ht="21" customHeight="1">
      <c r="A427" s="76"/>
      <c r="B427" s="75"/>
      <c r="C427" s="58">
        <v>4430</v>
      </c>
      <c r="D427" s="182" t="s">
        <v>356</v>
      </c>
      <c r="E427" s="74">
        <v>1280</v>
      </c>
      <c r="F427" s="74"/>
      <c r="G427" s="74"/>
      <c r="H427" s="74">
        <f t="shared" si="403"/>
        <v>1280</v>
      </c>
      <c r="I427" s="74"/>
      <c r="J427" s="74">
        <f t="shared" si="389"/>
        <v>1280</v>
      </c>
      <c r="K427" s="74">
        <v>0</v>
      </c>
      <c r="L427" s="74">
        <f t="shared" si="390"/>
        <v>1280</v>
      </c>
      <c r="M427" s="74">
        <v>0</v>
      </c>
      <c r="N427" s="74">
        <f t="shared" si="436"/>
        <v>1280</v>
      </c>
      <c r="O427" s="74">
        <v>0</v>
      </c>
      <c r="P427" s="74">
        <f t="shared" si="437"/>
        <v>1280</v>
      </c>
      <c r="Q427" s="74">
        <v>0</v>
      </c>
      <c r="R427" s="74">
        <f t="shared" si="438"/>
        <v>1280</v>
      </c>
      <c r="S427" s="74">
        <v>0</v>
      </c>
      <c r="T427" s="74">
        <f t="shared" si="439"/>
        <v>1280</v>
      </c>
      <c r="U427" s="74">
        <v>0</v>
      </c>
      <c r="V427" s="74">
        <f t="shared" si="440"/>
        <v>1280</v>
      </c>
      <c r="W427" s="74">
        <v>0</v>
      </c>
      <c r="X427" s="74">
        <f t="shared" si="441"/>
        <v>1280</v>
      </c>
      <c r="Y427" s="74">
        <v>0</v>
      </c>
      <c r="Z427" s="74">
        <f t="shared" si="442"/>
        <v>1280</v>
      </c>
      <c r="AA427" s="74">
        <v>0</v>
      </c>
      <c r="AB427" s="74">
        <f t="shared" si="443"/>
        <v>1280</v>
      </c>
      <c r="AC427" s="74">
        <v>0</v>
      </c>
      <c r="AD427" s="74">
        <f t="shared" si="444"/>
        <v>1280</v>
      </c>
      <c r="AE427" s="74">
        <v>0</v>
      </c>
      <c r="AF427" s="74">
        <f t="shared" si="445"/>
        <v>1280</v>
      </c>
      <c r="AG427" s="74">
        <v>0</v>
      </c>
      <c r="AH427" s="74">
        <f t="shared" si="446"/>
        <v>1280</v>
      </c>
    </row>
    <row r="428" spans="1:38" s="27" customFormat="1" ht="21" customHeight="1">
      <c r="A428" s="76"/>
      <c r="B428" s="75"/>
      <c r="C428" s="58">
        <v>6050</v>
      </c>
      <c r="D428" s="14" t="s">
        <v>334</v>
      </c>
      <c r="E428" s="74">
        <v>4980</v>
      </c>
      <c r="F428" s="74"/>
      <c r="G428" s="74"/>
      <c r="H428" s="74">
        <f t="shared" si="403"/>
        <v>4980</v>
      </c>
      <c r="I428" s="74"/>
      <c r="J428" s="74">
        <f t="shared" si="389"/>
        <v>4980</v>
      </c>
      <c r="K428" s="74">
        <v>-4980</v>
      </c>
      <c r="L428" s="74">
        <f t="shared" si="390"/>
        <v>0</v>
      </c>
      <c r="M428" s="74">
        <v>0</v>
      </c>
      <c r="N428" s="74">
        <f t="shared" si="436"/>
        <v>0</v>
      </c>
      <c r="O428" s="74">
        <v>0</v>
      </c>
      <c r="P428" s="74">
        <f t="shared" si="437"/>
        <v>0</v>
      </c>
      <c r="Q428" s="74">
        <v>0</v>
      </c>
      <c r="R428" s="74">
        <f t="shared" si="438"/>
        <v>0</v>
      </c>
      <c r="S428" s="74">
        <v>0</v>
      </c>
      <c r="T428" s="74">
        <f t="shared" si="439"/>
        <v>0</v>
      </c>
      <c r="U428" s="74">
        <v>0</v>
      </c>
      <c r="V428" s="74">
        <f t="shared" si="440"/>
        <v>0</v>
      </c>
      <c r="W428" s="74">
        <v>0</v>
      </c>
      <c r="X428" s="74">
        <f t="shared" si="441"/>
        <v>0</v>
      </c>
      <c r="Y428" s="74">
        <v>0</v>
      </c>
      <c r="Z428" s="74">
        <f t="shared" si="442"/>
        <v>0</v>
      </c>
      <c r="AA428" s="74">
        <v>0</v>
      </c>
      <c r="AB428" s="74">
        <f t="shared" si="443"/>
        <v>0</v>
      </c>
      <c r="AC428" s="74">
        <v>0</v>
      </c>
      <c r="AD428" s="74">
        <f t="shared" si="444"/>
        <v>0</v>
      </c>
      <c r="AE428" s="74">
        <v>0</v>
      </c>
      <c r="AF428" s="74">
        <f t="shared" si="445"/>
        <v>0</v>
      </c>
      <c r="AG428" s="74">
        <v>3000</v>
      </c>
      <c r="AH428" s="74">
        <f t="shared" si="446"/>
        <v>3000</v>
      </c>
      <c r="AK428" s="119"/>
      <c r="AL428" s="119"/>
    </row>
    <row r="429" spans="1:38" s="27" customFormat="1" ht="21" customHeight="1">
      <c r="A429" s="76"/>
      <c r="B429" s="75"/>
      <c r="C429" s="58">
        <v>6060</v>
      </c>
      <c r="D429" s="14" t="s">
        <v>358</v>
      </c>
      <c r="E429" s="74"/>
      <c r="F429" s="74"/>
      <c r="G429" s="74"/>
      <c r="H429" s="74"/>
      <c r="I429" s="74"/>
      <c r="J429" s="74">
        <v>0</v>
      </c>
      <c r="K429" s="74">
        <v>4980</v>
      </c>
      <c r="L429" s="74">
        <f t="shared" si="390"/>
        <v>4980</v>
      </c>
      <c r="M429" s="74">
        <v>0</v>
      </c>
      <c r="N429" s="74">
        <f t="shared" si="436"/>
        <v>4980</v>
      </c>
      <c r="O429" s="74">
        <v>0</v>
      </c>
      <c r="P429" s="74">
        <f t="shared" si="437"/>
        <v>4980</v>
      </c>
      <c r="Q429" s="74">
        <v>0</v>
      </c>
      <c r="R429" s="74">
        <f t="shared" si="438"/>
        <v>4980</v>
      </c>
      <c r="S429" s="74">
        <v>0</v>
      </c>
      <c r="T429" s="74">
        <f t="shared" si="439"/>
        <v>4980</v>
      </c>
      <c r="U429" s="74">
        <v>0</v>
      </c>
      <c r="V429" s="74">
        <f t="shared" si="440"/>
        <v>4980</v>
      </c>
      <c r="W429" s="74">
        <v>0</v>
      </c>
      <c r="X429" s="74">
        <f t="shared" si="441"/>
        <v>4980</v>
      </c>
      <c r="Y429" s="74">
        <v>0</v>
      </c>
      <c r="Z429" s="74">
        <f t="shared" si="442"/>
        <v>4980</v>
      </c>
      <c r="AA429" s="74">
        <v>0</v>
      </c>
      <c r="AB429" s="74">
        <f t="shared" si="443"/>
        <v>4980</v>
      </c>
      <c r="AC429" s="74">
        <v>0</v>
      </c>
      <c r="AD429" s="74">
        <f t="shared" si="444"/>
        <v>4980</v>
      </c>
      <c r="AE429" s="74">
        <v>0</v>
      </c>
      <c r="AF429" s="74">
        <f t="shared" si="445"/>
        <v>4980</v>
      </c>
      <c r="AG429" s="74">
        <v>0</v>
      </c>
      <c r="AH429" s="74">
        <f t="shared" si="446"/>
        <v>4980</v>
      </c>
      <c r="AK429" s="119"/>
      <c r="AL429" s="119"/>
    </row>
    <row r="430" spans="1:34" s="27" customFormat="1" ht="21.75" customHeight="1">
      <c r="A430" s="76"/>
      <c r="B430" s="75" t="s">
        <v>325</v>
      </c>
      <c r="C430" s="58"/>
      <c r="D430" s="14" t="s">
        <v>326</v>
      </c>
      <c r="E430" s="74">
        <f>E431</f>
        <v>916000</v>
      </c>
      <c r="F430" s="74">
        <f>F431</f>
        <v>900</v>
      </c>
      <c r="G430" s="74">
        <f>G431</f>
        <v>0</v>
      </c>
      <c r="H430" s="74">
        <f t="shared" si="403"/>
        <v>916900</v>
      </c>
      <c r="I430" s="74">
        <f>I431</f>
        <v>0</v>
      </c>
      <c r="J430" s="74">
        <f aca="true" t="shared" si="447" ref="J430:AH430">SUM(J431)</f>
        <v>916900</v>
      </c>
      <c r="K430" s="74">
        <f t="shared" si="447"/>
        <v>0</v>
      </c>
      <c r="L430" s="74">
        <f t="shared" si="447"/>
        <v>916900</v>
      </c>
      <c r="M430" s="74">
        <f t="shared" si="447"/>
        <v>0</v>
      </c>
      <c r="N430" s="74">
        <f t="shared" si="447"/>
        <v>916900</v>
      </c>
      <c r="O430" s="74">
        <f t="shared" si="447"/>
        <v>0</v>
      </c>
      <c r="P430" s="74">
        <f t="shared" si="447"/>
        <v>916900</v>
      </c>
      <c r="Q430" s="74">
        <f t="shared" si="447"/>
        <v>0</v>
      </c>
      <c r="R430" s="74">
        <f t="shared" si="447"/>
        <v>916900</v>
      </c>
      <c r="S430" s="74">
        <f t="shared" si="447"/>
        <v>0</v>
      </c>
      <c r="T430" s="74">
        <f t="shared" si="447"/>
        <v>916900</v>
      </c>
      <c r="U430" s="74">
        <f t="shared" si="447"/>
        <v>0</v>
      </c>
      <c r="V430" s="74">
        <f t="shared" si="447"/>
        <v>916900</v>
      </c>
      <c r="W430" s="74">
        <f t="shared" si="447"/>
        <v>0</v>
      </c>
      <c r="X430" s="74">
        <f t="shared" si="447"/>
        <v>916900</v>
      </c>
      <c r="Y430" s="74">
        <f t="shared" si="447"/>
        <v>0</v>
      </c>
      <c r="Z430" s="74">
        <f t="shared" si="447"/>
        <v>916900</v>
      </c>
      <c r="AA430" s="74">
        <f t="shared" si="447"/>
        <v>0</v>
      </c>
      <c r="AB430" s="74">
        <f t="shared" si="447"/>
        <v>916900</v>
      </c>
      <c r="AC430" s="74">
        <f t="shared" si="447"/>
        <v>0</v>
      </c>
      <c r="AD430" s="74">
        <f t="shared" si="447"/>
        <v>916900</v>
      </c>
      <c r="AE430" s="74">
        <f t="shared" si="447"/>
        <v>0</v>
      </c>
      <c r="AF430" s="74">
        <f t="shared" si="447"/>
        <v>916900</v>
      </c>
      <c r="AG430" s="74">
        <f t="shared" si="447"/>
        <v>0</v>
      </c>
      <c r="AH430" s="74">
        <f t="shared" si="447"/>
        <v>916900</v>
      </c>
    </row>
    <row r="431" spans="1:34" s="27" customFormat="1" ht="24">
      <c r="A431" s="76"/>
      <c r="B431" s="75"/>
      <c r="C431" s="58">
        <v>2480</v>
      </c>
      <c r="D431" s="14" t="s">
        <v>473</v>
      </c>
      <c r="E431" s="74">
        <f>45000+851000+20000</f>
        <v>916000</v>
      </c>
      <c r="F431" s="74">
        <v>900</v>
      </c>
      <c r="G431" s="74"/>
      <c r="H431" s="74">
        <f t="shared" si="403"/>
        <v>916900</v>
      </c>
      <c r="I431" s="74"/>
      <c r="J431" s="74">
        <f t="shared" si="389"/>
        <v>916900</v>
      </c>
      <c r="K431" s="74">
        <v>0</v>
      </c>
      <c r="L431" s="74">
        <f t="shared" si="390"/>
        <v>916900</v>
      </c>
      <c r="M431" s="74">
        <v>0</v>
      </c>
      <c r="N431" s="74">
        <f>SUM(L431:M431)</f>
        <v>916900</v>
      </c>
      <c r="O431" s="74">
        <v>0</v>
      </c>
      <c r="P431" s="74">
        <f>SUM(N431:O431)</f>
        <v>916900</v>
      </c>
      <c r="Q431" s="74">
        <v>0</v>
      </c>
      <c r="R431" s="74">
        <f>SUM(P431:Q431)</f>
        <v>916900</v>
      </c>
      <c r="S431" s="74">
        <v>0</v>
      </c>
      <c r="T431" s="74">
        <f>SUM(R431:S431)</f>
        <v>916900</v>
      </c>
      <c r="U431" s="74">
        <v>0</v>
      </c>
      <c r="V431" s="74">
        <f>SUM(T431:U431)</f>
        <v>916900</v>
      </c>
      <c r="W431" s="74">
        <v>0</v>
      </c>
      <c r="X431" s="74">
        <f>SUM(V431:W431)</f>
        <v>916900</v>
      </c>
      <c r="Y431" s="74">
        <v>0</v>
      </c>
      <c r="Z431" s="74">
        <f>SUM(X431:Y431)</f>
        <v>916900</v>
      </c>
      <c r="AA431" s="74">
        <v>0</v>
      </c>
      <c r="AB431" s="74">
        <f>SUM(Z431:AA431)</f>
        <v>916900</v>
      </c>
      <c r="AC431" s="74">
        <v>0</v>
      </c>
      <c r="AD431" s="74">
        <f>SUM(AB431:AC431)</f>
        <v>916900</v>
      </c>
      <c r="AE431" s="74">
        <v>0</v>
      </c>
      <c r="AF431" s="74">
        <f>SUM(AD431:AE431)</f>
        <v>916900</v>
      </c>
      <c r="AG431" s="74">
        <v>0</v>
      </c>
      <c r="AH431" s="74">
        <f>SUM(AF431:AG431)</f>
        <v>916900</v>
      </c>
    </row>
    <row r="432" spans="1:34" s="27" customFormat="1" ht="18.75" customHeight="1">
      <c r="A432" s="76"/>
      <c r="B432" s="75" t="s">
        <v>409</v>
      </c>
      <c r="C432" s="58"/>
      <c r="D432" s="14" t="s">
        <v>410</v>
      </c>
      <c r="E432" s="74">
        <f>E433</f>
        <v>376470</v>
      </c>
      <c r="F432" s="74">
        <f>F433</f>
        <v>0</v>
      </c>
      <c r="G432" s="74">
        <f>G433</f>
        <v>0</v>
      </c>
      <c r="H432" s="74">
        <f t="shared" si="403"/>
        <v>376470</v>
      </c>
      <c r="I432" s="74">
        <f>I433</f>
        <v>2000</v>
      </c>
      <c r="J432" s="74">
        <f aca="true" t="shared" si="448" ref="J432:AH432">SUM(J433)</f>
        <v>378470</v>
      </c>
      <c r="K432" s="74">
        <f t="shared" si="448"/>
        <v>0</v>
      </c>
      <c r="L432" s="74">
        <f t="shared" si="448"/>
        <v>378470</v>
      </c>
      <c r="M432" s="74">
        <f t="shared" si="448"/>
        <v>0</v>
      </c>
      <c r="N432" s="74">
        <f t="shared" si="448"/>
        <v>378470</v>
      </c>
      <c r="O432" s="74">
        <f t="shared" si="448"/>
        <v>0</v>
      </c>
      <c r="P432" s="74">
        <f t="shared" si="448"/>
        <v>378470</v>
      </c>
      <c r="Q432" s="74">
        <f t="shared" si="448"/>
        <v>0</v>
      </c>
      <c r="R432" s="74">
        <f t="shared" si="448"/>
        <v>378470</v>
      </c>
      <c r="S432" s="74">
        <f t="shared" si="448"/>
        <v>0</v>
      </c>
      <c r="T432" s="74">
        <f t="shared" si="448"/>
        <v>378470</v>
      </c>
      <c r="U432" s="74">
        <f t="shared" si="448"/>
        <v>0</v>
      </c>
      <c r="V432" s="74">
        <f t="shared" si="448"/>
        <v>378470</v>
      </c>
      <c r="W432" s="74">
        <f t="shared" si="448"/>
        <v>0</v>
      </c>
      <c r="X432" s="74">
        <f t="shared" si="448"/>
        <v>378470</v>
      </c>
      <c r="Y432" s="74">
        <f t="shared" si="448"/>
        <v>0</v>
      </c>
      <c r="Z432" s="74">
        <f t="shared" si="448"/>
        <v>378470</v>
      </c>
      <c r="AA432" s="74">
        <f t="shared" si="448"/>
        <v>0</v>
      </c>
      <c r="AB432" s="74">
        <f t="shared" si="448"/>
        <v>378470</v>
      </c>
      <c r="AC432" s="74">
        <f t="shared" si="448"/>
        <v>0</v>
      </c>
      <c r="AD432" s="74">
        <f t="shared" si="448"/>
        <v>378470</v>
      </c>
      <c r="AE432" s="74">
        <f t="shared" si="448"/>
        <v>0</v>
      </c>
      <c r="AF432" s="74">
        <f t="shared" si="448"/>
        <v>378470</v>
      </c>
      <c r="AG432" s="74">
        <f t="shared" si="448"/>
        <v>0</v>
      </c>
      <c r="AH432" s="74">
        <f t="shared" si="448"/>
        <v>378470</v>
      </c>
    </row>
    <row r="433" spans="1:34" s="27" customFormat="1" ht="25.5" customHeight="1">
      <c r="A433" s="76"/>
      <c r="B433" s="75"/>
      <c r="C433" s="58">
        <v>2480</v>
      </c>
      <c r="D433" s="14" t="s">
        <v>473</v>
      </c>
      <c r="E433" s="74">
        <f>368470+8000</f>
        <v>376470</v>
      </c>
      <c r="F433" s="74"/>
      <c r="G433" s="74"/>
      <c r="H433" s="74">
        <f t="shared" si="403"/>
        <v>376470</v>
      </c>
      <c r="I433" s="74">
        <f>500+1000+500</f>
        <v>2000</v>
      </c>
      <c r="J433" s="74">
        <f t="shared" si="389"/>
        <v>378470</v>
      </c>
      <c r="K433" s="74">
        <v>0</v>
      </c>
      <c r="L433" s="74">
        <f t="shared" si="390"/>
        <v>378470</v>
      </c>
      <c r="M433" s="74">
        <v>0</v>
      </c>
      <c r="N433" s="74">
        <f>SUM(L433:M433)</f>
        <v>378470</v>
      </c>
      <c r="O433" s="74">
        <v>0</v>
      </c>
      <c r="P433" s="74">
        <f>SUM(N433:O433)</f>
        <v>378470</v>
      </c>
      <c r="Q433" s="74">
        <v>0</v>
      </c>
      <c r="R433" s="74">
        <f>SUM(P433:Q433)</f>
        <v>378470</v>
      </c>
      <c r="S433" s="74">
        <v>0</v>
      </c>
      <c r="T433" s="74">
        <f>SUM(R433:S433)</f>
        <v>378470</v>
      </c>
      <c r="U433" s="74">
        <v>0</v>
      </c>
      <c r="V433" s="74">
        <f>SUM(T433:U433)</f>
        <v>378470</v>
      </c>
      <c r="W433" s="74">
        <v>0</v>
      </c>
      <c r="X433" s="74">
        <f>SUM(V433:W433)</f>
        <v>378470</v>
      </c>
      <c r="Y433" s="74">
        <v>0</v>
      </c>
      <c r="Z433" s="74">
        <f>SUM(X433:Y433)</f>
        <v>378470</v>
      </c>
      <c r="AA433" s="74">
        <v>0</v>
      </c>
      <c r="AB433" s="74">
        <f>SUM(Z433:AA433)</f>
        <v>378470</v>
      </c>
      <c r="AC433" s="74">
        <v>0</v>
      </c>
      <c r="AD433" s="74">
        <f>SUM(AB433:AC433)</f>
        <v>378470</v>
      </c>
      <c r="AE433" s="74">
        <v>0</v>
      </c>
      <c r="AF433" s="74">
        <f>SUM(AD433:AE433)</f>
        <v>378470</v>
      </c>
      <c r="AG433" s="74">
        <v>0</v>
      </c>
      <c r="AH433" s="74">
        <f>SUM(AF433:AG433)</f>
        <v>378470</v>
      </c>
    </row>
    <row r="434" spans="1:34" s="7" customFormat="1" ht="24.75" customHeight="1">
      <c r="A434" s="36" t="s">
        <v>411</v>
      </c>
      <c r="B434" s="6"/>
      <c r="C434" s="5"/>
      <c r="D434" s="22" t="s">
        <v>327</v>
      </c>
      <c r="E434" s="271">
        <f>SUM(E441,E437,E435)</f>
        <v>693580</v>
      </c>
      <c r="F434" s="271">
        <f>SUM(F441,F437,F435)</f>
        <v>28000</v>
      </c>
      <c r="G434" s="271">
        <f>SUM(G441,G437,G435)</f>
        <v>200000</v>
      </c>
      <c r="H434" s="271">
        <f t="shared" si="403"/>
        <v>521580</v>
      </c>
      <c r="I434" s="271">
        <f>SUM(I441,I437,I435)</f>
        <v>436800</v>
      </c>
      <c r="J434" s="271">
        <f aca="true" t="shared" si="449" ref="J434:P434">SUM(J435,J437,J441,)</f>
        <v>958380</v>
      </c>
      <c r="K434" s="271">
        <f t="shared" si="449"/>
        <v>10800</v>
      </c>
      <c r="L434" s="271">
        <f t="shared" si="449"/>
        <v>969180</v>
      </c>
      <c r="M434" s="271">
        <f t="shared" si="449"/>
        <v>0</v>
      </c>
      <c r="N434" s="271">
        <f t="shared" si="449"/>
        <v>969180</v>
      </c>
      <c r="O434" s="271">
        <f t="shared" si="449"/>
        <v>35000</v>
      </c>
      <c r="P434" s="271">
        <f t="shared" si="449"/>
        <v>1004180</v>
      </c>
      <c r="Q434" s="271">
        <f aca="true" t="shared" si="450" ref="Q434:V434">SUM(Q435,Q437,Q441,)</f>
        <v>-21360</v>
      </c>
      <c r="R434" s="271">
        <f t="shared" si="450"/>
        <v>982820</v>
      </c>
      <c r="S434" s="271">
        <f t="shared" si="450"/>
        <v>0</v>
      </c>
      <c r="T434" s="271">
        <f t="shared" si="450"/>
        <v>982820</v>
      </c>
      <c r="U434" s="271">
        <f t="shared" si="450"/>
        <v>0</v>
      </c>
      <c r="V434" s="271">
        <f t="shared" si="450"/>
        <v>982820</v>
      </c>
      <c r="W434" s="271">
        <f aca="true" t="shared" si="451" ref="W434:AB434">SUM(W435,W437,W441,)</f>
        <v>2260</v>
      </c>
      <c r="X434" s="271">
        <f t="shared" si="451"/>
        <v>985080</v>
      </c>
      <c r="Y434" s="271">
        <f t="shared" si="451"/>
        <v>0</v>
      </c>
      <c r="Z434" s="271">
        <f t="shared" si="451"/>
        <v>985080</v>
      </c>
      <c r="AA434" s="271">
        <f t="shared" si="451"/>
        <v>0</v>
      </c>
      <c r="AB434" s="271">
        <f t="shared" si="451"/>
        <v>985080</v>
      </c>
      <c r="AC434" s="271">
        <f aca="true" t="shared" si="452" ref="AC434:AH434">SUM(AC435,AC437,AC441,)</f>
        <v>0</v>
      </c>
      <c r="AD434" s="271">
        <f t="shared" si="452"/>
        <v>985080</v>
      </c>
      <c r="AE434" s="271">
        <f t="shared" si="452"/>
        <v>1215</v>
      </c>
      <c r="AF434" s="271">
        <f t="shared" si="452"/>
        <v>986295</v>
      </c>
      <c r="AG434" s="271">
        <f t="shared" si="452"/>
        <v>4845</v>
      </c>
      <c r="AH434" s="271">
        <f t="shared" si="452"/>
        <v>991140</v>
      </c>
    </row>
    <row r="435" spans="1:34" s="27" customFormat="1" ht="20.25" customHeight="1">
      <c r="A435" s="76"/>
      <c r="B435" s="82">
        <v>92601</v>
      </c>
      <c r="C435" s="58"/>
      <c r="D435" s="14" t="s">
        <v>579</v>
      </c>
      <c r="E435" s="74">
        <f>SUM(E436)</f>
        <v>100000</v>
      </c>
      <c r="F435" s="74">
        <f>SUM(F436)</f>
        <v>0</v>
      </c>
      <c r="G435" s="74">
        <f>SUM(G436)</f>
        <v>0</v>
      </c>
      <c r="H435" s="74">
        <f t="shared" si="403"/>
        <v>100000</v>
      </c>
      <c r="I435" s="74">
        <f aca="true" t="shared" si="453" ref="I435:AH435">SUM(I436)</f>
        <v>0</v>
      </c>
      <c r="J435" s="74">
        <f t="shared" si="453"/>
        <v>100000</v>
      </c>
      <c r="K435" s="74">
        <f t="shared" si="453"/>
        <v>0</v>
      </c>
      <c r="L435" s="74">
        <f t="shared" si="453"/>
        <v>100000</v>
      </c>
      <c r="M435" s="74">
        <f t="shared" si="453"/>
        <v>0</v>
      </c>
      <c r="N435" s="74">
        <f t="shared" si="453"/>
        <v>100000</v>
      </c>
      <c r="O435" s="74">
        <f t="shared" si="453"/>
        <v>0</v>
      </c>
      <c r="P435" s="74">
        <f t="shared" si="453"/>
        <v>100000</v>
      </c>
      <c r="Q435" s="74">
        <f t="shared" si="453"/>
        <v>0</v>
      </c>
      <c r="R435" s="74">
        <f t="shared" si="453"/>
        <v>100000</v>
      </c>
      <c r="S435" s="74">
        <f t="shared" si="453"/>
        <v>0</v>
      </c>
      <c r="T435" s="74">
        <f t="shared" si="453"/>
        <v>100000</v>
      </c>
      <c r="U435" s="74">
        <f t="shared" si="453"/>
        <v>0</v>
      </c>
      <c r="V435" s="74">
        <f t="shared" si="453"/>
        <v>100000</v>
      </c>
      <c r="W435" s="74">
        <f t="shared" si="453"/>
        <v>0</v>
      </c>
      <c r="X435" s="74">
        <f t="shared" si="453"/>
        <v>100000</v>
      </c>
      <c r="Y435" s="74">
        <f t="shared" si="453"/>
        <v>0</v>
      </c>
      <c r="Z435" s="74">
        <f t="shared" si="453"/>
        <v>100000</v>
      </c>
      <c r="AA435" s="74">
        <f t="shared" si="453"/>
        <v>0</v>
      </c>
      <c r="AB435" s="74">
        <f t="shared" si="453"/>
        <v>100000</v>
      </c>
      <c r="AC435" s="74">
        <f t="shared" si="453"/>
        <v>0</v>
      </c>
      <c r="AD435" s="74">
        <f t="shared" si="453"/>
        <v>100000</v>
      </c>
      <c r="AE435" s="74">
        <f t="shared" si="453"/>
        <v>0</v>
      </c>
      <c r="AF435" s="74">
        <f t="shared" si="453"/>
        <v>100000</v>
      </c>
      <c r="AG435" s="74">
        <f t="shared" si="453"/>
        <v>0</v>
      </c>
      <c r="AH435" s="74">
        <f t="shared" si="453"/>
        <v>100000</v>
      </c>
    </row>
    <row r="436" spans="1:38" s="27" customFormat="1" ht="20.25" customHeight="1">
      <c r="A436" s="76"/>
      <c r="B436" s="82"/>
      <c r="C436" s="58">
        <v>6050</v>
      </c>
      <c r="D436" s="14" t="s">
        <v>334</v>
      </c>
      <c r="E436" s="74">
        <f>100000</f>
        <v>100000</v>
      </c>
      <c r="F436" s="74"/>
      <c r="G436" s="74"/>
      <c r="H436" s="74">
        <f t="shared" si="403"/>
        <v>100000</v>
      </c>
      <c r="I436" s="74"/>
      <c r="J436" s="74">
        <f t="shared" si="389"/>
        <v>100000</v>
      </c>
      <c r="K436" s="74">
        <v>0</v>
      </c>
      <c r="L436" s="74">
        <f t="shared" si="390"/>
        <v>100000</v>
      </c>
      <c r="M436" s="74">
        <v>0</v>
      </c>
      <c r="N436" s="74">
        <f>SUM(L436:M436)</f>
        <v>100000</v>
      </c>
      <c r="O436" s="74">
        <v>0</v>
      </c>
      <c r="P436" s="74">
        <f>SUM(N436:O436)</f>
        <v>100000</v>
      </c>
      <c r="Q436" s="74">
        <v>0</v>
      </c>
      <c r="R436" s="74">
        <f>SUM(P436:Q436)</f>
        <v>100000</v>
      </c>
      <c r="S436" s="74">
        <v>0</v>
      </c>
      <c r="T436" s="74">
        <f>SUM(R436:S436)</f>
        <v>100000</v>
      </c>
      <c r="U436" s="74">
        <v>0</v>
      </c>
      <c r="V436" s="74">
        <f>SUM(T436:U436)</f>
        <v>100000</v>
      </c>
      <c r="W436" s="74">
        <v>0</v>
      </c>
      <c r="X436" s="74">
        <f>SUM(V436:W436)</f>
        <v>100000</v>
      </c>
      <c r="Y436" s="74">
        <v>0</v>
      </c>
      <c r="Z436" s="74">
        <f>SUM(X436:Y436)</f>
        <v>100000</v>
      </c>
      <c r="AA436" s="74">
        <v>0</v>
      </c>
      <c r="AB436" s="74">
        <f>SUM(Z436:AA436)</f>
        <v>100000</v>
      </c>
      <c r="AC436" s="74">
        <v>0</v>
      </c>
      <c r="AD436" s="74">
        <f>SUM(AB436:AC436)</f>
        <v>100000</v>
      </c>
      <c r="AE436" s="74">
        <v>0</v>
      </c>
      <c r="AF436" s="74">
        <f>SUM(AD436:AE436)</f>
        <v>100000</v>
      </c>
      <c r="AG436" s="74">
        <v>0</v>
      </c>
      <c r="AH436" s="74">
        <f>SUM(AF436:AG436)</f>
        <v>100000</v>
      </c>
      <c r="AK436" s="119"/>
      <c r="AL436" s="119"/>
    </row>
    <row r="437" spans="1:34" s="27" customFormat="1" ht="21.75" customHeight="1">
      <c r="A437" s="76"/>
      <c r="B437" s="82">
        <v>92604</v>
      </c>
      <c r="C437" s="58"/>
      <c r="D437" s="14" t="s">
        <v>505</v>
      </c>
      <c r="E437" s="74">
        <f aca="true" t="shared" si="454" ref="E437:L437">SUM(E438:E440)</f>
        <v>280000</v>
      </c>
      <c r="F437" s="74">
        <f t="shared" si="454"/>
        <v>28000</v>
      </c>
      <c r="G437" s="74">
        <f t="shared" si="454"/>
        <v>200000</v>
      </c>
      <c r="H437" s="74">
        <f t="shared" si="454"/>
        <v>108000</v>
      </c>
      <c r="I437" s="74">
        <f t="shared" si="454"/>
        <v>0</v>
      </c>
      <c r="J437" s="74">
        <f t="shared" si="454"/>
        <v>108000</v>
      </c>
      <c r="K437" s="74">
        <f t="shared" si="454"/>
        <v>0</v>
      </c>
      <c r="L437" s="74">
        <f t="shared" si="454"/>
        <v>108000</v>
      </c>
      <c r="M437" s="74">
        <f aca="true" t="shared" si="455" ref="M437:R437">SUM(M438:M440)</f>
        <v>0</v>
      </c>
      <c r="N437" s="74">
        <f t="shared" si="455"/>
        <v>108000</v>
      </c>
      <c r="O437" s="74">
        <f t="shared" si="455"/>
        <v>0</v>
      </c>
      <c r="P437" s="74">
        <f t="shared" si="455"/>
        <v>108000</v>
      </c>
      <c r="Q437" s="74">
        <f t="shared" si="455"/>
        <v>0</v>
      </c>
      <c r="R437" s="74">
        <f t="shared" si="455"/>
        <v>108000</v>
      </c>
      <c r="S437" s="74">
        <f aca="true" t="shared" si="456" ref="S437:X437">SUM(S438:S440)</f>
        <v>0</v>
      </c>
      <c r="T437" s="74">
        <f t="shared" si="456"/>
        <v>108000</v>
      </c>
      <c r="U437" s="74">
        <f t="shared" si="456"/>
        <v>0</v>
      </c>
      <c r="V437" s="74">
        <f t="shared" si="456"/>
        <v>108000</v>
      </c>
      <c r="W437" s="74">
        <f t="shared" si="456"/>
        <v>0</v>
      </c>
      <c r="X437" s="74">
        <f t="shared" si="456"/>
        <v>108000</v>
      </c>
      <c r="Y437" s="74">
        <f aca="true" t="shared" si="457" ref="Y437:AD437">SUM(Y438:Y440)</f>
        <v>0</v>
      </c>
      <c r="Z437" s="74">
        <f t="shared" si="457"/>
        <v>108000</v>
      </c>
      <c r="AA437" s="74">
        <f t="shared" si="457"/>
        <v>0</v>
      </c>
      <c r="AB437" s="74">
        <f t="shared" si="457"/>
        <v>108000</v>
      </c>
      <c r="AC437" s="74">
        <f t="shared" si="457"/>
        <v>0</v>
      </c>
      <c r="AD437" s="74">
        <f t="shared" si="457"/>
        <v>108000</v>
      </c>
      <c r="AE437" s="74">
        <f>SUM(AE438:AE440)</f>
        <v>0</v>
      </c>
      <c r="AF437" s="74">
        <f>SUM(AF438:AF440)</f>
        <v>108000</v>
      </c>
      <c r="AG437" s="74">
        <f>SUM(AG438:AG440)</f>
        <v>0</v>
      </c>
      <c r="AH437" s="74">
        <f>SUM(AH438:AH440)</f>
        <v>108000</v>
      </c>
    </row>
    <row r="438" spans="1:34" s="27" customFormat="1" ht="21.75" customHeight="1">
      <c r="A438" s="76"/>
      <c r="B438" s="82"/>
      <c r="C438" s="58">
        <v>4270</v>
      </c>
      <c r="D438" s="14" t="s">
        <v>339</v>
      </c>
      <c r="E438" s="74">
        <v>0</v>
      </c>
      <c r="F438" s="74">
        <f>20000+8000</f>
        <v>28000</v>
      </c>
      <c r="G438" s="74"/>
      <c r="H438" s="74">
        <f>E438+F438-G438</f>
        <v>28000</v>
      </c>
      <c r="I438" s="74"/>
      <c r="J438" s="74">
        <f t="shared" si="389"/>
        <v>28000</v>
      </c>
      <c r="K438" s="74">
        <v>0</v>
      </c>
      <c r="L438" s="74">
        <f t="shared" si="390"/>
        <v>28000</v>
      </c>
      <c r="M438" s="74">
        <v>0</v>
      </c>
      <c r="N438" s="74">
        <f>SUM(L438:M438)</f>
        <v>28000</v>
      </c>
      <c r="O438" s="74">
        <v>0</v>
      </c>
      <c r="P438" s="74">
        <f>SUM(N438:O438)</f>
        <v>28000</v>
      </c>
      <c r="Q438" s="74">
        <v>0</v>
      </c>
      <c r="R438" s="74">
        <f>SUM(P438:Q438)</f>
        <v>28000</v>
      </c>
      <c r="S438" s="74">
        <v>0</v>
      </c>
      <c r="T438" s="74">
        <f>SUM(R438:S438)</f>
        <v>28000</v>
      </c>
      <c r="U438" s="74">
        <v>0</v>
      </c>
      <c r="V438" s="74">
        <f>SUM(T438:U438)</f>
        <v>28000</v>
      </c>
      <c r="W438" s="74">
        <v>0</v>
      </c>
      <c r="X438" s="74">
        <f>SUM(V438:W438)</f>
        <v>28000</v>
      </c>
      <c r="Y438" s="74">
        <v>0</v>
      </c>
      <c r="Z438" s="74">
        <f>SUM(X438:Y438)</f>
        <v>28000</v>
      </c>
      <c r="AA438" s="74">
        <v>0</v>
      </c>
      <c r="AB438" s="74">
        <f>SUM(Z438:AA438)</f>
        <v>28000</v>
      </c>
      <c r="AC438" s="74">
        <v>0</v>
      </c>
      <c r="AD438" s="74">
        <f>SUM(AB438:AC438)</f>
        <v>28000</v>
      </c>
      <c r="AE438" s="74">
        <v>0</v>
      </c>
      <c r="AF438" s="74">
        <f>SUM(AD438:AE438)</f>
        <v>28000</v>
      </c>
      <c r="AG438" s="74">
        <v>0</v>
      </c>
      <c r="AH438" s="74">
        <f>SUM(AF438:AG438)</f>
        <v>28000</v>
      </c>
    </row>
    <row r="439" spans="1:34" s="27" customFormat="1" ht="21" customHeight="1">
      <c r="A439" s="76"/>
      <c r="B439" s="82"/>
      <c r="C439" s="58">
        <v>4300</v>
      </c>
      <c r="D439" s="182" t="s">
        <v>340</v>
      </c>
      <c r="E439" s="74">
        <f>60000+20000</f>
        <v>80000</v>
      </c>
      <c r="F439" s="74"/>
      <c r="G439" s="74"/>
      <c r="H439" s="74">
        <f>E439+F439-G439</f>
        <v>80000</v>
      </c>
      <c r="I439" s="74"/>
      <c r="J439" s="74">
        <f t="shared" si="389"/>
        <v>80000</v>
      </c>
      <c r="K439" s="74">
        <v>0</v>
      </c>
      <c r="L439" s="74">
        <f t="shared" si="390"/>
        <v>80000</v>
      </c>
      <c r="M439" s="74">
        <v>0</v>
      </c>
      <c r="N439" s="74">
        <f>SUM(L439:M439)</f>
        <v>80000</v>
      </c>
      <c r="O439" s="74">
        <v>0</v>
      </c>
      <c r="P439" s="74">
        <f>SUM(N439:O439)</f>
        <v>80000</v>
      </c>
      <c r="Q439" s="74">
        <v>0</v>
      </c>
      <c r="R439" s="74">
        <f>SUM(P439:Q439)</f>
        <v>80000</v>
      </c>
      <c r="S439" s="74">
        <v>0</v>
      </c>
      <c r="T439" s="74">
        <f>SUM(R439:S439)</f>
        <v>80000</v>
      </c>
      <c r="U439" s="74">
        <v>0</v>
      </c>
      <c r="V439" s="74">
        <f>SUM(T439:U439)</f>
        <v>80000</v>
      </c>
      <c r="W439" s="74">
        <v>0</v>
      </c>
      <c r="X439" s="74">
        <f>SUM(V439:W439)</f>
        <v>80000</v>
      </c>
      <c r="Y439" s="74">
        <v>0</v>
      </c>
      <c r="Z439" s="74">
        <f>SUM(X439:Y439)</f>
        <v>80000</v>
      </c>
      <c r="AA439" s="74">
        <v>0</v>
      </c>
      <c r="AB439" s="74">
        <f>SUM(Z439:AA439)</f>
        <v>80000</v>
      </c>
      <c r="AC439" s="74">
        <v>0</v>
      </c>
      <c r="AD439" s="74">
        <f>SUM(AB439:AC439)</f>
        <v>80000</v>
      </c>
      <c r="AE439" s="74">
        <v>0</v>
      </c>
      <c r="AF439" s="74">
        <f>SUM(AD439:AE439)</f>
        <v>80000</v>
      </c>
      <c r="AG439" s="74">
        <v>0</v>
      </c>
      <c r="AH439" s="74">
        <f>SUM(AF439:AG439)</f>
        <v>80000</v>
      </c>
    </row>
    <row r="440" spans="1:38" s="27" customFormat="1" ht="20.25" customHeight="1">
      <c r="A440" s="76"/>
      <c r="B440" s="82"/>
      <c r="C440" s="58">
        <v>6050</v>
      </c>
      <c r="D440" s="14" t="s">
        <v>334</v>
      </c>
      <c r="E440" s="74">
        <v>200000</v>
      </c>
      <c r="F440" s="74"/>
      <c r="G440" s="74">
        <v>200000</v>
      </c>
      <c r="H440" s="74">
        <f>E440+F440-G440</f>
        <v>0</v>
      </c>
      <c r="I440" s="74"/>
      <c r="J440" s="74">
        <f t="shared" si="389"/>
        <v>0</v>
      </c>
      <c r="K440" s="74">
        <v>0</v>
      </c>
      <c r="L440" s="74">
        <f t="shared" si="390"/>
        <v>0</v>
      </c>
      <c r="M440" s="74">
        <v>0</v>
      </c>
      <c r="N440" s="74">
        <f>SUM(L440:M440)</f>
        <v>0</v>
      </c>
      <c r="O440" s="74">
        <v>0</v>
      </c>
      <c r="P440" s="74">
        <f>SUM(N440:O440)</f>
        <v>0</v>
      </c>
      <c r="Q440" s="74">
        <v>0</v>
      </c>
      <c r="R440" s="74">
        <f>SUM(P440:Q440)</f>
        <v>0</v>
      </c>
      <c r="S440" s="74">
        <v>0</v>
      </c>
      <c r="T440" s="74">
        <f>SUM(R440:S440)</f>
        <v>0</v>
      </c>
      <c r="U440" s="74">
        <v>0</v>
      </c>
      <c r="V440" s="74">
        <f>SUM(T440:U440)</f>
        <v>0</v>
      </c>
      <c r="W440" s="74">
        <v>0</v>
      </c>
      <c r="X440" s="74">
        <f>SUM(V440:W440)</f>
        <v>0</v>
      </c>
      <c r="Y440" s="74">
        <v>0</v>
      </c>
      <c r="Z440" s="74">
        <f>SUM(X440:Y440)</f>
        <v>0</v>
      </c>
      <c r="AA440" s="74">
        <v>0</v>
      </c>
      <c r="AB440" s="74">
        <f>SUM(Z440:AA440)</f>
        <v>0</v>
      </c>
      <c r="AC440" s="74">
        <v>0</v>
      </c>
      <c r="AD440" s="74">
        <f>SUM(AB440:AC440)</f>
        <v>0</v>
      </c>
      <c r="AE440" s="74">
        <v>0</v>
      </c>
      <c r="AF440" s="74">
        <f>SUM(AD440:AE440)</f>
        <v>0</v>
      </c>
      <c r="AG440" s="74">
        <v>0</v>
      </c>
      <c r="AH440" s="74">
        <f>SUM(AF440:AG440)</f>
        <v>0</v>
      </c>
      <c r="AK440" s="119"/>
      <c r="AL440" s="119"/>
    </row>
    <row r="441" spans="1:34" s="27" customFormat="1" ht="20.25" customHeight="1">
      <c r="A441" s="58"/>
      <c r="B441" s="273">
        <v>92605</v>
      </c>
      <c r="C441" s="58"/>
      <c r="D441" s="14" t="s">
        <v>328</v>
      </c>
      <c r="E441" s="74">
        <f>SUM(E443:E451)</f>
        <v>313580</v>
      </c>
      <c r="F441" s="74">
        <f>SUM(F443:F451)</f>
        <v>0</v>
      </c>
      <c r="G441" s="74">
        <f>SUM(G443:G451)</f>
        <v>0</v>
      </c>
      <c r="H441" s="74">
        <f aca="true" t="shared" si="458" ref="H441:M441">SUM(H443:H452)</f>
        <v>313580</v>
      </c>
      <c r="I441" s="74">
        <f t="shared" si="458"/>
        <v>436800</v>
      </c>
      <c r="J441" s="74">
        <f t="shared" si="458"/>
        <v>750380</v>
      </c>
      <c r="K441" s="74">
        <f t="shared" si="458"/>
        <v>10800</v>
      </c>
      <c r="L441" s="74">
        <f t="shared" si="458"/>
        <v>761180</v>
      </c>
      <c r="M441" s="74">
        <f t="shared" si="458"/>
        <v>0</v>
      </c>
      <c r="N441" s="74">
        <f aca="true" t="shared" si="459" ref="N441:T441">SUM(N442:N452)</f>
        <v>761180</v>
      </c>
      <c r="O441" s="74">
        <f t="shared" si="459"/>
        <v>35000</v>
      </c>
      <c r="P441" s="74">
        <f t="shared" si="459"/>
        <v>796180</v>
      </c>
      <c r="Q441" s="74">
        <f t="shared" si="459"/>
        <v>-21360</v>
      </c>
      <c r="R441" s="74">
        <f t="shared" si="459"/>
        <v>774820</v>
      </c>
      <c r="S441" s="74">
        <f t="shared" si="459"/>
        <v>0</v>
      </c>
      <c r="T441" s="74">
        <f t="shared" si="459"/>
        <v>774820</v>
      </c>
      <c r="U441" s="74">
        <f aca="true" t="shared" si="460" ref="U441:Z441">SUM(U442:U452)</f>
        <v>0</v>
      </c>
      <c r="V441" s="74">
        <f t="shared" si="460"/>
        <v>774820</v>
      </c>
      <c r="W441" s="74">
        <f t="shared" si="460"/>
        <v>2260</v>
      </c>
      <c r="X441" s="74">
        <f t="shared" si="460"/>
        <v>777080</v>
      </c>
      <c r="Y441" s="74">
        <f t="shared" si="460"/>
        <v>0</v>
      </c>
      <c r="Z441" s="74">
        <f t="shared" si="460"/>
        <v>777080</v>
      </c>
      <c r="AA441" s="74">
        <f aca="true" t="shared" si="461" ref="AA441:AF441">SUM(AA442:AA452)</f>
        <v>0</v>
      </c>
      <c r="AB441" s="74">
        <f t="shared" si="461"/>
        <v>777080</v>
      </c>
      <c r="AC441" s="74">
        <f t="shared" si="461"/>
        <v>0</v>
      </c>
      <c r="AD441" s="74">
        <f t="shared" si="461"/>
        <v>777080</v>
      </c>
      <c r="AE441" s="74">
        <f t="shared" si="461"/>
        <v>1215</v>
      </c>
      <c r="AF441" s="74">
        <f t="shared" si="461"/>
        <v>778295</v>
      </c>
      <c r="AG441" s="74">
        <f>SUM(AG442:AG452)</f>
        <v>4845</v>
      </c>
      <c r="AH441" s="74">
        <f>SUM(AH442:AH452)</f>
        <v>783140</v>
      </c>
    </row>
    <row r="442" spans="1:34" s="27" customFormat="1" ht="48">
      <c r="A442" s="58"/>
      <c r="B442" s="273"/>
      <c r="C442" s="58">
        <v>2320</v>
      </c>
      <c r="D442" s="14" t="s">
        <v>427</v>
      </c>
      <c r="E442" s="74"/>
      <c r="F442" s="74"/>
      <c r="G442" s="74"/>
      <c r="H442" s="74"/>
      <c r="I442" s="74"/>
      <c r="J442" s="74"/>
      <c r="K442" s="74"/>
      <c r="L442" s="74"/>
      <c r="M442" s="74"/>
      <c r="N442" s="74">
        <v>0</v>
      </c>
      <c r="O442" s="74">
        <f>2000+2000+3000</f>
        <v>7000</v>
      </c>
      <c r="P442" s="74">
        <f aca="true" t="shared" si="462" ref="P442:P452">SUM(N442:O442)</f>
        <v>7000</v>
      </c>
      <c r="Q442" s="74">
        <v>0</v>
      </c>
      <c r="R442" s="74">
        <f aca="true" t="shared" si="463" ref="R442:R452">SUM(P442:Q442)</f>
        <v>7000</v>
      </c>
      <c r="S442" s="74">
        <v>0</v>
      </c>
      <c r="T442" s="74">
        <f aca="true" t="shared" si="464" ref="T442:T452">SUM(R442:S442)</f>
        <v>7000</v>
      </c>
      <c r="U442" s="74">
        <v>0</v>
      </c>
      <c r="V442" s="74">
        <f aca="true" t="shared" si="465" ref="V442:V452">SUM(T442:U442)</f>
        <v>7000</v>
      </c>
      <c r="W442" s="74">
        <v>-3000</v>
      </c>
      <c r="X442" s="74">
        <f aca="true" t="shared" si="466" ref="X442:X452">SUM(V442:W442)</f>
        <v>4000</v>
      </c>
      <c r="Y442" s="74">
        <v>0</v>
      </c>
      <c r="Z442" s="74">
        <f aca="true" t="shared" si="467" ref="Z442:Z452">SUM(X442:Y442)</f>
        <v>4000</v>
      </c>
      <c r="AA442" s="74">
        <v>0</v>
      </c>
      <c r="AB442" s="74">
        <f aca="true" t="shared" si="468" ref="AB442:AB452">SUM(Z442:AA442)</f>
        <v>4000</v>
      </c>
      <c r="AC442" s="74">
        <v>0</v>
      </c>
      <c r="AD442" s="74">
        <f aca="true" t="shared" si="469" ref="AD442:AD452">SUM(AB442:AC442)</f>
        <v>4000</v>
      </c>
      <c r="AE442" s="74">
        <v>0</v>
      </c>
      <c r="AF442" s="74">
        <f aca="true" t="shared" si="470" ref="AF442:AF452">SUM(AD442:AE442)</f>
        <v>4000</v>
      </c>
      <c r="AG442" s="74">
        <v>0</v>
      </c>
      <c r="AH442" s="74">
        <f aca="true" t="shared" si="471" ref="AH442:AH452">SUM(AF442:AG442)</f>
        <v>4000</v>
      </c>
    </row>
    <row r="443" spans="1:34" s="27" customFormat="1" ht="36">
      <c r="A443" s="58"/>
      <c r="B443" s="273"/>
      <c r="C443" s="58">
        <v>2630</v>
      </c>
      <c r="D443" s="14" t="s">
        <v>558</v>
      </c>
      <c r="E443" s="74">
        <v>250000</v>
      </c>
      <c r="F443" s="74"/>
      <c r="G443" s="74"/>
      <c r="H443" s="74">
        <f>E443+F443-G443</f>
        <v>250000</v>
      </c>
      <c r="I443" s="74">
        <v>-247500</v>
      </c>
      <c r="J443" s="74">
        <f t="shared" si="389"/>
        <v>2500</v>
      </c>
      <c r="K443" s="74">
        <v>0</v>
      </c>
      <c r="L443" s="74">
        <f t="shared" si="390"/>
        <v>2500</v>
      </c>
      <c r="M443" s="74">
        <v>0</v>
      </c>
      <c r="N443" s="74">
        <f aca="true" t="shared" si="472" ref="N443:N452">SUM(L443:M443)</f>
        <v>2500</v>
      </c>
      <c r="O443" s="74">
        <v>-2000</v>
      </c>
      <c r="P443" s="74">
        <f t="shared" si="462"/>
        <v>500</v>
      </c>
      <c r="Q443" s="210">
        <v>70000</v>
      </c>
      <c r="R443" s="74">
        <f t="shared" si="463"/>
        <v>70500</v>
      </c>
      <c r="S443" s="138">
        <v>0</v>
      </c>
      <c r="T443" s="74">
        <f t="shared" si="464"/>
        <v>70500</v>
      </c>
      <c r="U443" s="138">
        <v>0</v>
      </c>
      <c r="V443" s="74">
        <f t="shared" si="465"/>
        <v>70500</v>
      </c>
      <c r="W443" s="138">
        <f>-4500-500-65500</f>
        <v>-70500</v>
      </c>
      <c r="X443" s="74">
        <f t="shared" si="466"/>
        <v>0</v>
      </c>
      <c r="Y443" s="138">
        <v>0</v>
      </c>
      <c r="Z443" s="74">
        <f t="shared" si="467"/>
        <v>0</v>
      </c>
      <c r="AA443" s="138">
        <v>0</v>
      </c>
      <c r="AB443" s="74">
        <f t="shared" si="468"/>
        <v>0</v>
      </c>
      <c r="AC443" s="138">
        <v>0</v>
      </c>
      <c r="AD443" s="74">
        <f t="shared" si="469"/>
        <v>0</v>
      </c>
      <c r="AE443" s="138">
        <v>0</v>
      </c>
      <c r="AF443" s="74">
        <f t="shared" si="470"/>
        <v>0</v>
      </c>
      <c r="AG443" s="138">
        <v>0</v>
      </c>
      <c r="AH443" s="74">
        <f t="shared" si="471"/>
        <v>0</v>
      </c>
    </row>
    <row r="444" spans="1:34" s="27" customFormat="1" ht="36">
      <c r="A444" s="58"/>
      <c r="B444" s="273"/>
      <c r="C444" s="58">
        <v>2820</v>
      </c>
      <c r="D444" s="14" t="s">
        <v>712</v>
      </c>
      <c r="E444" s="74"/>
      <c r="F444" s="74"/>
      <c r="G444" s="74"/>
      <c r="H444" s="74">
        <v>0</v>
      </c>
      <c r="I444" s="74">
        <f>131400+62000+4000+5000+3500+5000+2500+7000+14000+6000+1500+2000+3000</f>
        <v>246900</v>
      </c>
      <c r="J444" s="74">
        <f t="shared" si="389"/>
        <v>246900</v>
      </c>
      <c r="K444" s="74">
        <v>0</v>
      </c>
      <c r="L444" s="74">
        <f t="shared" si="390"/>
        <v>246900</v>
      </c>
      <c r="M444" s="74">
        <v>0</v>
      </c>
      <c r="N444" s="74">
        <f t="shared" si="472"/>
        <v>246900</v>
      </c>
      <c r="O444" s="74">
        <v>0</v>
      </c>
      <c r="P444" s="74">
        <f t="shared" si="462"/>
        <v>246900</v>
      </c>
      <c r="Q444" s="74">
        <v>0</v>
      </c>
      <c r="R444" s="74">
        <f t="shared" si="463"/>
        <v>246900</v>
      </c>
      <c r="S444" s="138">
        <v>0</v>
      </c>
      <c r="T444" s="74">
        <f t="shared" si="464"/>
        <v>246900</v>
      </c>
      <c r="U444" s="138">
        <v>0</v>
      </c>
      <c r="V444" s="74">
        <f t="shared" si="465"/>
        <v>246900</v>
      </c>
      <c r="W444" s="138">
        <v>65500</v>
      </c>
      <c r="X444" s="74">
        <f t="shared" si="466"/>
        <v>312400</v>
      </c>
      <c r="Y444" s="138">
        <v>0</v>
      </c>
      <c r="Z444" s="74">
        <f t="shared" si="467"/>
        <v>312400</v>
      </c>
      <c r="AA444" s="138">
        <v>0</v>
      </c>
      <c r="AB444" s="74">
        <f t="shared" si="468"/>
        <v>312400</v>
      </c>
      <c r="AC444" s="138">
        <v>0</v>
      </c>
      <c r="AD444" s="74">
        <f t="shared" si="469"/>
        <v>312400</v>
      </c>
      <c r="AE444" s="138">
        <v>0</v>
      </c>
      <c r="AF444" s="74">
        <f t="shared" si="470"/>
        <v>312400</v>
      </c>
      <c r="AG444" s="138">
        <v>0</v>
      </c>
      <c r="AH444" s="74">
        <f t="shared" si="471"/>
        <v>312400</v>
      </c>
    </row>
    <row r="445" spans="1:34" s="27" customFormat="1" ht="48">
      <c r="A445" s="58"/>
      <c r="B445" s="273"/>
      <c r="C445" s="58">
        <v>2830</v>
      </c>
      <c r="D445" s="14" t="s">
        <v>711</v>
      </c>
      <c r="E445" s="74"/>
      <c r="F445" s="74"/>
      <c r="G445" s="74"/>
      <c r="H445" s="74">
        <v>0</v>
      </c>
      <c r="I445" s="74">
        <v>600</v>
      </c>
      <c r="J445" s="74">
        <f t="shared" si="389"/>
        <v>600</v>
      </c>
      <c r="K445" s="74">
        <v>0</v>
      </c>
      <c r="L445" s="74">
        <f t="shared" si="390"/>
        <v>600</v>
      </c>
      <c r="M445" s="74">
        <v>0</v>
      </c>
      <c r="N445" s="74">
        <f t="shared" si="472"/>
        <v>600</v>
      </c>
      <c r="O445" s="74">
        <v>0</v>
      </c>
      <c r="P445" s="74">
        <f t="shared" si="462"/>
        <v>600</v>
      </c>
      <c r="Q445" s="74">
        <v>0</v>
      </c>
      <c r="R445" s="74">
        <f t="shared" si="463"/>
        <v>600</v>
      </c>
      <c r="S445" s="138">
        <v>0</v>
      </c>
      <c r="T445" s="74">
        <f t="shared" si="464"/>
        <v>600</v>
      </c>
      <c r="U445" s="138">
        <v>0</v>
      </c>
      <c r="V445" s="74">
        <f t="shared" si="465"/>
        <v>600</v>
      </c>
      <c r="W445" s="138">
        <v>0</v>
      </c>
      <c r="X445" s="74">
        <f t="shared" si="466"/>
        <v>600</v>
      </c>
      <c r="Y445" s="138">
        <v>0</v>
      </c>
      <c r="Z445" s="74">
        <f t="shared" si="467"/>
        <v>600</v>
      </c>
      <c r="AA445" s="138">
        <v>0</v>
      </c>
      <c r="AB445" s="74">
        <f t="shared" si="468"/>
        <v>600</v>
      </c>
      <c r="AC445" s="138">
        <v>0</v>
      </c>
      <c r="AD445" s="74">
        <f t="shared" si="469"/>
        <v>600</v>
      </c>
      <c r="AE445" s="138">
        <v>0</v>
      </c>
      <c r="AF445" s="74">
        <f t="shared" si="470"/>
        <v>600</v>
      </c>
      <c r="AG445" s="138">
        <v>0</v>
      </c>
      <c r="AH445" s="74">
        <f t="shared" si="471"/>
        <v>600</v>
      </c>
    </row>
    <row r="446" spans="1:36" s="27" customFormat="1" ht="20.25" customHeight="1">
      <c r="A446" s="58"/>
      <c r="B446" s="273"/>
      <c r="C446" s="58">
        <v>4110</v>
      </c>
      <c r="D446" s="14" t="s">
        <v>347</v>
      </c>
      <c r="E446" s="74"/>
      <c r="F446" s="74"/>
      <c r="G446" s="74"/>
      <c r="H446" s="74"/>
      <c r="I446" s="74"/>
      <c r="J446" s="74"/>
      <c r="K446" s="74"/>
      <c r="L446" s="74"/>
      <c r="M446" s="74"/>
      <c r="N446" s="74">
        <v>0</v>
      </c>
      <c r="O446" s="74">
        <f>20+20</f>
        <v>40</v>
      </c>
      <c r="P446" s="74">
        <f t="shared" si="462"/>
        <v>40</v>
      </c>
      <c r="Q446" s="74">
        <v>346</v>
      </c>
      <c r="R446" s="74">
        <f t="shared" si="463"/>
        <v>386</v>
      </c>
      <c r="S446" s="138">
        <v>0</v>
      </c>
      <c r="T446" s="74">
        <f t="shared" si="464"/>
        <v>386</v>
      </c>
      <c r="U446" s="138">
        <v>0</v>
      </c>
      <c r="V446" s="74">
        <f t="shared" si="465"/>
        <v>386</v>
      </c>
      <c r="W446" s="138">
        <v>120</v>
      </c>
      <c r="X446" s="74">
        <f t="shared" si="466"/>
        <v>506</v>
      </c>
      <c r="Y446" s="138">
        <v>0</v>
      </c>
      <c r="Z446" s="74">
        <f t="shared" si="467"/>
        <v>506</v>
      </c>
      <c r="AA446" s="138">
        <v>0</v>
      </c>
      <c r="AB446" s="74">
        <f t="shared" si="468"/>
        <v>506</v>
      </c>
      <c r="AC446" s="138">
        <v>0</v>
      </c>
      <c r="AD446" s="74">
        <f t="shared" si="469"/>
        <v>506</v>
      </c>
      <c r="AE446" s="138">
        <v>0</v>
      </c>
      <c r="AF446" s="74">
        <f t="shared" si="470"/>
        <v>506</v>
      </c>
      <c r="AG446" s="138">
        <v>0</v>
      </c>
      <c r="AH446" s="74">
        <f t="shared" si="471"/>
        <v>506</v>
      </c>
      <c r="AI446" s="119"/>
      <c r="AJ446" s="119"/>
    </row>
    <row r="447" spans="1:36" s="27" customFormat="1" ht="20.25" customHeight="1">
      <c r="A447" s="58"/>
      <c r="B447" s="273"/>
      <c r="C447" s="58">
        <v>4120</v>
      </c>
      <c r="D447" s="14" t="s">
        <v>348</v>
      </c>
      <c r="E447" s="74"/>
      <c r="F447" s="74"/>
      <c r="G447" s="74"/>
      <c r="H447" s="74"/>
      <c r="I447" s="74"/>
      <c r="J447" s="74"/>
      <c r="K447" s="74"/>
      <c r="L447" s="74"/>
      <c r="M447" s="74"/>
      <c r="N447" s="74"/>
      <c r="O447" s="74"/>
      <c r="P447" s="74">
        <v>0</v>
      </c>
      <c r="Q447" s="74">
        <v>49</v>
      </c>
      <c r="R447" s="74">
        <f t="shared" si="463"/>
        <v>49</v>
      </c>
      <c r="S447" s="138">
        <v>0</v>
      </c>
      <c r="T447" s="74">
        <f t="shared" si="464"/>
        <v>49</v>
      </c>
      <c r="U447" s="138">
        <v>0</v>
      </c>
      <c r="V447" s="74">
        <f t="shared" si="465"/>
        <v>49</v>
      </c>
      <c r="W447" s="138">
        <v>0</v>
      </c>
      <c r="X447" s="74">
        <f t="shared" si="466"/>
        <v>49</v>
      </c>
      <c r="Y447" s="138">
        <v>0</v>
      </c>
      <c r="Z447" s="74">
        <f t="shared" si="467"/>
        <v>49</v>
      </c>
      <c r="AA447" s="138">
        <v>0</v>
      </c>
      <c r="AB447" s="74">
        <f t="shared" si="468"/>
        <v>49</v>
      </c>
      <c r="AC447" s="138">
        <v>0</v>
      </c>
      <c r="AD447" s="74">
        <f t="shared" si="469"/>
        <v>49</v>
      </c>
      <c r="AE447" s="138">
        <v>0</v>
      </c>
      <c r="AF447" s="74">
        <f t="shared" si="470"/>
        <v>49</v>
      </c>
      <c r="AG447" s="138">
        <v>0</v>
      </c>
      <c r="AH447" s="74">
        <f t="shared" si="471"/>
        <v>49</v>
      </c>
      <c r="AI447" s="119"/>
      <c r="AJ447" s="119"/>
    </row>
    <row r="448" spans="1:36" s="27" customFormat="1" ht="21" customHeight="1">
      <c r="A448" s="58"/>
      <c r="B448" s="273"/>
      <c r="C448" s="58">
        <v>4170</v>
      </c>
      <c r="D448" s="14" t="s">
        <v>499</v>
      </c>
      <c r="E448" s="74">
        <f>20000+11000</f>
        <v>31000</v>
      </c>
      <c r="F448" s="74"/>
      <c r="G448" s="74"/>
      <c r="H448" s="74">
        <f>E448+F448-G448</f>
        <v>31000</v>
      </c>
      <c r="I448" s="74"/>
      <c r="J448" s="74">
        <f t="shared" si="389"/>
        <v>31000</v>
      </c>
      <c r="K448" s="74">
        <v>0</v>
      </c>
      <c r="L448" s="74">
        <f t="shared" si="390"/>
        <v>31000</v>
      </c>
      <c r="M448" s="74">
        <v>0</v>
      </c>
      <c r="N448" s="74">
        <f t="shared" si="472"/>
        <v>31000</v>
      </c>
      <c r="O448" s="74">
        <f>7980-2020</f>
        <v>5960</v>
      </c>
      <c r="P448" s="74">
        <f t="shared" si="462"/>
        <v>36960</v>
      </c>
      <c r="Q448" s="74">
        <f>-2100-346-49</f>
        <v>-2495</v>
      </c>
      <c r="R448" s="74">
        <f t="shared" si="463"/>
        <v>34465</v>
      </c>
      <c r="S448" s="138">
        <v>0</v>
      </c>
      <c r="T448" s="74">
        <f t="shared" si="464"/>
        <v>34465</v>
      </c>
      <c r="U448" s="138">
        <v>0</v>
      </c>
      <c r="V448" s="74">
        <f t="shared" si="465"/>
        <v>34465</v>
      </c>
      <c r="W448" s="74">
        <v>690</v>
      </c>
      <c r="X448" s="74">
        <f t="shared" si="466"/>
        <v>35155</v>
      </c>
      <c r="Y448" s="74">
        <v>0</v>
      </c>
      <c r="Z448" s="74">
        <f t="shared" si="467"/>
        <v>35155</v>
      </c>
      <c r="AA448" s="74">
        <v>0</v>
      </c>
      <c r="AB448" s="74">
        <f t="shared" si="468"/>
        <v>35155</v>
      </c>
      <c r="AC448" s="74">
        <v>0</v>
      </c>
      <c r="AD448" s="74">
        <f t="shared" si="469"/>
        <v>35155</v>
      </c>
      <c r="AE448" s="74">
        <v>0</v>
      </c>
      <c r="AF448" s="74">
        <f t="shared" si="470"/>
        <v>35155</v>
      </c>
      <c r="AG448" s="74">
        <v>0</v>
      </c>
      <c r="AH448" s="74">
        <f t="shared" si="471"/>
        <v>35155</v>
      </c>
      <c r="AI448" s="119"/>
      <c r="AJ448" s="119"/>
    </row>
    <row r="449" spans="1:34" s="27" customFormat="1" ht="21" customHeight="1">
      <c r="A449" s="58"/>
      <c r="B449" s="75"/>
      <c r="C449" s="76">
        <v>4210</v>
      </c>
      <c r="D449" s="14" t="s">
        <v>354</v>
      </c>
      <c r="E449" s="74">
        <f>7780+10000</f>
        <v>17780</v>
      </c>
      <c r="F449" s="74"/>
      <c r="G449" s="74"/>
      <c r="H449" s="74">
        <f>E449+F449-G449</f>
        <v>17780</v>
      </c>
      <c r="I449" s="74">
        <f>600</f>
        <v>600</v>
      </c>
      <c r="J449" s="74">
        <f t="shared" si="389"/>
        <v>18380</v>
      </c>
      <c r="K449" s="74">
        <v>0</v>
      </c>
      <c r="L449" s="74">
        <f t="shared" si="390"/>
        <v>18380</v>
      </c>
      <c r="M449" s="74">
        <v>0</v>
      </c>
      <c r="N449" s="74">
        <f t="shared" si="472"/>
        <v>18380</v>
      </c>
      <c r="O449" s="74">
        <f>2000-8000</f>
        <v>-6000</v>
      </c>
      <c r="P449" s="74">
        <f t="shared" si="462"/>
        <v>12380</v>
      </c>
      <c r="Q449" s="74">
        <v>0</v>
      </c>
      <c r="R449" s="74">
        <f t="shared" si="463"/>
        <v>12380</v>
      </c>
      <c r="S449" s="138">
        <v>0</v>
      </c>
      <c r="T449" s="74">
        <f t="shared" si="464"/>
        <v>12380</v>
      </c>
      <c r="U449" s="138">
        <v>0</v>
      </c>
      <c r="V449" s="74">
        <f t="shared" si="465"/>
        <v>12380</v>
      </c>
      <c r="W449" s="138">
        <v>0</v>
      </c>
      <c r="X449" s="74">
        <f t="shared" si="466"/>
        <v>12380</v>
      </c>
      <c r="Y449" s="138">
        <v>0</v>
      </c>
      <c r="Z449" s="74">
        <f t="shared" si="467"/>
        <v>12380</v>
      </c>
      <c r="AA449" s="138">
        <v>0</v>
      </c>
      <c r="AB449" s="74">
        <f t="shared" si="468"/>
        <v>12380</v>
      </c>
      <c r="AC449" s="138">
        <v>0</v>
      </c>
      <c r="AD449" s="74">
        <f t="shared" si="469"/>
        <v>12380</v>
      </c>
      <c r="AE449" s="138">
        <v>1665</v>
      </c>
      <c r="AF449" s="74">
        <f t="shared" si="470"/>
        <v>14045</v>
      </c>
      <c r="AG449" s="138">
        <f>-600+5165</f>
        <v>4565</v>
      </c>
      <c r="AH449" s="74">
        <f t="shared" si="471"/>
        <v>18610</v>
      </c>
    </row>
    <row r="450" spans="1:34" s="27" customFormat="1" ht="21" customHeight="1">
      <c r="A450" s="58"/>
      <c r="B450" s="75"/>
      <c r="C450" s="76">
        <v>4260</v>
      </c>
      <c r="D450" s="14" t="s">
        <v>357</v>
      </c>
      <c r="E450" s="74">
        <v>600</v>
      </c>
      <c r="F450" s="74"/>
      <c r="G450" s="74"/>
      <c r="H450" s="74">
        <f>E450+F450-G450</f>
        <v>600</v>
      </c>
      <c r="I450" s="74"/>
      <c r="J450" s="74">
        <f t="shared" si="389"/>
        <v>600</v>
      </c>
      <c r="K450" s="74">
        <v>0</v>
      </c>
      <c r="L450" s="74">
        <f t="shared" si="390"/>
        <v>600</v>
      </c>
      <c r="M450" s="74">
        <v>0</v>
      </c>
      <c r="N450" s="74">
        <f t="shared" si="472"/>
        <v>600</v>
      </c>
      <c r="O450" s="74">
        <v>0</v>
      </c>
      <c r="P450" s="74">
        <f t="shared" si="462"/>
        <v>600</v>
      </c>
      <c r="Q450" s="74">
        <v>0</v>
      </c>
      <c r="R450" s="74">
        <f t="shared" si="463"/>
        <v>600</v>
      </c>
      <c r="S450" s="138">
        <v>0</v>
      </c>
      <c r="T450" s="74">
        <f t="shared" si="464"/>
        <v>600</v>
      </c>
      <c r="U450" s="138">
        <v>0</v>
      </c>
      <c r="V450" s="74">
        <f t="shared" si="465"/>
        <v>600</v>
      </c>
      <c r="W450" s="138">
        <v>-100</v>
      </c>
      <c r="X450" s="74">
        <f t="shared" si="466"/>
        <v>500</v>
      </c>
      <c r="Y450" s="138">
        <v>0</v>
      </c>
      <c r="Z450" s="74">
        <f t="shared" si="467"/>
        <v>500</v>
      </c>
      <c r="AA450" s="138">
        <v>0</v>
      </c>
      <c r="AB450" s="74">
        <f t="shared" si="468"/>
        <v>500</v>
      </c>
      <c r="AC450" s="138">
        <v>0</v>
      </c>
      <c r="AD450" s="74">
        <f t="shared" si="469"/>
        <v>500</v>
      </c>
      <c r="AE450" s="138">
        <v>-150</v>
      </c>
      <c r="AF450" s="74">
        <f t="shared" si="470"/>
        <v>350</v>
      </c>
      <c r="AG450" s="138">
        <v>0</v>
      </c>
      <c r="AH450" s="74">
        <f t="shared" si="471"/>
        <v>350</v>
      </c>
    </row>
    <row r="451" spans="1:34" s="27" customFormat="1" ht="21" customHeight="1">
      <c r="A451" s="58"/>
      <c r="B451" s="75"/>
      <c r="C451" s="58">
        <v>4300</v>
      </c>
      <c r="D451" s="182" t="s">
        <v>340</v>
      </c>
      <c r="E451" s="74">
        <f>2200+10000+2000</f>
        <v>14200</v>
      </c>
      <c r="F451" s="74"/>
      <c r="G451" s="74"/>
      <c r="H451" s="74">
        <f>E451+F451-G451</f>
        <v>14200</v>
      </c>
      <c r="I451" s="74">
        <v>1200</v>
      </c>
      <c r="J451" s="74">
        <f t="shared" si="389"/>
        <v>15400</v>
      </c>
      <c r="K451" s="74">
        <v>-200</v>
      </c>
      <c r="L451" s="74">
        <f t="shared" si="390"/>
        <v>15200</v>
      </c>
      <c r="M451" s="74">
        <v>0</v>
      </c>
      <c r="N451" s="74">
        <f t="shared" si="472"/>
        <v>15200</v>
      </c>
      <c r="O451" s="74">
        <f>20000+10000</f>
        <v>30000</v>
      </c>
      <c r="P451" s="74">
        <f t="shared" si="462"/>
        <v>45200</v>
      </c>
      <c r="Q451" s="74">
        <v>0</v>
      </c>
      <c r="R451" s="74">
        <f t="shared" si="463"/>
        <v>45200</v>
      </c>
      <c r="S451" s="138">
        <v>0</v>
      </c>
      <c r="T451" s="74">
        <f t="shared" si="464"/>
        <v>45200</v>
      </c>
      <c r="U451" s="138">
        <v>0</v>
      </c>
      <c r="V451" s="74">
        <f t="shared" si="465"/>
        <v>45200</v>
      </c>
      <c r="W451" s="138">
        <f>-700+4190</f>
        <v>3490</v>
      </c>
      <c r="X451" s="74">
        <f t="shared" si="466"/>
        <v>48690</v>
      </c>
      <c r="Y451" s="138">
        <v>0</v>
      </c>
      <c r="Z451" s="74">
        <f t="shared" si="467"/>
        <v>48690</v>
      </c>
      <c r="AA451" s="138">
        <v>0</v>
      </c>
      <c r="AB451" s="74">
        <f t="shared" si="468"/>
        <v>48690</v>
      </c>
      <c r="AC451" s="138">
        <v>0</v>
      </c>
      <c r="AD451" s="74">
        <f t="shared" si="469"/>
        <v>48690</v>
      </c>
      <c r="AE451" s="138">
        <v>-300</v>
      </c>
      <c r="AF451" s="74">
        <f t="shared" si="470"/>
        <v>48390</v>
      </c>
      <c r="AG451" s="138">
        <f>600-320</f>
        <v>280</v>
      </c>
      <c r="AH451" s="74">
        <f t="shared" si="471"/>
        <v>48670</v>
      </c>
    </row>
    <row r="452" spans="1:38" s="27" customFormat="1" ht="27" customHeight="1">
      <c r="A452" s="58"/>
      <c r="B452" s="76"/>
      <c r="C452" s="58">
        <v>6050</v>
      </c>
      <c r="D452" s="14" t="s">
        <v>334</v>
      </c>
      <c r="E452" s="74"/>
      <c r="F452" s="74"/>
      <c r="G452" s="74"/>
      <c r="H452" s="74">
        <v>0</v>
      </c>
      <c r="I452" s="74">
        <f>260000+175000</f>
        <v>435000</v>
      </c>
      <c r="J452" s="74">
        <f t="shared" si="389"/>
        <v>435000</v>
      </c>
      <c r="K452" s="74">
        <v>11000</v>
      </c>
      <c r="L452" s="74">
        <f t="shared" si="390"/>
        <v>446000</v>
      </c>
      <c r="M452" s="74">
        <v>0</v>
      </c>
      <c r="N452" s="74">
        <f t="shared" si="472"/>
        <v>446000</v>
      </c>
      <c r="O452" s="74">
        <v>0</v>
      </c>
      <c r="P452" s="74">
        <f t="shared" si="462"/>
        <v>446000</v>
      </c>
      <c r="Q452" s="210">
        <f>-239260+150000</f>
        <v>-89260</v>
      </c>
      <c r="R452" s="74">
        <f t="shared" si="463"/>
        <v>356740</v>
      </c>
      <c r="S452" s="138">
        <v>0</v>
      </c>
      <c r="T452" s="74">
        <f t="shared" si="464"/>
        <v>356740</v>
      </c>
      <c r="U452" s="138">
        <v>0</v>
      </c>
      <c r="V452" s="74">
        <f t="shared" si="465"/>
        <v>356740</v>
      </c>
      <c r="W452" s="138">
        <f>6060</f>
        <v>6060</v>
      </c>
      <c r="X452" s="74">
        <f t="shared" si="466"/>
        <v>362800</v>
      </c>
      <c r="Y452" s="138">
        <v>0</v>
      </c>
      <c r="Z452" s="74">
        <f t="shared" si="467"/>
        <v>362800</v>
      </c>
      <c r="AA452" s="138">
        <v>0</v>
      </c>
      <c r="AB452" s="74">
        <f t="shared" si="468"/>
        <v>362800</v>
      </c>
      <c r="AC452" s="138">
        <v>0</v>
      </c>
      <c r="AD452" s="74">
        <f t="shared" si="469"/>
        <v>362800</v>
      </c>
      <c r="AE452" s="138">
        <v>0</v>
      </c>
      <c r="AF452" s="74">
        <f t="shared" si="470"/>
        <v>362800</v>
      </c>
      <c r="AG452" s="138">
        <v>0</v>
      </c>
      <c r="AH452" s="74">
        <f t="shared" si="471"/>
        <v>362800</v>
      </c>
      <c r="AK452" s="119"/>
      <c r="AL452" s="119"/>
    </row>
    <row r="453" spans="1:34" s="8" customFormat="1" ht="24.75" customHeight="1">
      <c r="A453" s="10"/>
      <c r="B453" s="10"/>
      <c r="C453" s="10"/>
      <c r="D453" s="5" t="s">
        <v>329</v>
      </c>
      <c r="E453" s="271">
        <f>SUM(E434,E420,E393,E356,E292,E274,E184,E181,E178,E168,E131,E116,E58,E51,E32,E20,E9,)</f>
        <v>46618116</v>
      </c>
      <c r="F453" s="271">
        <f>SUM(F434,F420,F393,F356,F292,F274,F184,F181,F178,F168,F131,F116,F58,F51,F32,F20,F9,)</f>
        <v>1762700</v>
      </c>
      <c r="G453" s="271">
        <f>SUM(G434,G420,G393,G356,G292,G274,G184,G181,G178,G168,G131,G116,G58,G51,G32,G20,G9,)</f>
        <v>1761800</v>
      </c>
      <c r="H453" s="271">
        <f>E453+F453-G453</f>
        <v>46619016</v>
      </c>
      <c r="I453" s="271">
        <f aca="true" t="shared" si="473" ref="I453:O453">SUM(I434,I420,I393,I356,I292,I274,I184,I181,I178,I168,I131,I116,I58,I51,I32,I20,I9,)</f>
        <v>350197</v>
      </c>
      <c r="J453" s="271">
        <f t="shared" si="473"/>
        <v>46977213</v>
      </c>
      <c r="K453" s="271">
        <f t="shared" si="473"/>
        <v>908807</v>
      </c>
      <c r="L453" s="271">
        <f t="shared" si="473"/>
        <v>47886020</v>
      </c>
      <c r="M453" s="271">
        <f t="shared" si="473"/>
        <v>366151</v>
      </c>
      <c r="N453" s="271">
        <f t="shared" si="473"/>
        <v>48252171</v>
      </c>
      <c r="O453" s="271">
        <f t="shared" si="473"/>
        <v>57057</v>
      </c>
      <c r="P453" s="271">
        <f aca="true" t="shared" si="474" ref="P453:AB453">SUM(P434,P420,P393,P356,P292,P274,P184,P181,P178,P168,P131,P116,P58,P51,P32,P20,P9,P353)</f>
        <v>48309228</v>
      </c>
      <c r="Q453" s="271">
        <f t="shared" si="474"/>
        <v>2655473</v>
      </c>
      <c r="R453" s="271">
        <f t="shared" si="474"/>
        <v>50964701</v>
      </c>
      <c r="S453" s="271">
        <f t="shared" si="474"/>
        <v>40107</v>
      </c>
      <c r="T453" s="271">
        <f t="shared" si="474"/>
        <v>51004808</v>
      </c>
      <c r="U453" s="271">
        <f t="shared" si="474"/>
        <v>13917</v>
      </c>
      <c r="V453" s="271">
        <f t="shared" si="474"/>
        <v>51018725</v>
      </c>
      <c r="W453" s="271">
        <f t="shared" si="474"/>
        <v>619425</v>
      </c>
      <c r="X453" s="271">
        <f t="shared" si="474"/>
        <v>51638150</v>
      </c>
      <c r="Y453" s="271">
        <f t="shared" si="474"/>
        <v>-149787</v>
      </c>
      <c r="Z453" s="271">
        <f t="shared" si="474"/>
        <v>51488363</v>
      </c>
      <c r="AA453" s="271">
        <f t="shared" si="474"/>
        <v>274287</v>
      </c>
      <c r="AB453" s="271">
        <f t="shared" si="474"/>
        <v>51762650</v>
      </c>
      <c r="AC453" s="271">
        <f aca="true" t="shared" si="475" ref="AC453:AH453">SUM(AC434,AC420,AC393,AC356,AC292,AC274,AC184,AC181,AC178,AC168,AC131,AC116,AC58,AC51,AC32,AC20,AC9,AC353)</f>
        <v>168640</v>
      </c>
      <c r="AD453" s="271">
        <f t="shared" si="475"/>
        <v>51931290</v>
      </c>
      <c r="AE453" s="271">
        <f t="shared" si="475"/>
        <v>261219</v>
      </c>
      <c r="AF453" s="271">
        <f t="shared" si="475"/>
        <v>52192509</v>
      </c>
      <c r="AG453" s="271">
        <f t="shared" si="475"/>
        <v>-464842</v>
      </c>
      <c r="AH453" s="271">
        <f t="shared" si="475"/>
        <v>51727667</v>
      </c>
    </row>
    <row r="454" spans="1:34" s="24" customFormat="1" ht="12.75">
      <c r="A454" s="26"/>
      <c r="B454" s="26"/>
      <c r="C454" s="26"/>
      <c r="D454" s="26"/>
      <c r="E454" s="25"/>
      <c r="F454" s="25"/>
      <c r="G454" s="25"/>
      <c r="H454" s="25"/>
      <c r="I454" s="25"/>
      <c r="J454" s="25"/>
      <c r="K454" s="113"/>
      <c r="L454" s="25"/>
      <c r="M454" s="113"/>
      <c r="N454" s="25"/>
      <c r="O454" s="113"/>
      <c r="P454" s="25"/>
      <c r="Q454" s="25">
        <v>-239260</v>
      </c>
      <c r="R454" s="25" t="s">
        <v>168</v>
      </c>
      <c r="S454" s="25"/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96"/>
      <c r="AH454" s="25"/>
    </row>
    <row r="455" spans="1:34" s="24" customFormat="1" ht="12.75">
      <c r="A455" s="26"/>
      <c r="B455" s="26"/>
      <c r="C455" s="26"/>
      <c r="D455" s="26"/>
      <c r="E455" s="25"/>
      <c r="F455" s="25"/>
      <c r="G455" s="25"/>
      <c r="H455" s="25"/>
      <c r="I455" s="25"/>
      <c r="J455" s="25"/>
      <c r="K455" s="113"/>
      <c r="L455" s="25"/>
      <c r="M455" s="113"/>
      <c r="N455" s="25"/>
      <c r="O455" s="113"/>
      <c r="P455" s="25"/>
      <c r="Q455" s="25">
        <v>-31213</v>
      </c>
      <c r="R455" s="25" t="s">
        <v>169</v>
      </c>
      <c r="S455" s="25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96"/>
      <c r="AH455" s="25"/>
    </row>
    <row r="456" spans="1:34" s="24" customFormat="1" ht="12.75">
      <c r="A456" s="26"/>
      <c r="B456" s="26"/>
      <c r="C456" s="26"/>
      <c r="D456" s="26"/>
      <c r="E456" s="25"/>
      <c r="F456" s="25"/>
      <c r="G456" s="25"/>
      <c r="H456" s="25"/>
      <c r="I456" s="25"/>
      <c r="J456" s="25"/>
      <c r="K456" s="113"/>
      <c r="L456" s="25"/>
      <c r="M456" s="113"/>
      <c r="N456" s="25"/>
      <c r="O456" s="113"/>
      <c r="P456" s="25"/>
      <c r="Q456" s="25">
        <v>250000</v>
      </c>
      <c r="R456" s="25" t="s">
        <v>166</v>
      </c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96"/>
      <c r="AH456" s="25"/>
    </row>
    <row r="457" spans="1:34" s="24" customFormat="1" ht="12.75">
      <c r="A457" s="26"/>
      <c r="B457" s="26"/>
      <c r="C457" s="26"/>
      <c r="D457" s="26"/>
      <c r="E457" s="25"/>
      <c r="F457" s="25"/>
      <c r="G457" s="25"/>
      <c r="H457" s="25"/>
      <c r="I457" s="25"/>
      <c r="J457" s="25"/>
      <c r="K457" s="113"/>
      <c r="L457" s="25"/>
      <c r="M457" s="113"/>
      <c r="N457" s="25"/>
      <c r="O457" s="113"/>
      <c r="P457" s="25"/>
      <c r="Q457" s="25"/>
      <c r="R457" s="25" t="s">
        <v>166</v>
      </c>
      <c r="S457" s="25"/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96"/>
      <c r="AH457" s="25"/>
    </row>
    <row r="458" spans="1:34" s="24" customFormat="1" ht="12.75">
      <c r="A458" s="26"/>
      <c r="B458" s="26"/>
      <c r="C458" s="26"/>
      <c r="D458" s="26"/>
      <c r="E458" s="25"/>
      <c r="F458" s="25"/>
      <c r="G458" s="25"/>
      <c r="H458" s="25"/>
      <c r="I458" s="25"/>
      <c r="J458" s="25"/>
      <c r="K458" s="113"/>
      <c r="L458" s="25"/>
      <c r="M458" s="113"/>
      <c r="N458" s="25"/>
      <c r="O458" s="113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96"/>
      <c r="AH458" s="25"/>
    </row>
    <row r="459" spans="1:34" s="24" customFormat="1" ht="12.75">
      <c r="A459" s="26"/>
      <c r="B459" s="26"/>
      <c r="C459" s="26"/>
      <c r="D459" s="26"/>
      <c r="E459" s="25"/>
      <c r="F459" s="25"/>
      <c r="G459" s="25"/>
      <c r="H459" s="25"/>
      <c r="I459" s="25"/>
      <c r="J459" s="25"/>
      <c r="K459" s="113"/>
      <c r="L459" s="25"/>
      <c r="M459" s="113"/>
      <c r="N459" s="25"/>
      <c r="O459" s="113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96"/>
      <c r="AH459" s="25"/>
    </row>
    <row r="460" spans="1:34" s="24" customFormat="1" ht="12.75">
      <c r="A460" s="26"/>
      <c r="B460" s="26"/>
      <c r="C460" s="26"/>
      <c r="D460" s="26"/>
      <c r="E460" s="25"/>
      <c r="F460" s="25"/>
      <c r="G460" s="25"/>
      <c r="H460" s="25"/>
      <c r="I460" s="25"/>
      <c r="J460" s="25"/>
      <c r="K460" s="113"/>
      <c r="L460" s="25"/>
      <c r="M460" s="113"/>
      <c r="N460" s="25"/>
      <c r="O460" s="113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96"/>
      <c r="AH460" s="25"/>
    </row>
    <row r="461" spans="1:34" s="24" customFormat="1" ht="12.75">
      <c r="A461" s="26"/>
      <c r="B461" s="26"/>
      <c r="C461" s="26"/>
      <c r="D461" s="26"/>
      <c r="E461" s="25"/>
      <c r="F461" s="25"/>
      <c r="G461" s="25"/>
      <c r="H461" s="25"/>
      <c r="I461" s="25"/>
      <c r="J461" s="25"/>
      <c r="K461" s="113"/>
      <c r="L461" s="25"/>
      <c r="M461" s="113"/>
      <c r="N461" s="25"/>
      <c r="O461" s="113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96"/>
      <c r="AH461" s="25"/>
    </row>
    <row r="462" spans="1:34" s="24" customFormat="1" ht="12.75">
      <c r="A462" s="26"/>
      <c r="B462" s="26"/>
      <c r="C462" s="26"/>
      <c r="D462" s="26"/>
      <c r="E462" s="25"/>
      <c r="F462" s="25"/>
      <c r="G462" s="25"/>
      <c r="H462" s="25"/>
      <c r="I462" s="25"/>
      <c r="J462" s="25"/>
      <c r="K462" s="113"/>
      <c r="L462" s="25"/>
      <c r="M462" s="113"/>
      <c r="N462" s="25"/>
      <c r="O462" s="113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96"/>
      <c r="AH462" s="25"/>
    </row>
    <row r="463" spans="1:34" s="24" customFormat="1" ht="12.75">
      <c r="A463" s="26"/>
      <c r="B463" s="26"/>
      <c r="C463" s="26"/>
      <c r="D463" s="26"/>
      <c r="E463" s="25"/>
      <c r="F463" s="25"/>
      <c r="G463" s="25"/>
      <c r="H463" s="25"/>
      <c r="I463" s="25"/>
      <c r="J463" s="25"/>
      <c r="K463" s="113"/>
      <c r="L463" s="25"/>
      <c r="M463" s="113"/>
      <c r="N463" s="25"/>
      <c r="O463" s="113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96"/>
      <c r="AH463" s="25"/>
    </row>
    <row r="464" spans="1:34" s="24" customFormat="1" ht="12.75">
      <c r="A464" s="26"/>
      <c r="B464" s="26"/>
      <c r="C464" s="26"/>
      <c r="D464" s="26"/>
      <c r="E464" s="25"/>
      <c r="F464" s="25"/>
      <c r="G464" s="25"/>
      <c r="H464" s="25"/>
      <c r="I464" s="25"/>
      <c r="J464" s="25"/>
      <c r="K464" s="113"/>
      <c r="L464" s="25"/>
      <c r="M464" s="113"/>
      <c r="N464" s="25"/>
      <c r="O464" s="113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96"/>
      <c r="AH464" s="25"/>
    </row>
    <row r="465" spans="1:34" s="24" customFormat="1" ht="12.75">
      <c r="A465" s="26"/>
      <c r="B465" s="26"/>
      <c r="C465" s="26"/>
      <c r="D465" s="26"/>
      <c r="E465" s="25"/>
      <c r="F465" s="25"/>
      <c r="G465" s="25"/>
      <c r="H465" s="25"/>
      <c r="I465" s="25"/>
      <c r="J465" s="25"/>
      <c r="K465" s="113"/>
      <c r="L465" s="25"/>
      <c r="M465" s="113"/>
      <c r="N465" s="25"/>
      <c r="O465" s="113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96"/>
      <c r="AH465" s="25"/>
    </row>
    <row r="466" spans="1:34" s="24" customFormat="1" ht="12.75">
      <c r="A466" s="26"/>
      <c r="B466" s="26"/>
      <c r="C466" s="26"/>
      <c r="D466" s="26"/>
      <c r="E466" s="25"/>
      <c r="F466" s="25"/>
      <c r="G466" s="25"/>
      <c r="H466" s="25"/>
      <c r="I466" s="25"/>
      <c r="J466" s="25"/>
      <c r="K466" s="113"/>
      <c r="L466" s="25"/>
      <c r="M466" s="113"/>
      <c r="N466" s="25"/>
      <c r="O466" s="113"/>
      <c r="P466" s="25"/>
      <c r="Q466" s="25">
        <v>202000</v>
      </c>
      <c r="R466" s="25" t="s">
        <v>139</v>
      </c>
      <c r="S466" s="25"/>
      <c r="T466" s="25"/>
      <c r="U466" s="25"/>
      <c r="V466" s="113">
        <f>SUM(V458:V465)</f>
        <v>0</v>
      </c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96"/>
      <c r="AH466" s="25"/>
    </row>
    <row r="467" spans="1:34" s="24" customFormat="1" ht="12.75">
      <c r="A467" s="26"/>
      <c r="B467" s="26"/>
      <c r="C467" s="26"/>
      <c r="D467" s="26"/>
      <c r="E467" s="25"/>
      <c r="F467" s="25"/>
      <c r="G467" s="25"/>
      <c r="H467" s="25"/>
      <c r="I467" s="25"/>
      <c r="J467" s="25"/>
      <c r="K467" s="113"/>
      <c r="L467" s="25"/>
      <c r="M467" s="113"/>
      <c r="N467" s="25"/>
      <c r="O467" s="113"/>
      <c r="P467" s="25"/>
      <c r="Q467" s="25">
        <v>7851</v>
      </c>
      <c r="R467" s="25" t="s">
        <v>173</v>
      </c>
      <c r="S467" s="25"/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96"/>
      <c r="AH467" s="25"/>
    </row>
    <row r="468" spans="1:34" s="24" customFormat="1" ht="12.75">
      <c r="A468" s="26"/>
      <c r="B468" s="26"/>
      <c r="C468" s="26"/>
      <c r="D468" s="26"/>
      <c r="E468" s="25"/>
      <c r="F468" s="25"/>
      <c r="G468" s="25"/>
      <c r="H468" s="25"/>
      <c r="I468" s="25"/>
      <c r="J468" s="25"/>
      <c r="K468" s="113"/>
      <c r="L468" s="25"/>
      <c r="M468" s="113"/>
      <c r="N468" s="25"/>
      <c r="O468" s="113"/>
      <c r="P468" s="25"/>
      <c r="Q468" s="25">
        <v>578</v>
      </c>
      <c r="R468" s="25" t="s">
        <v>46</v>
      </c>
      <c r="S468" s="25"/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96"/>
      <c r="AH468" s="25"/>
    </row>
    <row r="469" spans="1:34" s="24" customFormat="1" ht="12.75">
      <c r="A469" s="26"/>
      <c r="B469" s="26"/>
      <c r="C469" s="26"/>
      <c r="D469" s="26"/>
      <c r="E469" s="25"/>
      <c r="F469" s="25"/>
      <c r="G469" s="25"/>
      <c r="H469" s="25"/>
      <c r="I469" s="25"/>
      <c r="J469" s="25"/>
      <c r="K469" s="113"/>
      <c r="L469" s="25"/>
      <c r="M469" s="113"/>
      <c r="N469" s="25"/>
      <c r="O469" s="113"/>
      <c r="P469" s="25"/>
      <c r="Q469" s="25">
        <v>86839</v>
      </c>
      <c r="R469" s="25" t="s">
        <v>174</v>
      </c>
      <c r="S469" s="25"/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96"/>
      <c r="AH469" s="25"/>
    </row>
    <row r="470" spans="1:34" s="24" customFormat="1" ht="12.75">
      <c r="A470" s="26"/>
      <c r="B470" s="26"/>
      <c r="C470" s="26"/>
      <c r="D470" s="26"/>
      <c r="E470" s="25"/>
      <c r="F470" s="25"/>
      <c r="G470" s="25"/>
      <c r="H470" s="25"/>
      <c r="I470" s="25"/>
      <c r="J470" s="25"/>
      <c r="K470" s="113"/>
      <c r="L470" s="25"/>
      <c r="M470" s="113"/>
      <c r="N470" s="25"/>
      <c r="O470" s="113"/>
      <c r="P470" s="25"/>
      <c r="Q470" s="25">
        <v>85000</v>
      </c>
      <c r="R470" s="25" t="s">
        <v>159</v>
      </c>
      <c r="S470" s="25"/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96"/>
      <c r="AH470" s="25"/>
    </row>
    <row r="471" spans="1:34" s="24" customFormat="1" ht="12.75">
      <c r="A471" s="26"/>
      <c r="B471" s="26"/>
      <c r="C471" s="26"/>
      <c r="D471" s="26"/>
      <c r="E471" s="25"/>
      <c r="F471" s="25"/>
      <c r="G471" s="25"/>
      <c r="H471" s="25"/>
      <c r="I471" s="25"/>
      <c r="J471" s="25"/>
      <c r="K471" s="113"/>
      <c r="L471" s="25"/>
      <c r="M471" s="113"/>
      <c r="N471" s="25"/>
      <c r="O471" s="113"/>
      <c r="P471" s="25"/>
      <c r="Q471" s="25"/>
      <c r="R471" s="25" t="s">
        <v>190</v>
      </c>
      <c r="S471" s="25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96"/>
      <c r="AH471" s="25"/>
    </row>
    <row r="472" spans="1:34" s="24" customFormat="1" ht="12.75">
      <c r="A472" s="26"/>
      <c r="B472" s="26"/>
      <c r="C472" s="26"/>
      <c r="D472" s="26"/>
      <c r="E472" s="25"/>
      <c r="F472" s="25"/>
      <c r="G472" s="25"/>
      <c r="H472" s="25"/>
      <c r="I472" s="25"/>
      <c r="J472" s="25"/>
      <c r="K472" s="113"/>
      <c r="L472" s="25"/>
      <c r="M472" s="113"/>
      <c r="N472" s="25"/>
      <c r="O472" s="113"/>
      <c r="P472" s="25"/>
      <c r="Q472" s="25"/>
      <c r="R472" s="25" t="s">
        <v>190</v>
      </c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96"/>
      <c r="AH472" s="25"/>
    </row>
    <row r="473" spans="1:34" s="24" customFormat="1" ht="12.75">
      <c r="A473" s="26"/>
      <c r="B473" s="26"/>
      <c r="C473" s="26"/>
      <c r="D473" s="26"/>
      <c r="E473" s="25"/>
      <c r="F473" s="25"/>
      <c r="G473" s="25"/>
      <c r="H473" s="25"/>
      <c r="I473" s="25"/>
      <c r="J473" s="25"/>
      <c r="K473" s="113"/>
      <c r="L473" s="25"/>
      <c r="M473" s="113"/>
      <c r="N473" s="25"/>
      <c r="O473" s="113"/>
      <c r="P473" s="25"/>
      <c r="Q473" s="25"/>
      <c r="R473" s="25" t="s">
        <v>221</v>
      </c>
      <c r="S473" s="25"/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96"/>
      <c r="AH473" s="25"/>
    </row>
    <row r="474" spans="1:34" s="24" customFormat="1" ht="12.75">
      <c r="A474" s="26"/>
      <c r="B474" s="26"/>
      <c r="C474" s="26"/>
      <c r="D474" s="26"/>
      <c r="E474" s="25"/>
      <c r="F474" s="25"/>
      <c r="G474" s="25"/>
      <c r="H474" s="25"/>
      <c r="I474" s="25"/>
      <c r="J474" s="25"/>
      <c r="K474" s="113"/>
      <c r="L474" s="25"/>
      <c r="M474" s="113"/>
      <c r="N474" s="25"/>
      <c r="O474" s="113"/>
      <c r="P474" s="25"/>
      <c r="Q474" s="25"/>
      <c r="R474" s="25" t="s">
        <v>222</v>
      </c>
      <c r="S474" s="25"/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96"/>
      <c r="AH474" s="25"/>
    </row>
    <row r="475" spans="1:34" s="24" customFormat="1" ht="12.75">
      <c r="A475" s="26"/>
      <c r="B475" s="26"/>
      <c r="C475" s="26"/>
      <c r="D475" s="26"/>
      <c r="E475" s="25"/>
      <c r="F475" s="25"/>
      <c r="G475" s="25"/>
      <c r="H475" s="25"/>
      <c r="I475" s="25"/>
      <c r="J475" s="25"/>
      <c r="K475" s="113"/>
      <c r="L475" s="25"/>
      <c r="M475" s="113"/>
      <c r="N475" s="25"/>
      <c r="O475" s="113"/>
      <c r="P475" s="25"/>
      <c r="Q475" s="25"/>
      <c r="R475" s="25" t="s">
        <v>223</v>
      </c>
      <c r="S475" s="25"/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96"/>
      <c r="AH475" s="25"/>
    </row>
    <row r="476" spans="1:34" s="24" customFormat="1" ht="12.75">
      <c r="A476" s="26"/>
      <c r="B476" s="26"/>
      <c r="C476" s="26"/>
      <c r="D476" s="26"/>
      <c r="E476" s="25"/>
      <c r="F476" s="25"/>
      <c r="G476" s="25"/>
      <c r="H476" s="25"/>
      <c r="I476" s="25"/>
      <c r="J476" s="25"/>
      <c r="K476" s="113"/>
      <c r="L476" s="25"/>
      <c r="M476" s="113"/>
      <c r="N476" s="25"/>
      <c r="O476" s="113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96"/>
      <c r="AH476" s="25"/>
    </row>
    <row r="477" spans="1:34" s="24" customFormat="1" ht="12.75">
      <c r="A477" s="26"/>
      <c r="B477" s="26"/>
      <c r="C477" s="26"/>
      <c r="D477" s="26"/>
      <c r="E477" s="25"/>
      <c r="F477" s="25"/>
      <c r="G477" s="25"/>
      <c r="H477" s="25"/>
      <c r="I477" s="25"/>
      <c r="J477" s="25"/>
      <c r="K477" s="113"/>
      <c r="L477" s="25"/>
      <c r="M477" s="113"/>
      <c r="N477" s="25"/>
      <c r="O477" s="113"/>
      <c r="P477" s="25"/>
      <c r="Q477" s="113">
        <f>SUM(Q454:Q476)</f>
        <v>361795</v>
      </c>
      <c r="R477" s="25">
        <v>1209460</v>
      </c>
      <c r="S477" s="113"/>
      <c r="T477" s="25"/>
      <c r="U477" s="113"/>
      <c r="V477" s="25"/>
      <c r="W477" s="113"/>
      <c r="X477" s="25"/>
      <c r="Y477" s="113"/>
      <c r="Z477" s="25"/>
      <c r="AA477" s="113"/>
      <c r="AB477" s="25"/>
      <c r="AC477" s="113"/>
      <c r="AD477" s="25"/>
      <c r="AE477" s="113"/>
      <c r="AF477" s="25"/>
      <c r="AG477" s="194"/>
      <c r="AH477" s="25"/>
    </row>
    <row r="478" spans="1:34" s="24" customFormat="1" ht="12.75">
      <c r="A478" s="26"/>
      <c r="B478" s="26"/>
      <c r="C478" s="26"/>
      <c r="D478" s="26"/>
      <c r="E478" s="25"/>
      <c r="F478" s="25"/>
      <c r="G478" s="25"/>
      <c r="H478" s="25"/>
      <c r="I478" s="25"/>
      <c r="J478" s="25"/>
      <c r="K478" s="113"/>
      <c r="L478" s="25"/>
      <c r="M478" s="113"/>
      <c r="N478" s="25"/>
      <c r="O478" s="113">
        <v>57</v>
      </c>
      <c r="P478" s="25" t="s">
        <v>127</v>
      </c>
      <c r="Q478" s="113" t="e">
        <f>SUM(#REF!)</f>
        <v>#REF!</v>
      </c>
      <c r="R478" s="25"/>
      <c r="S478" s="113"/>
      <c r="T478" s="25"/>
      <c r="U478" s="113"/>
      <c r="V478" s="25"/>
      <c r="W478" s="113"/>
      <c r="X478" s="25"/>
      <c r="Y478" s="113"/>
      <c r="Z478" s="25"/>
      <c r="AA478" s="113"/>
      <c r="AB478" s="25"/>
      <c r="AC478" s="113"/>
      <c r="AD478" s="25"/>
      <c r="AE478" s="113"/>
      <c r="AF478" s="25"/>
      <c r="AG478" s="194"/>
      <c r="AH478" s="25"/>
    </row>
    <row r="479" spans="1:34" s="24" customFormat="1" ht="12.75">
      <c r="A479" s="26"/>
      <c r="B479" s="26"/>
      <c r="C479" s="26"/>
      <c r="D479" s="26"/>
      <c r="E479" s="25"/>
      <c r="F479" s="25"/>
      <c r="G479" s="25"/>
      <c r="H479" s="25"/>
      <c r="I479" s="25"/>
      <c r="J479" s="25"/>
      <c r="K479" s="113"/>
      <c r="L479" s="25"/>
      <c r="M479" s="113"/>
      <c r="N479" s="25"/>
      <c r="O479" s="25">
        <v>30000</v>
      </c>
      <c r="P479" s="25" t="s">
        <v>131</v>
      </c>
      <c r="Q479" s="25">
        <v>-120660</v>
      </c>
      <c r="R479" s="25"/>
      <c r="S479" s="25"/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96"/>
      <c r="AH479" s="25"/>
    </row>
    <row r="480" spans="1:34" s="24" customFormat="1" ht="12.75">
      <c r="A480" s="26"/>
      <c r="B480" s="26"/>
      <c r="C480" s="26"/>
      <c r="D480" s="26"/>
      <c r="E480" s="25"/>
      <c r="F480" s="25"/>
      <c r="G480" s="25"/>
      <c r="H480" s="25"/>
      <c r="I480" s="25"/>
      <c r="J480" s="25"/>
      <c r="K480" s="113"/>
      <c r="L480" s="25"/>
      <c r="M480" s="113"/>
      <c r="N480" s="25"/>
      <c r="O480" s="113">
        <v>14000</v>
      </c>
      <c r="P480" s="25" t="s">
        <v>139</v>
      </c>
      <c r="Q480" s="113" t="e">
        <f>SUM(Q478:Q479)</f>
        <v>#REF!</v>
      </c>
      <c r="R480" s="25"/>
      <c r="S480" s="113"/>
      <c r="T480" s="25"/>
      <c r="U480" s="113"/>
      <c r="V480" s="25"/>
      <c r="W480" s="113"/>
      <c r="X480" s="25"/>
      <c r="Y480" s="113"/>
      <c r="Z480" s="25"/>
      <c r="AA480" s="113"/>
      <c r="AB480" s="25"/>
      <c r="AC480" s="113"/>
      <c r="AD480" s="25"/>
      <c r="AE480" s="113"/>
      <c r="AF480" s="25"/>
      <c r="AG480" s="194"/>
      <c r="AH480" s="25"/>
    </row>
    <row r="481" spans="1:34" s="24" customFormat="1" ht="12.75">
      <c r="A481" s="26"/>
      <c r="B481" s="26"/>
      <c r="C481" s="26"/>
      <c r="D481" s="26"/>
      <c r="E481" s="25"/>
      <c r="F481" s="25"/>
      <c r="G481" s="25"/>
      <c r="H481" s="25"/>
      <c r="I481" s="25"/>
      <c r="J481" s="25" t="s">
        <v>51</v>
      </c>
      <c r="K481" s="113">
        <v>115</v>
      </c>
      <c r="L481" s="25" t="s">
        <v>46</v>
      </c>
      <c r="M481" s="113"/>
      <c r="N481" s="25"/>
      <c r="O481" s="113">
        <f>SUM(O454:O480)</f>
        <v>44057</v>
      </c>
      <c r="P481" s="25"/>
      <c r="Q481" s="113"/>
      <c r="R481" s="25"/>
      <c r="S481" s="113"/>
      <c r="T481" s="25"/>
      <c r="U481" s="113"/>
      <c r="V481" s="25"/>
      <c r="W481" s="113"/>
      <c r="X481" s="25"/>
      <c r="Y481" s="113"/>
      <c r="Z481" s="25"/>
      <c r="AA481" s="113"/>
      <c r="AB481" s="25"/>
      <c r="AC481" s="113"/>
      <c r="AD481" s="25"/>
      <c r="AE481" s="113"/>
      <c r="AF481" s="25"/>
      <c r="AG481" s="194"/>
      <c r="AH481" s="25"/>
    </row>
    <row r="482" spans="1:34" s="24" customFormat="1" ht="12.75">
      <c r="A482" s="26"/>
      <c r="B482" s="26"/>
      <c r="C482" s="26"/>
      <c r="D482" s="26"/>
      <c r="E482" s="25"/>
      <c r="F482" s="25"/>
      <c r="G482" s="25"/>
      <c r="H482" s="25"/>
      <c r="I482" s="25"/>
      <c r="J482" s="25" t="s">
        <v>51</v>
      </c>
      <c r="K482" s="25">
        <v>-4980</v>
      </c>
      <c r="L482" s="25" t="s">
        <v>48</v>
      </c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96"/>
      <c r="AH482" s="25"/>
    </row>
    <row r="483" spans="1:34" s="24" customFormat="1" ht="12.75">
      <c r="A483" s="26"/>
      <c r="B483" s="26"/>
      <c r="C483" s="26"/>
      <c r="D483" s="26"/>
      <c r="E483" s="25"/>
      <c r="F483" s="25"/>
      <c r="G483" s="25"/>
      <c r="H483" s="25"/>
      <c r="I483" s="25"/>
      <c r="J483" s="25" t="s">
        <v>51</v>
      </c>
      <c r="K483" s="25">
        <v>4980</v>
      </c>
      <c r="L483" s="25" t="s">
        <v>48</v>
      </c>
      <c r="M483" s="25"/>
      <c r="N483" s="25"/>
      <c r="O483" s="25">
        <f>13057+14000</f>
        <v>27057</v>
      </c>
      <c r="P483" s="25" t="s">
        <v>132</v>
      </c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96"/>
      <c r="AH483" s="25"/>
    </row>
    <row r="484" spans="1:34" s="24" customFormat="1" ht="12.75">
      <c r="A484" s="26"/>
      <c r="B484" s="26"/>
      <c r="C484" s="26"/>
      <c r="D484" s="26"/>
      <c r="E484" s="25"/>
      <c r="F484" s="25"/>
      <c r="G484" s="25"/>
      <c r="H484" s="25"/>
      <c r="I484" s="25"/>
      <c r="J484" s="25" t="s">
        <v>51</v>
      </c>
      <c r="K484" s="25">
        <v>-30000</v>
      </c>
      <c r="L484" s="25" t="s">
        <v>49</v>
      </c>
      <c r="M484" s="25"/>
      <c r="N484" s="25"/>
      <c r="O484" s="25">
        <v>30000</v>
      </c>
      <c r="P484" s="25" t="s">
        <v>133</v>
      </c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96"/>
      <c r="AH484" s="25"/>
    </row>
    <row r="485" spans="1:34" s="24" customFormat="1" ht="12.75">
      <c r="A485" s="26"/>
      <c r="B485" s="26"/>
      <c r="C485" s="26"/>
      <c r="D485" s="26"/>
      <c r="E485" s="25"/>
      <c r="F485" s="25"/>
      <c r="G485" s="25"/>
      <c r="H485" s="25"/>
      <c r="I485" s="25"/>
      <c r="J485" s="25" t="s">
        <v>52</v>
      </c>
      <c r="K485" s="25">
        <v>30000</v>
      </c>
      <c r="L485" s="25" t="s">
        <v>50</v>
      </c>
      <c r="M485" s="25"/>
      <c r="N485" s="25"/>
      <c r="O485" s="113">
        <f>SUM(O483:O484)</f>
        <v>57057</v>
      </c>
      <c r="P485" s="25"/>
      <c r="Q485" s="113"/>
      <c r="R485" s="25"/>
      <c r="S485" s="113"/>
      <c r="T485" s="25"/>
      <c r="U485" s="113"/>
      <c r="V485" s="25"/>
      <c r="W485" s="113"/>
      <c r="X485" s="25"/>
      <c r="Y485" s="113"/>
      <c r="Z485" s="25"/>
      <c r="AA485" s="113"/>
      <c r="AB485" s="25"/>
      <c r="AC485" s="113"/>
      <c r="AD485" s="25"/>
      <c r="AE485" s="113"/>
      <c r="AF485" s="25"/>
      <c r="AG485" s="194"/>
      <c r="AH485" s="25"/>
    </row>
    <row r="486" spans="1:34" s="24" customFormat="1" ht="12.75">
      <c r="A486" s="26"/>
      <c r="B486" s="26"/>
      <c r="C486" s="26"/>
      <c r="D486" s="26"/>
      <c r="E486" s="25"/>
      <c r="F486" s="25"/>
      <c r="G486" s="25"/>
      <c r="H486" s="25"/>
      <c r="I486" s="25"/>
      <c r="J486" s="25" t="s">
        <v>53</v>
      </c>
      <c r="K486" s="25">
        <v>-11000</v>
      </c>
      <c r="L486" s="25" t="s">
        <v>62</v>
      </c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96"/>
      <c r="AH486" s="25"/>
    </row>
    <row r="487" spans="1:34" s="24" customFormat="1" ht="12.75">
      <c r="A487" s="26"/>
      <c r="B487" s="26"/>
      <c r="C487" s="26"/>
      <c r="D487" s="26"/>
      <c r="E487" s="25"/>
      <c r="F487" s="25"/>
      <c r="G487" s="25"/>
      <c r="H487" s="25"/>
      <c r="I487" s="25"/>
      <c r="J487" s="25" t="s">
        <v>78</v>
      </c>
      <c r="K487" s="25">
        <v>-18900</v>
      </c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96"/>
      <c r="AH487" s="25"/>
    </row>
    <row r="488" spans="1:34" s="24" customFormat="1" ht="12.75">
      <c r="A488" s="26"/>
      <c r="B488" s="26"/>
      <c r="C488" s="26"/>
      <c r="D488" s="26"/>
      <c r="E488" s="25"/>
      <c r="F488" s="25"/>
      <c r="G488" s="25"/>
      <c r="H488" s="25"/>
      <c r="I488" s="25"/>
      <c r="J488" s="25" t="s">
        <v>54</v>
      </c>
      <c r="K488" s="25">
        <v>11551</v>
      </c>
      <c r="L488" s="25" t="s">
        <v>47</v>
      </c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96"/>
      <c r="AH488" s="25"/>
    </row>
    <row r="489" spans="1:34" s="24" customFormat="1" ht="12.75">
      <c r="A489" s="26"/>
      <c r="B489" s="26"/>
      <c r="C489" s="26"/>
      <c r="D489" s="26"/>
      <c r="E489" s="25"/>
      <c r="F489" s="25"/>
      <c r="G489" s="25"/>
      <c r="H489" s="25"/>
      <c r="I489" s="25"/>
      <c r="J489" s="25" t="s">
        <v>53</v>
      </c>
      <c r="K489" s="25">
        <v>10089</v>
      </c>
      <c r="L489" s="25" t="s">
        <v>79</v>
      </c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96"/>
      <c r="AH489" s="25"/>
    </row>
    <row r="490" spans="1:34" s="24" customFormat="1" ht="12.75">
      <c r="A490" s="26"/>
      <c r="B490" s="26"/>
      <c r="C490" s="26"/>
      <c r="D490" s="26"/>
      <c r="E490" s="25"/>
      <c r="F490" s="25"/>
      <c r="G490" s="25"/>
      <c r="H490" s="25"/>
      <c r="I490" s="25"/>
      <c r="J490" s="113" t="s">
        <v>53</v>
      </c>
      <c r="K490" s="25">
        <v>1900</v>
      </c>
      <c r="L490" s="25" t="s">
        <v>80</v>
      </c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96"/>
      <c r="AH490" s="25"/>
    </row>
    <row r="491" spans="1:34" s="24" customFormat="1" ht="12.75">
      <c r="A491" s="26"/>
      <c r="B491" s="26"/>
      <c r="C491" s="26"/>
      <c r="D491" s="26"/>
      <c r="E491" s="25"/>
      <c r="F491" s="25"/>
      <c r="G491" s="25"/>
      <c r="H491" s="25"/>
      <c r="I491" s="25"/>
      <c r="J491" s="113"/>
      <c r="K491" s="25">
        <v>6360</v>
      </c>
      <c r="L491" s="25" t="s">
        <v>81</v>
      </c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96"/>
      <c r="AH491" s="25"/>
    </row>
    <row r="492" spans="1:34" s="24" customFormat="1" ht="12.75">
      <c r="A492" s="26"/>
      <c r="B492" s="26"/>
      <c r="C492" s="26"/>
      <c r="D492" s="26"/>
      <c r="E492" s="25"/>
      <c r="F492" s="25"/>
      <c r="G492" s="25"/>
      <c r="H492" s="25"/>
      <c r="I492" s="25"/>
      <c r="J492" s="113"/>
      <c r="K492" s="25">
        <v>-4978</v>
      </c>
      <c r="L492" s="25" t="s">
        <v>84</v>
      </c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96"/>
      <c r="AH492" s="25"/>
    </row>
    <row r="493" spans="1:34" s="24" customFormat="1" ht="12.75">
      <c r="A493" s="26"/>
      <c r="B493" s="26"/>
      <c r="C493" s="26"/>
      <c r="D493" s="26"/>
      <c r="E493" s="25"/>
      <c r="F493" s="25"/>
      <c r="G493" s="25"/>
      <c r="H493" s="25"/>
      <c r="I493" s="25"/>
      <c r="J493" s="113"/>
      <c r="K493" s="25">
        <v>1978</v>
      </c>
      <c r="L493" s="25" t="s">
        <v>85</v>
      </c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96"/>
      <c r="AH493" s="25"/>
    </row>
    <row r="494" spans="1:34" s="24" customFormat="1" ht="12.75">
      <c r="A494" s="26"/>
      <c r="B494" s="26"/>
      <c r="C494" s="26"/>
      <c r="D494" s="26"/>
      <c r="E494" s="25"/>
      <c r="F494" s="25"/>
      <c r="G494" s="25"/>
      <c r="H494" s="25"/>
      <c r="I494" s="25"/>
      <c r="J494" s="113"/>
      <c r="K494" s="25">
        <v>3000</v>
      </c>
      <c r="L494" s="25" t="s">
        <v>86</v>
      </c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96"/>
      <c r="AH494" s="25"/>
    </row>
    <row r="495" spans="1:34" s="24" customFormat="1" ht="12.75">
      <c r="A495" s="26"/>
      <c r="B495" s="26"/>
      <c r="C495" s="26"/>
      <c r="D495" s="26"/>
      <c r="E495" s="25"/>
      <c r="F495" s="25"/>
      <c r="G495" s="25"/>
      <c r="H495" s="25"/>
      <c r="I495" s="25"/>
      <c r="J495" s="113"/>
      <c r="K495" s="25">
        <v>6218</v>
      </c>
      <c r="L495" s="25" t="s">
        <v>82</v>
      </c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96"/>
      <c r="AH495" s="25"/>
    </row>
    <row r="496" spans="1:34" s="24" customFormat="1" ht="12.75">
      <c r="A496" s="26"/>
      <c r="B496" s="26"/>
      <c r="C496" s="26"/>
      <c r="D496" s="26"/>
      <c r="E496" s="25"/>
      <c r="F496" s="25"/>
      <c r="G496" s="25"/>
      <c r="H496" s="25"/>
      <c r="I496" s="25"/>
      <c r="J496" s="113"/>
      <c r="K496" s="25">
        <v>11277</v>
      </c>
      <c r="L496" s="25" t="s">
        <v>83</v>
      </c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96"/>
      <c r="AH496" s="25"/>
    </row>
    <row r="497" spans="1:34" s="24" customFormat="1" ht="12.75">
      <c r="A497" s="26"/>
      <c r="B497" s="26"/>
      <c r="C497" s="26"/>
      <c r="D497" s="26"/>
      <c r="E497" s="25"/>
      <c r="F497" s="25"/>
      <c r="G497" s="25"/>
      <c r="H497" s="25"/>
      <c r="I497" s="25"/>
      <c r="J497" s="113"/>
      <c r="K497" s="25">
        <v>252197</v>
      </c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96"/>
      <c r="AH497" s="25"/>
    </row>
    <row r="498" spans="1:34" s="24" customFormat="1" ht="12.75">
      <c r="A498" s="26"/>
      <c r="B498" s="26"/>
      <c r="C498" s="26"/>
      <c r="D498" s="26"/>
      <c r="E498" s="25"/>
      <c r="F498" s="25"/>
      <c r="G498" s="25"/>
      <c r="H498" s="25"/>
      <c r="I498" s="25"/>
      <c r="J498" s="113"/>
      <c r="K498" s="25">
        <v>500000</v>
      </c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96"/>
      <c r="AH498" s="25"/>
    </row>
    <row r="499" spans="1:34" s="24" customFormat="1" ht="12.75">
      <c r="A499" s="26"/>
      <c r="B499" s="26"/>
      <c r="C499" s="26"/>
      <c r="D499" s="26"/>
      <c r="E499" s="25"/>
      <c r="F499" s="25"/>
      <c r="G499" s="25"/>
      <c r="H499" s="25"/>
      <c r="I499" s="25"/>
      <c r="J499" s="113"/>
      <c r="K499" s="25">
        <v>11000</v>
      </c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96"/>
      <c r="AH499" s="25"/>
    </row>
    <row r="500" spans="1:34" s="24" customFormat="1" ht="12.75">
      <c r="A500" s="26"/>
      <c r="B500" s="26"/>
      <c r="C500" s="26"/>
      <c r="D500" s="26"/>
      <c r="E500" s="25"/>
      <c r="F500" s="25"/>
      <c r="G500" s="25"/>
      <c r="H500" s="25"/>
      <c r="I500" s="25"/>
      <c r="J500" s="25"/>
      <c r="K500" s="113">
        <f>SUM(K454:K499)</f>
        <v>780807</v>
      </c>
      <c r="L500" s="25"/>
      <c r="M500" s="113"/>
      <c r="N500" s="25"/>
      <c r="O500" s="113"/>
      <c r="P500" s="25"/>
      <c r="Q500" s="113"/>
      <c r="R500" s="25"/>
      <c r="S500" s="113"/>
      <c r="T500" s="25"/>
      <c r="U500" s="113"/>
      <c r="V500" s="25"/>
      <c r="W500" s="113"/>
      <c r="X500" s="25"/>
      <c r="Y500" s="113"/>
      <c r="Z500" s="25"/>
      <c r="AA500" s="113"/>
      <c r="AB500" s="25"/>
      <c r="AC500" s="113"/>
      <c r="AD500" s="25"/>
      <c r="AE500" s="113"/>
      <c r="AF500" s="25"/>
      <c r="AG500" s="194"/>
      <c r="AH500" s="25"/>
    </row>
    <row r="501" spans="1:34" s="24" customFormat="1" ht="12.75">
      <c r="A501" s="26"/>
      <c r="B501" s="26"/>
      <c r="C501" s="26"/>
      <c r="D501" s="26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96"/>
      <c r="AH501" s="25"/>
    </row>
    <row r="502" spans="1:34" s="24" customFormat="1" ht="12.75">
      <c r="A502" s="26"/>
      <c r="B502" s="26"/>
      <c r="C502" s="26"/>
      <c r="D502" s="26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96"/>
      <c r="AH502" s="25"/>
    </row>
    <row r="503" spans="1:34" s="24" customFormat="1" ht="12.75">
      <c r="A503" s="26"/>
      <c r="B503" s="26"/>
      <c r="C503" s="26"/>
      <c r="D503" s="26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96"/>
      <c r="AH503" s="25"/>
    </row>
    <row r="504" spans="1:34" s="24" customFormat="1" ht="12.75">
      <c r="A504" s="26"/>
      <c r="B504" s="26"/>
      <c r="C504" s="26"/>
      <c r="D504" s="26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96"/>
      <c r="AH504" s="25"/>
    </row>
    <row r="505" spans="1:34" s="24" customFormat="1" ht="12.75">
      <c r="A505" s="26"/>
      <c r="B505" s="26"/>
      <c r="C505" s="26"/>
      <c r="D505" s="26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96"/>
      <c r="AH505" s="25"/>
    </row>
    <row r="506" spans="1:34" s="24" customFormat="1" ht="12.75">
      <c r="A506" s="26"/>
      <c r="B506" s="26"/>
      <c r="C506" s="26"/>
      <c r="D506" s="26"/>
      <c r="E506" s="25"/>
      <c r="F506" s="25"/>
      <c r="G506" s="25"/>
      <c r="H506" s="25"/>
      <c r="I506" s="113"/>
      <c r="J506" s="25"/>
      <c r="K506" s="113"/>
      <c r="L506" s="25"/>
      <c r="M506" s="113"/>
      <c r="N506" s="25"/>
      <c r="O506" s="113"/>
      <c r="P506" s="25"/>
      <c r="Q506" s="113"/>
      <c r="R506" s="25"/>
      <c r="S506" s="113"/>
      <c r="T506" s="25"/>
      <c r="U506" s="113"/>
      <c r="V506" s="25"/>
      <c r="W506" s="113"/>
      <c r="X506" s="25"/>
      <c r="Y506" s="113"/>
      <c r="Z506" s="25"/>
      <c r="AA506" s="113"/>
      <c r="AB506" s="25"/>
      <c r="AC506" s="113"/>
      <c r="AD506" s="25"/>
      <c r="AE506" s="113"/>
      <c r="AF506" s="25"/>
      <c r="AG506" s="194"/>
      <c r="AH506" s="25"/>
    </row>
    <row r="507" spans="1:34" s="24" customFormat="1" ht="12.75">
      <c r="A507" s="26"/>
      <c r="B507" s="26"/>
      <c r="C507" s="26"/>
      <c r="D507" s="26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96"/>
      <c r="AH507" s="25"/>
    </row>
    <row r="508" spans="1:34" s="24" customFormat="1" ht="12.75">
      <c r="A508" s="26"/>
      <c r="B508" s="26"/>
      <c r="C508" s="26"/>
      <c r="D508" s="26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25"/>
      <c r="AC508" s="25"/>
      <c r="AD508" s="25"/>
      <c r="AE508" s="25"/>
      <c r="AF508" s="25"/>
      <c r="AG508" s="96"/>
      <c r="AH508" s="25"/>
    </row>
    <row r="509" spans="1:34" s="24" customFormat="1" ht="12.75">
      <c r="A509" s="26"/>
      <c r="B509" s="26"/>
      <c r="C509" s="26"/>
      <c r="D509" s="26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  <c r="AA509" s="25"/>
      <c r="AB509" s="25"/>
      <c r="AC509" s="25"/>
      <c r="AD509" s="25"/>
      <c r="AE509" s="25"/>
      <c r="AF509" s="25"/>
      <c r="AG509" s="96"/>
      <c r="AH509" s="25"/>
    </row>
    <row r="510" spans="1:34" s="24" customFormat="1" ht="12.75">
      <c r="A510" s="26"/>
      <c r="B510" s="26"/>
      <c r="C510" s="26"/>
      <c r="D510" s="26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  <c r="AA510" s="25"/>
      <c r="AB510" s="25"/>
      <c r="AC510" s="25"/>
      <c r="AD510" s="25"/>
      <c r="AE510" s="25"/>
      <c r="AF510" s="25"/>
      <c r="AG510" s="96"/>
      <c r="AH510" s="25"/>
    </row>
    <row r="511" spans="1:34" s="24" customFormat="1" ht="12.75">
      <c r="A511" s="26"/>
      <c r="B511" s="26"/>
      <c r="C511" s="26"/>
      <c r="D511" s="26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  <c r="AA511" s="25"/>
      <c r="AB511" s="25"/>
      <c r="AC511" s="25"/>
      <c r="AD511" s="25"/>
      <c r="AE511" s="25"/>
      <c r="AF511" s="25"/>
      <c r="AG511" s="96"/>
      <c r="AH511" s="25"/>
    </row>
    <row r="512" spans="1:34" s="24" customFormat="1" ht="12.75">
      <c r="A512" s="26"/>
      <c r="B512" s="26"/>
      <c r="C512" s="26"/>
      <c r="D512" s="26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25"/>
      <c r="AB512" s="25"/>
      <c r="AC512" s="25"/>
      <c r="AD512" s="25"/>
      <c r="AE512" s="25"/>
      <c r="AF512" s="25"/>
      <c r="AG512" s="96"/>
      <c r="AH512" s="25"/>
    </row>
    <row r="513" spans="1:34" s="24" customFormat="1" ht="12.75">
      <c r="A513" s="26"/>
      <c r="B513" s="26"/>
      <c r="C513" s="26"/>
      <c r="D513" s="26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  <c r="AA513" s="25"/>
      <c r="AB513" s="25"/>
      <c r="AC513" s="25"/>
      <c r="AD513" s="25"/>
      <c r="AE513" s="25"/>
      <c r="AF513" s="25"/>
      <c r="AG513" s="96"/>
      <c r="AH513" s="25"/>
    </row>
    <row r="514" spans="1:34" s="24" customFormat="1" ht="12.75">
      <c r="A514" s="26"/>
      <c r="B514" s="26"/>
      <c r="C514" s="26"/>
      <c r="D514" s="26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  <c r="AA514" s="25"/>
      <c r="AB514" s="25"/>
      <c r="AC514" s="25"/>
      <c r="AD514" s="25"/>
      <c r="AE514" s="25"/>
      <c r="AF514" s="25"/>
      <c r="AG514" s="96"/>
      <c r="AH514" s="25"/>
    </row>
    <row r="515" spans="1:34" s="24" customFormat="1" ht="12.75">
      <c r="A515" s="26"/>
      <c r="B515" s="26"/>
      <c r="C515" s="26"/>
      <c r="D515" s="26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  <c r="AA515" s="25"/>
      <c r="AB515" s="25"/>
      <c r="AC515" s="25"/>
      <c r="AD515" s="25"/>
      <c r="AE515" s="25"/>
      <c r="AF515" s="25"/>
      <c r="AG515" s="96"/>
      <c r="AH515" s="25"/>
    </row>
    <row r="516" spans="1:34" s="24" customFormat="1" ht="12.75">
      <c r="A516" s="26"/>
      <c r="B516" s="26"/>
      <c r="C516" s="26"/>
      <c r="D516" s="26"/>
      <c r="E516" s="113"/>
      <c r="F516" s="113"/>
      <c r="G516" s="113"/>
      <c r="H516" s="113"/>
      <c r="I516" s="113"/>
      <c r="J516" s="113"/>
      <c r="K516" s="113"/>
      <c r="L516" s="113"/>
      <c r="M516" s="113"/>
      <c r="N516" s="113"/>
      <c r="O516" s="113"/>
      <c r="P516" s="113"/>
      <c r="Q516" s="113"/>
      <c r="R516" s="113"/>
      <c r="S516" s="113"/>
      <c r="T516" s="113"/>
      <c r="U516" s="113"/>
      <c r="V516" s="113"/>
      <c r="W516" s="113"/>
      <c r="X516" s="113"/>
      <c r="Y516" s="113"/>
      <c r="Z516" s="113"/>
      <c r="AA516" s="113"/>
      <c r="AB516" s="113"/>
      <c r="AC516" s="113"/>
      <c r="AD516" s="113"/>
      <c r="AE516" s="113"/>
      <c r="AF516" s="113"/>
      <c r="AG516" s="194"/>
      <c r="AH516" s="113"/>
    </row>
    <row r="517" spans="1:34" s="24" customFormat="1" ht="12.75">
      <c r="A517" s="26"/>
      <c r="B517" s="26"/>
      <c r="C517" s="26"/>
      <c r="D517" s="26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  <c r="AA517" s="25"/>
      <c r="AB517" s="25"/>
      <c r="AC517" s="25"/>
      <c r="AD517" s="25"/>
      <c r="AE517" s="25"/>
      <c r="AF517" s="25"/>
      <c r="AG517" s="96"/>
      <c r="AH517" s="25"/>
    </row>
    <row r="518" spans="1:34" s="24" customFormat="1" ht="12.75">
      <c r="A518" s="26"/>
      <c r="B518" s="26"/>
      <c r="C518" s="26"/>
      <c r="D518" s="26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  <c r="AA518" s="25"/>
      <c r="AB518" s="25"/>
      <c r="AC518" s="25"/>
      <c r="AD518" s="25"/>
      <c r="AE518" s="25"/>
      <c r="AF518" s="25"/>
      <c r="AG518" s="96"/>
      <c r="AH518" s="25"/>
    </row>
    <row r="519" spans="1:34" s="24" customFormat="1" ht="12.75">
      <c r="A519" s="26"/>
      <c r="B519" s="26"/>
      <c r="C519" s="26"/>
      <c r="D519" s="26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  <c r="AA519" s="25"/>
      <c r="AB519" s="25"/>
      <c r="AC519" s="25"/>
      <c r="AD519" s="25"/>
      <c r="AE519" s="25"/>
      <c r="AF519" s="25"/>
      <c r="AG519" s="96"/>
      <c r="AH519" s="25"/>
    </row>
    <row r="520" spans="1:34" s="24" customFormat="1" ht="12.75">
      <c r="A520" s="26"/>
      <c r="B520" s="26"/>
      <c r="C520" s="26"/>
      <c r="D520" s="26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25"/>
      <c r="AB520" s="25"/>
      <c r="AC520" s="25"/>
      <c r="AD520" s="25"/>
      <c r="AE520" s="25"/>
      <c r="AF520" s="25"/>
      <c r="AG520" s="96"/>
      <c r="AH520" s="25"/>
    </row>
    <row r="521" spans="1:34" s="24" customFormat="1" ht="12.75">
      <c r="A521" s="26"/>
      <c r="B521" s="26"/>
      <c r="C521" s="26"/>
      <c r="D521" s="26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  <c r="AA521" s="25"/>
      <c r="AB521" s="25"/>
      <c r="AC521" s="25"/>
      <c r="AD521" s="25"/>
      <c r="AE521" s="25"/>
      <c r="AF521" s="25"/>
      <c r="AG521" s="96"/>
      <c r="AH521" s="25"/>
    </row>
    <row r="522" spans="1:34" s="24" customFormat="1" ht="12.75">
      <c r="A522" s="26"/>
      <c r="B522" s="26"/>
      <c r="C522" s="26"/>
      <c r="D522" s="26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  <c r="AA522" s="25"/>
      <c r="AB522" s="25"/>
      <c r="AC522" s="25"/>
      <c r="AD522" s="25"/>
      <c r="AE522" s="25"/>
      <c r="AF522" s="25"/>
      <c r="AG522" s="96"/>
      <c r="AH522" s="25"/>
    </row>
    <row r="523" spans="1:34" s="24" customFormat="1" ht="12.75">
      <c r="A523" s="26"/>
      <c r="B523" s="26"/>
      <c r="C523" s="26"/>
      <c r="D523" s="26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  <c r="AA523" s="25"/>
      <c r="AB523" s="25"/>
      <c r="AC523" s="25"/>
      <c r="AD523" s="25"/>
      <c r="AE523" s="25"/>
      <c r="AF523" s="25"/>
      <c r="AG523" s="96"/>
      <c r="AH523" s="25"/>
    </row>
    <row r="524" spans="1:34" s="24" customFormat="1" ht="12.75">
      <c r="A524" s="26"/>
      <c r="B524" s="26"/>
      <c r="C524" s="26"/>
      <c r="D524" s="26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  <c r="AA524" s="25"/>
      <c r="AB524" s="25"/>
      <c r="AC524" s="25"/>
      <c r="AD524" s="25"/>
      <c r="AE524" s="25"/>
      <c r="AF524" s="25"/>
      <c r="AG524" s="96"/>
      <c r="AH524" s="25"/>
    </row>
    <row r="525" spans="1:34" s="24" customFormat="1" ht="12.75">
      <c r="A525" s="26"/>
      <c r="B525" s="26"/>
      <c r="C525" s="26"/>
      <c r="D525" s="26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  <c r="AA525" s="25"/>
      <c r="AB525" s="25"/>
      <c r="AC525" s="25"/>
      <c r="AD525" s="25"/>
      <c r="AE525" s="25"/>
      <c r="AF525" s="25"/>
      <c r="AG525" s="96"/>
      <c r="AH525" s="25"/>
    </row>
    <row r="526" spans="1:34" s="24" customFormat="1" ht="12.75">
      <c r="A526" s="26"/>
      <c r="B526" s="26"/>
      <c r="C526" s="26"/>
      <c r="D526" s="26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  <c r="AA526" s="25"/>
      <c r="AB526" s="25"/>
      <c r="AC526" s="25"/>
      <c r="AD526" s="25"/>
      <c r="AE526" s="25"/>
      <c r="AF526" s="25"/>
      <c r="AG526" s="96"/>
      <c r="AH526" s="25"/>
    </row>
    <row r="527" spans="1:34" s="24" customFormat="1" ht="12.75">
      <c r="A527" s="26"/>
      <c r="B527" s="26"/>
      <c r="C527" s="26"/>
      <c r="D527" s="26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  <c r="AA527" s="25"/>
      <c r="AB527" s="25"/>
      <c r="AC527" s="25"/>
      <c r="AD527" s="25"/>
      <c r="AE527" s="25"/>
      <c r="AF527" s="25"/>
      <c r="AG527" s="96"/>
      <c r="AH527" s="25"/>
    </row>
    <row r="528" spans="1:34" s="24" customFormat="1" ht="12.75">
      <c r="A528" s="26"/>
      <c r="B528" s="26"/>
      <c r="C528" s="26"/>
      <c r="D528" s="26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  <c r="AA528" s="25"/>
      <c r="AB528" s="25"/>
      <c r="AC528" s="25"/>
      <c r="AD528" s="25"/>
      <c r="AE528" s="25"/>
      <c r="AF528" s="25"/>
      <c r="AG528" s="96"/>
      <c r="AH528" s="25"/>
    </row>
    <row r="529" spans="1:34" s="24" customFormat="1" ht="12.75">
      <c r="A529" s="26"/>
      <c r="B529" s="26"/>
      <c r="C529" s="26"/>
      <c r="D529" s="26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  <c r="AA529" s="25"/>
      <c r="AB529" s="25"/>
      <c r="AC529" s="25"/>
      <c r="AD529" s="25"/>
      <c r="AE529" s="25"/>
      <c r="AF529" s="25"/>
      <c r="AG529" s="96"/>
      <c r="AH529" s="25"/>
    </row>
    <row r="530" spans="1:34" s="24" customFormat="1" ht="12.75">
      <c r="A530" s="26"/>
      <c r="B530" s="26"/>
      <c r="C530" s="26"/>
      <c r="D530" s="26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  <c r="AA530" s="25"/>
      <c r="AB530" s="25"/>
      <c r="AC530" s="25"/>
      <c r="AD530" s="25"/>
      <c r="AE530" s="25"/>
      <c r="AF530" s="25"/>
      <c r="AG530" s="96"/>
      <c r="AH530" s="25"/>
    </row>
    <row r="531" spans="1:34" s="24" customFormat="1" ht="12.75">
      <c r="A531" s="26"/>
      <c r="B531" s="26"/>
      <c r="C531" s="26"/>
      <c r="D531" s="26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  <c r="AA531" s="25"/>
      <c r="AB531" s="25"/>
      <c r="AC531" s="25"/>
      <c r="AD531" s="25"/>
      <c r="AE531" s="25"/>
      <c r="AF531" s="25"/>
      <c r="AG531" s="96"/>
      <c r="AH531" s="25"/>
    </row>
    <row r="532" spans="1:34" s="24" customFormat="1" ht="12.75">
      <c r="A532" s="26"/>
      <c r="B532" s="26"/>
      <c r="C532" s="26"/>
      <c r="D532" s="26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  <c r="AA532" s="25"/>
      <c r="AB532" s="25"/>
      <c r="AC532" s="25"/>
      <c r="AD532" s="25"/>
      <c r="AE532" s="25"/>
      <c r="AF532" s="25"/>
      <c r="AG532" s="96"/>
      <c r="AH532" s="25"/>
    </row>
    <row r="533" spans="1:34" s="24" customFormat="1" ht="12.75">
      <c r="A533" s="26"/>
      <c r="B533" s="26"/>
      <c r="C533" s="26"/>
      <c r="D533" s="26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  <c r="AA533" s="25"/>
      <c r="AB533" s="25"/>
      <c r="AC533" s="25"/>
      <c r="AD533" s="25"/>
      <c r="AE533" s="25"/>
      <c r="AF533" s="25"/>
      <c r="AG533" s="96"/>
      <c r="AH533" s="25"/>
    </row>
    <row r="534" spans="1:34" s="24" customFormat="1" ht="12.75">
      <c r="A534" s="26"/>
      <c r="B534" s="26"/>
      <c r="C534" s="26"/>
      <c r="D534" s="26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  <c r="AA534" s="25"/>
      <c r="AB534" s="25"/>
      <c r="AC534" s="25"/>
      <c r="AD534" s="25"/>
      <c r="AE534" s="25"/>
      <c r="AF534" s="25"/>
      <c r="AG534" s="96"/>
      <c r="AH534" s="25"/>
    </row>
    <row r="535" spans="1:34" s="24" customFormat="1" ht="12.75">
      <c r="A535" s="26"/>
      <c r="B535" s="26"/>
      <c r="C535" s="26"/>
      <c r="D535" s="26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  <c r="AA535" s="25"/>
      <c r="AB535" s="25"/>
      <c r="AC535" s="25"/>
      <c r="AD535" s="25"/>
      <c r="AE535" s="25"/>
      <c r="AF535" s="25"/>
      <c r="AG535" s="96"/>
      <c r="AH535" s="25"/>
    </row>
    <row r="536" spans="1:34" s="24" customFormat="1" ht="12.75">
      <c r="A536" s="26"/>
      <c r="B536" s="26"/>
      <c r="C536" s="26"/>
      <c r="D536" s="26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  <c r="AA536" s="25"/>
      <c r="AB536" s="25"/>
      <c r="AC536" s="25"/>
      <c r="AD536" s="25"/>
      <c r="AE536" s="25"/>
      <c r="AF536" s="25"/>
      <c r="AG536" s="96"/>
      <c r="AH536" s="25"/>
    </row>
    <row r="537" spans="1:34" s="24" customFormat="1" ht="12.75">
      <c r="A537" s="26"/>
      <c r="B537" s="26"/>
      <c r="C537" s="26"/>
      <c r="D537" s="26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  <c r="AA537" s="25"/>
      <c r="AB537" s="25"/>
      <c r="AC537" s="25"/>
      <c r="AD537" s="25"/>
      <c r="AE537" s="25"/>
      <c r="AF537" s="25"/>
      <c r="AG537" s="96"/>
      <c r="AH537" s="25"/>
    </row>
    <row r="538" spans="1:34" s="24" customFormat="1" ht="12.75">
      <c r="A538" s="26"/>
      <c r="B538" s="26"/>
      <c r="C538" s="26"/>
      <c r="D538" s="26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  <c r="AA538" s="25"/>
      <c r="AB538" s="25"/>
      <c r="AC538" s="25"/>
      <c r="AD538" s="25"/>
      <c r="AE538" s="25"/>
      <c r="AF538" s="25"/>
      <c r="AG538" s="96"/>
      <c r="AH538" s="25"/>
    </row>
    <row r="539" spans="1:34" s="24" customFormat="1" ht="12.75">
      <c r="A539" s="26"/>
      <c r="B539" s="26"/>
      <c r="C539" s="26"/>
      <c r="D539" s="26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  <c r="AA539" s="25"/>
      <c r="AB539" s="25"/>
      <c r="AC539" s="25"/>
      <c r="AD539" s="25"/>
      <c r="AE539" s="25"/>
      <c r="AF539" s="25"/>
      <c r="AG539" s="96"/>
      <c r="AH539" s="25"/>
    </row>
    <row r="540" spans="1:34" s="24" customFormat="1" ht="12.75">
      <c r="A540" s="26"/>
      <c r="B540" s="26"/>
      <c r="C540" s="26"/>
      <c r="D540" s="26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  <c r="AA540" s="25"/>
      <c r="AB540" s="25"/>
      <c r="AC540" s="25"/>
      <c r="AD540" s="25"/>
      <c r="AE540" s="25"/>
      <c r="AF540" s="25"/>
      <c r="AG540" s="96"/>
      <c r="AH540" s="25"/>
    </row>
    <row r="541" spans="1:34" s="24" customFormat="1" ht="12.75">
      <c r="A541" s="26"/>
      <c r="B541" s="26"/>
      <c r="C541" s="26"/>
      <c r="D541" s="26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  <c r="AA541" s="25"/>
      <c r="AB541" s="25"/>
      <c r="AC541" s="25"/>
      <c r="AD541" s="25"/>
      <c r="AE541" s="25"/>
      <c r="AF541" s="25"/>
      <c r="AG541" s="96"/>
      <c r="AH541" s="25"/>
    </row>
    <row r="542" spans="1:34" s="24" customFormat="1" ht="12.75">
      <c r="A542" s="26"/>
      <c r="B542" s="26"/>
      <c r="C542" s="26"/>
      <c r="D542" s="26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  <c r="AA542" s="25"/>
      <c r="AB542" s="25"/>
      <c r="AC542" s="25"/>
      <c r="AD542" s="25"/>
      <c r="AE542" s="25"/>
      <c r="AF542" s="25"/>
      <c r="AG542" s="96"/>
      <c r="AH542" s="25"/>
    </row>
    <row r="543" spans="1:34" s="24" customFormat="1" ht="12.75">
      <c r="A543" s="26"/>
      <c r="B543" s="26"/>
      <c r="C543" s="26"/>
      <c r="D543" s="26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  <c r="AA543" s="25"/>
      <c r="AB543" s="25"/>
      <c r="AC543" s="25"/>
      <c r="AD543" s="25"/>
      <c r="AE543" s="25"/>
      <c r="AF543" s="25"/>
      <c r="AG543" s="96"/>
      <c r="AH543" s="25"/>
    </row>
    <row r="544" spans="1:34" s="24" customFormat="1" ht="12.75">
      <c r="A544" s="26"/>
      <c r="B544" s="26"/>
      <c r="C544" s="26"/>
      <c r="D544" s="26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  <c r="AA544" s="25"/>
      <c r="AB544" s="25"/>
      <c r="AC544" s="25"/>
      <c r="AD544" s="25"/>
      <c r="AE544" s="25"/>
      <c r="AF544" s="25"/>
      <c r="AG544" s="96"/>
      <c r="AH544" s="25"/>
    </row>
    <row r="545" spans="1:34" s="24" customFormat="1" ht="12.75">
      <c r="A545" s="26"/>
      <c r="B545" s="26"/>
      <c r="C545" s="26"/>
      <c r="D545" s="26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  <c r="AA545" s="25"/>
      <c r="AB545" s="25"/>
      <c r="AC545" s="25"/>
      <c r="AD545" s="25"/>
      <c r="AE545" s="25"/>
      <c r="AF545" s="25"/>
      <c r="AG545" s="96"/>
      <c r="AH545" s="25"/>
    </row>
    <row r="546" spans="1:34" s="24" customFormat="1" ht="12.75">
      <c r="A546" s="26"/>
      <c r="B546" s="26"/>
      <c r="C546" s="26"/>
      <c r="D546" s="26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  <c r="AA546" s="25"/>
      <c r="AB546" s="25"/>
      <c r="AC546" s="25"/>
      <c r="AD546" s="25"/>
      <c r="AE546" s="25"/>
      <c r="AF546" s="25"/>
      <c r="AG546" s="96"/>
      <c r="AH546" s="25"/>
    </row>
    <row r="547" spans="1:34" s="24" customFormat="1" ht="12.75">
      <c r="A547" s="26"/>
      <c r="B547" s="26"/>
      <c r="C547" s="26"/>
      <c r="D547" s="26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  <c r="AA547" s="25"/>
      <c r="AB547" s="25"/>
      <c r="AC547" s="25"/>
      <c r="AD547" s="25"/>
      <c r="AE547" s="25"/>
      <c r="AF547" s="25"/>
      <c r="AG547" s="96"/>
      <c r="AH547" s="25"/>
    </row>
    <row r="548" spans="1:34" s="24" customFormat="1" ht="12.75">
      <c r="A548" s="26"/>
      <c r="B548" s="26"/>
      <c r="C548" s="26"/>
      <c r="D548" s="26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  <c r="AA548" s="25"/>
      <c r="AB548" s="25"/>
      <c r="AC548" s="25"/>
      <c r="AD548" s="25"/>
      <c r="AE548" s="25"/>
      <c r="AF548" s="25"/>
      <c r="AG548" s="96"/>
      <c r="AH548" s="25"/>
    </row>
    <row r="549" spans="1:34" s="24" customFormat="1" ht="12.75">
      <c r="A549" s="26"/>
      <c r="B549" s="26"/>
      <c r="C549" s="26"/>
      <c r="D549" s="26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  <c r="AA549" s="25"/>
      <c r="AB549" s="25"/>
      <c r="AC549" s="25"/>
      <c r="AD549" s="25"/>
      <c r="AE549" s="25"/>
      <c r="AF549" s="25"/>
      <c r="AG549" s="96"/>
      <c r="AH549" s="25"/>
    </row>
    <row r="550" spans="1:34" s="24" customFormat="1" ht="12.75">
      <c r="A550" s="26"/>
      <c r="B550" s="26"/>
      <c r="C550" s="26"/>
      <c r="D550" s="26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  <c r="AA550" s="25"/>
      <c r="AB550" s="25"/>
      <c r="AC550" s="25"/>
      <c r="AD550" s="25"/>
      <c r="AE550" s="25"/>
      <c r="AF550" s="25"/>
      <c r="AG550" s="96"/>
      <c r="AH550" s="25"/>
    </row>
    <row r="551" spans="1:34" s="24" customFormat="1" ht="12.75">
      <c r="A551" s="26"/>
      <c r="B551" s="26"/>
      <c r="C551" s="26"/>
      <c r="D551" s="26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  <c r="AA551" s="25"/>
      <c r="AB551" s="25"/>
      <c r="AC551" s="25"/>
      <c r="AD551" s="25"/>
      <c r="AE551" s="25"/>
      <c r="AF551" s="25"/>
      <c r="AG551" s="96"/>
      <c r="AH551" s="25"/>
    </row>
    <row r="552" spans="1:34" s="24" customFormat="1" ht="12.75">
      <c r="A552" s="26"/>
      <c r="B552" s="26"/>
      <c r="C552" s="26"/>
      <c r="D552" s="26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  <c r="AA552" s="25"/>
      <c r="AB552" s="25"/>
      <c r="AC552" s="25"/>
      <c r="AD552" s="25"/>
      <c r="AE552" s="25"/>
      <c r="AF552" s="25"/>
      <c r="AG552" s="96"/>
      <c r="AH552" s="25"/>
    </row>
    <row r="553" spans="1:34" s="24" customFormat="1" ht="12.75">
      <c r="A553" s="26"/>
      <c r="B553" s="26"/>
      <c r="C553" s="26"/>
      <c r="D553" s="26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  <c r="AA553" s="25"/>
      <c r="AB553" s="25"/>
      <c r="AC553" s="25"/>
      <c r="AD553" s="25"/>
      <c r="AE553" s="25"/>
      <c r="AF553" s="25"/>
      <c r="AG553" s="96"/>
      <c r="AH553" s="25"/>
    </row>
    <row r="554" spans="1:34" s="24" customFormat="1" ht="12.75">
      <c r="A554" s="26"/>
      <c r="B554" s="26"/>
      <c r="C554" s="26"/>
      <c r="D554" s="26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  <c r="AA554" s="25"/>
      <c r="AB554" s="25"/>
      <c r="AC554" s="25"/>
      <c r="AD554" s="25"/>
      <c r="AE554" s="25"/>
      <c r="AF554" s="25"/>
      <c r="AG554" s="96"/>
      <c r="AH554" s="25"/>
    </row>
    <row r="555" spans="1:34" s="24" customFormat="1" ht="12.75">
      <c r="A555" s="26"/>
      <c r="B555" s="26"/>
      <c r="C555" s="26"/>
      <c r="D555" s="26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  <c r="AA555" s="25"/>
      <c r="AB555" s="25"/>
      <c r="AC555" s="25"/>
      <c r="AD555" s="25"/>
      <c r="AE555" s="25"/>
      <c r="AF555" s="25"/>
      <c r="AG555" s="96"/>
      <c r="AH555" s="25"/>
    </row>
    <row r="556" spans="1:34" s="24" customFormat="1" ht="12.75">
      <c r="A556" s="26"/>
      <c r="B556" s="26"/>
      <c r="C556" s="26"/>
      <c r="D556" s="26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  <c r="AA556" s="25"/>
      <c r="AB556" s="25"/>
      <c r="AC556" s="25"/>
      <c r="AD556" s="25"/>
      <c r="AE556" s="25"/>
      <c r="AF556" s="25"/>
      <c r="AG556" s="96"/>
      <c r="AH556" s="25"/>
    </row>
    <row r="557" spans="1:34" s="24" customFormat="1" ht="12.75">
      <c r="A557" s="26"/>
      <c r="B557" s="26"/>
      <c r="C557" s="26"/>
      <c r="D557" s="26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  <c r="AA557" s="25"/>
      <c r="AB557" s="25"/>
      <c r="AC557" s="25"/>
      <c r="AD557" s="25"/>
      <c r="AE557" s="25"/>
      <c r="AF557" s="25"/>
      <c r="AG557" s="96"/>
      <c r="AH557" s="25"/>
    </row>
    <row r="558" spans="1:34" s="24" customFormat="1" ht="12.75">
      <c r="A558" s="26"/>
      <c r="B558" s="26"/>
      <c r="C558" s="26"/>
      <c r="D558" s="26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  <c r="AA558" s="25"/>
      <c r="AB558" s="25"/>
      <c r="AC558" s="25"/>
      <c r="AD558" s="25"/>
      <c r="AE558" s="25"/>
      <c r="AF558" s="25"/>
      <c r="AG558" s="96"/>
      <c r="AH558" s="25"/>
    </row>
    <row r="559" spans="1:34" s="24" customFormat="1" ht="12.75">
      <c r="A559" s="26"/>
      <c r="B559" s="26"/>
      <c r="C559" s="26"/>
      <c r="D559" s="26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  <c r="AA559" s="25"/>
      <c r="AB559" s="25"/>
      <c r="AC559" s="25"/>
      <c r="AD559" s="25"/>
      <c r="AE559" s="25"/>
      <c r="AF559" s="25"/>
      <c r="AG559" s="96"/>
      <c r="AH559" s="25"/>
    </row>
    <row r="560" spans="1:34" s="24" customFormat="1" ht="12.75">
      <c r="A560" s="26"/>
      <c r="B560" s="26"/>
      <c r="C560" s="26"/>
      <c r="D560" s="26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  <c r="AA560" s="25"/>
      <c r="AB560" s="25"/>
      <c r="AC560" s="25"/>
      <c r="AD560" s="25"/>
      <c r="AE560" s="25"/>
      <c r="AF560" s="25"/>
      <c r="AG560" s="96"/>
      <c r="AH560" s="25"/>
    </row>
    <row r="561" spans="1:34" s="24" customFormat="1" ht="12.75">
      <c r="A561" s="26"/>
      <c r="B561" s="26"/>
      <c r="C561" s="26"/>
      <c r="D561" s="26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  <c r="AA561" s="25"/>
      <c r="AB561" s="25"/>
      <c r="AC561" s="25"/>
      <c r="AD561" s="25"/>
      <c r="AE561" s="25"/>
      <c r="AF561" s="25"/>
      <c r="AG561" s="96"/>
      <c r="AH561" s="25"/>
    </row>
    <row r="562" spans="1:34" s="24" customFormat="1" ht="12.75">
      <c r="A562" s="26"/>
      <c r="B562" s="26"/>
      <c r="C562" s="26"/>
      <c r="D562" s="26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  <c r="AA562" s="25"/>
      <c r="AB562" s="25"/>
      <c r="AC562" s="25"/>
      <c r="AD562" s="25"/>
      <c r="AE562" s="25"/>
      <c r="AF562" s="25"/>
      <c r="AG562" s="96"/>
      <c r="AH562" s="25"/>
    </row>
    <row r="563" spans="1:34" s="24" customFormat="1" ht="12.75">
      <c r="A563" s="26"/>
      <c r="B563" s="26"/>
      <c r="C563" s="26"/>
      <c r="D563" s="26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  <c r="AA563" s="25"/>
      <c r="AB563" s="25"/>
      <c r="AC563" s="25"/>
      <c r="AD563" s="25"/>
      <c r="AE563" s="25"/>
      <c r="AF563" s="25"/>
      <c r="AG563" s="96"/>
      <c r="AH563" s="25"/>
    </row>
    <row r="564" spans="1:34" s="24" customFormat="1" ht="12.75">
      <c r="A564" s="26"/>
      <c r="B564" s="26"/>
      <c r="C564" s="26"/>
      <c r="D564" s="26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  <c r="AA564" s="25"/>
      <c r="AB564" s="25"/>
      <c r="AC564" s="25"/>
      <c r="AD564" s="25"/>
      <c r="AE564" s="25"/>
      <c r="AF564" s="25"/>
      <c r="AG564" s="96"/>
      <c r="AH564" s="25"/>
    </row>
    <row r="565" spans="1:34" s="24" customFormat="1" ht="12.75">
      <c r="A565" s="26"/>
      <c r="B565" s="26"/>
      <c r="C565" s="26"/>
      <c r="D565" s="26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  <c r="AA565" s="25"/>
      <c r="AB565" s="25"/>
      <c r="AC565" s="25"/>
      <c r="AD565" s="25"/>
      <c r="AE565" s="25"/>
      <c r="AF565" s="25"/>
      <c r="AG565" s="96"/>
      <c r="AH565" s="25"/>
    </row>
    <row r="566" spans="1:34" s="24" customFormat="1" ht="12.75">
      <c r="A566" s="26"/>
      <c r="B566" s="26"/>
      <c r="C566" s="26"/>
      <c r="D566" s="26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  <c r="AA566" s="25"/>
      <c r="AB566" s="25"/>
      <c r="AC566" s="25"/>
      <c r="AD566" s="25"/>
      <c r="AE566" s="25"/>
      <c r="AF566" s="25"/>
      <c r="AG566" s="96"/>
      <c r="AH566" s="25"/>
    </row>
    <row r="567" spans="1:34" s="24" customFormat="1" ht="12.75">
      <c r="A567" s="26"/>
      <c r="B567" s="26"/>
      <c r="C567" s="26"/>
      <c r="D567" s="26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  <c r="AA567" s="25"/>
      <c r="AB567" s="25"/>
      <c r="AC567" s="25"/>
      <c r="AD567" s="25"/>
      <c r="AE567" s="25"/>
      <c r="AF567" s="25"/>
      <c r="AG567" s="96"/>
      <c r="AH567" s="25"/>
    </row>
    <row r="568" spans="1:34" s="24" customFormat="1" ht="12.75">
      <c r="A568" s="26"/>
      <c r="B568" s="26"/>
      <c r="C568" s="26"/>
      <c r="D568" s="26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  <c r="AA568" s="25"/>
      <c r="AB568" s="25"/>
      <c r="AC568" s="25"/>
      <c r="AD568" s="25"/>
      <c r="AE568" s="25"/>
      <c r="AF568" s="25"/>
      <c r="AG568" s="96"/>
      <c r="AH568" s="25"/>
    </row>
    <row r="569" spans="1:34" s="24" customFormat="1" ht="12.75">
      <c r="A569" s="26"/>
      <c r="B569" s="26"/>
      <c r="C569" s="26"/>
      <c r="D569" s="26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  <c r="AA569" s="25"/>
      <c r="AB569" s="25"/>
      <c r="AC569" s="25"/>
      <c r="AD569" s="25"/>
      <c r="AE569" s="25"/>
      <c r="AF569" s="25"/>
      <c r="AG569" s="96"/>
      <c r="AH569" s="25"/>
    </row>
    <row r="570" spans="1:34" s="24" customFormat="1" ht="12.75">
      <c r="A570" s="26"/>
      <c r="B570" s="26"/>
      <c r="C570" s="26"/>
      <c r="D570" s="26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  <c r="AA570" s="25"/>
      <c r="AB570" s="25"/>
      <c r="AC570" s="25"/>
      <c r="AD570" s="25"/>
      <c r="AE570" s="25"/>
      <c r="AF570" s="25"/>
      <c r="AG570" s="96"/>
      <c r="AH570" s="25"/>
    </row>
    <row r="571" spans="1:34" s="24" customFormat="1" ht="12.75">
      <c r="A571" s="26"/>
      <c r="B571" s="26"/>
      <c r="C571" s="26"/>
      <c r="D571" s="26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  <c r="AA571" s="25"/>
      <c r="AB571" s="25"/>
      <c r="AC571" s="25"/>
      <c r="AD571" s="25"/>
      <c r="AE571" s="25"/>
      <c r="AF571" s="25"/>
      <c r="AG571" s="96"/>
      <c r="AH571" s="25"/>
    </row>
    <row r="572" spans="1:34" s="24" customFormat="1" ht="12.75">
      <c r="A572" s="26"/>
      <c r="B572" s="26"/>
      <c r="C572" s="26"/>
      <c r="D572" s="26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  <c r="AA572" s="25"/>
      <c r="AB572" s="25"/>
      <c r="AC572" s="25"/>
      <c r="AD572" s="25"/>
      <c r="AE572" s="25"/>
      <c r="AF572" s="25"/>
      <c r="AG572" s="96"/>
      <c r="AH572" s="25"/>
    </row>
    <row r="573" spans="1:34" s="24" customFormat="1" ht="12.75">
      <c r="A573" s="26"/>
      <c r="B573" s="26"/>
      <c r="C573" s="26"/>
      <c r="D573" s="26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  <c r="AA573" s="25"/>
      <c r="AB573" s="25"/>
      <c r="AC573" s="25"/>
      <c r="AD573" s="25"/>
      <c r="AE573" s="25"/>
      <c r="AF573" s="25"/>
      <c r="AG573" s="96"/>
      <c r="AH573" s="25"/>
    </row>
    <row r="574" spans="1:34" s="24" customFormat="1" ht="12.75">
      <c r="A574" s="26"/>
      <c r="B574" s="26"/>
      <c r="C574" s="26"/>
      <c r="D574" s="26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  <c r="AA574" s="25"/>
      <c r="AB574" s="25"/>
      <c r="AC574" s="25"/>
      <c r="AD574" s="25"/>
      <c r="AE574" s="25"/>
      <c r="AF574" s="25"/>
      <c r="AG574" s="96"/>
      <c r="AH574" s="25"/>
    </row>
    <row r="575" spans="1:34" s="24" customFormat="1" ht="12.75">
      <c r="A575" s="26"/>
      <c r="B575" s="26"/>
      <c r="C575" s="26"/>
      <c r="D575" s="26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  <c r="AA575" s="25"/>
      <c r="AB575" s="25"/>
      <c r="AC575" s="25"/>
      <c r="AD575" s="25"/>
      <c r="AE575" s="25"/>
      <c r="AF575" s="25"/>
      <c r="AG575" s="96"/>
      <c r="AH575" s="25"/>
    </row>
    <row r="576" spans="1:34" s="24" customFormat="1" ht="12.75">
      <c r="A576" s="26"/>
      <c r="B576" s="26"/>
      <c r="C576" s="26"/>
      <c r="D576" s="26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  <c r="AA576" s="25"/>
      <c r="AB576" s="25"/>
      <c r="AC576" s="25"/>
      <c r="AD576" s="25"/>
      <c r="AE576" s="25"/>
      <c r="AF576" s="25"/>
      <c r="AG576" s="96"/>
      <c r="AH576" s="25"/>
    </row>
    <row r="577" spans="1:34" s="24" customFormat="1" ht="12.75">
      <c r="A577" s="26"/>
      <c r="B577" s="26"/>
      <c r="C577" s="26"/>
      <c r="D577" s="26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  <c r="AA577" s="25"/>
      <c r="AB577" s="25"/>
      <c r="AC577" s="25"/>
      <c r="AD577" s="25"/>
      <c r="AE577" s="25"/>
      <c r="AF577" s="25"/>
      <c r="AG577" s="96"/>
      <c r="AH577" s="25"/>
    </row>
    <row r="578" spans="1:34" s="24" customFormat="1" ht="12.75">
      <c r="A578" s="26"/>
      <c r="B578" s="26"/>
      <c r="C578" s="26"/>
      <c r="D578" s="26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  <c r="AA578" s="25"/>
      <c r="AB578" s="25"/>
      <c r="AC578" s="25"/>
      <c r="AD578" s="25"/>
      <c r="AE578" s="25"/>
      <c r="AF578" s="25"/>
      <c r="AG578" s="96"/>
      <c r="AH578" s="25"/>
    </row>
    <row r="579" spans="1:34" s="24" customFormat="1" ht="12.75">
      <c r="A579" s="26"/>
      <c r="B579" s="26"/>
      <c r="C579" s="26"/>
      <c r="D579" s="26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  <c r="AA579" s="25"/>
      <c r="AB579" s="25"/>
      <c r="AC579" s="25"/>
      <c r="AD579" s="25"/>
      <c r="AE579" s="25"/>
      <c r="AF579" s="25"/>
      <c r="AG579" s="96"/>
      <c r="AH579" s="25"/>
    </row>
    <row r="580" spans="1:34" s="24" customFormat="1" ht="12.75">
      <c r="A580" s="26"/>
      <c r="B580" s="26"/>
      <c r="C580" s="26"/>
      <c r="D580" s="26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  <c r="AA580" s="25"/>
      <c r="AB580" s="25"/>
      <c r="AC580" s="25"/>
      <c r="AD580" s="25"/>
      <c r="AE580" s="25"/>
      <c r="AF580" s="25"/>
      <c r="AG580" s="96"/>
      <c r="AH580" s="25"/>
    </row>
    <row r="581" spans="1:34" s="24" customFormat="1" ht="12.75">
      <c r="A581" s="26"/>
      <c r="B581" s="26"/>
      <c r="C581" s="26"/>
      <c r="D581" s="26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  <c r="AA581" s="25"/>
      <c r="AB581" s="25"/>
      <c r="AC581" s="25"/>
      <c r="AD581" s="25"/>
      <c r="AE581" s="25"/>
      <c r="AF581" s="25"/>
      <c r="AG581" s="96"/>
      <c r="AH581" s="25"/>
    </row>
    <row r="582" spans="1:34" s="24" customFormat="1" ht="12.75">
      <c r="A582" s="26"/>
      <c r="B582" s="26"/>
      <c r="C582" s="26"/>
      <c r="D582" s="26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  <c r="AA582" s="25"/>
      <c r="AB582" s="25"/>
      <c r="AC582" s="25"/>
      <c r="AD582" s="25"/>
      <c r="AE582" s="25"/>
      <c r="AF582" s="25"/>
      <c r="AG582" s="96"/>
      <c r="AH582" s="25"/>
    </row>
    <row r="583" spans="1:34" s="24" customFormat="1" ht="12.75">
      <c r="A583" s="26"/>
      <c r="B583" s="26"/>
      <c r="C583" s="26"/>
      <c r="D583" s="26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  <c r="AA583" s="25"/>
      <c r="AB583" s="25"/>
      <c r="AC583" s="25"/>
      <c r="AD583" s="25"/>
      <c r="AE583" s="25"/>
      <c r="AF583" s="25"/>
      <c r="AG583" s="96"/>
      <c r="AH583" s="25"/>
    </row>
    <row r="584" spans="1:34" s="24" customFormat="1" ht="12.75">
      <c r="A584" s="26"/>
      <c r="B584" s="26"/>
      <c r="C584" s="26"/>
      <c r="D584" s="26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  <c r="AA584" s="25"/>
      <c r="AB584" s="25"/>
      <c r="AC584" s="25"/>
      <c r="AD584" s="25"/>
      <c r="AE584" s="25"/>
      <c r="AF584" s="25"/>
      <c r="AG584" s="96"/>
      <c r="AH584" s="25"/>
    </row>
    <row r="585" spans="1:34" s="24" customFormat="1" ht="12.75">
      <c r="A585" s="26"/>
      <c r="B585" s="26"/>
      <c r="C585" s="26"/>
      <c r="D585" s="26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  <c r="AA585" s="25"/>
      <c r="AB585" s="25"/>
      <c r="AC585" s="25"/>
      <c r="AD585" s="25"/>
      <c r="AE585" s="25"/>
      <c r="AF585" s="25"/>
      <c r="AG585" s="96"/>
      <c r="AH585" s="25"/>
    </row>
    <row r="586" spans="1:34" s="24" customFormat="1" ht="12.75">
      <c r="A586" s="26"/>
      <c r="B586" s="26"/>
      <c r="C586" s="26"/>
      <c r="D586" s="26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  <c r="AA586" s="25"/>
      <c r="AB586" s="25"/>
      <c r="AC586" s="25"/>
      <c r="AD586" s="25"/>
      <c r="AE586" s="25"/>
      <c r="AF586" s="25"/>
      <c r="AG586" s="96"/>
      <c r="AH586" s="25"/>
    </row>
    <row r="587" spans="1:34" s="24" customFormat="1" ht="12.75">
      <c r="A587" s="26"/>
      <c r="B587" s="26"/>
      <c r="C587" s="26"/>
      <c r="D587" s="26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  <c r="AA587" s="25"/>
      <c r="AB587" s="25"/>
      <c r="AC587" s="25"/>
      <c r="AD587" s="25"/>
      <c r="AE587" s="25"/>
      <c r="AF587" s="25"/>
      <c r="AG587" s="96"/>
      <c r="AH587" s="25"/>
    </row>
    <row r="588" spans="1:34" s="24" customFormat="1" ht="12.75">
      <c r="A588" s="26"/>
      <c r="B588" s="26"/>
      <c r="C588" s="26"/>
      <c r="D588" s="26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  <c r="AA588" s="25"/>
      <c r="AB588" s="25"/>
      <c r="AC588" s="25"/>
      <c r="AD588" s="25"/>
      <c r="AE588" s="25"/>
      <c r="AF588" s="25"/>
      <c r="AG588" s="96"/>
      <c r="AH588" s="25"/>
    </row>
    <row r="589" spans="1:34" s="24" customFormat="1" ht="12.75">
      <c r="A589" s="26"/>
      <c r="B589" s="26"/>
      <c r="C589" s="26"/>
      <c r="D589" s="26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  <c r="AA589" s="25"/>
      <c r="AB589" s="25"/>
      <c r="AC589" s="25"/>
      <c r="AD589" s="25"/>
      <c r="AE589" s="25"/>
      <c r="AF589" s="25"/>
      <c r="AG589" s="96"/>
      <c r="AH589" s="25"/>
    </row>
    <row r="590" spans="1:34" s="24" customFormat="1" ht="12.75">
      <c r="A590" s="26"/>
      <c r="B590" s="26"/>
      <c r="C590" s="26"/>
      <c r="D590" s="26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  <c r="AA590" s="25"/>
      <c r="AB590" s="25"/>
      <c r="AC590" s="25"/>
      <c r="AD590" s="25"/>
      <c r="AE590" s="25"/>
      <c r="AF590" s="25"/>
      <c r="AG590" s="96"/>
      <c r="AH590" s="25"/>
    </row>
    <row r="591" spans="1:34" s="24" customFormat="1" ht="12.75">
      <c r="A591" s="26"/>
      <c r="B591" s="26"/>
      <c r="C591" s="26"/>
      <c r="D591" s="26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  <c r="AA591" s="25"/>
      <c r="AB591" s="25"/>
      <c r="AC591" s="25"/>
      <c r="AD591" s="25"/>
      <c r="AE591" s="25"/>
      <c r="AF591" s="25"/>
      <c r="AG591" s="96"/>
      <c r="AH591" s="25"/>
    </row>
    <row r="592" spans="1:34" s="24" customFormat="1" ht="12.75">
      <c r="A592" s="26"/>
      <c r="B592" s="26"/>
      <c r="C592" s="26"/>
      <c r="D592" s="26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  <c r="AA592" s="25"/>
      <c r="AB592" s="25"/>
      <c r="AC592" s="25"/>
      <c r="AD592" s="25"/>
      <c r="AE592" s="25"/>
      <c r="AF592" s="25"/>
      <c r="AG592" s="96"/>
      <c r="AH592" s="25"/>
    </row>
    <row r="593" spans="1:34" s="24" customFormat="1" ht="12.75">
      <c r="A593" s="26"/>
      <c r="B593" s="26"/>
      <c r="C593" s="26"/>
      <c r="D593" s="26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  <c r="AA593" s="25"/>
      <c r="AB593" s="25"/>
      <c r="AC593" s="25"/>
      <c r="AD593" s="25"/>
      <c r="AE593" s="25"/>
      <c r="AF593" s="25"/>
      <c r="AG593" s="96"/>
      <c r="AH593" s="25"/>
    </row>
    <row r="594" spans="1:34" s="24" customFormat="1" ht="12.75">
      <c r="A594" s="26"/>
      <c r="B594" s="26"/>
      <c r="C594" s="26"/>
      <c r="D594" s="26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  <c r="AA594" s="25"/>
      <c r="AB594" s="25"/>
      <c r="AC594" s="25"/>
      <c r="AD594" s="25"/>
      <c r="AE594" s="25"/>
      <c r="AF594" s="25"/>
      <c r="AG594" s="96"/>
      <c r="AH594" s="25"/>
    </row>
    <row r="595" spans="1:34" s="24" customFormat="1" ht="12.75">
      <c r="A595" s="26"/>
      <c r="B595" s="26"/>
      <c r="C595" s="26"/>
      <c r="D595" s="26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  <c r="AA595" s="25"/>
      <c r="AB595" s="25"/>
      <c r="AC595" s="25"/>
      <c r="AD595" s="25"/>
      <c r="AE595" s="25"/>
      <c r="AF595" s="25"/>
      <c r="AG595" s="96"/>
      <c r="AH595" s="25"/>
    </row>
    <row r="596" spans="1:34" s="24" customFormat="1" ht="12.75">
      <c r="A596" s="26"/>
      <c r="B596" s="26"/>
      <c r="C596" s="26"/>
      <c r="D596" s="26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  <c r="AA596" s="25"/>
      <c r="AB596" s="25"/>
      <c r="AC596" s="25"/>
      <c r="AD596" s="25"/>
      <c r="AE596" s="25"/>
      <c r="AF596" s="25"/>
      <c r="AG596" s="96"/>
      <c r="AH596" s="25"/>
    </row>
    <row r="597" spans="1:34" s="24" customFormat="1" ht="12.75">
      <c r="A597" s="26"/>
      <c r="B597" s="26"/>
      <c r="C597" s="26"/>
      <c r="D597" s="26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  <c r="AA597" s="25"/>
      <c r="AB597" s="25"/>
      <c r="AC597" s="25"/>
      <c r="AD597" s="25"/>
      <c r="AE597" s="25"/>
      <c r="AF597" s="25"/>
      <c r="AG597" s="96"/>
      <c r="AH597" s="25"/>
    </row>
    <row r="598" spans="1:34" s="24" customFormat="1" ht="12.75">
      <c r="A598" s="26"/>
      <c r="B598" s="26"/>
      <c r="C598" s="26"/>
      <c r="D598" s="26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  <c r="AA598" s="25"/>
      <c r="AB598" s="25"/>
      <c r="AC598" s="25"/>
      <c r="AD598" s="25"/>
      <c r="AE598" s="25"/>
      <c r="AF598" s="25"/>
      <c r="AG598" s="96"/>
      <c r="AH598" s="25"/>
    </row>
    <row r="599" spans="1:34" s="24" customFormat="1" ht="12.75">
      <c r="A599" s="26"/>
      <c r="B599" s="26"/>
      <c r="C599" s="26"/>
      <c r="D599" s="26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  <c r="AA599" s="25"/>
      <c r="AB599" s="25"/>
      <c r="AC599" s="25"/>
      <c r="AD599" s="25"/>
      <c r="AE599" s="25"/>
      <c r="AF599" s="25"/>
      <c r="AG599" s="96"/>
      <c r="AH599" s="25"/>
    </row>
    <row r="600" spans="1:34" s="24" customFormat="1" ht="12.75">
      <c r="A600" s="26"/>
      <c r="B600" s="26"/>
      <c r="C600" s="26"/>
      <c r="D600" s="26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  <c r="AA600" s="25"/>
      <c r="AB600" s="25"/>
      <c r="AC600" s="25"/>
      <c r="AD600" s="25"/>
      <c r="AE600" s="25"/>
      <c r="AF600" s="25"/>
      <c r="AG600" s="96"/>
      <c r="AH600" s="25"/>
    </row>
    <row r="601" spans="1:34" s="24" customFormat="1" ht="12.75">
      <c r="A601" s="26"/>
      <c r="B601" s="26"/>
      <c r="C601" s="26"/>
      <c r="D601" s="26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  <c r="AA601" s="25"/>
      <c r="AB601" s="25"/>
      <c r="AC601" s="25"/>
      <c r="AD601" s="25"/>
      <c r="AE601" s="25"/>
      <c r="AF601" s="25"/>
      <c r="AG601" s="96"/>
      <c r="AH601" s="25"/>
    </row>
    <row r="602" spans="1:34" s="24" customFormat="1" ht="12.75">
      <c r="A602" s="26"/>
      <c r="B602" s="26"/>
      <c r="C602" s="26"/>
      <c r="D602" s="26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  <c r="AA602" s="25"/>
      <c r="AB602" s="25"/>
      <c r="AC602" s="25"/>
      <c r="AD602" s="25"/>
      <c r="AE602" s="25"/>
      <c r="AF602" s="25"/>
      <c r="AG602" s="96"/>
      <c r="AH602" s="25"/>
    </row>
    <row r="603" spans="1:34" s="24" customFormat="1" ht="12.75">
      <c r="A603" s="26"/>
      <c r="B603" s="26"/>
      <c r="C603" s="26"/>
      <c r="D603" s="26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  <c r="AA603" s="25"/>
      <c r="AB603" s="25"/>
      <c r="AC603" s="25"/>
      <c r="AD603" s="25"/>
      <c r="AE603" s="25"/>
      <c r="AF603" s="25"/>
      <c r="AG603" s="96"/>
      <c r="AH603" s="25"/>
    </row>
    <row r="604" spans="1:34" s="24" customFormat="1" ht="12.75">
      <c r="A604" s="26"/>
      <c r="B604" s="26"/>
      <c r="C604" s="26"/>
      <c r="D604" s="26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  <c r="AA604" s="25"/>
      <c r="AB604" s="25"/>
      <c r="AC604" s="25"/>
      <c r="AD604" s="25"/>
      <c r="AE604" s="25"/>
      <c r="AF604" s="25"/>
      <c r="AG604" s="96"/>
      <c r="AH604" s="25"/>
    </row>
    <row r="605" spans="1:34" s="24" customFormat="1" ht="12.75">
      <c r="A605" s="26"/>
      <c r="B605" s="26"/>
      <c r="C605" s="26"/>
      <c r="D605" s="26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  <c r="AA605" s="25"/>
      <c r="AB605" s="25"/>
      <c r="AC605" s="25"/>
      <c r="AD605" s="25"/>
      <c r="AE605" s="25"/>
      <c r="AF605" s="25"/>
      <c r="AG605" s="96"/>
      <c r="AH605" s="25"/>
    </row>
    <row r="606" spans="1:34" s="24" customFormat="1" ht="12.75">
      <c r="A606" s="26"/>
      <c r="B606" s="26"/>
      <c r="C606" s="26"/>
      <c r="D606" s="26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  <c r="AA606" s="25"/>
      <c r="AB606" s="25"/>
      <c r="AC606" s="25"/>
      <c r="AD606" s="25"/>
      <c r="AE606" s="25"/>
      <c r="AF606" s="25"/>
      <c r="AG606" s="96"/>
      <c r="AH606" s="25"/>
    </row>
    <row r="607" spans="1:34" s="24" customFormat="1" ht="12.75">
      <c r="A607" s="26"/>
      <c r="B607" s="26"/>
      <c r="C607" s="26"/>
      <c r="D607" s="26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  <c r="AA607" s="25"/>
      <c r="AB607" s="25"/>
      <c r="AC607" s="25"/>
      <c r="AD607" s="25"/>
      <c r="AE607" s="25"/>
      <c r="AF607" s="25"/>
      <c r="AG607" s="96"/>
      <c r="AH607" s="25"/>
    </row>
    <row r="608" spans="1:34" s="24" customFormat="1" ht="12.75">
      <c r="A608" s="26"/>
      <c r="B608" s="26"/>
      <c r="C608" s="26"/>
      <c r="D608" s="26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  <c r="AA608" s="25"/>
      <c r="AB608" s="25"/>
      <c r="AC608" s="25"/>
      <c r="AD608" s="25"/>
      <c r="AE608" s="25"/>
      <c r="AF608" s="25"/>
      <c r="AG608" s="96"/>
      <c r="AH608" s="25"/>
    </row>
    <row r="609" spans="1:34" s="24" customFormat="1" ht="12.75">
      <c r="A609" s="26"/>
      <c r="B609" s="26"/>
      <c r="C609" s="26"/>
      <c r="D609" s="26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  <c r="AA609" s="25"/>
      <c r="AB609" s="25"/>
      <c r="AC609" s="25"/>
      <c r="AD609" s="25"/>
      <c r="AE609" s="25"/>
      <c r="AF609" s="25"/>
      <c r="AG609" s="96"/>
      <c r="AH609" s="25"/>
    </row>
    <row r="610" spans="1:34" s="24" customFormat="1" ht="12.75">
      <c r="A610" s="26"/>
      <c r="B610" s="26"/>
      <c r="C610" s="26"/>
      <c r="D610" s="26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  <c r="AA610" s="25"/>
      <c r="AB610" s="25"/>
      <c r="AC610" s="25"/>
      <c r="AD610" s="25"/>
      <c r="AE610" s="25"/>
      <c r="AF610" s="25"/>
      <c r="AG610" s="96"/>
      <c r="AH610" s="25"/>
    </row>
    <row r="611" spans="1:34" s="24" customFormat="1" ht="12.75">
      <c r="A611" s="26"/>
      <c r="B611" s="26"/>
      <c r="C611" s="26"/>
      <c r="D611" s="26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  <c r="AA611" s="25"/>
      <c r="AB611" s="25"/>
      <c r="AC611" s="25"/>
      <c r="AD611" s="25"/>
      <c r="AE611" s="25"/>
      <c r="AF611" s="25"/>
      <c r="AG611" s="96"/>
      <c r="AH611" s="25"/>
    </row>
    <row r="612" spans="1:34" s="24" customFormat="1" ht="12.75">
      <c r="A612" s="26"/>
      <c r="B612" s="26"/>
      <c r="C612" s="26"/>
      <c r="D612" s="26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  <c r="AA612" s="25"/>
      <c r="AB612" s="25"/>
      <c r="AC612" s="25"/>
      <c r="AD612" s="25"/>
      <c r="AE612" s="25"/>
      <c r="AF612" s="25"/>
      <c r="AG612" s="96"/>
      <c r="AH612" s="25"/>
    </row>
    <row r="613" spans="1:34" s="24" customFormat="1" ht="12.75">
      <c r="A613" s="26"/>
      <c r="B613" s="26"/>
      <c r="C613" s="26"/>
      <c r="D613" s="26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  <c r="AA613" s="25"/>
      <c r="AB613" s="25"/>
      <c r="AC613" s="25"/>
      <c r="AD613" s="25"/>
      <c r="AE613" s="25"/>
      <c r="AF613" s="25"/>
      <c r="AG613" s="96"/>
      <c r="AH613" s="25"/>
    </row>
    <row r="614" spans="1:34" s="24" customFormat="1" ht="12.75">
      <c r="A614" s="26"/>
      <c r="B614" s="26"/>
      <c r="C614" s="26"/>
      <c r="D614" s="26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  <c r="AA614" s="25"/>
      <c r="AB614" s="25"/>
      <c r="AC614" s="25"/>
      <c r="AD614" s="25"/>
      <c r="AE614" s="25"/>
      <c r="AF614" s="25"/>
      <c r="AG614" s="96"/>
      <c r="AH614" s="25"/>
    </row>
    <row r="615" spans="1:34" s="24" customFormat="1" ht="12.75">
      <c r="A615" s="26"/>
      <c r="B615" s="26"/>
      <c r="C615" s="26"/>
      <c r="D615" s="26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  <c r="AA615" s="25"/>
      <c r="AB615" s="25"/>
      <c r="AC615" s="25"/>
      <c r="AD615" s="25"/>
      <c r="AE615" s="25"/>
      <c r="AF615" s="25"/>
      <c r="AG615" s="96"/>
      <c r="AH615" s="25"/>
    </row>
    <row r="616" spans="1:34" s="24" customFormat="1" ht="12.75">
      <c r="A616" s="26"/>
      <c r="B616" s="26"/>
      <c r="C616" s="26"/>
      <c r="D616" s="26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  <c r="AA616" s="25"/>
      <c r="AB616" s="25"/>
      <c r="AC616" s="25"/>
      <c r="AD616" s="25"/>
      <c r="AE616" s="25"/>
      <c r="AF616" s="25"/>
      <c r="AG616" s="96"/>
      <c r="AH616" s="25"/>
    </row>
    <row r="617" spans="1:34" s="24" customFormat="1" ht="12.75">
      <c r="A617" s="26"/>
      <c r="B617" s="26"/>
      <c r="C617" s="26"/>
      <c r="D617" s="26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  <c r="AA617" s="25"/>
      <c r="AB617" s="25"/>
      <c r="AC617" s="25"/>
      <c r="AD617" s="25"/>
      <c r="AE617" s="25"/>
      <c r="AF617" s="25"/>
      <c r="AG617" s="96"/>
      <c r="AH617" s="25"/>
    </row>
    <row r="618" spans="1:34" s="24" customFormat="1" ht="12.75">
      <c r="A618" s="26"/>
      <c r="B618" s="26"/>
      <c r="C618" s="26"/>
      <c r="D618" s="26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  <c r="AA618" s="25"/>
      <c r="AB618" s="25"/>
      <c r="AC618" s="25"/>
      <c r="AD618" s="25"/>
      <c r="AE618" s="25"/>
      <c r="AF618" s="25"/>
      <c r="AG618" s="96"/>
      <c r="AH618" s="25"/>
    </row>
    <row r="619" spans="1:34" s="24" customFormat="1" ht="12.75">
      <c r="A619" s="26"/>
      <c r="B619" s="26"/>
      <c r="C619" s="26"/>
      <c r="D619" s="26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  <c r="AA619" s="25"/>
      <c r="AB619" s="25"/>
      <c r="AC619" s="25"/>
      <c r="AD619" s="25"/>
      <c r="AE619" s="25"/>
      <c r="AF619" s="25"/>
      <c r="AG619" s="96"/>
      <c r="AH619" s="25"/>
    </row>
    <row r="620" spans="1:34" s="24" customFormat="1" ht="12.75">
      <c r="A620" s="26"/>
      <c r="B620" s="26"/>
      <c r="C620" s="26"/>
      <c r="D620" s="26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  <c r="AA620" s="25"/>
      <c r="AB620" s="25"/>
      <c r="AC620" s="25"/>
      <c r="AD620" s="25"/>
      <c r="AE620" s="25"/>
      <c r="AF620" s="25"/>
      <c r="AG620" s="96"/>
      <c r="AH620" s="25"/>
    </row>
    <row r="621" spans="1:34" s="24" customFormat="1" ht="12.75">
      <c r="A621" s="26"/>
      <c r="B621" s="26"/>
      <c r="C621" s="26"/>
      <c r="D621" s="26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  <c r="AA621" s="25"/>
      <c r="AB621" s="25"/>
      <c r="AC621" s="25"/>
      <c r="AD621" s="25"/>
      <c r="AE621" s="25"/>
      <c r="AF621" s="25"/>
      <c r="AG621" s="96"/>
      <c r="AH621" s="25"/>
    </row>
    <row r="622" spans="1:34" s="24" customFormat="1" ht="12.75">
      <c r="A622" s="26"/>
      <c r="B622" s="26"/>
      <c r="C622" s="26"/>
      <c r="D622" s="26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  <c r="AA622" s="25"/>
      <c r="AB622" s="25"/>
      <c r="AC622" s="25"/>
      <c r="AD622" s="25"/>
      <c r="AE622" s="25"/>
      <c r="AF622" s="25"/>
      <c r="AG622" s="96"/>
      <c r="AH622" s="25"/>
    </row>
    <row r="623" spans="1:34" s="24" customFormat="1" ht="12.75">
      <c r="A623" s="26"/>
      <c r="B623" s="26"/>
      <c r="C623" s="26"/>
      <c r="D623" s="26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  <c r="AA623" s="25"/>
      <c r="AB623" s="25"/>
      <c r="AC623" s="25"/>
      <c r="AD623" s="25"/>
      <c r="AE623" s="25"/>
      <c r="AF623" s="25"/>
      <c r="AG623" s="96"/>
      <c r="AH623" s="25"/>
    </row>
    <row r="624" spans="1:34" s="24" customFormat="1" ht="12.75">
      <c r="A624" s="26"/>
      <c r="B624" s="26"/>
      <c r="C624" s="26"/>
      <c r="D624" s="26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  <c r="AA624" s="25"/>
      <c r="AB624" s="25"/>
      <c r="AC624" s="25"/>
      <c r="AD624" s="25"/>
      <c r="AE624" s="25"/>
      <c r="AF624" s="25"/>
      <c r="AG624" s="96"/>
      <c r="AH624" s="25"/>
    </row>
    <row r="625" spans="1:34" s="24" customFormat="1" ht="12.75">
      <c r="A625" s="26"/>
      <c r="B625" s="26"/>
      <c r="C625" s="26"/>
      <c r="D625" s="26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  <c r="AA625" s="25"/>
      <c r="AB625" s="25"/>
      <c r="AC625" s="25"/>
      <c r="AD625" s="25"/>
      <c r="AE625" s="25"/>
      <c r="AF625" s="25"/>
      <c r="AG625" s="96"/>
      <c r="AH625" s="25"/>
    </row>
    <row r="626" spans="1:34" s="24" customFormat="1" ht="12.75">
      <c r="A626" s="26"/>
      <c r="B626" s="26"/>
      <c r="C626" s="26"/>
      <c r="D626" s="26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  <c r="AA626" s="25"/>
      <c r="AB626" s="25"/>
      <c r="AC626" s="25"/>
      <c r="AD626" s="25"/>
      <c r="AE626" s="25"/>
      <c r="AF626" s="25"/>
      <c r="AG626" s="96"/>
      <c r="AH626" s="25"/>
    </row>
    <row r="627" spans="1:34" s="24" customFormat="1" ht="12.75">
      <c r="A627" s="26"/>
      <c r="B627" s="26"/>
      <c r="C627" s="26"/>
      <c r="D627" s="26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  <c r="AA627" s="25"/>
      <c r="AB627" s="25"/>
      <c r="AC627" s="25"/>
      <c r="AD627" s="25"/>
      <c r="AE627" s="25"/>
      <c r="AF627" s="25"/>
      <c r="AG627" s="96"/>
      <c r="AH627" s="25"/>
    </row>
    <row r="628" spans="1:34" s="24" customFormat="1" ht="12.75">
      <c r="A628" s="26"/>
      <c r="B628" s="26"/>
      <c r="C628" s="26"/>
      <c r="D628" s="26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  <c r="AA628" s="25"/>
      <c r="AB628" s="25"/>
      <c r="AC628" s="25"/>
      <c r="AD628" s="25"/>
      <c r="AE628" s="25"/>
      <c r="AF628" s="25"/>
      <c r="AG628" s="96"/>
      <c r="AH628" s="25"/>
    </row>
    <row r="629" spans="1:34" s="24" customFormat="1" ht="12.75">
      <c r="A629" s="26"/>
      <c r="B629" s="26"/>
      <c r="C629" s="26"/>
      <c r="D629" s="26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  <c r="AA629" s="25"/>
      <c r="AB629" s="25"/>
      <c r="AC629" s="25"/>
      <c r="AD629" s="25"/>
      <c r="AE629" s="25"/>
      <c r="AF629" s="25"/>
      <c r="AG629" s="96"/>
      <c r="AH629" s="25"/>
    </row>
    <row r="630" spans="1:34" s="24" customFormat="1" ht="12.75">
      <c r="A630" s="26"/>
      <c r="B630" s="26"/>
      <c r="C630" s="26"/>
      <c r="D630" s="26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  <c r="AA630" s="25"/>
      <c r="AB630" s="25"/>
      <c r="AC630" s="25"/>
      <c r="AD630" s="25"/>
      <c r="AE630" s="25"/>
      <c r="AF630" s="25"/>
      <c r="AG630" s="96"/>
      <c r="AH630" s="25"/>
    </row>
    <row r="631" spans="1:34" s="24" customFormat="1" ht="12.75">
      <c r="A631" s="26"/>
      <c r="B631" s="26"/>
      <c r="C631" s="26"/>
      <c r="D631" s="26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  <c r="AA631" s="25"/>
      <c r="AB631" s="25"/>
      <c r="AC631" s="25"/>
      <c r="AD631" s="25"/>
      <c r="AE631" s="25"/>
      <c r="AF631" s="25"/>
      <c r="AG631" s="96"/>
      <c r="AH631" s="25"/>
    </row>
    <row r="632" spans="1:34" s="24" customFormat="1" ht="12.75">
      <c r="A632" s="26"/>
      <c r="B632" s="26"/>
      <c r="C632" s="26"/>
      <c r="D632" s="26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  <c r="AA632" s="25"/>
      <c r="AB632" s="25"/>
      <c r="AC632" s="25"/>
      <c r="AD632" s="25"/>
      <c r="AE632" s="25"/>
      <c r="AF632" s="25"/>
      <c r="AG632" s="96"/>
      <c r="AH632" s="25"/>
    </row>
    <row r="633" spans="1:34" s="24" customFormat="1" ht="12.75">
      <c r="A633" s="26"/>
      <c r="B633" s="26"/>
      <c r="C633" s="26"/>
      <c r="D633" s="26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  <c r="AA633" s="25"/>
      <c r="AB633" s="25"/>
      <c r="AC633" s="25"/>
      <c r="AD633" s="25"/>
      <c r="AE633" s="25"/>
      <c r="AF633" s="25"/>
      <c r="AG633" s="96"/>
      <c r="AH633" s="25"/>
    </row>
    <row r="634" spans="1:34" s="24" customFormat="1" ht="12.75">
      <c r="A634" s="26"/>
      <c r="B634" s="26"/>
      <c r="C634" s="26"/>
      <c r="D634" s="26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  <c r="AA634" s="25"/>
      <c r="AB634" s="25"/>
      <c r="AC634" s="25"/>
      <c r="AD634" s="25"/>
      <c r="AE634" s="25"/>
      <c r="AF634" s="25"/>
      <c r="AG634" s="96"/>
      <c r="AH634" s="25"/>
    </row>
    <row r="635" spans="1:34" s="24" customFormat="1" ht="12.75">
      <c r="A635" s="26"/>
      <c r="B635" s="26"/>
      <c r="C635" s="26"/>
      <c r="D635" s="26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  <c r="AA635" s="25"/>
      <c r="AB635" s="25"/>
      <c r="AC635" s="25"/>
      <c r="AD635" s="25"/>
      <c r="AE635" s="25"/>
      <c r="AF635" s="25"/>
      <c r="AG635" s="96"/>
      <c r="AH635" s="25"/>
    </row>
    <row r="636" spans="1:34" s="24" customFormat="1" ht="12.75">
      <c r="A636" s="26"/>
      <c r="B636" s="26"/>
      <c r="C636" s="26"/>
      <c r="D636" s="26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  <c r="AA636" s="25"/>
      <c r="AB636" s="25"/>
      <c r="AC636" s="25"/>
      <c r="AD636" s="25"/>
      <c r="AE636" s="25"/>
      <c r="AF636" s="25"/>
      <c r="AG636" s="96"/>
      <c r="AH636" s="25"/>
    </row>
    <row r="637" spans="1:34" s="24" customFormat="1" ht="12.75">
      <c r="A637" s="26"/>
      <c r="B637" s="26"/>
      <c r="C637" s="26"/>
      <c r="D637" s="26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  <c r="AA637" s="25"/>
      <c r="AB637" s="25"/>
      <c r="AC637" s="25"/>
      <c r="AD637" s="25"/>
      <c r="AE637" s="25"/>
      <c r="AF637" s="25"/>
      <c r="AG637" s="96"/>
      <c r="AH637" s="25"/>
    </row>
    <row r="638" spans="1:34" s="24" customFormat="1" ht="12.75">
      <c r="A638" s="26"/>
      <c r="B638" s="26"/>
      <c r="C638" s="26"/>
      <c r="D638" s="26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  <c r="AA638" s="25"/>
      <c r="AB638" s="25"/>
      <c r="AC638" s="25"/>
      <c r="AD638" s="25"/>
      <c r="AE638" s="25"/>
      <c r="AF638" s="25"/>
      <c r="AG638" s="96"/>
      <c r="AH638" s="25"/>
    </row>
    <row r="639" spans="1:34" s="24" customFormat="1" ht="12.75">
      <c r="A639" s="26"/>
      <c r="B639" s="26"/>
      <c r="C639" s="26"/>
      <c r="D639" s="26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  <c r="AA639" s="25"/>
      <c r="AB639" s="25"/>
      <c r="AC639" s="25"/>
      <c r="AD639" s="25"/>
      <c r="AE639" s="25"/>
      <c r="AF639" s="25"/>
      <c r="AG639" s="96"/>
      <c r="AH639" s="25"/>
    </row>
    <row r="640" spans="1:34" s="24" customFormat="1" ht="12.75">
      <c r="A640" s="26"/>
      <c r="B640" s="26"/>
      <c r="C640" s="26"/>
      <c r="D640" s="26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  <c r="AA640" s="25"/>
      <c r="AB640" s="25"/>
      <c r="AC640" s="25"/>
      <c r="AD640" s="25"/>
      <c r="AE640" s="25"/>
      <c r="AF640" s="25"/>
      <c r="AG640" s="96"/>
      <c r="AH640" s="25"/>
    </row>
    <row r="641" spans="1:34" s="24" customFormat="1" ht="12.75">
      <c r="A641" s="26"/>
      <c r="B641" s="26"/>
      <c r="C641" s="26"/>
      <c r="D641" s="26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  <c r="AA641" s="25"/>
      <c r="AB641" s="25"/>
      <c r="AC641" s="25"/>
      <c r="AD641" s="25"/>
      <c r="AE641" s="25"/>
      <c r="AF641" s="25"/>
      <c r="AG641" s="96"/>
      <c r="AH641" s="25"/>
    </row>
    <row r="642" spans="1:34" s="24" customFormat="1" ht="12.75">
      <c r="A642" s="26"/>
      <c r="B642" s="26"/>
      <c r="C642" s="26"/>
      <c r="D642" s="26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  <c r="AA642" s="25"/>
      <c r="AB642" s="25"/>
      <c r="AC642" s="25"/>
      <c r="AD642" s="25"/>
      <c r="AE642" s="25"/>
      <c r="AF642" s="25"/>
      <c r="AG642" s="96"/>
      <c r="AH642" s="25"/>
    </row>
    <row r="643" spans="1:34" s="24" customFormat="1" ht="12.75">
      <c r="A643" s="26"/>
      <c r="B643" s="26"/>
      <c r="C643" s="26"/>
      <c r="D643" s="26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  <c r="AA643" s="25"/>
      <c r="AB643" s="25"/>
      <c r="AC643" s="25"/>
      <c r="AD643" s="25"/>
      <c r="AE643" s="25"/>
      <c r="AF643" s="25"/>
      <c r="AG643" s="96"/>
      <c r="AH643" s="25"/>
    </row>
    <row r="644" spans="1:34" s="24" customFormat="1" ht="12.75">
      <c r="A644" s="26"/>
      <c r="B644" s="26"/>
      <c r="C644" s="26"/>
      <c r="D644" s="26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  <c r="AA644" s="25"/>
      <c r="AB644" s="25"/>
      <c r="AC644" s="25"/>
      <c r="AD644" s="25"/>
      <c r="AE644" s="25"/>
      <c r="AF644" s="25"/>
      <c r="AG644" s="96"/>
      <c r="AH644" s="25"/>
    </row>
    <row r="645" spans="1:34" s="24" customFormat="1" ht="12.75">
      <c r="A645" s="26"/>
      <c r="B645" s="26"/>
      <c r="C645" s="26"/>
      <c r="D645" s="26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  <c r="AA645" s="25"/>
      <c r="AB645" s="25"/>
      <c r="AC645" s="25"/>
      <c r="AD645" s="25"/>
      <c r="AE645" s="25"/>
      <c r="AF645" s="25"/>
      <c r="AG645" s="96"/>
      <c r="AH645" s="25"/>
    </row>
    <row r="646" spans="1:34" s="24" customFormat="1" ht="12.75">
      <c r="A646" s="26"/>
      <c r="B646" s="26"/>
      <c r="C646" s="26"/>
      <c r="D646" s="26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  <c r="AA646" s="25"/>
      <c r="AB646" s="25"/>
      <c r="AC646" s="25"/>
      <c r="AD646" s="25"/>
      <c r="AE646" s="25"/>
      <c r="AF646" s="25"/>
      <c r="AG646" s="96"/>
      <c r="AH646" s="25"/>
    </row>
    <row r="647" spans="1:34" s="24" customFormat="1" ht="12.75">
      <c r="A647" s="26"/>
      <c r="B647" s="26"/>
      <c r="C647" s="26"/>
      <c r="D647" s="26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  <c r="AA647" s="25"/>
      <c r="AB647" s="25"/>
      <c r="AC647" s="25"/>
      <c r="AD647" s="25"/>
      <c r="AE647" s="25"/>
      <c r="AF647" s="25"/>
      <c r="AG647" s="96"/>
      <c r="AH647" s="25"/>
    </row>
    <row r="648" spans="1:34" s="24" customFormat="1" ht="12.75">
      <c r="A648" s="26"/>
      <c r="B648" s="26"/>
      <c r="C648" s="26"/>
      <c r="D648" s="26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  <c r="AA648" s="25"/>
      <c r="AB648" s="25"/>
      <c r="AC648" s="25"/>
      <c r="AD648" s="25"/>
      <c r="AE648" s="25"/>
      <c r="AF648" s="25"/>
      <c r="AG648" s="96"/>
      <c r="AH648" s="25"/>
    </row>
    <row r="649" spans="1:34" s="24" customFormat="1" ht="12.75">
      <c r="A649" s="26"/>
      <c r="B649" s="26"/>
      <c r="C649" s="26"/>
      <c r="D649" s="26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  <c r="AA649" s="25"/>
      <c r="AB649" s="25"/>
      <c r="AC649" s="25"/>
      <c r="AD649" s="25"/>
      <c r="AE649" s="25"/>
      <c r="AF649" s="25"/>
      <c r="AG649" s="96"/>
      <c r="AH649" s="25"/>
    </row>
    <row r="650" spans="1:34" s="24" customFormat="1" ht="12.75">
      <c r="A650" s="26"/>
      <c r="B650" s="26"/>
      <c r="C650" s="26"/>
      <c r="D650" s="26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  <c r="AA650" s="25"/>
      <c r="AB650" s="25"/>
      <c r="AC650" s="25"/>
      <c r="AD650" s="25"/>
      <c r="AE650" s="25"/>
      <c r="AF650" s="25"/>
      <c r="AG650" s="96"/>
      <c r="AH650" s="25"/>
    </row>
    <row r="651" spans="1:34" s="24" customFormat="1" ht="12.75">
      <c r="A651" s="26"/>
      <c r="B651" s="26"/>
      <c r="C651" s="26"/>
      <c r="D651" s="26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  <c r="AA651" s="25"/>
      <c r="AB651" s="25"/>
      <c r="AC651" s="25"/>
      <c r="AD651" s="25"/>
      <c r="AE651" s="25"/>
      <c r="AF651" s="25"/>
      <c r="AG651" s="96"/>
      <c r="AH651" s="25"/>
    </row>
    <row r="652" spans="1:34" s="24" customFormat="1" ht="12.75">
      <c r="A652" s="26"/>
      <c r="B652" s="26"/>
      <c r="C652" s="26"/>
      <c r="D652" s="26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  <c r="AA652" s="25"/>
      <c r="AB652" s="25"/>
      <c r="AC652" s="25"/>
      <c r="AD652" s="25"/>
      <c r="AE652" s="25"/>
      <c r="AF652" s="25"/>
      <c r="AG652" s="96"/>
      <c r="AH652" s="25"/>
    </row>
    <row r="653" spans="1:34" s="24" customFormat="1" ht="12.75">
      <c r="A653" s="26"/>
      <c r="B653" s="26"/>
      <c r="C653" s="26"/>
      <c r="D653" s="26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  <c r="AA653" s="25"/>
      <c r="AB653" s="25"/>
      <c r="AC653" s="25"/>
      <c r="AD653" s="25"/>
      <c r="AE653" s="25"/>
      <c r="AF653" s="25"/>
      <c r="AG653" s="96"/>
      <c r="AH653" s="25"/>
    </row>
    <row r="654" spans="1:34" s="24" customFormat="1" ht="12.75">
      <c r="A654" s="26"/>
      <c r="B654" s="26"/>
      <c r="C654" s="26"/>
      <c r="D654" s="26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  <c r="AA654" s="25"/>
      <c r="AB654" s="25"/>
      <c r="AC654" s="25"/>
      <c r="AD654" s="25"/>
      <c r="AE654" s="25"/>
      <c r="AF654" s="25"/>
      <c r="AG654" s="96"/>
      <c r="AH654" s="25"/>
    </row>
    <row r="655" spans="1:34" s="24" customFormat="1" ht="12.75">
      <c r="A655" s="26"/>
      <c r="B655" s="26"/>
      <c r="C655" s="26"/>
      <c r="D655" s="26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  <c r="AA655" s="25"/>
      <c r="AB655" s="25"/>
      <c r="AC655" s="25"/>
      <c r="AD655" s="25"/>
      <c r="AE655" s="25"/>
      <c r="AF655" s="25"/>
      <c r="AG655" s="96"/>
      <c r="AH655" s="25"/>
    </row>
    <row r="656" spans="1:34" s="24" customFormat="1" ht="12.75">
      <c r="A656" s="26"/>
      <c r="B656" s="26"/>
      <c r="C656" s="26"/>
      <c r="D656" s="26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  <c r="AA656" s="25"/>
      <c r="AB656" s="25"/>
      <c r="AC656" s="25"/>
      <c r="AD656" s="25"/>
      <c r="AE656" s="25"/>
      <c r="AF656" s="25"/>
      <c r="AG656" s="96"/>
      <c r="AH656" s="25"/>
    </row>
    <row r="657" spans="1:34" s="24" customFormat="1" ht="12.75">
      <c r="A657" s="26"/>
      <c r="B657" s="26"/>
      <c r="C657" s="26"/>
      <c r="D657" s="26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  <c r="AA657" s="25"/>
      <c r="AB657" s="25"/>
      <c r="AC657" s="25"/>
      <c r="AD657" s="25"/>
      <c r="AE657" s="25"/>
      <c r="AF657" s="25"/>
      <c r="AG657" s="96"/>
      <c r="AH657" s="25"/>
    </row>
    <row r="658" spans="1:34" s="24" customFormat="1" ht="12.75">
      <c r="A658" s="26"/>
      <c r="B658" s="26"/>
      <c r="C658" s="26"/>
      <c r="D658" s="26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  <c r="AA658" s="25"/>
      <c r="AB658" s="25"/>
      <c r="AC658" s="25"/>
      <c r="AD658" s="25"/>
      <c r="AE658" s="25"/>
      <c r="AF658" s="25"/>
      <c r="AG658" s="96"/>
      <c r="AH658" s="25"/>
    </row>
    <row r="659" spans="1:34" s="24" customFormat="1" ht="12.75">
      <c r="A659" s="26"/>
      <c r="B659" s="26"/>
      <c r="C659" s="26"/>
      <c r="D659" s="26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  <c r="AA659" s="25"/>
      <c r="AB659" s="25"/>
      <c r="AC659" s="25"/>
      <c r="AD659" s="25"/>
      <c r="AE659" s="25"/>
      <c r="AF659" s="25"/>
      <c r="AG659" s="96"/>
      <c r="AH659" s="25"/>
    </row>
    <row r="660" spans="1:34" s="24" customFormat="1" ht="12.75">
      <c r="A660" s="26"/>
      <c r="B660" s="26"/>
      <c r="C660" s="26"/>
      <c r="D660" s="26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  <c r="AA660" s="25"/>
      <c r="AB660" s="25"/>
      <c r="AC660" s="25"/>
      <c r="AD660" s="25"/>
      <c r="AE660" s="25"/>
      <c r="AF660" s="25"/>
      <c r="AG660" s="96"/>
      <c r="AH660" s="25"/>
    </row>
    <row r="661" spans="1:34" s="24" customFormat="1" ht="12.75">
      <c r="A661" s="26"/>
      <c r="B661" s="26"/>
      <c r="C661" s="26"/>
      <c r="D661" s="26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  <c r="AA661" s="25"/>
      <c r="AB661" s="25"/>
      <c r="AC661" s="25"/>
      <c r="AD661" s="25"/>
      <c r="AE661" s="25"/>
      <c r="AF661" s="25"/>
      <c r="AG661" s="96"/>
      <c r="AH661" s="25"/>
    </row>
    <row r="662" spans="1:34" s="24" customFormat="1" ht="12.75">
      <c r="A662" s="26"/>
      <c r="B662" s="26"/>
      <c r="C662" s="26"/>
      <c r="D662" s="26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  <c r="AA662" s="25"/>
      <c r="AB662" s="25"/>
      <c r="AC662" s="25"/>
      <c r="AD662" s="25"/>
      <c r="AE662" s="25"/>
      <c r="AF662" s="25"/>
      <c r="AG662" s="96"/>
      <c r="AH662" s="25"/>
    </row>
    <row r="663" spans="1:34" s="24" customFormat="1" ht="12.75">
      <c r="A663" s="26"/>
      <c r="B663" s="26"/>
      <c r="C663" s="26"/>
      <c r="D663" s="26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  <c r="AA663" s="25"/>
      <c r="AB663" s="25"/>
      <c r="AC663" s="25"/>
      <c r="AD663" s="25"/>
      <c r="AE663" s="25"/>
      <c r="AF663" s="25"/>
      <c r="AG663" s="96"/>
      <c r="AH663" s="25"/>
    </row>
    <row r="664" spans="1:34" s="24" customFormat="1" ht="12.75">
      <c r="A664" s="26"/>
      <c r="B664" s="26"/>
      <c r="C664" s="26"/>
      <c r="D664" s="26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  <c r="AA664" s="25"/>
      <c r="AB664" s="25"/>
      <c r="AC664" s="25"/>
      <c r="AD664" s="25"/>
      <c r="AE664" s="25"/>
      <c r="AF664" s="25"/>
      <c r="AG664" s="96"/>
      <c r="AH664" s="25"/>
    </row>
    <row r="665" spans="1:34" s="24" customFormat="1" ht="12.75">
      <c r="A665" s="26"/>
      <c r="B665" s="26"/>
      <c r="C665" s="26"/>
      <c r="D665" s="26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  <c r="AA665" s="25"/>
      <c r="AB665" s="25"/>
      <c r="AC665" s="25"/>
      <c r="AD665" s="25"/>
      <c r="AE665" s="25"/>
      <c r="AF665" s="25"/>
      <c r="AG665" s="96"/>
      <c r="AH665" s="25"/>
    </row>
    <row r="666" spans="1:34" s="24" customFormat="1" ht="12.75">
      <c r="A666" s="26"/>
      <c r="B666" s="26"/>
      <c r="C666" s="26"/>
      <c r="D666" s="26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  <c r="AA666" s="25"/>
      <c r="AB666" s="25"/>
      <c r="AC666" s="25"/>
      <c r="AD666" s="25"/>
      <c r="AE666" s="25"/>
      <c r="AF666" s="25"/>
      <c r="AG666" s="96"/>
      <c r="AH666" s="25"/>
    </row>
    <row r="667" spans="1:34" s="24" customFormat="1" ht="12.75">
      <c r="A667" s="26"/>
      <c r="B667" s="26"/>
      <c r="C667" s="26"/>
      <c r="D667" s="26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  <c r="AA667" s="25"/>
      <c r="AB667" s="25"/>
      <c r="AC667" s="25"/>
      <c r="AD667" s="25"/>
      <c r="AE667" s="25"/>
      <c r="AF667" s="25"/>
      <c r="AG667" s="96"/>
      <c r="AH667" s="25"/>
    </row>
    <row r="668" spans="1:34" s="24" customFormat="1" ht="12.75">
      <c r="A668" s="26"/>
      <c r="B668" s="26"/>
      <c r="C668" s="26"/>
      <c r="D668" s="26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  <c r="AA668" s="25"/>
      <c r="AB668" s="25"/>
      <c r="AC668" s="25"/>
      <c r="AD668" s="25"/>
      <c r="AE668" s="25"/>
      <c r="AF668" s="25"/>
      <c r="AG668" s="96"/>
      <c r="AH668" s="25"/>
    </row>
    <row r="669" spans="1:34" s="24" customFormat="1" ht="12.75">
      <c r="A669" s="26"/>
      <c r="B669" s="26"/>
      <c r="C669" s="26"/>
      <c r="D669" s="26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  <c r="AA669" s="25"/>
      <c r="AB669" s="25"/>
      <c r="AC669" s="25"/>
      <c r="AD669" s="25"/>
      <c r="AE669" s="25"/>
      <c r="AF669" s="25"/>
      <c r="AG669" s="96"/>
      <c r="AH669" s="25"/>
    </row>
    <row r="670" spans="1:34" s="24" customFormat="1" ht="12.75">
      <c r="A670" s="26"/>
      <c r="B670" s="26"/>
      <c r="C670" s="26"/>
      <c r="D670" s="26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  <c r="AA670" s="25"/>
      <c r="AB670" s="25"/>
      <c r="AC670" s="25"/>
      <c r="AD670" s="25"/>
      <c r="AE670" s="25"/>
      <c r="AF670" s="25"/>
      <c r="AG670" s="96"/>
      <c r="AH670" s="25"/>
    </row>
    <row r="671" spans="1:34" s="24" customFormat="1" ht="12.75">
      <c r="A671" s="26"/>
      <c r="B671" s="26"/>
      <c r="C671" s="26"/>
      <c r="D671" s="26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  <c r="AA671" s="25"/>
      <c r="AB671" s="25"/>
      <c r="AC671" s="25"/>
      <c r="AD671" s="25"/>
      <c r="AE671" s="25"/>
      <c r="AF671" s="25"/>
      <c r="AG671" s="96"/>
      <c r="AH671" s="25"/>
    </row>
    <row r="672" spans="1:34" s="24" customFormat="1" ht="12.75">
      <c r="A672" s="26"/>
      <c r="B672" s="26"/>
      <c r="C672" s="26"/>
      <c r="D672" s="26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  <c r="AA672" s="25"/>
      <c r="AB672" s="25"/>
      <c r="AC672" s="25"/>
      <c r="AD672" s="25"/>
      <c r="AE672" s="25"/>
      <c r="AF672" s="25"/>
      <c r="AG672" s="96"/>
      <c r="AH672" s="25"/>
    </row>
    <row r="673" spans="1:34" s="24" customFormat="1" ht="12.75">
      <c r="A673" s="26"/>
      <c r="B673" s="26"/>
      <c r="C673" s="26"/>
      <c r="D673" s="26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  <c r="AA673" s="25"/>
      <c r="AB673" s="25"/>
      <c r="AC673" s="25"/>
      <c r="AD673" s="25"/>
      <c r="AE673" s="25"/>
      <c r="AF673" s="25"/>
      <c r="AG673" s="96"/>
      <c r="AH673" s="25"/>
    </row>
    <row r="674" spans="1:34" s="24" customFormat="1" ht="12.75">
      <c r="A674" s="26"/>
      <c r="B674" s="26"/>
      <c r="C674" s="26"/>
      <c r="D674" s="26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  <c r="AA674" s="25"/>
      <c r="AB674" s="25"/>
      <c r="AC674" s="25"/>
      <c r="AD674" s="25"/>
      <c r="AE674" s="25"/>
      <c r="AF674" s="25"/>
      <c r="AG674" s="96"/>
      <c r="AH674" s="25"/>
    </row>
    <row r="675" spans="1:34" s="24" customFormat="1" ht="12.75">
      <c r="A675" s="26"/>
      <c r="B675" s="26"/>
      <c r="C675" s="26"/>
      <c r="D675" s="26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  <c r="AA675" s="25"/>
      <c r="AB675" s="25"/>
      <c r="AC675" s="25"/>
      <c r="AD675" s="25"/>
      <c r="AE675" s="25"/>
      <c r="AF675" s="25"/>
      <c r="AG675" s="96"/>
      <c r="AH675" s="25"/>
    </row>
    <row r="676" spans="1:34" s="24" customFormat="1" ht="12.75">
      <c r="A676" s="26"/>
      <c r="B676" s="26"/>
      <c r="C676" s="26"/>
      <c r="D676" s="26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  <c r="AA676" s="25"/>
      <c r="AB676" s="25"/>
      <c r="AC676" s="25"/>
      <c r="AD676" s="25"/>
      <c r="AE676" s="25"/>
      <c r="AF676" s="25"/>
      <c r="AG676" s="96"/>
      <c r="AH676" s="25"/>
    </row>
    <row r="677" spans="1:34" s="24" customFormat="1" ht="12.75">
      <c r="A677" s="26"/>
      <c r="B677" s="26"/>
      <c r="C677" s="26"/>
      <c r="D677" s="26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  <c r="AA677" s="25"/>
      <c r="AB677" s="25"/>
      <c r="AC677" s="25"/>
      <c r="AD677" s="25"/>
      <c r="AE677" s="25"/>
      <c r="AF677" s="25"/>
      <c r="AG677" s="96"/>
      <c r="AH677" s="25"/>
    </row>
    <row r="678" spans="1:34" s="24" customFormat="1" ht="12.75">
      <c r="A678" s="26"/>
      <c r="B678" s="26"/>
      <c r="C678" s="26"/>
      <c r="D678" s="26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  <c r="AA678" s="25"/>
      <c r="AB678" s="25"/>
      <c r="AC678" s="25"/>
      <c r="AD678" s="25"/>
      <c r="AE678" s="25"/>
      <c r="AF678" s="25"/>
      <c r="AG678" s="96"/>
      <c r="AH678" s="25"/>
    </row>
    <row r="679" spans="1:34" s="24" customFormat="1" ht="12.75">
      <c r="A679" s="26"/>
      <c r="B679" s="26"/>
      <c r="C679" s="26"/>
      <c r="D679" s="26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  <c r="AA679" s="25"/>
      <c r="AB679" s="25"/>
      <c r="AC679" s="25"/>
      <c r="AD679" s="25"/>
      <c r="AE679" s="25"/>
      <c r="AF679" s="25"/>
      <c r="AG679" s="96"/>
      <c r="AH679" s="25"/>
    </row>
    <row r="680" spans="1:34" s="24" customFormat="1" ht="12.75">
      <c r="A680" s="26"/>
      <c r="B680" s="26"/>
      <c r="C680" s="26"/>
      <c r="D680" s="26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  <c r="AA680" s="25"/>
      <c r="AB680" s="25"/>
      <c r="AC680" s="25"/>
      <c r="AD680" s="25"/>
      <c r="AE680" s="25"/>
      <c r="AF680" s="25"/>
      <c r="AG680" s="96"/>
      <c r="AH680" s="25"/>
    </row>
    <row r="681" spans="1:34" s="24" customFormat="1" ht="12.75">
      <c r="A681" s="26"/>
      <c r="B681" s="26"/>
      <c r="C681" s="26"/>
      <c r="D681" s="26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  <c r="AA681" s="25"/>
      <c r="AB681" s="25"/>
      <c r="AC681" s="25"/>
      <c r="AD681" s="25"/>
      <c r="AE681" s="25"/>
      <c r="AF681" s="25"/>
      <c r="AG681" s="96"/>
      <c r="AH681" s="25"/>
    </row>
    <row r="682" spans="1:34" s="24" customFormat="1" ht="12.75">
      <c r="A682" s="26"/>
      <c r="B682" s="26"/>
      <c r="C682" s="26"/>
      <c r="D682" s="26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  <c r="AA682" s="25"/>
      <c r="AB682" s="25"/>
      <c r="AC682" s="25"/>
      <c r="AD682" s="25"/>
      <c r="AE682" s="25"/>
      <c r="AF682" s="25"/>
      <c r="AG682" s="96"/>
      <c r="AH682" s="25"/>
    </row>
    <row r="683" spans="1:34" s="24" customFormat="1" ht="12.75">
      <c r="A683" s="26"/>
      <c r="B683" s="26"/>
      <c r="C683" s="26"/>
      <c r="D683" s="26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  <c r="AA683" s="25"/>
      <c r="AB683" s="25"/>
      <c r="AC683" s="25"/>
      <c r="AD683" s="25"/>
      <c r="AE683" s="25"/>
      <c r="AF683" s="25"/>
      <c r="AG683" s="96"/>
      <c r="AH683" s="25"/>
    </row>
    <row r="684" spans="1:34" s="24" customFormat="1" ht="12.75">
      <c r="A684" s="26"/>
      <c r="B684" s="26"/>
      <c r="C684" s="26"/>
      <c r="D684" s="26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  <c r="AA684" s="25"/>
      <c r="AB684" s="25"/>
      <c r="AC684" s="25"/>
      <c r="AD684" s="25"/>
      <c r="AE684" s="25"/>
      <c r="AF684" s="25"/>
      <c r="AG684" s="96"/>
      <c r="AH684" s="25"/>
    </row>
    <row r="685" spans="1:34" s="24" customFormat="1" ht="12.75">
      <c r="A685" s="26"/>
      <c r="B685" s="26"/>
      <c r="C685" s="26"/>
      <c r="D685" s="26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  <c r="AA685" s="25"/>
      <c r="AB685" s="25"/>
      <c r="AC685" s="25"/>
      <c r="AD685" s="25"/>
      <c r="AE685" s="25"/>
      <c r="AF685" s="25"/>
      <c r="AG685" s="96"/>
      <c r="AH685" s="25"/>
    </row>
    <row r="686" spans="1:34" s="24" customFormat="1" ht="12.75">
      <c r="A686" s="26"/>
      <c r="B686" s="26"/>
      <c r="C686" s="26"/>
      <c r="D686" s="26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  <c r="AA686" s="25"/>
      <c r="AB686" s="25"/>
      <c r="AC686" s="25"/>
      <c r="AD686" s="25"/>
      <c r="AE686" s="25"/>
      <c r="AF686" s="25"/>
      <c r="AG686" s="96"/>
      <c r="AH686" s="25"/>
    </row>
    <row r="687" spans="1:34" s="24" customFormat="1" ht="12.75">
      <c r="A687" s="26"/>
      <c r="B687" s="26"/>
      <c r="C687" s="26"/>
      <c r="D687" s="26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  <c r="AA687" s="25"/>
      <c r="AB687" s="25"/>
      <c r="AC687" s="25"/>
      <c r="AD687" s="25"/>
      <c r="AE687" s="25"/>
      <c r="AF687" s="25"/>
      <c r="AG687" s="96"/>
      <c r="AH687" s="25"/>
    </row>
    <row r="688" spans="1:34" s="24" customFormat="1" ht="12.75">
      <c r="A688" s="26"/>
      <c r="B688" s="26"/>
      <c r="C688" s="26"/>
      <c r="D688" s="26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  <c r="AA688" s="25"/>
      <c r="AB688" s="25"/>
      <c r="AC688" s="25"/>
      <c r="AD688" s="25"/>
      <c r="AE688" s="25"/>
      <c r="AF688" s="25"/>
      <c r="AG688" s="96"/>
      <c r="AH688" s="25"/>
    </row>
    <row r="689" spans="1:34" s="24" customFormat="1" ht="12.75">
      <c r="A689" s="26"/>
      <c r="B689" s="26"/>
      <c r="C689" s="26"/>
      <c r="D689" s="26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  <c r="AA689" s="25"/>
      <c r="AB689" s="25"/>
      <c r="AC689" s="25"/>
      <c r="AD689" s="25"/>
      <c r="AE689" s="25"/>
      <c r="AF689" s="25"/>
      <c r="AG689" s="96"/>
      <c r="AH689" s="25"/>
    </row>
    <row r="690" spans="1:34" s="24" customFormat="1" ht="12.75">
      <c r="A690" s="26"/>
      <c r="B690" s="26"/>
      <c r="C690" s="26"/>
      <c r="D690" s="26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  <c r="AA690" s="25"/>
      <c r="AB690" s="25"/>
      <c r="AC690" s="25"/>
      <c r="AD690" s="25"/>
      <c r="AE690" s="25"/>
      <c r="AF690" s="25"/>
      <c r="AG690" s="96"/>
      <c r="AH690" s="25"/>
    </row>
    <row r="691" spans="1:34" s="24" customFormat="1" ht="12.75">
      <c r="A691" s="26"/>
      <c r="B691" s="26"/>
      <c r="C691" s="26"/>
      <c r="D691" s="26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  <c r="AA691" s="25"/>
      <c r="AB691" s="25"/>
      <c r="AC691" s="25"/>
      <c r="AD691" s="25"/>
      <c r="AE691" s="25"/>
      <c r="AF691" s="25"/>
      <c r="AG691" s="96"/>
      <c r="AH691" s="25"/>
    </row>
    <row r="692" spans="1:34" s="24" customFormat="1" ht="12.75">
      <c r="A692" s="26"/>
      <c r="B692" s="26"/>
      <c r="C692" s="26"/>
      <c r="D692" s="26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  <c r="AA692" s="25"/>
      <c r="AB692" s="25"/>
      <c r="AC692" s="25"/>
      <c r="AD692" s="25"/>
      <c r="AE692" s="25"/>
      <c r="AF692" s="25"/>
      <c r="AG692" s="96"/>
      <c r="AH692" s="25"/>
    </row>
    <row r="693" spans="1:34" s="24" customFormat="1" ht="12.75">
      <c r="A693" s="26"/>
      <c r="B693" s="26"/>
      <c r="C693" s="26"/>
      <c r="D693" s="26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  <c r="AA693" s="25"/>
      <c r="AB693" s="25"/>
      <c r="AC693" s="25"/>
      <c r="AD693" s="25"/>
      <c r="AE693" s="25"/>
      <c r="AF693" s="25"/>
      <c r="AG693" s="96"/>
      <c r="AH693" s="25"/>
    </row>
    <row r="694" spans="1:34" s="24" customFormat="1" ht="12.75">
      <c r="A694" s="26"/>
      <c r="B694" s="26"/>
      <c r="C694" s="26"/>
      <c r="D694" s="26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  <c r="AA694" s="25"/>
      <c r="AB694" s="25"/>
      <c r="AC694" s="25"/>
      <c r="AD694" s="25"/>
      <c r="AE694" s="25"/>
      <c r="AF694" s="25"/>
      <c r="AG694" s="96"/>
      <c r="AH694" s="25"/>
    </row>
    <row r="695" spans="1:34" s="24" customFormat="1" ht="12.75">
      <c r="A695" s="26"/>
      <c r="B695" s="26"/>
      <c r="C695" s="26"/>
      <c r="D695" s="26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  <c r="AA695" s="25"/>
      <c r="AB695" s="25"/>
      <c r="AC695" s="25"/>
      <c r="AD695" s="25"/>
      <c r="AE695" s="25"/>
      <c r="AF695" s="25"/>
      <c r="AG695" s="96"/>
      <c r="AH695" s="25"/>
    </row>
    <row r="696" spans="1:34" s="24" customFormat="1" ht="12.75">
      <c r="A696" s="26"/>
      <c r="B696" s="26"/>
      <c r="C696" s="26"/>
      <c r="D696" s="26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  <c r="AA696" s="25"/>
      <c r="AB696" s="25"/>
      <c r="AC696" s="25"/>
      <c r="AD696" s="25"/>
      <c r="AE696" s="25"/>
      <c r="AF696" s="25"/>
      <c r="AG696" s="96"/>
      <c r="AH696" s="25"/>
    </row>
    <row r="697" spans="1:34" s="24" customFormat="1" ht="12.75">
      <c r="A697" s="26"/>
      <c r="B697" s="26"/>
      <c r="C697" s="26"/>
      <c r="D697" s="26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  <c r="AA697" s="25"/>
      <c r="AB697" s="25"/>
      <c r="AC697" s="25"/>
      <c r="AD697" s="25"/>
      <c r="AE697" s="25"/>
      <c r="AF697" s="25"/>
      <c r="AG697" s="96"/>
      <c r="AH697" s="25"/>
    </row>
    <row r="698" spans="1:34" s="24" customFormat="1" ht="12.75">
      <c r="A698" s="26"/>
      <c r="B698" s="26"/>
      <c r="C698" s="26"/>
      <c r="D698" s="26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  <c r="AA698" s="25"/>
      <c r="AB698" s="25"/>
      <c r="AC698" s="25"/>
      <c r="AD698" s="25"/>
      <c r="AE698" s="25"/>
      <c r="AF698" s="25"/>
      <c r="AG698" s="96"/>
      <c r="AH698" s="25"/>
    </row>
    <row r="699" spans="1:34" s="24" customFormat="1" ht="12.75">
      <c r="A699" s="26"/>
      <c r="B699" s="26"/>
      <c r="C699" s="26"/>
      <c r="D699" s="26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  <c r="AA699" s="25"/>
      <c r="AB699" s="25"/>
      <c r="AC699" s="25"/>
      <c r="AD699" s="25"/>
      <c r="AE699" s="25"/>
      <c r="AF699" s="25"/>
      <c r="AG699" s="96"/>
      <c r="AH699" s="25"/>
    </row>
    <row r="700" spans="1:34" s="24" customFormat="1" ht="12.75">
      <c r="A700" s="26"/>
      <c r="B700" s="26"/>
      <c r="C700" s="26"/>
      <c r="D700" s="26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  <c r="AA700" s="25"/>
      <c r="AB700" s="25"/>
      <c r="AC700" s="25"/>
      <c r="AD700" s="25"/>
      <c r="AE700" s="25"/>
      <c r="AF700" s="25"/>
      <c r="AG700" s="96"/>
      <c r="AH700" s="25"/>
    </row>
    <row r="701" spans="1:34" s="24" customFormat="1" ht="12.75">
      <c r="A701" s="26"/>
      <c r="B701" s="26"/>
      <c r="C701" s="26"/>
      <c r="D701" s="26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  <c r="AA701" s="25"/>
      <c r="AB701" s="25"/>
      <c r="AC701" s="25"/>
      <c r="AD701" s="25"/>
      <c r="AE701" s="25"/>
      <c r="AF701" s="25"/>
      <c r="AG701" s="96"/>
      <c r="AH701" s="25"/>
    </row>
    <row r="702" spans="1:34" s="24" customFormat="1" ht="12.75">
      <c r="A702" s="26"/>
      <c r="B702" s="26"/>
      <c r="C702" s="26"/>
      <c r="D702" s="26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  <c r="AA702" s="25"/>
      <c r="AB702" s="25"/>
      <c r="AC702" s="25"/>
      <c r="AD702" s="25"/>
      <c r="AE702" s="25"/>
      <c r="AF702" s="25"/>
      <c r="AG702" s="96"/>
      <c r="AH702" s="25"/>
    </row>
    <row r="703" spans="1:34" s="24" customFormat="1" ht="12.75">
      <c r="A703" s="26"/>
      <c r="B703" s="26"/>
      <c r="C703" s="26"/>
      <c r="D703" s="26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  <c r="AA703" s="25"/>
      <c r="AB703" s="25"/>
      <c r="AC703" s="25"/>
      <c r="AD703" s="25"/>
      <c r="AE703" s="25"/>
      <c r="AF703" s="25"/>
      <c r="AG703" s="96"/>
      <c r="AH703" s="25"/>
    </row>
    <row r="704" spans="1:34" s="24" customFormat="1" ht="12.75">
      <c r="A704" s="26"/>
      <c r="B704" s="26"/>
      <c r="C704" s="26"/>
      <c r="D704" s="26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  <c r="AA704" s="25"/>
      <c r="AB704" s="25"/>
      <c r="AC704" s="25"/>
      <c r="AD704" s="25"/>
      <c r="AE704" s="25"/>
      <c r="AF704" s="25"/>
      <c r="AG704" s="96"/>
      <c r="AH704" s="25"/>
    </row>
    <row r="705" spans="1:34" s="24" customFormat="1" ht="12.75">
      <c r="A705" s="26"/>
      <c r="B705" s="26"/>
      <c r="C705" s="26"/>
      <c r="D705" s="26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  <c r="AA705" s="25"/>
      <c r="AB705" s="25"/>
      <c r="AC705" s="25"/>
      <c r="AD705" s="25"/>
      <c r="AE705" s="25"/>
      <c r="AF705" s="25"/>
      <c r="AG705" s="96"/>
      <c r="AH705" s="25"/>
    </row>
    <row r="706" spans="1:34" s="24" customFormat="1" ht="12.75">
      <c r="A706" s="26"/>
      <c r="B706" s="26"/>
      <c r="C706" s="26"/>
      <c r="D706" s="26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  <c r="AA706" s="25"/>
      <c r="AB706" s="25"/>
      <c r="AC706" s="25"/>
      <c r="AD706" s="25"/>
      <c r="AE706" s="25"/>
      <c r="AF706" s="25"/>
      <c r="AG706" s="96"/>
      <c r="AH706" s="25"/>
    </row>
    <row r="707" spans="1:34" s="24" customFormat="1" ht="12.75">
      <c r="A707" s="26"/>
      <c r="B707" s="26"/>
      <c r="C707" s="26"/>
      <c r="D707" s="26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  <c r="AA707" s="25"/>
      <c r="AB707" s="25"/>
      <c r="AC707" s="25"/>
      <c r="AD707" s="25"/>
      <c r="AE707" s="25"/>
      <c r="AF707" s="25"/>
      <c r="AG707" s="96"/>
      <c r="AH707" s="25"/>
    </row>
    <row r="708" spans="1:34" s="24" customFormat="1" ht="12.75">
      <c r="A708" s="26"/>
      <c r="B708" s="26"/>
      <c r="C708" s="26"/>
      <c r="D708" s="26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  <c r="AA708" s="25"/>
      <c r="AB708" s="25"/>
      <c r="AC708" s="25"/>
      <c r="AD708" s="25"/>
      <c r="AE708" s="25"/>
      <c r="AF708" s="25"/>
      <c r="AG708" s="96"/>
      <c r="AH708" s="25"/>
    </row>
    <row r="709" spans="1:34" s="24" customFormat="1" ht="12.75">
      <c r="A709" s="26"/>
      <c r="B709" s="26"/>
      <c r="C709" s="26"/>
      <c r="D709" s="26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  <c r="AA709" s="25"/>
      <c r="AB709" s="25"/>
      <c r="AC709" s="25"/>
      <c r="AD709" s="25"/>
      <c r="AE709" s="25"/>
      <c r="AF709" s="25"/>
      <c r="AG709" s="96"/>
      <c r="AH709" s="25"/>
    </row>
    <row r="710" spans="1:34" s="24" customFormat="1" ht="12.75">
      <c r="A710" s="26"/>
      <c r="B710" s="26"/>
      <c r="C710" s="26"/>
      <c r="D710" s="26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  <c r="AA710" s="25"/>
      <c r="AB710" s="25"/>
      <c r="AC710" s="25"/>
      <c r="AD710" s="25"/>
      <c r="AE710" s="25"/>
      <c r="AF710" s="25"/>
      <c r="AG710" s="96"/>
      <c r="AH710" s="25"/>
    </row>
    <row r="711" spans="1:34" s="24" customFormat="1" ht="12.75">
      <c r="A711" s="26"/>
      <c r="B711" s="26"/>
      <c r="C711" s="26"/>
      <c r="D711" s="26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  <c r="AA711" s="25"/>
      <c r="AB711" s="25"/>
      <c r="AC711" s="25"/>
      <c r="AD711" s="25"/>
      <c r="AE711" s="25"/>
      <c r="AF711" s="25"/>
      <c r="AG711" s="96"/>
      <c r="AH711" s="25"/>
    </row>
    <row r="712" spans="1:34" s="24" customFormat="1" ht="12.75">
      <c r="A712" s="26"/>
      <c r="B712" s="26"/>
      <c r="C712" s="26"/>
      <c r="D712" s="26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  <c r="AA712" s="25"/>
      <c r="AB712" s="25"/>
      <c r="AC712" s="25"/>
      <c r="AD712" s="25"/>
      <c r="AE712" s="25"/>
      <c r="AF712" s="25"/>
      <c r="AG712" s="96"/>
      <c r="AH712" s="25"/>
    </row>
    <row r="713" spans="1:34" s="24" customFormat="1" ht="12.75">
      <c r="A713" s="26"/>
      <c r="B713" s="26"/>
      <c r="C713" s="26"/>
      <c r="D713" s="26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  <c r="AA713" s="25"/>
      <c r="AB713" s="25"/>
      <c r="AC713" s="25"/>
      <c r="AD713" s="25"/>
      <c r="AE713" s="25"/>
      <c r="AF713" s="25"/>
      <c r="AG713" s="96"/>
      <c r="AH713" s="25"/>
    </row>
    <row r="714" spans="1:34" s="24" customFormat="1" ht="12.75">
      <c r="A714" s="26"/>
      <c r="B714" s="26"/>
      <c r="C714" s="26"/>
      <c r="D714" s="26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  <c r="AA714" s="25"/>
      <c r="AB714" s="25"/>
      <c r="AC714" s="25"/>
      <c r="AD714" s="25"/>
      <c r="AE714" s="25"/>
      <c r="AF714" s="25"/>
      <c r="AG714" s="96"/>
      <c r="AH714" s="25"/>
    </row>
    <row r="715" spans="1:34" s="24" customFormat="1" ht="12.75">
      <c r="A715" s="26"/>
      <c r="B715" s="26"/>
      <c r="C715" s="26"/>
      <c r="D715" s="26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  <c r="AA715" s="25"/>
      <c r="AB715" s="25"/>
      <c r="AC715" s="25"/>
      <c r="AD715" s="25"/>
      <c r="AE715" s="25"/>
      <c r="AF715" s="25"/>
      <c r="AG715" s="96"/>
      <c r="AH715" s="25"/>
    </row>
    <row r="716" spans="1:34" s="24" customFormat="1" ht="12.75">
      <c r="A716" s="26"/>
      <c r="B716" s="26"/>
      <c r="C716" s="26"/>
      <c r="D716" s="26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  <c r="AA716" s="25"/>
      <c r="AB716" s="25"/>
      <c r="AC716" s="25"/>
      <c r="AD716" s="25"/>
      <c r="AE716" s="25"/>
      <c r="AF716" s="25"/>
      <c r="AG716" s="96"/>
      <c r="AH716" s="25"/>
    </row>
    <row r="717" spans="1:34" s="24" customFormat="1" ht="12.75">
      <c r="A717" s="26"/>
      <c r="B717" s="26"/>
      <c r="C717" s="26"/>
      <c r="D717" s="26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  <c r="AA717" s="25"/>
      <c r="AB717" s="25"/>
      <c r="AC717" s="25"/>
      <c r="AD717" s="25"/>
      <c r="AE717" s="25"/>
      <c r="AF717" s="25"/>
      <c r="AG717" s="96"/>
      <c r="AH717" s="25"/>
    </row>
    <row r="718" spans="1:34" s="24" customFormat="1" ht="12.75">
      <c r="A718" s="26"/>
      <c r="B718" s="26"/>
      <c r="C718" s="26"/>
      <c r="D718" s="26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  <c r="AA718" s="25"/>
      <c r="AB718" s="25"/>
      <c r="AC718" s="25"/>
      <c r="AD718" s="25"/>
      <c r="AE718" s="25"/>
      <c r="AF718" s="25"/>
      <c r="AG718" s="96"/>
      <c r="AH718" s="25"/>
    </row>
    <row r="719" spans="1:34" s="24" customFormat="1" ht="12.75">
      <c r="A719" s="26"/>
      <c r="B719" s="26"/>
      <c r="C719" s="26"/>
      <c r="D719" s="26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  <c r="AA719" s="25"/>
      <c r="AB719" s="25"/>
      <c r="AC719" s="25"/>
      <c r="AD719" s="25"/>
      <c r="AE719" s="25"/>
      <c r="AF719" s="25"/>
      <c r="AG719" s="96"/>
      <c r="AH719" s="25"/>
    </row>
    <row r="720" spans="1:34" s="24" customFormat="1" ht="12.75">
      <c r="A720" s="26"/>
      <c r="B720" s="26"/>
      <c r="C720" s="26"/>
      <c r="D720" s="26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  <c r="AA720" s="25"/>
      <c r="AB720" s="25"/>
      <c r="AC720" s="25"/>
      <c r="AD720" s="25"/>
      <c r="AE720" s="25"/>
      <c r="AF720" s="25"/>
      <c r="AG720" s="96"/>
      <c r="AH720" s="25"/>
    </row>
    <row r="721" spans="1:34" s="24" customFormat="1" ht="12.75">
      <c r="A721" s="26"/>
      <c r="B721" s="26"/>
      <c r="C721" s="26"/>
      <c r="D721" s="26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  <c r="AA721" s="25"/>
      <c r="AB721" s="25"/>
      <c r="AC721" s="25"/>
      <c r="AD721" s="25"/>
      <c r="AE721" s="25"/>
      <c r="AF721" s="25"/>
      <c r="AG721" s="96"/>
      <c r="AH721" s="25"/>
    </row>
  </sheetData>
  <mergeCells count="1">
    <mergeCell ref="A6:AG6"/>
  </mergeCells>
  <printOptions horizontalCentered="1"/>
  <pageMargins left="0.3937007874015748" right="0.5118110236220472" top="0.7874015748031497" bottom="0.5905511811023623" header="0.5118110236220472" footer="0.31496062992125984"/>
  <pageSetup firstPageNumber="1" useFirstPageNumber="1" horizontalDpi="600" verticalDpi="600" orientation="portrait" paperSize="9" r:id="rId3"/>
  <headerFooter alignWithMargins="0">
    <oddFooter>&amp;C&amp;8Wydatki - str.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89"/>
  <sheetViews>
    <sheetView zoomScale="80" zoomScaleNormal="80" workbookViewId="0" topLeftCell="A1">
      <selection activeCell="Y8" sqref="Y8"/>
    </sheetView>
  </sheetViews>
  <sheetFormatPr defaultColWidth="9.00390625" defaultRowHeight="12.75"/>
  <cols>
    <col min="1" max="1" width="4.875" style="8" customWidth="1"/>
    <col min="2" max="2" width="7.25390625" style="8" bestFit="1" customWidth="1"/>
    <col min="3" max="3" width="6.875" style="8" customWidth="1"/>
    <col min="4" max="4" width="40.625" style="8" bestFit="1" customWidth="1"/>
    <col min="5" max="5" width="28.75390625" style="8" customWidth="1"/>
    <col min="6" max="6" width="34.875" style="8" hidden="1" customWidth="1"/>
    <col min="7" max="7" width="11.00390625" style="8" hidden="1" customWidth="1"/>
    <col min="8" max="8" width="43.625" style="8" hidden="1" customWidth="1"/>
    <col min="9" max="9" width="13.75390625" style="8" hidden="1" customWidth="1"/>
    <col min="10" max="10" width="45.25390625" style="8" hidden="1" customWidth="1"/>
    <col min="11" max="11" width="12.125" style="8" hidden="1" customWidth="1"/>
    <col min="12" max="12" width="43.625" style="8" hidden="1" customWidth="1"/>
    <col min="13" max="13" width="15.25390625" style="8" hidden="1" customWidth="1"/>
    <col min="14" max="14" width="43.625" style="8" hidden="1" customWidth="1"/>
    <col min="15" max="15" width="13.00390625" style="8" hidden="1" customWidth="1"/>
    <col min="16" max="16" width="43.625" style="8" hidden="1" customWidth="1"/>
    <col min="17" max="17" width="13.75390625" style="8" hidden="1" customWidth="1"/>
    <col min="18" max="18" width="48.375" style="8" hidden="1" customWidth="1"/>
    <col min="19" max="19" width="13.75390625" style="8" hidden="1" customWidth="1"/>
    <col min="20" max="20" width="18.875" style="8" customWidth="1"/>
    <col min="21" max="21" width="13.00390625" style="8" customWidth="1"/>
    <col min="22" max="22" width="18.875" style="8" customWidth="1"/>
  </cols>
  <sheetData>
    <row r="1" spans="5:21" ht="19.5" customHeight="1">
      <c r="E1" s="98"/>
      <c r="F1" s="98" t="s">
        <v>31</v>
      </c>
      <c r="G1" s="98"/>
      <c r="H1" s="66" t="s">
        <v>98</v>
      </c>
      <c r="I1" s="98"/>
      <c r="J1" s="66" t="s">
        <v>143</v>
      </c>
      <c r="K1" s="66"/>
      <c r="L1" s="66" t="s">
        <v>209</v>
      </c>
      <c r="M1" s="66"/>
      <c r="N1" s="66" t="s">
        <v>539</v>
      </c>
      <c r="O1" s="66"/>
      <c r="P1" s="66" t="s">
        <v>493</v>
      </c>
      <c r="Q1" s="66"/>
      <c r="R1" s="66" t="s">
        <v>566</v>
      </c>
      <c r="S1" s="66"/>
      <c r="T1" s="265" t="s">
        <v>239</v>
      </c>
      <c r="U1" s="66"/>
    </row>
    <row r="2" spans="5:21" ht="19.5" customHeight="1">
      <c r="E2" s="98"/>
      <c r="F2" s="98" t="s">
        <v>698</v>
      </c>
      <c r="G2" s="98"/>
      <c r="H2" s="66" t="s">
        <v>88</v>
      </c>
      <c r="I2" s="98"/>
      <c r="J2" s="66" t="s">
        <v>141</v>
      </c>
      <c r="K2" s="66"/>
      <c r="L2" s="66" t="s">
        <v>207</v>
      </c>
      <c r="M2" s="66"/>
      <c r="N2" s="66" t="s">
        <v>537</v>
      </c>
      <c r="O2" s="66"/>
      <c r="P2" s="66" t="s">
        <v>490</v>
      </c>
      <c r="Q2" s="66"/>
      <c r="R2" s="66" t="s">
        <v>564</v>
      </c>
      <c r="S2" s="66"/>
      <c r="T2" s="66" t="s">
        <v>237</v>
      </c>
      <c r="U2" s="66"/>
    </row>
    <row r="3" spans="5:21" ht="19.5" customHeight="1">
      <c r="E3" s="98"/>
      <c r="F3" s="98" t="s">
        <v>4</v>
      </c>
      <c r="G3" s="98"/>
      <c r="H3" s="66" t="s">
        <v>31</v>
      </c>
      <c r="I3" s="98"/>
      <c r="J3" s="66" t="s">
        <v>98</v>
      </c>
      <c r="K3" s="66"/>
      <c r="L3" s="66" t="s">
        <v>143</v>
      </c>
      <c r="M3" s="66"/>
      <c r="N3" s="66" t="s">
        <v>209</v>
      </c>
      <c r="O3" s="66"/>
      <c r="P3" s="66" t="s">
        <v>539</v>
      </c>
      <c r="Q3" s="66"/>
      <c r="R3" s="66" t="s">
        <v>493</v>
      </c>
      <c r="S3" s="66"/>
      <c r="T3" s="66" t="s">
        <v>566</v>
      </c>
      <c r="U3" s="66"/>
    </row>
    <row r="4" spans="5:21" ht="19.5" customHeight="1">
      <c r="E4" s="98"/>
      <c r="F4" s="98" t="s">
        <v>700</v>
      </c>
      <c r="G4" s="98"/>
      <c r="H4" s="66" t="s">
        <v>39</v>
      </c>
      <c r="I4" s="98"/>
      <c r="J4" s="66" t="s">
        <v>117</v>
      </c>
      <c r="K4" s="66"/>
      <c r="L4" s="66" t="s">
        <v>147</v>
      </c>
      <c r="M4" s="66"/>
      <c r="N4" s="66" t="s">
        <v>228</v>
      </c>
      <c r="O4" s="66"/>
      <c r="P4" s="66" t="s">
        <v>724</v>
      </c>
      <c r="Q4" s="66"/>
      <c r="R4" s="66" t="s">
        <v>628</v>
      </c>
      <c r="S4" s="66"/>
      <c r="T4" s="66" t="s">
        <v>238</v>
      </c>
      <c r="U4" s="66"/>
    </row>
    <row r="5" spans="1:22" ht="72.75" customHeight="1">
      <c r="A5" s="321" t="s">
        <v>137</v>
      </c>
      <c r="B5" s="321"/>
      <c r="C5" s="321"/>
      <c r="D5" s="321"/>
      <c r="E5" s="321"/>
      <c r="F5" s="321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</row>
    <row r="6" spans="1:22" ht="21.75" customHeight="1">
      <c r="A6" s="325" t="s">
        <v>90</v>
      </c>
      <c r="B6" s="325"/>
      <c r="C6" s="325"/>
      <c r="D6" s="325"/>
      <c r="E6" s="325"/>
      <c r="F6" s="195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</row>
    <row r="7" spans="1:22" ht="22.5" customHeight="1">
      <c r="A7" s="187" t="s">
        <v>645</v>
      </c>
      <c r="B7" s="188"/>
      <c r="C7" s="188"/>
      <c r="D7" s="188"/>
      <c r="E7" s="188"/>
      <c r="F7" s="188"/>
      <c r="G7" s="188"/>
      <c r="H7" s="189"/>
      <c r="I7" s="188"/>
      <c r="J7" s="189"/>
      <c r="K7" s="188"/>
      <c r="L7" s="189"/>
      <c r="M7" s="188"/>
      <c r="N7" s="189"/>
      <c r="O7" s="188"/>
      <c r="P7" s="189"/>
      <c r="Q7" s="188"/>
      <c r="R7" s="189"/>
      <c r="S7" s="188"/>
      <c r="T7" s="189"/>
      <c r="U7" s="188"/>
      <c r="V7" s="189"/>
    </row>
    <row r="8" spans="1:22" s="117" customFormat="1" ht="29.25" customHeight="1">
      <c r="A8" s="5" t="s">
        <v>244</v>
      </c>
      <c r="B8" s="5" t="s">
        <v>245</v>
      </c>
      <c r="C8" s="5" t="s">
        <v>246</v>
      </c>
      <c r="D8" s="5" t="s">
        <v>646</v>
      </c>
      <c r="E8" s="5" t="s">
        <v>647</v>
      </c>
      <c r="F8" s="139" t="s">
        <v>717</v>
      </c>
      <c r="G8" s="139" t="s">
        <v>716</v>
      </c>
      <c r="H8" s="139" t="s">
        <v>717</v>
      </c>
      <c r="I8" s="139" t="s">
        <v>506</v>
      </c>
      <c r="J8" s="139" t="s">
        <v>119</v>
      </c>
      <c r="K8" s="139" t="s">
        <v>716</v>
      </c>
      <c r="L8" s="139" t="s">
        <v>717</v>
      </c>
      <c r="M8" s="139" t="s">
        <v>716</v>
      </c>
      <c r="N8" s="139" t="s">
        <v>717</v>
      </c>
      <c r="O8" s="139" t="s">
        <v>716</v>
      </c>
      <c r="P8" s="139" t="s">
        <v>717</v>
      </c>
      <c r="Q8" s="139" t="s">
        <v>716</v>
      </c>
      <c r="R8" s="139" t="s">
        <v>413</v>
      </c>
      <c r="S8" s="139" t="s">
        <v>716</v>
      </c>
      <c r="T8" s="139" t="s">
        <v>413</v>
      </c>
      <c r="U8" s="139" t="s">
        <v>716</v>
      </c>
      <c r="V8" s="139" t="s">
        <v>718</v>
      </c>
    </row>
    <row r="9" spans="1:22" s="154" customFormat="1" ht="30" customHeight="1">
      <c r="A9" s="152" t="s">
        <v>648</v>
      </c>
      <c r="B9" s="153"/>
      <c r="C9" s="153"/>
      <c r="D9" s="153"/>
      <c r="E9" s="153"/>
      <c r="F9" s="18">
        <f aca="true" t="shared" si="0" ref="F9:L9">SUM(F10:F11)</f>
        <v>2633797</v>
      </c>
      <c r="G9" s="18">
        <f t="shared" si="0"/>
        <v>0</v>
      </c>
      <c r="H9" s="18">
        <f t="shared" si="0"/>
        <v>2633797</v>
      </c>
      <c r="I9" s="18">
        <f t="shared" si="0"/>
        <v>500</v>
      </c>
      <c r="J9" s="18">
        <f t="shared" si="0"/>
        <v>2634297</v>
      </c>
      <c r="K9" s="18">
        <f t="shared" si="0"/>
        <v>0</v>
      </c>
      <c r="L9" s="18">
        <f t="shared" si="0"/>
        <v>2634297</v>
      </c>
      <c r="M9" s="18">
        <f aca="true" t="shared" si="1" ref="M9:R9">SUM(M10:M11)</f>
        <v>86839</v>
      </c>
      <c r="N9" s="18">
        <f t="shared" si="1"/>
        <v>2721136</v>
      </c>
      <c r="O9" s="18">
        <f t="shared" si="1"/>
        <v>0</v>
      </c>
      <c r="P9" s="18">
        <f t="shared" si="1"/>
        <v>2721136</v>
      </c>
      <c r="Q9" s="18">
        <f t="shared" si="1"/>
        <v>44985</v>
      </c>
      <c r="R9" s="18">
        <f t="shared" si="1"/>
        <v>2766121</v>
      </c>
      <c r="S9" s="18">
        <f>SUM(S10:S11)</f>
        <v>4000</v>
      </c>
      <c r="T9" s="18">
        <f>SUM(T10:T11)</f>
        <v>2770121</v>
      </c>
      <c r="U9" s="18">
        <f>SUM(U10:U11)</f>
        <v>0</v>
      </c>
      <c r="V9" s="18">
        <f>SUM(V10:V11)</f>
        <v>2770121</v>
      </c>
    </row>
    <row r="10" spans="1:22" s="155" customFormat="1" ht="21.75" customHeight="1">
      <c r="A10" s="76">
        <v>801</v>
      </c>
      <c r="B10" s="58">
        <v>80104</v>
      </c>
      <c r="C10" s="78">
        <v>2510</v>
      </c>
      <c r="D10" s="14" t="s">
        <v>649</v>
      </c>
      <c r="E10" s="14" t="s">
        <v>650</v>
      </c>
      <c r="F10" s="87">
        <v>2624508</v>
      </c>
      <c r="G10" s="87"/>
      <c r="H10" s="87">
        <v>2624508</v>
      </c>
      <c r="I10" s="87">
        <v>500</v>
      </c>
      <c r="J10" s="87">
        <f>SUM(H10:I10)</f>
        <v>2625008</v>
      </c>
      <c r="K10" s="87">
        <v>0</v>
      </c>
      <c r="L10" s="87">
        <f>SUM(J10:K10)</f>
        <v>2625008</v>
      </c>
      <c r="M10" s="87">
        <v>86839</v>
      </c>
      <c r="N10" s="87">
        <f>SUM(L10:M10)</f>
        <v>2711847</v>
      </c>
      <c r="O10" s="87">
        <v>0</v>
      </c>
      <c r="P10" s="87">
        <f>SUM(N10:O10)</f>
        <v>2711847</v>
      </c>
      <c r="Q10" s="87">
        <f>43185+1800</f>
        <v>44985</v>
      </c>
      <c r="R10" s="87">
        <f>SUM(P10:Q10)</f>
        <v>2756832</v>
      </c>
      <c r="S10" s="87">
        <v>4000</v>
      </c>
      <c r="T10" s="87">
        <f>SUM(R10:S10)</f>
        <v>2760832</v>
      </c>
      <c r="U10" s="87">
        <v>0</v>
      </c>
      <c r="V10" s="87">
        <f>SUM(T10:U10)</f>
        <v>2760832</v>
      </c>
    </row>
    <row r="11" spans="1:22" s="155" customFormat="1" ht="22.5">
      <c r="A11" s="76">
        <v>801</v>
      </c>
      <c r="B11" s="76">
        <v>80146</v>
      </c>
      <c r="C11" s="58">
        <v>2510</v>
      </c>
      <c r="D11" s="180" t="s">
        <v>649</v>
      </c>
      <c r="E11" s="180" t="s">
        <v>651</v>
      </c>
      <c r="F11" s="156">
        <v>9289</v>
      </c>
      <c r="G11" s="156"/>
      <c r="H11" s="156">
        <v>9289</v>
      </c>
      <c r="I11" s="156"/>
      <c r="J11" s="156">
        <v>9289</v>
      </c>
      <c r="K11" s="156">
        <v>0</v>
      </c>
      <c r="L11" s="156">
        <v>9289</v>
      </c>
      <c r="M11" s="156">
        <v>0</v>
      </c>
      <c r="N11" s="156">
        <v>9289</v>
      </c>
      <c r="O11" s="156">
        <v>0</v>
      </c>
      <c r="P11" s="156">
        <v>9289</v>
      </c>
      <c r="Q11" s="156">
        <v>0</v>
      </c>
      <c r="R11" s="156">
        <v>9289</v>
      </c>
      <c r="S11" s="156">
        <v>0</v>
      </c>
      <c r="T11" s="156">
        <v>9289</v>
      </c>
      <c r="U11" s="156">
        <v>0</v>
      </c>
      <c r="V11" s="156">
        <v>9289</v>
      </c>
    </row>
    <row r="12" spans="1:22" s="154" customFormat="1" ht="30" customHeight="1">
      <c r="A12" s="152" t="s">
        <v>652</v>
      </c>
      <c r="B12" s="153"/>
      <c r="C12" s="153"/>
      <c r="D12" s="153"/>
      <c r="E12" s="153"/>
      <c r="F12" s="18">
        <f aca="true" t="shared" si="2" ref="F12:L12">SUM(F13:F14)</f>
        <v>329691</v>
      </c>
      <c r="G12" s="18">
        <f t="shared" si="2"/>
        <v>0</v>
      </c>
      <c r="H12" s="18">
        <f t="shared" si="2"/>
        <v>329691</v>
      </c>
      <c r="I12" s="18">
        <f t="shared" si="2"/>
        <v>0</v>
      </c>
      <c r="J12" s="18">
        <f t="shared" si="2"/>
        <v>329691</v>
      </c>
      <c r="K12" s="18">
        <f t="shared" si="2"/>
        <v>0</v>
      </c>
      <c r="L12" s="18">
        <f t="shared" si="2"/>
        <v>329691</v>
      </c>
      <c r="M12" s="18">
        <f aca="true" t="shared" si="3" ref="M12:R12">SUM(M13:M14)</f>
        <v>22222</v>
      </c>
      <c r="N12" s="18">
        <f t="shared" si="3"/>
        <v>351913</v>
      </c>
      <c r="O12" s="18">
        <f t="shared" si="3"/>
        <v>0</v>
      </c>
      <c r="P12" s="18">
        <f t="shared" si="3"/>
        <v>351913</v>
      </c>
      <c r="Q12" s="18">
        <f t="shared" si="3"/>
        <v>0</v>
      </c>
      <c r="R12" s="18">
        <f t="shared" si="3"/>
        <v>351913</v>
      </c>
      <c r="S12" s="18">
        <f>SUM(S13:S14)</f>
        <v>0</v>
      </c>
      <c r="T12" s="18">
        <f>SUM(T13:T14)</f>
        <v>351913</v>
      </c>
      <c r="U12" s="18">
        <f>SUM(U13:U14)</f>
        <v>0</v>
      </c>
      <c r="V12" s="18">
        <f>SUM(V13:V14)</f>
        <v>351913</v>
      </c>
    </row>
    <row r="13" spans="1:22" s="155" customFormat="1" ht="22.5">
      <c r="A13" s="76">
        <v>801</v>
      </c>
      <c r="B13" s="58">
        <v>80101</v>
      </c>
      <c r="C13" s="78">
        <v>2540</v>
      </c>
      <c r="D13" s="14" t="s">
        <v>653</v>
      </c>
      <c r="E13" s="14" t="s">
        <v>654</v>
      </c>
      <c r="F13" s="87">
        <v>262446</v>
      </c>
      <c r="G13" s="87"/>
      <c r="H13" s="87">
        <v>262446</v>
      </c>
      <c r="I13" s="87"/>
      <c r="J13" s="87">
        <v>262446</v>
      </c>
      <c r="K13" s="87">
        <v>0</v>
      </c>
      <c r="L13" s="87">
        <v>262446</v>
      </c>
      <c r="M13" s="87">
        <v>22222</v>
      </c>
      <c r="N13" s="87">
        <f>SUM(L13:M13)</f>
        <v>284668</v>
      </c>
      <c r="O13" s="87">
        <v>0</v>
      </c>
      <c r="P13" s="87">
        <f>SUM(N13:O13)</f>
        <v>284668</v>
      </c>
      <c r="Q13" s="87">
        <v>0</v>
      </c>
      <c r="R13" s="87">
        <f>SUM(P13:Q13)</f>
        <v>284668</v>
      </c>
      <c r="S13" s="87">
        <v>0</v>
      </c>
      <c r="T13" s="87">
        <f>SUM(R13:S13)</f>
        <v>284668</v>
      </c>
      <c r="U13" s="87">
        <v>0</v>
      </c>
      <c r="V13" s="87">
        <f>SUM(T13:U13)</f>
        <v>284668</v>
      </c>
    </row>
    <row r="14" spans="1:22" s="155" customFormat="1" ht="22.5">
      <c r="A14" s="76">
        <v>801</v>
      </c>
      <c r="B14" s="75">
        <v>80103</v>
      </c>
      <c r="C14" s="58">
        <v>2540</v>
      </c>
      <c r="D14" s="181" t="s">
        <v>655</v>
      </c>
      <c r="E14" s="14" t="s">
        <v>656</v>
      </c>
      <c r="F14" s="87">
        <v>67245</v>
      </c>
      <c r="G14" s="87"/>
      <c r="H14" s="87">
        <v>67245</v>
      </c>
      <c r="I14" s="87"/>
      <c r="J14" s="87">
        <v>67245</v>
      </c>
      <c r="K14" s="87">
        <v>0</v>
      </c>
      <c r="L14" s="87">
        <v>67245</v>
      </c>
      <c r="M14" s="87">
        <v>0</v>
      </c>
      <c r="N14" s="87">
        <f>SUM(L14:M14)</f>
        <v>67245</v>
      </c>
      <c r="O14" s="87">
        <v>0</v>
      </c>
      <c r="P14" s="87">
        <f>SUM(N14:O14)</f>
        <v>67245</v>
      </c>
      <c r="Q14" s="87">
        <v>0</v>
      </c>
      <c r="R14" s="87">
        <f>SUM(P14:Q14)</f>
        <v>67245</v>
      </c>
      <c r="S14" s="87">
        <v>0</v>
      </c>
      <c r="T14" s="87">
        <f>SUM(R14:S14)</f>
        <v>67245</v>
      </c>
      <c r="U14" s="87">
        <v>0</v>
      </c>
      <c r="V14" s="87">
        <f>SUM(T14:U14)</f>
        <v>67245</v>
      </c>
    </row>
    <row r="15" spans="1:22" s="154" customFormat="1" ht="30" customHeight="1">
      <c r="A15" s="152" t="s">
        <v>657</v>
      </c>
      <c r="B15" s="153"/>
      <c r="C15" s="153"/>
      <c r="D15" s="153"/>
      <c r="E15" s="153"/>
      <c r="F15" s="18">
        <f aca="true" t="shared" si="4" ref="F15:L15">SUM(F16:F21)</f>
        <v>1819960</v>
      </c>
      <c r="G15" s="18">
        <f t="shared" si="4"/>
        <v>11500</v>
      </c>
      <c r="H15" s="18">
        <f t="shared" si="4"/>
        <v>1831460</v>
      </c>
      <c r="I15" s="18">
        <f t="shared" si="4"/>
        <v>0</v>
      </c>
      <c r="J15" s="18">
        <f t="shared" si="4"/>
        <v>1831460</v>
      </c>
      <c r="K15" s="18">
        <f t="shared" si="4"/>
        <v>0</v>
      </c>
      <c r="L15" s="18">
        <f t="shared" si="4"/>
        <v>1831460</v>
      </c>
      <c r="M15" s="18">
        <f aca="true" t="shared" si="5" ref="M15:R15">SUM(M16:M21)</f>
        <v>20000</v>
      </c>
      <c r="N15" s="18">
        <f t="shared" si="5"/>
        <v>1851460</v>
      </c>
      <c r="O15" s="18">
        <f t="shared" si="5"/>
        <v>0</v>
      </c>
      <c r="P15" s="18">
        <f t="shared" si="5"/>
        <v>1851460</v>
      </c>
      <c r="Q15" s="18">
        <f t="shared" si="5"/>
        <v>0</v>
      </c>
      <c r="R15" s="18">
        <f t="shared" si="5"/>
        <v>1851460</v>
      </c>
      <c r="S15" s="18">
        <f>SUM(S16:S21)</f>
        <v>0</v>
      </c>
      <c r="T15" s="18">
        <f>SUM(T16:T21)</f>
        <v>1851460</v>
      </c>
      <c r="U15" s="18">
        <f>SUM(U16:U21)</f>
        <v>0</v>
      </c>
      <c r="V15" s="18">
        <f>SUM(V16:V21)</f>
        <v>1851460</v>
      </c>
    </row>
    <row r="16" spans="1:22" s="155" customFormat="1" ht="23.25" customHeight="1">
      <c r="A16" s="76" t="s">
        <v>324</v>
      </c>
      <c r="B16" s="58">
        <v>92109</v>
      </c>
      <c r="C16" s="84">
        <v>2480</v>
      </c>
      <c r="D16" s="14" t="s">
        <v>658</v>
      </c>
      <c r="E16" s="14" t="s">
        <v>659</v>
      </c>
      <c r="F16" s="87">
        <f>450590+76000</f>
        <v>526590</v>
      </c>
      <c r="G16" s="87"/>
      <c r="H16" s="87">
        <f>SUM(F16:G16)</f>
        <v>526590</v>
      </c>
      <c r="I16" s="87"/>
      <c r="J16" s="87">
        <f>SUM(H16:I16)</f>
        <v>526590</v>
      </c>
      <c r="K16" s="87">
        <v>0</v>
      </c>
      <c r="L16" s="87">
        <f>SUM(J16:K16)</f>
        <v>526590</v>
      </c>
      <c r="M16" s="87">
        <v>20000</v>
      </c>
      <c r="N16" s="87">
        <f>SUM(L16:M16)</f>
        <v>546590</v>
      </c>
      <c r="O16" s="87">
        <v>0</v>
      </c>
      <c r="P16" s="87">
        <f>SUM(N16:O16)</f>
        <v>546590</v>
      </c>
      <c r="Q16" s="87">
        <v>0</v>
      </c>
      <c r="R16" s="87">
        <f>SUM(P16:Q16)</f>
        <v>546590</v>
      </c>
      <c r="S16" s="87">
        <v>0</v>
      </c>
      <c r="T16" s="87">
        <f>SUM(R16:S16)</f>
        <v>546590</v>
      </c>
      <c r="U16" s="87">
        <v>0</v>
      </c>
      <c r="V16" s="87">
        <f>SUM(T16:U16)</f>
        <v>546590</v>
      </c>
    </row>
    <row r="17" spans="1:22" s="155" customFormat="1" ht="23.25" customHeight="1">
      <c r="A17" s="76">
        <v>921</v>
      </c>
      <c r="B17" s="58">
        <v>92109</v>
      </c>
      <c r="C17" s="84">
        <v>2480</v>
      </c>
      <c r="D17" s="14" t="s">
        <v>658</v>
      </c>
      <c r="E17" s="14" t="s">
        <v>661</v>
      </c>
      <c r="F17" s="87">
        <v>0</v>
      </c>
      <c r="G17" s="87">
        <v>9500</v>
      </c>
      <c r="H17" s="87">
        <f aca="true" t="shared" si="6" ref="H17:H22">SUM(F17:G17)</f>
        <v>9500</v>
      </c>
      <c r="I17" s="87"/>
      <c r="J17" s="87">
        <f aca="true" t="shared" si="7" ref="J17:J22">SUM(H17:I17)</f>
        <v>9500</v>
      </c>
      <c r="K17" s="87">
        <v>0</v>
      </c>
      <c r="L17" s="87">
        <f aca="true" t="shared" si="8" ref="L17:L22">SUM(J17:K17)</f>
        <v>9500</v>
      </c>
      <c r="M17" s="87">
        <v>0</v>
      </c>
      <c r="N17" s="87">
        <f aca="true" t="shared" si="9" ref="N17:N22">SUM(L17:M17)</f>
        <v>9500</v>
      </c>
      <c r="O17" s="87">
        <v>0</v>
      </c>
      <c r="P17" s="87">
        <f aca="true" t="shared" si="10" ref="P17:P22">SUM(N17:O17)</f>
        <v>9500</v>
      </c>
      <c r="Q17" s="87">
        <v>0</v>
      </c>
      <c r="R17" s="87">
        <f aca="true" t="shared" si="11" ref="R17:R22">SUM(P17:Q17)</f>
        <v>9500</v>
      </c>
      <c r="S17" s="87">
        <v>0</v>
      </c>
      <c r="T17" s="87">
        <f aca="true" t="shared" si="12" ref="T17:T22">SUM(R17:S17)</f>
        <v>9500</v>
      </c>
      <c r="U17" s="87">
        <v>0</v>
      </c>
      <c r="V17" s="87">
        <f aca="true" t="shared" si="13" ref="V17:V22">SUM(T17:U17)</f>
        <v>9500</v>
      </c>
    </row>
    <row r="18" spans="1:22" s="155" customFormat="1" ht="26.25" customHeight="1">
      <c r="A18" s="76">
        <v>921</v>
      </c>
      <c r="B18" s="76" t="s">
        <v>325</v>
      </c>
      <c r="C18" s="84">
        <v>2480</v>
      </c>
      <c r="D18" s="14" t="s">
        <v>660</v>
      </c>
      <c r="E18" s="14" t="s">
        <v>659</v>
      </c>
      <c r="F18" s="87">
        <v>871000</v>
      </c>
      <c r="G18" s="87"/>
      <c r="H18" s="87">
        <f t="shared" si="6"/>
        <v>871000</v>
      </c>
      <c r="I18" s="87"/>
      <c r="J18" s="87">
        <f t="shared" si="7"/>
        <v>871000</v>
      </c>
      <c r="K18" s="87">
        <v>0</v>
      </c>
      <c r="L18" s="87">
        <f t="shared" si="8"/>
        <v>871000</v>
      </c>
      <c r="M18" s="87">
        <v>0</v>
      </c>
      <c r="N18" s="87">
        <f t="shared" si="9"/>
        <v>871000</v>
      </c>
      <c r="O18" s="87">
        <v>0</v>
      </c>
      <c r="P18" s="87">
        <f t="shared" si="10"/>
        <v>871000</v>
      </c>
      <c r="Q18" s="87">
        <v>0</v>
      </c>
      <c r="R18" s="87">
        <f t="shared" si="11"/>
        <v>871000</v>
      </c>
      <c r="S18" s="87">
        <v>0</v>
      </c>
      <c r="T18" s="87">
        <f t="shared" si="12"/>
        <v>871000</v>
      </c>
      <c r="U18" s="87">
        <v>0</v>
      </c>
      <c r="V18" s="87">
        <f t="shared" si="13"/>
        <v>871000</v>
      </c>
    </row>
    <row r="19" spans="1:22" s="155" customFormat="1" ht="26.25" customHeight="1">
      <c r="A19" s="76">
        <v>921</v>
      </c>
      <c r="B19" s="76" t="s">
        <v>325</v>
      </c>
      <c r="C19" s="84">
        <v>2480</v>
      </c>
      <c r="D19" s="14" t="s">
        <v>660</v>
      </c>
      <c r="E19" s="14" t="s">
        <v>661</v>
      </c>
      <c r="F19" s="156">
        <f>45000+900</f>
        <v>45900</v>
      </c>
      <c r="G19" s="156"/>
      <c r="H19" s="87">
        <f t="shared" si="6"/>
        <v>45900</v>
      </c>
      <c r="I19" s="156"/>
      <c r="J19" s="87">
        <f t="shared" si="7"/>
        <v>45900</v>
      </c>
      <c r="K19" s="156">
        <v>0</v>
      </c>
      <c r="L19" s="87">
        <f t="shared" si="8"/>
        <v>45900</v>
      </c>
      <c r="M19" s="156">
        <v>0</v>
      </c>
      <c r="N19" s="87">
        <f t="shared" si="9"/>
        <v>45900</v>
      </c>
      <c r="O19" s="156">
        <v>0</v>
      </c>
      <c r="P19" s="87">
        <f t="shared" si="10"/>
        <v>45900</v>
      </c>
      <c r="Q19" s="156">
        <v>0</v>
      </c>
      <c r="R19" s="87">
        <f t="shared" si="11"/>
        <v>45900</v>
      </c>
      <c r="S19" s="156">
        <v>0</v>
      </c>
      <c r="T19" s="87">
        <f t="shared" si="12"/>
        <v>45900</v>
      </c>
      <c r="U19" s="156">
        <v>0</v>
      </c>
      <c r="V19" s="87">
        <f t="shared" si="13"/>
        <v>45900</v>
      </c>
    </row>
    <row r="20" spans="1:22" s="155" customFormat="1" ht="26.25" customHeight="1">
      <c r="A20" s="76">
        <v>921</v>
      </c>
      <c r="B20" s="76" t="s">
        <v>409</v>
      </c>
      <c r="C20" s="58">
        <v>2480</v>
      </c>
      <c r="D20" s="81" t="s">
        <v>662</v>
      </c>
      <c r="E20" s="14" t="s">
        <v>659</v>
      </c>
      <c r="F20" s="87">
        <v>376470</v>
      </c>
      <c r="G20" s="87"/>
      <c r="H20" s="87">
        <f t="shared" si="6"/>
        <v>376470</v>
      </c>
      <c r="I20" s="87"/>
      <c r="J20" s="87">
        <f t="shared" si="7"/>
        <v>376470</v>
      </c>
      <c r="K20" s="87">
        <v>0</v>
      </c>
      <c r="L20" s="87">
        <f t="shared" si="8"/>
        <v>376470</v>
      </c>
      <c r="M20" s="87">
        <v>0</v>
      </c>
      <c r="N20" s="87">
        <f t="shared" si="9"/>
        <v>376470</v>
      </c>
      <c r="O20" s="87">
        <v>0</v>
      </c>
      <c r="P20" s="87">
        <f t="shared" si="10"/>
        <v>376470</v>
      </c>
      <c r="Q20" s="87">
        <v>0</v>
      </c>
      <c r="R20" s="87">
        <f t="shared" si="11"/>
        <v>376470</v>
      </c>
      <c r="S20" s="87">
        <v>0</v>
      </c>
      <c r="T20" s="87">
        <f t="shared" si="12"/>
        <v>376470</v>
      </c>
      <c r="U20" s="87">
        <v>0</v>
      </c>
      <c r="V20" s="87">
        <f t="shared" si="13"/>
        <v>376470</v>
      </c>
    </row>
    <row r="21" spans="1:22" s="155" customFormat="1" ht="27" customHeight="1">
      <c r="A21" s="76">
        <v>921</v>
      </c>
      <c r="B21" s="76">
        <v>92118</v>
      </c>
      <c r="C21" s="58">
        <v>2480</v>
      </c>
      <c r="D21" s="81" t="s">
        <v>662</v>
      </c>
      <c r="E21" s="14" t="s">
        <v>661</v>
      </c>
      <c r="F21" s="87">
        <v>0</v>
      </c>
      <c r="G21" s="87">
        <v>2000</v>
      </c>
      <c r="H21" s="87">
        <f t="shared" si="6"/>
        <v>2000</v>
      </c>
      <c r="I21" s="87"/>
      <c r="J21" s="87">
        <f t="shared" si="7"/>
        <v>2000</v>
      </c>
      <c r="K21" s="87">
        <v>0</v>
      </c>
      <c r="L21" s="87">
        <f t="shared" si="8"/>
        <v>2000</v>
      </c>
      <c r="M21" s="87">
        <v>0</v>
      </c>
      <c r="N21" s="87">
        <f t="shared" si="9"/>
        <v>2000</v>
      </c>
      <c r="O21" s="87">
        <v>0</v>
      </c>
      <c r="P21" s="87">
        <f t="shared" si="10"/>
        <v>2000</v>
      </c>
      <c r="Q21" s="87">
        <v>0</v>
      </c>
      <c r="R21" s="87">
        <f t="shared" si="11"/>
        <v>2000</v>
      </c>
      <c r="S21" s="87">
        <v>0</v>
      </c>
      <c r="T21" s="87">
        <f t="shared" si="12"/>
        <v>2000</v>
      </c>
      <c r="U21" s="87">
        <v>0</v>
      </c>
      <c r="V21" s="87">
        <f t="shared" si="13"/>
        <v>2000</v>
      </c>
    </row>
    <row r="22" spans="1:22" s="28" customFormat="1" ht="16.5" customHeight="1">
      <c r="A22" s="322" t="s">
        <v>134</v>
      </c>
      <c r="B22" s="323"/>
      <c r="C22" s="323"/>
      <c r="D22" s="323"/>
      <c r="E22" s="324"/>
      <c r="F22" s="21">
        <f>SUM(F15,F12,F9,)</f>
        <v>4783448</v>
      </c>
      <c r="G22" s="21">
        <f>SUM(G15,G12,G9,)</f>
        <v>11500</v>
      </c>
      <c r="H22" s="87">
        <f t="shared" si="6"/>
        <v>4794948</v>
      </c>
      <c r="I22" s="21">
        <f>SUM(I15,I12,I9,)</f>
        <v>500</v>
      </c>
      <c r="J22" s="87">
        <f t="shared" si="7"/>
        <v>4795448</v>
      </c>
      <c r="K22" s="21">
        <f>SUM(K15,K12,K9,)</f>
        <v>0</v>
      </c>
      <c r="L22" s="87">
        <f t="shared" si="8"/>
        <v>4795448</v>
      </c>
      <c r="M22" s="21">
        <f>SUM(M15,M12,M9,)</f>
        <v>129061</v>
      </c>
      <c r="N22" s="87">
        <f t="shared" si="9"/>
        <v>4924509</v>
      </c>
      <c r="O22" s="21">
        <f>SUM(O15,O12,O9,)</f>
        <v>0</v>
      </c>
      <c r="P22" s="87">
        <f t="shared" si="10"/>
        <v>4924509</v>
      </c>
      <c r="Q22" s="21">
        <f>SUM(Q15,Q12,Q9,)</f>
        <v>44985</v>
      </c>
      <c r="R22" s="87">
        <f t="shared" si="11"/>
        <v>4969494</v>
      </c>
      <c r="S22" s="21">
        <f>SUM(S15,S12,S9,)</f>
        <v>4000</v>
      </c>
      <c r="T22" s="87">
        <f t="shared" si="12"/>
        <v>4973494</v>
      </c>
      <c r="U22" s="21">
        <f>SUM(U15,U12,U9,)</f>
        <v>0</v>
      </c>
      <c r="V22" s="87">
        <f t="shared" si="13"/>
        <v>4973494</v>
      </c>
    </row>
    <row r="23" spans="1:22" s="159" customFormat="1" ht="23.25" customHeight="1">
      <c r="A23" s="184" t="s">
        <v>16</v>
      </c>
      <c r="B23" s="185"/>
      <c r="C23" s="185"/>
      <c r="D23" s="185"/>
      <c r="E23" s="185"/>
      <c r="F23" s="185"/>
      <c r="G23" s="185"/>
      <c r="H23" s="186"/>
      <c r="I23" s="185"/>
      <c r="J23" s="186"/>
      <c r="K23" s="185"/>
      <c r="L23" s="186"/>
      <c r="M23" s="185"/>
      <c r="N23" s="186"/>
      <c r="O23" s="185"/>
      <c r="P23" s="186"/>
      <c r="Q23" s="185"/>
      <c r="R23" s="186"/>
      <c r="S23" s="185"/>
      <c r="T23" s="186"/>
      <c r="U23" s="185"/>
      <c r="V23" s="186"/>
    </row>
    <row r="24" spans="1:22" s="117" customFormat="1" ht="29.25" customHeight="1">
      <c r="A24" s="5" t="s">
        <v>244</v>
      </c>
      <c r="B24" s="5" t="s">
        <v>245</v>
      </c>
      <c r="C24" s="5" t="s">
        <v>246</v>
      </c>
      <c r="D24" s="5" t="s">
        <v>646</v>
      </c>
      <c r="E24" s="5" t="s">
        <v>647</v>
      </c>
      <c r="F24" s="139" t="s">
        <v>717</v>
      </c>
      <c r="G24" s="139" t="s">
        <v>716</v>
      </c>
      <c r="H24" s="139" t="s">
        <v>718</v>
      </c>
      <c r="I24" s="139" t="s">
        <v>506</v>
      </c>
      <c r="J24" s="139" t="s">
        <v>60</v>
      </c>
      <c r="K24" s="139" t="s">
        <v>716</v>
      </c>
      <c r="L24" s="139" t="s">
        <v>718</v>
      </c>
      <c r="M24" s="139" t="s">
        <v>716</v>
      </c>
      <c r="N24" s="139" t="s">
        <v>718</v>
      </c>
      <c r="O24" s="139" t="s">
        <v>716</v>
      </c>
      <c r="P24" s="139" t="s">
        <v>717</v>
      </c>
      <c r="Q24" s="139" t="s">
        <v>716</v>
      </c>
      <c r="R24" s="139" t="s">
        <v>718</v>
      </c>
      <c r="S24" s="139" t="s">
        <v>716</v>
      </c>
      <c r="T24" s="139" t="s">
        <v>413</v>
      </c>
      <c r="U24" s="139" t="s">
        <v>716</v>
      </c>
      <c r="V24" s="139" t="s">
        <v>718</v>
      </c>
    </row>
    <row r="25" spans="1:22" s="154" customFormat="1" ht="21.75" customHeight="1">
      <c r="A25" s="152" t="s">
        <v>15</v>
      </c>
      <c r="B25" s="153"/>
      <c r="C25" s="153"/>
      <c r="D25" s="153"/>
      <c r="E25" s="153"/>
      <c r="F25" s="18">
        <f aca="true" t="shared" si="14" ref="F25:L25">SUM(F26:F64)</f>
        <v>352000</v>
      </c>
      <c r="G25" s="18">
        <f t="shared" si="14"/>
        <v>0</v>
      </c>
      <c r="H25" s="18">
        <f t="shared" si="14"/>
        <v>352000</v>
      </c>
      <c r="I25" s="18">
        <f t="shared" si="14"/>
        <v>-18900</v>
      </c>
      <c r="J25" s="18">
        <f t="shared" si="14"/>
        <v>333100</v>
      </c>
      <c r="K25" s="18">
        <f t="shared" si="14"/>
        <v>-2000</v>
      </c>
      <c r="L25" s="18">
        <f t="shared" si="14"/>
        <v>331100</v>
      </c>
      <c r="M25" s="18">
        <f aca="true" t="shared" si="15" ref="M25:R25">SUM(M26:M64)</f>
        <v>70000</v>
      </c>
      <c r="N25" s="18">
        <f t="shared" si="15"/>
        <v>401100</v>
      </c>
      <c r="O25" s="18">
        <f t="shared" si="15"/>
        <v>-5000</v>
      </c>
      <c r="P25" s="18">
        <f t="shared" si="15"/>
        <v>396100</v>
      </c>
      <c r="Q25" s="18">
        <f t="shared" si="15"/>
        <v>0</v>
      </c>
      <c r="R25" s="18">
        <f t="shared" si="15"/>
        <v>396100</v>
      </c>
      <c r="S25" s="18">
        <f>SUM(S26:S64)</f>
        <v>25710</v>
      </c>
      <c r="T25" s="18">
        <f>SUM(T26:T64)</f>
        <v>421810</v>
      </c>
      <c r="U25" s="18">
        <f>SUM(U26:U64)</f>
        <v>0</v>
      </c>
      <c r="V25" s="18">
        <f>SUM(V26:V64)</f>
        <v>421810</v>
      </c>
    </row>
    <row r="26" spans="1:22" s="154" customFormat="1" ht="26.25" customHeight="1">
      <c r="A26" s="85">
        <v>851</v>
      </c>
      <c r="B26" s="85">
        <v>85154</v>
      </c>
      <c r="C26" s="85">
        <v>2630</v>
      </c>
      <c r="D26" s="182" t="s">
        <v>663</v>
      </c>
      <c r="E26" s="181" t="s">
        <v>664</v>
      </c>
      <c r="F26" s="87">
        <v>56000</v>
      </c>
      <c r="G26" s="87">
        <f>-31147-7953</f>
        <v>-39100</v>
      </c>
      <c r="H26" s="87">
        <f>SUM(F26:G26)</f>
        <v>16900</v>
      </c>
      <c r="I26" s="87">
        <v>-16900</v>
      </c>
      <c r="J26" s="87">
        <f>SUM(H26:I26)</f>
        <v>0</v>
      </c>
      <c r="K26" s="87">
        <v>0</v>
      </c>
      <c r="L26" s="87">
        <f>SUM(J26:K26)</f>
        <v>0</v>
      </c>
      <c r="M26" s="87">
        <v>0</v>
      </c>
      <c r="N26" s="87">
        <f>SUM(L26:M26)</f>
        <v>0</v>
      </c>
      <c r="O26" s="87">
        <v>0</v>
      </c>
      <c r="P26" s="87">
        <f>SUM(N26:O26)</f>
        <v>0</v>
      </c>
      <c r="Q26" s="87">
        <v>0</v>
      </c>
      <c r="R26" s="87">
        <f>SUM(P26:Q26)</f>
        <v>0</v>
      </c>
      <c r="S26" s="87">
        <v>0</v>
      </c>
      <c r="T26" s="87">
        <f>SUM(R26:S26)</f>
        <v>0</v>
      </c>
      <c r="U26" s="87">
        <v>0</v>
      </c>
      <c r="V26" s="87">
        <f>SUM(T26:U26)</f>
        <v>0</v>
      </c>
    </row>
    <row r="27" spans="1:22" s="154" customFormat="1" ht="26.25" customHeight="1">
      <c r="A27" s="85">
        <v>851</v>
      </c>
      <c r="B27" s="85">
        <v>85154</v>
      </c>
      <c r="C27" s="85">
        <v>2830</v>
      </c>
      <c r="D27" s="14" t="s">
        <v>666</v>
      </c>
      <c r="E27" s="181" t="s">
        <v>664</v>
      </c>
      <c r="F27" s="87">
        <v>0</v>
      </c>
      <c r="G27" s="87">
        <v>31147</v>
      </c>
      <c r="H27" s="87">
        <f aca="true" t="shared" si="16" ref="H27:H65">SUM(F27:G27)</f>
        <v>31147</v>
      </c>
      <c r="I27" s="87"/>
      <c r="J27" s="87">
        <f aca="true" t="shared" si="17" ref="J27:J65">SUM(H27:I27)</f>
        <v>31147</v>
      </c>
      <c r="K27" s="87">
        <v>0</v>
      </c>
      <c r="L27" s="87">
        <f aca="true" t="shared" si="18" ref="L27:L65">SUM(J27:K27)</f>
        <v>31147</v>
      </c>
      <c r="M27" s="87">
        <v>0</v>
      </c>
      <c r="N27" s="87">
        <f aca="true" t="shared" si="19" ref="N27:N65">SUM(L27:M27)</f>
        <v>31147</v>
      </c>
      <c r="O27" s="87">
        <v>0</v>
      </c>
      <c r="P27" s="87">
        <f aca="true" t="shared" si="20" ref="P27:P65">SUM(N27:O27)</f>
        <v>31147</v>
      </c>
      <c r="Q27" s="87">
        <v>0</v>
      </c>
      <c r="R27" s="87">
        <f aca="true" t="shared" si="21" ref="R27:R65">SUM(P27:Q27)</f>
        <v>31147</v>
      </c>
      <c r="S27" s="87">
        <v>0</v>
      </c>
      <c r="T27" s="87">
        <f aca="true" t="shared" si="22" ref="T27:T65">SUM(R27:S27)</f>
        <v>31147</v>
      </c>
      <c r="U27" s="87">
        <v>0</v>
      </c>
      <c r="V27" s="87">
        <f aca="true" t="shared" si="23" ref="V27:V65">SUM(T27:U27)</f>
        <v>31147</v>
      </c>
    </row>
    <row r="28" spans="1:22" s="154" customFormat="1" ht="26.25" customHeight="1">
      <c r="A28" s="85">
        <v>851</v>
      </c>
      <c r="B28" s="85">
        <v>85154</v>
      </c>
      <c r="C28" s="85">
        <v>2820</v>
      </c>
      <c r="D28" s="14" t="s">
        <v>667</v>
      </c>
      <c r="E28" s="181" t="s">
        <v>664</v>
      </c>
      <c r="F28" s="87">
        <v>0</v>
      </c>
      <c r="G28" s="87">
        <v>7953</v>
      </c>
      <c r="H28" s="87">
        <f t="shared" si="16"/>
        <v>7953</v>
      </c>
      <c r="I28" s="87"/>
      <c r="J28" s="87">
        <f t="shared" si="17"/>
        <v>7953</v>
      </c>
      <c r="K28" s="87">
        <v>0</v>
      </c>
      <c r="L28" s="87">
        <f t="shared" si="18"/>
        <v>7953</v>
      </c>
      <c r="M28" s="87">
        <v>0</v>
      </c>
      <c r="N28" s="87">
        <f t="shared" si="19"/>
        <v>7953</v>
      </c>
      <c r="O28" s="87">
        <v>0</v>
      </c>
      <c r="P28" s="87">
        <f t="shared" si="20"/>
        <v>7953</v>
      </c>
      <c r="Q28" s="87">
        <v>0</v>
      </c>
      <c r="R28" s="87">
        <f t="shared" si="21"/>
        <v>7953</v>
      </c>
      <c r="S28" s="87">
        <v>0</v>
      </c>
      <c r="T28" s="87">
        <f t="shared" si="22"/>
        <v>7953</v>
      </c>
      <c r="U28" s="87">
        <v>0</v>
      </c>
      <c r="V28" s="87">
        <f t="shared" si="23"/>
        <v>7953</v>
      </c>
    </row>
    <row r="29" spans="1:22" s="154" customFormat="1" ht="34.5" customHeight="1">
      <c r="A29" s="85">
        <v>851</v>
      </c>
      <c r="B29" s="85">
        <v>85154</v>
      </c>
      <c r="C29" s="85">
        <v>2630</v>
      </c>
      <c r="D29" s="182" t="s">
        <v>663</v>
      </c>
      <c r="E29" s="181" t="s">
        <v>665</v>
      </c>
      <c r="F29" s="87">
        <v>10000</v>
      </c>
      <c r="G29" s="87">
        <v>-8000</v>
      </c>
      <c r="H29" s="87">
        <f t="shared" si="16"/>
        <v>2000</v>
      </c>
      <c r="I29" s="87">
        <v>-2000</v>
      </c>
      <c r="J29" s="87">
        <f t="shared" si="17"/>
        <v>0</v>
      </c>
      <c r="K29" s="87">
        <v>0</v>
      </c>
      <c r="L29" s="87">
        <f t="shared" si="18"/>
        <v>0</v>
      </c>
      <c r="M29" s="87">
        <v>0</v>
      </c>
      <c r="N29" s="87">
        <f t="shared" si="19"/>
        <v>0</v>
      </c>
      <c r="O29" s="87">
        <v>0</v>
      </c>
      <c r="P29" s="87">
        <f t="shared" si="20"/>
        <v>0</v>
      </c>
      <c r="Q29" s="87">
        <v>0</v>
      </c>
      <c r="R29" s="87">
        <f t="shared" si="21"/>
        <v>0</v>
      </c>
      <c r="S29" s="87">
        <v>0</v>
      </c>
      <c r="T29" s="87">
        <f t="shared" si="22"/>
        <v>0</v>
      </c>
      <c r="U29" s="87">
        <v>0</v>
      </c>
      <c r="V29" s="87">
        <f t="shared" si="23"/>
        <v>0</v>
      </c>
    </row>
    <row r="30" spans="1:22" s="155" customFormat="1" ht="22.5" hidden="1">
      <c r="A30" s="85">
        <v>851</v>
      </c>
      <c r="B30" s="85">
        <v>85154</v>
      </c>
      <c r="C30" s="85">
        <v>2630</v>
      </c>
      <c r="D30" s="14" t="s">
        <v>666</v>
      </c>
      <c r="E30" s="181" t="s">
        <v>665</v>
      </c>
      <c r="F30" s="161"/>
      <c r="G30" s="161"/>
      <c r="H30" s="87">
        <f t="shared" si="16"/>
        <v>0</v>
      </c>
      <c r="I30" s="161"/>
      <c r="J30" s="87">
        <f t="shared" si="17"/>
        <v>0</v>
      </c>
      <c r="K30" s="161"/>
      <c r="L30" s="87">
        <f t="shared" si="18"/>
        <v>0</v>
      </c>
      <c r="M30" s="161"/>
      <c r="N30" s="87">
        <f t="shared" si="19"/>
        <v>0</v>
      </c>
      <c r="O30" s="161"/>
      <c r="P30" s="87">
        <f t="shared" si="20"/>
        <v>0</v>
      </c>
      <c r="Q30" s="161"/>
      <c r="R30" s="87">
        <f t="shared" si="21"/>
        <v>0</v>
      </c>
      <c r="S30" s="161"/>
      <c r="T30" s="87">
        <f t="shared" si="22"/>
        <v>0</v>
      </c>
      <c r="U30" s="161"/>
      <c r="V30" s="87">
        <f t="shared" si="23"/>
        <v>0</v>
      </c>
    </row>
    <row r="31" spans="1:22" s="155" customFormat="1" ht="22.5" hidden="1">
      <c r="A31" s="85">
        <v>851</v>
      </c>
      <c r="B31" s="85">
        <v>85154</v>
      </c>
      <c r="C31" s="85">
        <v>2630</v>
      </c>
      <c r="D31" s="14" t="s">
        <v>666</v>
      </c>
      <c r="E31" s="181" t="s">
        <v>665</v>
      </c>
      <c r="F31" s="161"/>
      <c r="G31" s="161"/>
      <c r="H31" s="87">
        <f t="shared" si="16"/>
        <v>0</v>
      </c>
      <c r="I31" s="161"/>
      <c r="J31" s="87">
        <f t="shared" si="17"/>
        <v>0</v>
      </c>
      <c r="K31" s="161"/>
      <c r="L31" s="87">
        <f t="shared" si="18"/>
        <v>0</v>
      </c>
      <c r="M31" s="161"/>
      <c r="N31" s="87">
        <f t="shared" si="19"/>
        <v>0</v>
      </c>
      <c r="O31" s="161"/>
      <c r="P31" s="87">
        <f t="shared" si="20"/>
        <v>0</v>
      </c>
      <c r="Q31" s="161"/>
      <c r="R31" s="87">
        <f t="shared" si="21"/>
        <v>0</v>
      </c>
      <c r="S31" s="161"/>
      <c r="T31" s="87">
        <f t="shared" si="22"/>
        <v>0</v>
      </c>
      <c r="U31" s="161"/>
      <c r="V31" s="87">
        <f t="shared" si="23"/>
        <v>0</v>
      </c>
    </row>
    <row r="32" spans="1:22" s="162" customFormat="1" ht="22.5" hidden="1">
      <c r="A32" s="85">
        <v>851</v>
      </c>
      <c r="B32" s="85">
        <v>85154</v>
      </c>
      <c r="C32" s="85">
        <v>2630</v>
      </c>
      <c r="D32" s="14" t="s">
        <v>667</v>
      </c>
      <c r="E32" s="181" t="s">
        <v>665</v>
      </c>
      <c r="F32" s="161"/>
      <c r="G32" s="161"/>
      <c r="H32" s="87">
        <f t="shared" si="16"/>
        <v>0</v>
      </c>
      <c r="I32" s="161"/>
      <c r="J32" s="87">
        <f t="shared" si="17"/>
        <v>0</v>
      </c>
      <c r="K32" s="161"/>
      <c r="L32" s="87">
        <f t="shared" si="18"/>
        <v>0</v>
      </c>
      <c r="M32" s="161"/>
      <c r="N32" s="87">
        <f t="shared" si="19"/>
        <v>0</v>
      </c>
      <c r="O32" s="161"/>
      <c r="P32" s="87">
        <f t="shared" si="20"/>
        <v>0</v>
      </c>
      <c r="Q32" s="161"/>
      <c r="R32" s="87">
        <f t="shared" si="21"/>
        <v>0</v>
      </c>
      <c r="S32" s="161"/>
      <c r="T32" s="87">
        <f t="shared" si="22"/>
        <v>0</v>
      </c>
      <c r="U32" s="161"/>
      <c r="V32" s="87">
        <f t="shared" si="23"/>
        <v>0</v>
      </c>
    </row>
    <row r="33" spans="1:22" s="162" customFormat="1" ht="22.5" hidden="1">
      <c r="A33" s="85">
        <v>851</v>
      </c>
      <c r="B33" s="85">
        <v>85154</v>
      </c>
      <c r="C33" s="85">
        <v>2630</v>
      </c>
      <c r="D33" s="14" t="s">
        <v>668</v>
      </c>
      <c r="E33" s="181" t="s">
        <v>665</v>
      </c>
      <c r="F33" s="161"/>
      <c r="G33" s="161"/>
      <c r="H33" s="87">
        <f t="shared" si="16"/>
        <v>0</v>
      </c>
      <c r="I33" s="161"/>
      <c r="J33" s="87">
        <f t="shared" si="17"/>
        <v>0</v>
      </c>
      <c r="K33" s="161"/>
      <c r="L33" s="87">
        <f t="shared" si="18"/>
        <v>0</v>
      </c>
      <c r="M33" s="161"/>
      <c r="N33" s="87">
        <f t="shared" si="19"/>
        <v>0</v>
      </c>
      <c r="O33" s="161"/>
      <c r="P33" s="87">
        <f t="shared" si="20"/>
        <v>0</v>
      </c>
      <c r="Q33" s="161"/>
      <c r="R33" s="87">
        <f t="shared" si="21"/>
        <v>0</v>
      </c>
      <c r="S33" s="161"/>
      <c r="T33" s="87">
        <f t="shared" si="22"/>
        <v>0</v>
      </c>
      <c r="U33" s="161"/>
      <c r="V33" s="87">
        <f t="shared" si="23"/>
        <v>0</v>
      </c>
    </row>
    <row r="34" spans="1:22" s="162" customFormat="1" ht="22.5" hidden="1">
      <c r="A34" s="85">
        <v>851</v>
      </c>
      <c r="B34" s="85">
        <v>85154</v>
      </c>
      <c r="C34" s="85">
        <v>2630</v>
      </c>
      <c r="D34" s="14" t="s">
        <v>669</v>
      </c>
      <c r="E34" s="181" t="s">
        <v>665</v>
      </c>
      <c r="F34" s="161"/>
      <c r="G34" s="161"/>
      <c r="H34" s="87">
        <f t="shared" si="16"/>
        <v>0</v>
      </c>
      <c r="I34" s="161"/>
      <c r="J34" s="87">
        <f t="shared" si="17"/>
        <v>0</v>
      </c>
      <c r="K34" s="161"/>
      <c r="L34" s="87">
        <f t="shared" si="18"/>
        <v>0</v>
      </c>
      <c r="M34" s="161"/>
      <c r="N34" s="87">
        <f t="shared" si="19"/>
        <v>0</v>
      </c>
      <c r="O34" s="161"/>
      <c r="P34" s="87">
        <f t="shared" si="20"/>
        <v>0</v>
      </c>
      <c r="Q34" s="161"/>
      <c r="R34" s="87">
        <f t="shared" si="21"/>
        <v>0</v>
      </c>
      <c r="S34" s="161"/>
      <c r="T34" s="87">
        <f t="shared" si="22"/>
        <v>0</v>
      </c>
      <c r="U34" s="161"/>
      <c r="V34" s="87">
        <f t="shared" si="23"/>
        <v>0</v>
      </c>
    </row>
    <row r="35" spans="1:22" s="162" customFormat="1" ht="33" customHeight="1">
      <c r="A35" s="85">
        <v>851</v>
      </c>
      <c r="B35" s="85">
        <v>85154</v>
      </c>
      <c r="C35" s="85">
        <v>2830</v>
      </c>
      <c r="D35" s="14" t="s">
        <v>666</v>
      </c>
      <c r="E35" s="181" t="s">
        <v>665</v>
      </c>
      <c r="F35" s="163">
        <v>0</v>
      </c>
      <c r="G35" s="163">
        <v>8000</v>
      </c>
      <c r="H35" s="87">
        <f t="shared" si="16"/>
        <v>8000</v>
      </c>
      <c r="I35" s="163"/>
      <c r="J35" s="87">
        <f t="shared" si="17"/>
        <v>8000</v>
      </c>
      <c r="K35" s="163">
        <v>0</v>
      </c>
      <c r="L35" s="87">
        <f t="shared" si="18"/>
        <v>8000</v>
      </c>
      <c r="M35" s="163">
        <v>0</v>
      </c>
      <c r="N35" s="87">
        <f t="shared" si="19"/>
        <v>8000</v>
      </c>
      <c r="O35" s="163">
        <v>0</v>
      </c>
      <c r="P35" s="87">
        <f t="shared" si="20"/>
        <v>8000</v>
      </c>
      <c r="Q35" s="163">
        <v>0</v>
      </c>
      <c r="R35" s="87">
        <f t="shared" si="21"/>
        <v>8000</v>
      </c>
      <c r="S35" s="163">
        <v>0</v>
      </c>
      <c r="T35" s="87">
        <f t="shared" si="22"/>
        <v>8000</v>
      </c>
      <c r="U35" s="163">
        <v>0</v>
      </c>
      <c r="V35" s="87">
        <f t="shared" si="23"/>
        <v>8000</v>
      </c>
    </row>
    <row r="36" spans="1:22" s="162" customFormat="1" ht="24" customHeight="1">
      <c r="A36" s="85">
        <v>854</v>
      </c>
      <c r="B36" s="85">
        <v>85412</v>
      </c>
      <c r="C36" s="85">
        <v>2630</v>
      </c>
      <c r="D36" s="182" t="s">
        <v>663</v>
      </c>
      <c r="E36" s="181" t="s">
        <v>670</v>
      </c>
      <c r="F36" s="163">
        <v>36000</v>
      </c>
      <c r="G36" s="163">
        <v>0</v>
      </c>
      <c r="H36" s="87">
        <f t="shared" si="16"/>
        <v>36000</v>
      </c>
      <c r="I36" s="163"/>
      <c r="J36" s="87">
        <f t="shared" si="17"/>
        <v>36000</v>
      </c>
      <c r="K36" s="163">
        <v>0</v>
      </c>
      <c r="L36" s="87">
        <f t="shared" si="18"/>
        <v>36000</v>
      </c>
      <c r="M36" s="163">
        <v>-36000</v>
      </c>
      <c r="N36" s="87">
        <f t="shared" si="19"/>
        <v>0</v>
      </c>
      <c r="O36" s="163">
        <v>0</v>
      </c>
      <c r="P36" s="87">
        <f t="shared" si="20"/>
        <v>0</v>
      </c>
      <c r="Q36" s="163">
        <v>0</v>
      </c>
      <c r="R36" s="87">
        <f t="shared" si="21"/>
        <v>0</v>
      </c>
      <c r="S36" s="163">
        <v>25710</v>
      </c>
      <c r="T36" s="87">
        <f t="shared" si="22"/>
        <v>25710</v>
      </c>
      <c r="U36" s="163">
        <v>0</v>
      </c>
      <c r="V36" s="87">
        <f t="shared" si="23"/>
        <v>25710</v>
      </c>
    </row>
    <row r="37" spans="1:22" s="162" customFormat="1" ht="24" customHeight="1">
      <c r="A37" s="85">
        <v>854</v>
      </c>
      <c r="B37" s="85">
        <v>85412</v>
      </c>
      <c r="C37" s="85">
        <v>2820</v>
      </c>
      <c r="D37" s="14" t="s">
        <v>667</v>
      </c>
      <c r="E37" s="181" t="s">
        <v>670</v>
      </c>
      <c r="F37" s="163"/>
      <c r="G37" s="163"/>
      <c r="H37" s="87"/>
      <c r="I37" s="163"/>
      <c r="J37" s="87"/>
      <c r="K37" s="163"/>
      <c r="L37" s="87">
        <v>0</v>
      </c>
      <c r="M37" s="163">
        <v>5680</v>
      </c>
      <c r="N37" s="87">
        <f t="shared" si="19"/>
        <v>5680</v>
      </c>
      <c r="O37" s="163">
        <v>0</v>
      </c>
      <c r="P37" s="87">
        <f t="shared" si="20"/>
        <v>5680</v>
      </c>
      <c r="Q37" s="163">
        <v>0</v>
      </c>
      <c r="R37" s="87">
        <f t="shared" si="21"/>
        <v>5680</v>
      </c>
      <c r="S37" s="163">
        <v>0</v>
      </c>
      <c r="T37" s="87">
        <f t="shared" si="22"/>
        <v>5680</v>
      </c>
      <c r="U37" s="163">
        <v>0</v>
      </c>
      <c r="V37" s="87">
        <f t="shared" si="23"/>
        <v>5680</v>
      </c>
    </row>
    <row r="38" spans="1:22" s="162" customFormat="1" ht="24" customHeight="1">
      <c r="A38" s="85">
        <v>854</v>
      </c>
      <c r="B38" s="85">
        <v>85412</v>
      </c>
      <c r="C38" s="85">
        <v>2820</v>
      </c>
      <c r="D38" s="140" t="s">
        <v>679</v>
      </c>
      <c r="E38" s="181" t="s">
        <v>670</v>
      </c>
      <c r="F38" s="163"/>
      <c r="G38" s="163"/>
      <c r="H38" s="87"/>
      <c r="I38" s="163"/>
      <c r="J38" s="87"/>
      <c r="K38" s="163"/>
      <c r="L38" s="87">
        <v>0</v>
      </c>
      <c r="M38" s="163">
        <v>3610</v>
      </c>
      <c r="N38" s="87">
        <f t="shared" si="19"/>
        <v>3610</v>
      </c>
      <c r="O38" s="163">
        <v>0</v>
      </c>
      <c r="P38" s="87">
        <f t="shared" si="20"/>
        <v>3610</v>
      </c>
      <c r="Q38" s="163">
        <v>0</v>
      </c>
      <c r="R38" s="87">
        <f t="shared" si="21"/>
        <v>3610</v>
      </c>
      <c r="S38" s="163">
        <v>0</v>
      </c>
      <c r="T38" s="87">
        <f t="shared" si="22"/>
        <v>3610</v>
      </c>
      <c r="U38" s="163">
        <v>0</v>
      </c>
      <c r="V38" s="87">
        <f t="shared" si="23"/>
        <v>3610</v>
      </c>
    </row>
    <row r="39" spans="1:22" s="162" customFormat="1" ht="24" customHeight="1">
      <c r="A39" s="85">
        <v>854</v>
      </c>
      <c r="B39" s="85">
        <v>85412</v>
      </c>
      <c r="C39" s="85">
        <v>2830</v>
      </c>
      <c r="D39" s="14" t="s">
        <v>666</v>
      </c>
      <c r="E39" s="181" t="s">
        <v>670</v>
      </c>
      <c r="F39" s="163"/>
      <c r="G39" s="163"/>
      <c r="H39" s="87"/>
      <c r="I39" s="163"/>
      <c r="J39" s="87"/>
      <c r="K39" s="163"/>
      <c r="L39" s="87">
        <v>0</v>
      </c>
      <c r="M39" s="163">
        <v>26710</v>
      </c>
      <c r="N39" s="87">
        <f t="shared" si="19"/>
        <v>26710</v>
      </c>
      <c r="O39" s="163">
        <v>0</v>
      </c>
      <c r="P39" s="87">
        <f t="shared" si="20"/>
        <v>26710</v>
      </c>
      <c r="Q39" s="163">
        <v>0</v>
      </c>
      <c r="R39" s="87">
        <f t="shared" si="21"/>
        <v>26710</v>
      </c>
      <c r="S39" s="163">
        <v>0</v>
      </c>
      <c r="T39" s="87">
        <f t="shared" si="22"/>
        <v>26710</v>
      </c>
      <c r="U39" s="163">
        <v>0</v>
      </c>
      <c r="V39" s="87">
        <f t="shared" si="23"/>
        <v>26710</v>
      </c>
    </row>
    <row r="40" spans="1:22" s="162" customFormat="1" ht="22.5">
      <c r="A40" s="85">
        <v>926</v>
      </c>
      <c r="B40" s="85">
        <v>92605</v>
      </c>
      <c r="C40" s="85">
        <v>2630</v>
      </c>
      <c r="D40" s="182" t="s">
        <v>663</v>
      </c>
      <c r="E40" s="181" t="s">
        <v>328</v>
      </c>
      <c r="F40" s="163">
        <v>250000</v>
      </c>
      <c r="G40" s="163">
        <v>-247500</v>
      </c>
      <c r="H40" s="87">
        <f t="shared" si="16"/>
        <v>2500</v>
      </c>
      <c r="I40" s="163"/>
      <c r="J40" s="87">
        <f t="shared" si="17"/>
        <v>2500</v>
      </c>
      <c r="K40" s="163">
        <v>-2000</v>
      </c>
      <c r="L40" s="87">
        <f t="shared" si="18"/>
        <v>500</v>
      </c>
      <c r="M40" s="163">
        <v>70000</v>
      </c>
      <c r="N40" s="87">
        <f t="shared" si="19"/>
        <v>70500</v>
      </c>
      <c r="O40" s="163">
        <f>-65500-5000</f>
        <v>-70500</v>
      </c>
      <c r="P40" s="87">
        <f t="shared" si="20"/>
        <v>0</v>
      </c>
      <c r="Q40" s="163">
        <v>0</v>
      </c>
      <c r="R40" s="87">
        <f t="shared" si="21"/>
        <v>0</v>
      </c>
      <c r="S40" s="163">
        <v>0</v>
      </c>
      <c r="T40" s="87">
        <f t="shared" si="22"/>
        <v>0</v>
      </c>
      <c r="U40" s="163">
        <v>0</v>
      </c>
      <c r="V40" s="87">
        <f t="shared" si="23"/>
        <v>0</v>
      </c>
    </row>
    <row r="41" spans="1:22" s="165" customFormat="1" ht="22.5" hidden="1">
      <c r="A41" s="85">
        <v>926</v>
      </c>
      <c r="B41" s="85">
        <v>92605</v>
      </c>
      <c r="C41" s="160">
        <v>2630</v>
      </c>
      <c r="D41" s="140" t="s">
        <v>671</v>
      </c>
      <c r="E41" s="181" t="s">
        <v>328</v>
      </c>
      <c r="F41" s="164"/>
      <c r="G41" s="164"/>
      <c r="H41" s="87">
        <f t="shared" si="16"/>
        <v>0</v>
      </c>
      <c r="I41" s="164"/>
      <c r="J41" s="87">
        <f t="shared" si="17"/>
        <v>0</v>
      </c>
      <c r="K41" s="164"/>
      <c r="L41" s="87">
        <f t="shared" si="18"/>
        <v>0</v>
      </c>
      <c r="M41" s="164"/>
      <c r="N41" s="87">
        <f t="shared" si="19"/>
        <v>0</v>
      </c>
      <c r="O41" s="164"/>
      <c r="P41" s="87">
        <f t="shared" si="20"/>
        <v>0</v>
      </c>
      <c r="Q41" s="164"/>
      <c r="R41" s="87">
        <f t="shared" si="21"/>
        <v>0</v>
      </c>
      <c r="S41" s="164"/>
      <c r="T41" s="87">
        <f t="shared" si="22"/>
        <v>0</v>
      </c>
      <c r="U41" s="164"/>
      <c r="V41" s="87">
        <f t="shared" si="23"/>
        <v>0</v>
      </c>
    </row>
    <row r="42" spans="1:22" s="165" customFormat="1" ht="22.5" hidden="1">
      <c r="A42" s="85">
        <v>926</v>
      </c>
      <c r="B42" s="85">
        <v>92605</v>
      </c>
      <c r="C42" s="160">
        <v>2630</v>
      </c>
      <c r="D42" s="140" t="s">
        <v>672</v>
      </c>
      <c r="E42" s="181" t="s">
        <v>328</v>
      </c>
      <c r="F42" s="164"/>
      <c r="G42" s="164"/>
      <c r="H42" s="87">
        <f t="shared" si="16"/>
        <v>0</v>
      </c>
      <c r="I42" s="164"/>
      <c r="J42" s="87">
        <f t="shared" si="17"/>
        <v>0</v>
      </c>
      <c r="K42" s="164"/>
      <c r="L42" s="87">
        <f t="shared" si="18"/>
        <v>0</v>
      </c>
      <c r="M42" s="164"/>
      <c r="N42" s="87">
        <f t="shared" si="19"/>
        <v>0</v>
      </c>
      <c r="O42" s="164"/>
      <c r="P42" s="87">
        <f t="shared" si="20"/>
        <v>0</v>
      </c>
      <c r="Q42" s="164"/>
      <c r="R42" s="87">
        <f t="shared" si="21"/>
        <v>0</v>
      </c>
      <c r="S42" s="164"/>
      <c r="T42" s="87">
        <f t="shared" si="22"/>
        <v>0</v>
      </c>
      <c r="U42" s="164"/>
      <c r="V42" s="87">
        <f t="shared" si="23"/>
        <v>0</v>
      </c>
    </row>
    <row r="43" spans="1:22" s="165" customFormat="1" ht="22.5" hidden="1">
      <c r="A43" s="85">
        <v>926</v>
      </c>
      <c r="B43" s="85">
        <v>92605</v>
      </c>
      <c r="C43" s="160">
        <v>2630</v>
      </c>
      <c r="D43" s="140" t="s">
        <v>673</v>
      </c>
      <c r="E43" s="181" t="s">
        <v>328</v>
      </c>
      <c r="F43" s="164"/>
      <c r="G43" s="164"/>
      <c r="H43" s="87">
        <f t="shared" si="16"/>
        <v>0</v>
      </c>
      <c r="I43" s="164"/>
      <c r="J43" s="87">
        <f t="shared" si="17"/>
        <v>0</v>
      </c>
      <c r="K43" s="164"/>
      <c r="L43" s="87">
        <f t="shared" si="18"/>
        <v>0</v>
      </c>
      <c r="M43" s="164"/>
      <c r="N43" s="87">
        <f t="shared" si="19"/>
        <v>0</v>
      </c>
      <c r="O43" s="164"/>
      <c r="P43" s="87">
        <f t="shared" si="20"/>
        <v>0</v>
      </c>
      <c r="Q43" s="164"/>
      <c r="R43" s="87">
        <f t="shared" si="21"/>
        <v>0</v>
      </c>
      <c r="S43" s="164"/>
      <c r="T43" s="87">
        <f t="shared" si="22"/>
        <v>0</v>
      </c>
      <c r="U43" s="164"/>
      <c r="V43" s="87">
        <f t="shared" si="23"/>
        <v>0</v>
      </c>
    </row>
    <row r="44" spans="1:22" s="165" customFormat="1" ht="22.5" hidden="1">
      <c r="A44" s="85">
        <v>926</v>
      </c>
      <c r="B44" s="85">
        <v>92605</v>
      </c>
      <c r="C44" s="160">
        <v>2630</v>
      </c>
      <c r="D44" s="140" t="s">
        <v>674</v>
      </c>
      <c r="E44" s="181" t="s">
        <v>328</v>
      </c>
      <c r="F44" s="164"/>
      <c r="G44" s="164"/>
      <c r="H44" s="87">
        <f t="shared" si="16"/>
        <v>0</v>
      </c>
      <c r="I44" s="164"/>
      <c r="J44" s="87">
        <f t="shared" si="17"/>
        <v>0</v>
      </c>
      <c r="K44" s="164"/>
      <c r="L44" s="87">
        <f t="shared" si="18"/>
        <v>0</v>
      </c>
      <c r="M44" s="164"/>
      <c r="N44" s="87">
        <f t="shared" si="19"/>
        <v>0</v>
      </c>
      <c r="O44" s="164"/>
      <c r="P44" s="87">
        <f t="shared" si="20"/>
        <v>0</v>
      </c>
      <c r="Q44" s="164"/>
      <c r="R44" s="87">
        <f t="shared" si="21"/>
        <v>0</v>
      </c>
      <c r="S44" s="164"/>
      <c r="T44" s="87">
        <f t="shared" si="22"/>
        <v>0</v>
      </c>
      <c r="U44" s="164"/>
      <c r="V44" s="87">
        <f t="shared" si="23"/>
        <v>0</v>
      </c>
    </row>
    <row r="45" spans="1:22" s="165" customFormat="1" ht="22.5" hidden="1">
      <c r="A45" s="85">
        <v>926</v>
      </c>
      <c r="B45" s="85">
        <v>92605</v>
      </c>
      <c r="C45" s="160">
        <v>2630</v>
      </c>
      <c r="D45" s="140" t="s">
        <v>675</v>
      </c>
      <c r="E45" s="181" t="s">
        <v>328</v>
      </c>
      <c r="F45" s="164"/>
      <c r="G45" s="164"/>
      <c r="H45" s="87">
        <f t="shared" si="16"/>
        <v>0</v>
      </c>
      <c r="I45" s="164"/>
      <c r="J45" s="87">
        <f t="shared" si="17"/>
        <v>0</v>
      </c>
      <c r="K45" s="164"/>
      <c r="L45" s="87">
        <f t="shared" si="18"/>
        <v>0</v>
      </c>
      <c r="M45" s="164"/>
      <c r="N45" s="87">
        <f t="shared" si="19"/>
        <v>0</v>
      </c>
      <c r="O45" s="164"/>
      <c r="P45" s="87">
        <f t="shared" si="20"/>
        <v>0</v>
      </c>
      <c r="Q45" s="164"/>
      <c r="R45" s="87">
        <f t="shared" si="21"/>
        <v>0</v>
      </c>
      <c r="S45" s="164"/>
      <c r="T45" s="87">
        <f t="shared" si="22"/>
        <v>0</v>
      </c>
      <c r="U45" s="164"/>
      <c r="V45" s="87">
        <f t="shared" si="23"/>
        <v>0</v>
      </c>
    </row>
    <row r="46" spans="1:22" s="165" customFormat="1" ht="22.5" hidden="1">
      <c r="A46" s="85">
        <v>926</v>
      </c>
      <c r="B46" s="85">
        <v>92605</v>
      </c>
      <c r="C46" s="160">
        <v>2630</v>
      </c>
      <c r="D46" s="140" t="s">
        <v>676</v>
      </c>
      <c r="E46" s="181" t="s">
        <v>328</v>
      </c>
      <c r="F46" s="164"/>
      <c r="G46" s="164"/>
      <c r="H46" s="87">
        <f t="shared" si="16"/>
        <v>0</v>
      </c>
      <c r="I46" s="164"/>
      <c r="J46" s="87">
        <f t="shared" si="17"/>
        <v>0</v>
      </c>
      <c r="K46" s="164"/>
      <c r="L46" s="87">
        <f t="shared" si="18"/>
        <v>0</v>
      </c>
      <c r="M46" s="164"/>
      <c r="N46" s="87">
        <f t="shared" si="19"/>
        <v>0</v>
      </c>
      <c r="O46" s="164"/>
      <c r="P46" s="87">
        <f t="shared" si="20"/>
        <v>0</v>
      </c>
      <c r="Q46" s="164"/>
      <c r="R46" s="87">
        <f t="shared" si="21"/>
        <v>0</v>
      </c>
      <c r="S46" s="164"/>
      <c r="T46" s="87">
        <f t="shared" si="22"/>
        <v>0</v>
      </c>
      <c r="U46" s="164"/>
      <c r="V46" s="87">
        <f t="shared" si="23"/>
        <v>0</v>
      </c>
    </row>
    <row r="47" spans="1:22" s="165" customFormat="1" ht="22.5" hidden="1">
      <c r="A47" s="85">
        <v>926</v>
      </c>
      <c r="B47" s="85">
        <v>92605</v>
      </c>
      <c r="C47" s="160">
        <v>2630</v>
      </c>
      <c r="D47" s="140" t="s">
        <v>677</v>
      </c>
      <c r="E47" s="181" t="s">
        <v>328</v>
      </c>
      <c r="F47" s="164"/>
      <c r="G47" s="164"/>
      <c r="H47" s="87">
        <f t="shared" si="16"/>
        <v>0</v>
      </c>
      <c r="I47" s="164"/>
      <c r="J47" s="87">
        <f t="shared" si="17"/>
        <v>0</v>
      </c>
      <c r="K47" s="164"/>
      <c r="L47" s="87">
        <f t="shared" si="18"/>
        <v>0</v>
      </c>
      <c r="M47" s="164"/>
      <c r="N47" s="87">
        <f t="shared" si="19"/>
        <v>0</v>
      </c>
      <c r="O47" s="164"/>
      <c r="P47" s="87">
        <f t="shared" si="20"/>
        <v>0</v>
      </c>
      <c r="Q47" s="164"/>
      <c r="R47" s="87">
        <f t="shared" si="21"/>
        <v>0</v>
      </c>
      <c r="S47" s="164"/>
      <c r="T47" s="87">
        <f t="shared" si="22"/>
        <v>0</v>
      </c>
      <c r="U47" s="164"/>
      <c r="V47" s="87">
        <f t="shared" si="23"/>
        <v>0</v>
      </c>
    </row>
    <row r="48" spans="1:22" s="165" customFormat="1" ht="22.5" hidden="1">
      <c r="A48" s="85">
        <v>926</v>
      </c>
      <c r="B48" s="85">
        <v>92605</v>
      </c>
      <c r="C48" s="160">
        <v>2630</v>
      </c>
      <c r="D48" s="140" t="s">
        <v>678</v>
      </c>
      <c r="E48" s="181" t="s">
        <v>328</v>
      </c>
      <c r="F48" s="164"/>
      <c r="G48" s="164"/>
      <c r="H48" s="87">
        <f t="shared" si="16"/>
        <v>0</v>
      </c>
      <c r="I48" s="164"/>
      <c r="J48" s="87">
        <f t="shared" si="17"/>
        <v>0</v>
      </c>
      <c r="K48" s="164"/>
      <c r="L48" s="87">
        <f t="shared" si="18"/>
        <v>0</v>
      </c>
      <c r="M48" s="164"/>
      <c r="N48" s="87">
        <f t="shared" si="19"/>
        <v>0</v>
      </c>
      <c r="O48" s="164"/>
      <c r="P48" s="87">
        <f t="shared" si="20"/>
        <v>0</v>
      </c>
      <c r="Q48" s="164"/>
      <c r="R48" s="87">
        <f t="shared" si="21"/>
        <v>0</v>
      </c>
      <c r="S48" s="164"/>
      <c r="T48" s="87">
        <f t="shared" si="22"/>
        <v>0</v>
      </c>
      <c r="U48" s="164"/>
      <c r="V48" s="87">
        <f t="shared" si="23"/>
        <v>0</v>
      </c>
    </row>
    <row r="49" spans="1:22" s="165" customFormat="1" ht="22.5" hidden="1">
      <c r="A49" s="85">
        <v>926</v>
      </c>
      <c r="B49" s="85">
        <v>92605</v>
      </c>
      <c r="C49" s="160">
        <v>2630</v>
      </c>
      <c r="D49" s="140" t="s">
        <v>679</v>
      </c>
      <c r="E49" s="181" t="s">
        <v>328</v>
      </c>
      <c r="F49" s="164"/>
      <c r="G49" s="164"/>
      <c r="H49" s="87">
        <f t="shared" si="16"/>
        <v>0</v>
      </c>
      <c r="I49" s="164"/>
      <c r="J49" s="87">
        <f t="shared" si="17"/>
        <v>0</v>
      </c>
      <c r="K49" s="164"/>
      <c r="L49" s="87">
        <f t="shared" si="18"/>
        <v>0</v>
      </c>
      <c r="M49" s="164"/>
      <c r="N49" s="87">
        <f t="shared" si="19"/>
        <v>0</v>
      </c>
      <c r="O49" s="164"/>
      <c r="P49" s="87">
        <f t="shared" si="20"/>
        <v>0</v>
      </c>
      <c r="Q49" s="164"/>
      <c r="R49" s="87">
        <f t="shared" si="21"/>
        <v>0</v>
      </c>
      <c r="S49" s="164"/>
      <c r="T49" s="87">
        <f t="shared" si="22"/>
        <v>0</v>
      </c>
      <c r="U49" s="164"/>
      <c r="V49" s="87">
        <f t="shared" si="23"/>
        <v>0</v>
      </c>
    </row>
    <row r="50" spans="1:22" s="165" customFormat="1" ht="22.5" hidden="1">
      <c r="A50" s="85">
        <v>926</v>
      </c>
      <c r="B50" s="85">
        <v>92605</v>
      </c>
      <c r="C50" s="160">
        <v>2630</v>
      </c>
      <c r="D50" s="140" t="s">
        <v>680</v>
      </c>
      <c r="E50" s="181" t="s">
        <v>328</v>
      </c>
      <c r="F50" s="164"/>
      <c r="G50" s="164"/>
      <c r="H50" s="87">
        <f t="shared" si="16"/>
        <v>0</v>
      </c>
      <c r="I50" s="164"/>
      <c r="J50" s="87">
        <f t="shared" si="17"/>
        <v>0</v>
      </c>
      <c r="K50" s="164"/>
      <c r="L50" s="87">
        <f t="shared" si="18"/>
        <v>0</v>
      </c>
      <c r="M50" s="164"/>
      <c r="N50" s="87">
        <f t="shared" si="19"/>
        <v>0</v>
      </c>
      <c r="O50" s="164"/>
      <c r="P50" s="87">
        <f t="shared" si="20"/>
        <v>0</v>
      </c>
      <c r="Q50" s="164"/>
      <c r="R50" s="87">
        <f t="shared" si="21"/>
        <v>0</v>
      </c>
      <c r="S50" s="164"/>
      <c r="T50" s="87">
        <f t="shared" si="22"/>
        <v>0</v>
      </c>
      <c r="U50" s="164"/>
      <c r="V50" s="87">
        <f t="shared" si="23"/>
        <v>0</v>
      </c>
    </row>
    <row r="51" spans="1:22" s="165" customFormat="1" ht="22.5" hidden="1">
      <c r="A51" s="85">
        <v>926</v>
      </c>
      <c r="B51" s="85">
        <v>92605</v>
      </c>
      <c r="C51" s="160">
        <v>2630</v>
      </c>
      <c r="D51" s="140" t="s">
        <v>681</v>
      </c>
      <c r="E51" s="181" t="s">
        <v>328</v>
      </c>
      <c r="F51" s="164"/>
      <c r="G51" s="164"/>
      <c r="H51" s="87">
        <f t="shared" si="16"/>
        <v>0</v>
      </c>
      <c r="I51" s="164"/>
      <c r="J51" s="87">
        <f t="shared" si="17"/>
        <v>0</v>
      </c>
      <c r="K51" s="164"/>
      <c r="L51" s="87">
        <f t="shared" si="18"/>
        <v>0</v>
      </c>
      <c r="M51" s="164"/>
      <c r="N51" s="87">
        <f t="shared" si="19"/>
        <v>0</v>
      </c>
      <c r="O51" s="164"/>
      <c r="P51" s="87">
        <f t="shared" si="20"/>
        <v>0</v>
      </c>
      <c r="Q51" s="164"/>
      <c r="R51" s="87">
        <f t="shared" si="21"/>
        <v>0</v>
      </c>
      <c r="S51" s="164"/>
      <c r="T51" s="87">
        <f t="shared" si="22"/>
        <v>0</v>
      </c>
      <c r="U51" s="164"/>
      <c r="V51" s="87">
        <f t="shared" si="23"/>
        <v>0</v>
      </c>
    </row>
    <row r="52" spans="1:22" s="165" customFormat="1" ht="26.25" customHeight="1">
      <c r="A52" s="85">
        <v>926</v>
      </c>
      <c r="B52" s="85">
        <v>92605</v>
      </c>
      <c r="C52" s="85">
        <v>2820</v>
      </c>
      <c r="D52" s="140" t="s">
        <v>5</v>
      </c>
      <c r="E52" s="181" t="s">
        <v>328</v>
      </c>
      <c r="F52" s="164">
        <v>0</v>
      </c>
      <c r="G52" s="164">
        <v>131400</v>
      </c>
      <c r="H52" s="87">
        <f t="shared" si="16"/>
        <v>131400</v>
      </c>
      <c r="I52" s="164"/>
      <c r="J52" s="87">
        <f t="shared" si="17"/>
        <v>131400</v>
      </c>
      <c r="K52" s="164">
        <v>0</v>
      </c>
      <c r="L52" s="87">
        <f t="shared" si="18"/>
        <v>131400</v>
      </c>
      <c r="M52" s="164">
        <v>0</v>
      </c>
      <c r="N52" s="87">
        <f t="shared" si="19"/>
        <v>131400</v>
      </c>
      <c r="O52" s="164">
        <v>25000</v>
      </c>
      <c r="P52" s="87">
        <f t="shared" si="20"/>
        <v>156400</v>
      </c>
      <c r="Q52" s="164">
        <v>0</v>
      </c>
      <c r="R52" s="87">
        <f t="shared" si="21"/>
        <v>156400</v>
      </c>
      <c r="S52" s="164">
        <v>0</v>
      </c>
      <c r="T52" s="87">
        <f t="shared" si="22"/>
        <v>156400</v>
      </c>
      <c r="U52" s="164">
        <v>0</v>
      </c>
      <c r="V52" s="87">
        <f t="shared" si="23"/>
        <v>156400</v>
      </c>
    </row>
    <row r="53" spans="1:22" s="165" customFormat="1" ht="26.25" customHeight="1">
      <c r="A53" s="85">
        <v>926</v>
      </c>
      <c r="B53" s="85">
        <v>92605</v>
      </c>
      <c r="C53" s="85">
        <v>2820</v>
      </c>
      <c r="D53" s="140" t="s">
        <v>672</v>
      </c>
      <c r="E53" s="181" t="s">
        <v>328</v>
      </c>
      <c r="F53" s="164">
        <v>0</v>
      </c>
      <c r="G53" s="164">
        <v>62000</v>
      </c>
      <c r="H53" s="87">
        <f t="shared" si="16"/>
        <v>62000</v>
      </c>
      <c r="I53" s="164"/>
      <c r="J53" s="87">
        <f t="shared" si="17"/>
        <v>62000</v>
      </c>
      <c r="K53" s="164">
        <v>0</v>
      </c>
      <c r="L53" s="87">
        <f t="shared" si="18"/>
        <v>62000</v>
      </c>
      <c r="M53" s="164">
        <v>0</v>
      </c>
      <c r="N53" s="87">
        <f t="shared" si="19"/>
        <v>62000</v>
      </c>
      <c r="O53" s="164">
        <v>20000</v>
      </c>
      <c r="P53" s="87">
        <f t="shared" si="20"/>
        <v>82000</v>
      </c>
      <c r="Q53" s="164">
        <v>0</v>
      </c>
      <c r="R53" s="87">
        <f t="shared" si="21"/>
        <v>82000</v>
      </c>
      <c r="S53" s="164">
        <v>0</v>
      </c>
      <c r="T53" s="87">
        <f t="shared" si="22"/>
        <v>82000</v>
      </c>
      <c r="U53" s="164">
        <v>0</v>
      </c>
      <c r="V53" s="87">
        <f t="shared" si="23"/>
        <v>82000</v>
      </c>
    </row>
    <row r="54" spans="1:22" s="165" customFormat="1" ht="26.25" customHeight="1">
      <c r="A54" s="85">
        <v>926</v>
      </c>
      <c r="B54" s="85">
        <v>92605</v>
      </c>
      <c r="C54" s="85">
        <v>2820</v>
      </c>
      <c r="D54" s="140" t="s">
        <v>6</v>
      </c>
      <c r="E54" s="181" t="s">
        <v>328</v>
      </c>
      <c r="F54" s="164">
        <v>0</v>
      </c>
      <c r="G54" s="164">
        <v>4000</v>
      </c>
      <c r="H54" s="87">
        <f t="shared" si="16"/>
        <v>4000</v>
      </c>
      <c r="I54" s="164"/>
      <c r="J54" s="87">
        <f t="shared" si="17"/>
        <v>4000</v>
      </c>
      <c r="K54" s="164">
        <v>0</v>
      </c>
      <c r="L54" s="87">
        <f t="shared" si="18"/>
        <v>4000</v>
      </c>
      <c r="M54" s="164">
        <v>0</v>
      </c>
      <c r="N54" s="87">
        <f t="shared" si="19"/>
        <v>4000</v>
      </c>
      <c r="O54" s="164">
        <v>0</v>
      </c>
      <c r="P54" s="87">
        <f t="shared" si="20"/>
        <v>4000</v>
      </c>
      <c r="Q54" s="164">
        <v>0</v>
      </c>
      <c r="R54" s="87">
        <f t="shared" si="21"/>
        <v>4000</v>
      </c>
      <c r="S54" s="164">
        <v>0</v>
      </c>
      <c r="T54" s="87">
        <f t="shared" si="22"/>
        <v>4000</v>
      </c>
      <c r="U54" s="164">
        <v>0</v>
      </c>
      <c r="V54" s="87">
        <f t="shared" si="23"/>
        <v>4000</v>
      </c>
    </row>
    <row r="55" spans="1:22" s="165" customFormat="1" ht="26.25" customHeight="1">
      <c r="A55" s="85">
        <v>926</v>
      </c>
      <c r="B55" s="85">
        <v>92605</v>
      </c>
      <c r="C55" s="85">
        <v>2820</v>
      </c>
      <c r="D55" s="140" t="s">
        <v>7</v>
      </c>
      <c r="E55" s="181" t="s">
        <v>328</v>
      </c>
      <c r="F55" s="164">
        <v>0</v>
      </c>
      <c r="G55" s="164">
        <v>5000</v>
      </c>
      <c r="H55" s="87">
        <f t="shared" si="16"/>
        <v>5000</v>
      </c>
      <c r="I55" s="164"/>
      <c r="J55" s="87">
        <f t="shared" si="17"/>
        <v>5000</v>
      </c>
      <c r="K55" s="164">
        <v>0</v>
      </c>
      <c r="L55" s="87">
        <f t="shared" si="18"/>
        <v>5000</v>
      </c>
      <c r="M55" s="164">
        <v>0</v>
      </c>
      <c r="N55" s="87">
        <f t="shared" si="19"/>
        <v>5000</v>
      </c>
      <c r="O55" s="164">
        <v>3500</v>
      </c>
      <c r="P55" s="87">
        <f t="shared" si="20"/>
        <v>8500</v>
      </c>
      <c r="Q55" s="164">
        <v>0</v>
      </c>
      <c r="R55" s="87">
        <f t="shared" si="21"/>
        <v>8500</v>
      </c>
      <c r="S55" s="164">
        <v>0</v>
      </c>
      <c r="T55" s="87">
        <f t="shared" si="22"/>
        <v>8500</v>
      </c>
      <c r="U55" s="164">
        <v>0</v>
      </c>
      <c r="V55" s="87">
        <f t="shared" si="23"/>
        <v>8500</v>
      </c>
    </row>
    <row r="56" spans="1:22" s="165" customFormat="1" ht="26.25" customHeight="1">
      <c r="A56" s="85">
        <v>926</v>
      </c>
      <c r="B56" s="85">
        <v>92605</v>
      </c>
      <c r="C56" s="85">
        <v>2820</v>
      </c>
      <c r="D56" s="140" t="s">
        <v>8</v>
      </c>
      <c r="E56" s="181" t="s">
        <v>328</v>
      </c>
      <c r="F56" s="164">
        <v>0</v>
      </c>
      <c r="G56" s="164">
        <v>3500</v>
      </c>
      <c r="H56" s="87">
        <f t="shared" si="16"/>
        <v>3500</v>
      </c>
      <c r="I56" s="164"/>
      <c r="J56" s="87">
        <f t="shared" si="17"/>
        <v>3500</v>
      </c>
      <c r="K56" s="164">
        <v>0</v>
      </c>
      <c r="L56" s="87">
        <f t="shared" si="18"/>
        <v>3500</v>
      </c>
      <c r="M56" s="164">
        <v>0</v>
      </c>
      <c r="N56" s="87">
        <f t="shared" si="19"/>
        <v>3500</v>
      </c>
      <c r="O56" s="164">
        <v>2500</v>
      </c>
      <c r="P56" s="87">
        <f t="shared" si="20"/>
        <v>6000</v>
      </c>
      <c r="Q56" s="164">
        <v>0</v>
      </c>
      <c r="R56" s="87">
        <f t="shared" si="21"/>
        <v>6000</v>
      </c>
      <c r="S56" s="164">
        <v>0</v>
      </c>
      <c r="T56" s="87">
        <f t="shared" si="22"/>
        <v>6000</v>
      </c>
      <c r="U56" s="164">
        <v>0</v>
      </c>
      <c r="V56" s="87">
        <f t="shared" si="23"/>
        <v>6000</v>
      </c>
    </row>
    <row r="57" spans="1:22" s="165" customFormat="1" ht="26.25" customHeight="1">
      <c r="A57" s="85">
        <v>926</v>
      </c>
      <c r="B57" s="85">
        <v>92605</v>
      </c>
      <c r="C57" s="85">
        <v>2820</v>
      </c>
      <c r="D57" s="140" t="s">
        <v>9</v>
      </c>
      <c r="E57" s="181" t="s">
        <v>328</v>
      </c>
      <c r="F57" s="164">
        <v>0</v>
      </c>
      <c r="G57" s="164">
        <v>8000</v>
      </c>
      <c r="H57" s="87">
        <f t="shared" si="16"/>
        <v>8000</v>
      </c>
      <c r="I57" s="164"/>
      <c r="J57" s="87">
        <f t="shared" si="17"/>
        <v>8000</v>
      </c>
      <c r="K57" s="164">
        <v>0</v>
      </c>
      <c r="L57" s="87">
        <f t="shared" si="18"/>
        <v>8000</v>
      </c>
      <c r="M57" s="164">
        <v>0</v>
      </c>
      <c r="N57" s="87">
        <f t="shared" si="19"/>
        <v>8000</v>
      </c>
      <c r="O57" s="164">
        <v>3500</v>
      </c>
      <c r="P57" s="87">
        <f t="shared" si="20"/>
        <v>11500</v>
      </c>
      <c r="Q57" s="164">
        <v>0</v>
      </c>
      <c r="R57" s="87">
        <f t="shared" si="21"/>
        <v>11500</v>
      </c>
      <c r="S57" s="164">
        <v>0</v>
      </c>
      <c r="T57" s="87">
        <f t="shared" si="22"/>
        <v>11500</v>
      </c>
      <c r="U57" s="164">
        <v>0</v>
      </c>
      <c r="V57" s="87">
        <f t="shared" si="23"/>
        <v>11500</v>
      </c>
    </row>
    <row r="58" spans="1:22" s="165" customFormat="1" ht="26.25" customHeight="1">
      <c r="A58" s="85">
        <v>926</v>
      </c>
      <c r="B58" s="85">
        <v>92605</v>
      </c>
      <c r="C58" s="85">
        <v>2820</v>
      </c>
      <c r="D58" s="140" t="s">
        <v>10</v>
      </c>
      <c r="E58" s="181" t="s">
        <v>328</v>
      </c>
      <c r="F58" s="164">
        <v>0</v>
      </c>
      <c r="G58" s="164">
        <v>2500</v>
      </c>
      <c r="H58" s="87">
        <f t="shared" si="16"/>
        <v>2500</v>
      </c>
      <c r="I58" s="164"/>
      <c r="J58" s="87">
        <f t="shared" si="17"/>
        <v>2500</v>
      </c>
      <c r="K58" s="164">
        <v>0</v>
      </c>
      <c r="L58" s="87">
        <f t="shared" si="18"/>
        <v>2500</v>
      </c>
      <c r="M58" s="164">
        <v>0</v>
      </c>
      <c r="N58" s="87">
        <f t="shared" si="19"/>
        <v>2500</v>
      </c>
      <c r="O58" s="164">
        <v>2500</v>
      </c>
      <c r="P58" s="87">
        <f t="shared" si="20"/>
        <v>5000</v>
      </c>
      <c r="Q58" s="164">
        <v>0</v>
      </c>
      <c r="R58" s="87">
        <f t="shared" si="21"/>
        <v>5000</v>
      </c>
      <c r="S58" s="164">
        <v>0</v>
      </c>
      <c r="T58" s="87">
        <f t="shared" si="22"/>
        <v>5000</v>
      </c>
      <c r="U58" s="164">
        <v>0</v>
      </c>
      <c r="V58" s="87">
        <f t="shared" si="23"/>
        <v>5000</v>
      </c>
    </row>
    <row r="59" spans="1:22" s="165" customFormat="1" ht="26.25" customHeight="1">
      <c r="A59" s="85">
        <v>926</v>
      </c>
      <c r="B59" s="85">
        <v>92605</v>
      </c>
      <c r="C59" s="85">
        <v>2820</v>
      </c>
      <c r="D59" s="140" t="s">
        <v>11</v>
      </c>
      <c r="E59" s="181" t="s">
        <v>328</v>
      </c>
      <c r="F59" s="164">
        <v>0</v>
      </c>
      <c r="G59" s="164">
        <v>7000</v>
      </c>
      <c r="H59" s="87">
        <f t="shared" si="16"/>
        <v>7000</v>
      </c>
      <c r="I59" s="164"/>
      <c r="J59" s="87">
        <f t="shared" si="17"/>
        <v>7000</v>
      </c>
      <c r="K59" s="164">
        <v>0</v>
      </c>
      <c r="L59" s="87">
        <f t="shared" si="18"/>
        <v>7000</v>
      </c>
      <c r="M59" s="164">
        <v>0</v>
      </c>
      <c r="N59" s="87">
        <f t="shared" si="19"/>
        <v>7000</v>
      </c>
      <c r="O59" s="164">
        <v>0</v>
      </c>
      <c r="P59" s="87">
        <f t="shared" si="20"/>
        <v>7000</v>
      </c>
      <c r="Q59" s="164">
        <v>0</v>
      </c>
      <c r="R59" s="87">
        <f t="shared" si="21"/>
        <v>7000</v>
      </c>
      <c r="S59" s="164">
        <v>0</v>
      </c>
      <c r="T59" s="87">
        <f t="shared" si="22"/>
        <v>7000</v>
      </c>
      <c r="U59" s="164">
        <v>0</v>
      </c>
      <c r="V59" s="87">
        <f t="shared" si="23"/>
        <v>7000</v>
      </c>
    </row>
    <row r="60" spans="1:22" s="165" customFormat="1" ht="26.25" customHeight="1">
      <c r="A60" s="85">
        <v>926</v>
      </c>
      <c r="B60" s="85">
        <v>92605</v>
      </c>
      <c r="C60" s="85">
        <v>2820</v>
      </c>
      <c r="D60" s="140" t="s">
        <v>12</v>
      </c>
      <c r="E60" s="181" t="s">
        <v>328</v>
      </c>
      <c r="F60" s="164">
        <v>0</v>
      </c>
      <c r="G60" s="164">
        <v>14000</v>
      </c>
      <c r="H60" s="87">
        <f t="shared" si="16"/>
        <v>14000</v>
      </c>
      <c r="I60" s="164"/>
      <c r="J60" s="87">
        <f t="shared" si="17"/>
        <v>14000</v>
      </c>
      <c r="K60" s="164">
        <v>0</v>
      </c>
      <c r="L60" s="87">
        <f t="shared" si="18"/>
        <v>14000</v>
      </c>
      <c r="M60" s="164">
        <v>0</v>
      </c>
      <c r="N60" s="87">
        <f t="shared" si="19"/>
        <v>14000</v>
      </c>
      <c r="O60" s="164">
        <v>6000</v>
      </c>
      <c r="P60" s="87">
        <f t="shared" si="20"/>
        <v>20000</v>
      </c>
      <c r="Q60" s="164">
        <v>0</v>
      </c>
      <c r="R60" s="87">
        <f t="shared" si="21"/>
        <v>20000</v>
      </c>
      <c r="S60" s="164">
        <v>0</v>
      </c>
      <c r="T60" s="87">
        <f t="shared" si="22"/>
        <v>20000</v>
      </c>
      <c r="U60" s="164">
        <v>0</v>
      </c>
      <c r="V60" s="87">
        <f t="shared" si="23"/>
        <v>20000</v>
      </c>
    </row>
    <row r="61" spans="1:22" s="165" customFormat="1" ht="26.25" customHeight="1">
      <c r="A61" s="85">
        <v>926</v>
      </c>
      <c r="B61" s="85">
        <v>92605</v>
      </c>
      <c r="C61" s="85">
        <v>2820</v>
      </c>
      <c r="D61" s="140" t="s">
        <v>13</v>
      </c>
      <c r="E61" s="181" t="s">
        <v>328</v>
      </c>
      <c r="F61" s="164">
        <v>0</v>
      </c>
      <c r="G61" s="164">
        <v>6000</v>
      </c>
      <c r="H61" s="87">
        <f t="shared" si="16"/>
        <v>6000</v>
      </c>
      <c r="I61" s="164"/>
      <c r="J61" s="87">
        <f t="shared" si="17"/>
        <v>6000</v>
      </c>
      <c r="K61" s="164">
        <v>0</v>
      </c>
      <c r="L61" s="87">
        <f t="shared" si="18"/>
        <v>6000</v>
      </c>
      <c r="M61" s="164">
        <v>0</v>
      </c>
      <c r="N61" s="87">
        <f t="shared" si="19"/>
        <v>6000</v>
      </c>
      <c r="O61" s="164">
        <v>2500</v>
      </c>
      <c r="P61" s="87">
        <f t="shared" si="20"/>
        <v>8500</v>
      </c>
      <c r="Q61" s="164">
        <v>0</v>
      </c>
      <c r="R61" s="87">
        <f t="shared" si="21"/>
        <v>8500</v>
      </c>
      <c r="S61" s="164">
        <v>0</v>
      </c>
      <c r="T61" s="87">
        <f t="shared" si="22"/>
        <v>8500</v>
      </c>
      <c r="U61" s="164">
        <v>0</v>
      </c>
      <c r="V61" s="87">
        <f t="shared" si="23"/>
        <v>8500</v>
      </c>
    </row>
    <row r="62" spans="1:22" s="165" customFormat="1" ht="26.25" customHeight="1">
      <c r="A62" s="85">
        <v>926</v>
      </c>
      <c r="B62" s="85">
        <v>92605</v>
      </c>
      <c r="C62" s="85">
        <v>2820</v>
      </c>
      <c r="D62" s="140" t="s">
        <v>667</v>
      </c>
      <c r="E62" s="181" t="s">
        <v>328</v>
      </c>
      <c r="F62" s="164">
        <v>0</v>
      </c>
      <c r="G62" s="164">
        <v>1500</v>
      </c>
      <c r="H62" s="87">
        <f t="shared" si="16"/>
        <v>1500</v>
      </c>
      <c r="I62" s="164"/>
      <c r="J62" s="87">
        <f t="shared" si="17"/>
        <v>1500</v>
      </c>
      <c r="K62" s="164">
        <v>0</v>
      </c>
      <c r="L62" s="87">
        <f t="shared" si="18"/>
        <v>1500</v>
      </c>
      <c r="M62" s="164">
        <v>0</v>
      </c>
      <c r="N62" s="87">
        <f t="shared" si="19"/>
        <v>1500</v>
      </c>
      <c r="O62" s="164">
        <v>0</v>
      </c>
      <c r="P62" s="87">
        <f t="shared" si="20"/>
        <v>1500</v>
      </c>
      <c r="Q62" s="164">
        <v>0</v>
      </c>
      <c r="R62" s="87">
        <f t="shared" si="21"/>
        <v>1500</v>
      </c>
      <c r="S62" s="164">
        <v>0</v>
      </c>
      <c r="T62" s="87">
        <f t="shared" si="22"/>
        <v>1500</v>
      </c>
      <c r="U62" s="164">
        <v>0</v>
      </c>
      <c r="V62" s="87">
        <f t="shared" si="23"/>
        <v>1500</v>
      </c>
    </row>
    <row r="63" spans="1:22" s="165" customFormat="1" ht="26.25" customHeight="1">
      <c r="A63" s="85">
        <v>926</v>
      </c>
      <c r="B63" s="85">
        <v>92605</v>
      </c>
      <c r="C63" s="85">
        <v>2820</v>
      </c>
      <c r="D63" s="140" t="s">
        <v>679</v>
      </c>
      <c r="E63" s="181" t="s">
        <v>328</v>
      </c>
      <c r="F63" s="164">
        <v>0</v>
      </c>
      <c r="G63" s="164">
        <v>2000</v>
      </c>
      <c r="H63" s="87">
        <f t="shared" si="16"/>
        <v>2000</v>
      </c>
      <c r="I63" s="164"/>
      <c r="J63" s="87">
        <f t="shared" si="17"/>
        <v>2000</v>
      </c>
      <c r="K63" s="164">
        <v>0</v>
      </c>
      <c r="L63" s="87">
        <f t="shared" si="18"/>
        <v>2000</v>
      </c>
      <c r="M63" s="164">
        <v>0</v>
      </c>
      <c r="N63" s="87">
        <f t="shared" si="19"/>
        <v>2000</v>
      </c>
      <c r="O63" s="164">
        <v>0</v>
      </c>
      <c r="P63" s="87">
        <f t="shared" si="20"/>
        <v>2000</v>
      </c>
      <c r="Q63" s="164">
        <v>0</v>
      </c>
      <c r="R63" s="87">
        <f t="shared" si="21"/>
        <v>2000</v>
      </c>
      <c r="S63" s="164">
        <v>0</v>
      </c>
      <c r="T63" s="87">
        <f t="shared" si="22"/>
        <v>2000</v>
      </c>
      <c r="U63" s="164">
        <v>0</v>
      </c>
      <c r="V63" s="87">
        <f t="shared" si="23"/>
        <v>2000</v>
      </c>
    </row>
    <row r="64" spans="1:22" s="165" customFormat="1" ht="26.25" customHeight="1">
      <c r="A64" s="85">
        <v>926</v>
      </c>
      <c r="B64" s="85">
        <v>92605</v>
      </c>
      <c r="C64" s="85">
        <v>2830</v>
      </c>
      <c r="D64" s="140" t="s">
        <v>14</v>
      </c>
      <c r="E64" s="181" t="s">
        <v>328</v>
      </c>
      <c r="F64" s="164">
        <v>0</v>
      </c>
      <c r="G64" s="164">
        <v>600</v>
      </c>
      <c r="H64" s="87">
        <f t="shared" si="16"/>
        <v>600</v>
      </c>
      <c r="I64" s="164"/>
      <c r="J64" s="87">
        <f t="shared" si="17"/>
        <v>600</v>
      </c>
      <c r="K64" s="164">
        <v>0</v>
      </c>
      <c r="L64" s="87">
        <f t="shared" si="18"/>
        <v>600</v>
      </c>
      <c r="M64" s="164">
        <v>0</v>
      </c>
      <c r="N64" s="87">
        <f t="shared" si="19"/>
        <v>600</v>
      </c>
      <c r="O64" s="164">
        <v>0</v>
      </c>
      <c r="P64" s="87">
        <f t="shared" si="20"/>
        <v>600</v>
      </c>
      <c r="Q64" s="164">
        <v>0</v>
      </c>
      <c r="R64" s="87">
        <f t="shared" si="21"/>
        <v>600</v>
      </c>
      <c r="S64" s="164">
        <v>0</v>
      </c>
      <c r="T64" s="87">
        <f t="shared" si="22"/>
        <v>600</v>
      </c>
      <c r="U64" s="164">
        <v>0</v>
      </c>
      <c r="V64" s="87">
        <f t="shared" si="23"/>
        <v>600</v>
      </c>
    </row>
    <row r="65" spans="1:22" s="28" customFormat="1" ht="23.25" customHeight="1">
      <c r="A65" s="322" t="s">
        <v>329</v>
      </c>
      <c r="B65" s="323"/>
      <c r="C65" s="323"/>
      <c r="D65" s="323"/>
      <c r="E65" s="324"/>
      <c r="F65" s="44">
        <f>SUM(F25)</f>
        <v>352000</v>
      </c>
      <c r="G65" s="44">
        <f>SUM(G25)</f>
        <v>0</v>
      </c>
      <c r="H65" s="18">
        <f t="shared" si="16"/>
        <v>352000</v>
      </c>
      <c r="I65" s="44">
        <f>SUM(I25)</f>
        <v>-18900</v>
      </c>
      <c r="J65" s="18">
        <f t="shared" si="17"/>
        <v>333100</v>
      </c>
      <c r="K65" s="44">
        <f>SUM(K25)</f>
        <v>-2000</v>
      </c>
      <c r="L65" s="18">
        <f t="shared" si="18"/>
        <v>331100</v>
      </c>
      <c r="M65" s="44">
        <f>SUM(M25)</f>
        <v>70000</v>
      </c>
      <c r="N65" s="18">
        <f t="shared" si="19"/>
        <v>401100</v>
      </c>
      <c r="O65" s="44">
        <f>SUM(O25)</f>
        <v>-5000</v>
      </c>
      <c r="P65" s="18">
        <f t="shared" si="20"/>
        <v>396100</v>
      </c>
      <c r="Q65" s="44">
        <f>SUM(Q25)</f>
        <v>0</v>
      </c>
      <c r="R65" s="18">
        <f t="shared" si="21"/>
        <v>396100</v>
      </c>
      <c r="S65" s="44">
        <f>SUM(S25)</f>
        <v>25710</v>
      </c>
      <c r="T65" s="18">
        <f t="shared" si="22"/>
        <v>421810</v>
      </c>
      <c r="U65" s="44">
        <f>SUM(U25)</f>
        <v>0</v>
      </c>
      <c r="V65" s="18">
        <f t="shared" si="23"/>
        <v>421810</v>
      </c>
    </row>
    <row r="66" spans="1:22" s="28" customFormat="1" ht="24" customHeight="1">
      <c r="A66" s="184" t="s">
        <v>682</v>
      </c>
      <c r="B66" s="185"/>
      <c r="C66" s="185"/>
      <c r="D66" s="185"/>
      <c r="E66" s="185"/>
      <c r="F66" s="185"/>
      <c r="G66" s="185"/>
      <c r="H66" s="186"/>
      <c r="I66" s="185"/>
      <c r="J66" s="186"/>
      <c r="K66" s="185"/>
      <c r="L66" s="186"/>
      <c r="M66" s="185"/>
      <c r="N66" s="186"/>
      <c r="O66" s="185"/>
      <c r="P66" s="186"/>
      <c r="Q66" s="185"/>
      <c r="R66" s="186"/>
      <c r="S66" s="185"/>
      <c r="T66" s="186"/>
      <c r="U66" s="185"/>
      <c r="V66" s="186"/>
    </row>
    <row r="67" spans="1:22" s="117" customFormat="1" ht="29.25" customHeight="1">
      <c r="A67" s="5" t="s">
        <v>244</v>
      </c>
      <c r="B67" s="5" t="s">
        <v>245</v>
      </c>
      <c r="C67" s="5" t="s">
        <v>246</v>
      </c>
      <c r="D67" s="5" t="s">
        <v>646</v>
      </c>
      <c r="E67" s="5" t="s">
        <v>647</v>
      </c>
      <c r="F67" s="139" t="s">
        <v>717</v>
      </c>
      <c r="G67" s="139" t="s">
        <v>716</v>
      </c>
      <c r="H67" s="139" t="s">
        <v>718</v>
      </c>
      <c r="I67" s="139" t="s">
        <v>716</v>
      </c>
      <c r="J67" s="139" t="s">
        <v>119</v>
      </c>
      <c r="K67" s="139" t="s">
        <v>716</v>
      </c>
      <c r="L67" s="139" t="s">
        <v>718</v>
      </c>
      <c r="M67" s="139" t="s">
        <v>716</v>
      </c>
      <c r="N67" s="139" t="s">
        <v>718</v>
      </c>
      <c r="O67" s="139" t="s">
        <v>716</v>
      </c>
      <c r="P67" s="139" t="s">
        <v>717</v>
      </c>
      <c r="Q67" s="139" t="s">
        <v>716</v>
      </c>
      <c r="R67" s="139" t="s">
        <v>718</v>
      </c>
      <c r="S67" s="139" t="s">
        <v>716</v>
      </c>
      <c r="T67" s="139" t="s">
        <v>412</v>
      </c>
      <c r="U67" s="139" t="s">
        <v>716</v>
      </c>
      <c r="V67" s="139" t="s">
        <v>718</v>
      </c>
    </row>
    <row r="68" spans="1:22" s="155" customFormat="1" ht="33.75">
      <c r="A68" s="85">
        <v>854</v>
      </c>
      <c r="B68" s="85">
        <v>85495</v>
      </c>
      <c r="C68" s="85">
        <v>2320</v>
      </c>
      <c r="D68" s="14" t="s">
        <v>683</v>
      </c>
      <c r="E68" s="183" t="s">
        <v>684</v>
      </c>
      <c r="F68" s="163">
        <v>200000</v>
      </c>
      <c r="G68" s="163"/>
      <c r="H68" s="163">
        <v>200000</v>
      </c>
      <c r="I68" s="163"/>
      <c r="J68" s="163">
        <f>SUM(H68:I68)</f>
        <v>200000</v>
      </c>
      <c r="K68" s="163">
        <v>0</v>
      </c>
      <c r="L68" s="163">
        <f>SUM(J68:K68)</f>
        <v>200000</v>
      </c>
      <c r="M68" s="163">
        <v>0</v>
      </c>
      <c r="N68" s="163">
        <f>SUM(L68:M68)</f>
        <v>200000</v>
      </c>
      <c r="O68" s="163">
        <v>0</v>
      </c>
      <c r="P68" s="163">
        <f>SUM(N68:O68)</f>
        <v>200000</v>
      </c>
      <c r="Q68" s="163">
        <v>0</v>
      </c>
      <c r="R68" s="163">
        <f>SUM(P68:Q68)</f>
        <v>200000</v>
      </c>
      <c r="S68" s="163">
        <v>0</v>
      </c>
      <c r="T68" s="163">
        <f>SUM(R68:S68)</f>
        <v>200000</v>
      </c>
      <c r="U68" s="163">
        <v>0</v>
      </c>
      <c r="V68" s="163">
        <f>SUM(T68:U68)</f>
        <v>200000</v>
      </c>
    </row>
    <row r="69" spans="1:22" s="166" customFormat="1" ht="19.5" customHeight="1">
      <c r="A69" s="85">
        <v>854</v>
      </c>
      <c r="B69" s="85">
        <v>85495</v>
      </c>
      <c r="C69" s="85">
        <v>2320</v>
      </c>
      <c r="D69" s="14" t="s">
        <v>685</v>
      </c>
      <c r="E69" s="14" t="s">
        <v>686</v>
      </c>
      <c r="F69" s="64">
        <v>26650</v>
      </c>
      <c r="G69" s="64"/>
      <c r="H69" s="64">
        <v>26650</v>
      </c>
      <c r="I69" s="64"/>
      <c r="J69" s="163">
        <f>SUM(H69:I69)</f>
        <v>26650</v>
      </c>
      <c r="K69" s="64">
        <v>0</v>
      </c>
      <c r="L69" s="163">
        <f>SUM(J69:K69)</f>
        <v>26650</v>
      </c>
      <c r="M69" s="64">
        <v>0</v>
      </c>
      <c r="N69" s="163">
        <f>SUM(L69:M69)</f>
        <v>26650</v>
      </c>
      <c r="O69" s="64">
        <v>0</v>
      </c>
      <c r="P69" s="163">
        <f>SUM(N69:O69)</f>
        <v>26650</v>
      </c>
      <c r="Q69" s="64">
        <v>0</v>
      </c>
      <c r="R69" s="163">
        <f>SUM(P69:Q69)</f>
        <v>26650</v>
      </c>
      <c r="S69" s="64">
        <v>0</v>
      </c>
      <c r="T69" s="163">
        <f>SUM(R69:S69)</f>
        <v>26650</v>
      </c>
      <c r="U69" s="64">
        <v>0</v>
      </c>
      <c r="V69" s="163">
        <f>SUM(T69:U69)</f>
        <v>26650</v>
      </c>
    </row>
    <row r="70" spans="1:22" s="166" customFormat="1" ht="40.5" customHeight="1">
      <c r="A70" s="85">
        <v>854</v>
      </c>
      <c r="B70" s="85">
        <v>85407</v>
      </c>
      <c r="C70" s="85">
        <v>2320</v>
      </c>
      <c r="D70" s="14" t="s">
        <v>685</v>
      </c>
      <c r="E70" s="181" t="s">
        <v>107</v>
      </c>
      <c r="F70" s="64"/>
      <c r="G70" s="64"/>
      <c r="H70" s="64"/>
      <c r="I70" s="64"/>
      <c r="J70" s="163"/>
      <c r="K70" s="64"/>
      <c r="L70" s="163"/>
      <c r="M70" s="64"/>
      <c r="N70" s="163">
        <v>0</v>
      </c>
      <c r="O70" s="64">
        <v>3000</v>
      </c>
      <c r="P70" s="163">
        <f>SUM(N70:O70)</f>
        <v>3000</v>
      </c>
      <c r="Q70" s="64">
        <v>0</v>
      </c>
      <c r="R70" s="163">
        <f>SUM(P70:Q70)</f>
        <v>3000</v>
      </c>
      <c r="S70" s="64">
        <v>0</v>
      </c>
      <c r="T70" s="163">
        <f>SUM(R70:S70)</f>
        <v>3000</v>
      </c>
      <c r="U70" s="64">
        <v>0</v>
      </c>
      <c r="V70" s="163">
        <f>SUM(T70:U70)</f>
        <v>3000</v>
      </c>
    </row>
    <row r="71" spans="1:22" s="166" customFormat="1" ht="26.25" customHeight="1">
      <c r="A71" s="85">
        <v>926</v>
      </c>
      <c r="B71" s="85">
        <v>92605</v>
      </c>
      <c r="C71" s="85">
        <v>2320</v>
      </c>
      <c r="D71" s="14" t="s">
        <v>685</v>
      </c>
      <c r="E71" s="181" t="s">
        <v>136</v>
      </c>
      <c r="F71" s="64"/>
      <c r="G71" s="64"/>
      <c r="H71" s="64">
        <v>0</v>
      </c>
      <c r="I71" s="64"/>
      <c r="J71" s="163">
        <f>SUM(H71:I71)</f>
        <v>0</v>
      </c>
      <c r="K71" s="64">
        <v>7000</v>
      </c>
      <c r="L71" s="163">
        <f>SUM(J71:K71)</f>
        <v>7000</v>
      </c>
      <c r="M71" s="64">
        <v>0</v>
      </c>
      <c r="N71" s="163">
        <f>SUM(L71:M71)</f>
        <v>7000</v>
      </c>
      <c r="O71" s="64">
        <v>-3000</v>
      </c>
      <c r="P71" s="163">
        <f>SUM(N71:O71)</f>
        <v>4000</v>
      </c>
      <c r="Q71" s="64">
        <v>0</v>
      </c>
      <c r="R71" s="163">
        <f>SUM(P71:Q71)</f>
        <v>4000</v>
      </c>
      <c r="S71" s="64">
        <v>0</v>
      </c>
      <c r="T71" s="163">
        <f>SUM(R71:S71)</f>
        <v>4000</v>
      </c>
      <c r="U71" s="64">
        <v>0</v>
      </c>
      <c r="V71" s="163">
        <f>SUM(T71:U71)</f>
        <v>4000</v>
      </c>
    </row>
    <row r="72" spans="1:22" s="142" customFormat="1" ht="22.5" customHeight="1">
      <c r="A72" s="322" t="s">
        <v>329</v>
      </c>
      <c r="B72" s="323"/>
      <c r="C72" s="323"/>
      <c r="D72" s="323"/>
      <c r="E72" s="324"/>
      <c r="F72" s="44">
        <f>SUM(F68:F69)</f>
        <v>226650</v>
      </c>
      <c r="G72" s="44">
        <f>SUM(G68:G69)</f>
        <v>0</v>
      </c>
      <c r="H72" s="44">
        <f>SUM(H68:H71)</f>
        <v>226650</v>
      </c>
      <c r="I72" s="44">
        <f>SUM(I68:I71)</f>
        <v>0</v>
      </c>
      <c r="J72" s="163">
        <f>SUM(J68:J71)</f>
        <v>226650</v>
      </c>
      <c r="K72" s="163">
        <f>SUM(K68:K71)</f>
        <v>7000</v>
      </c>
      <c r="L72" s="163">
        <f>SUM(J72:K72)</f>
        <v>233650</v>
      </c>
      <c r="M72" s="163">
        <f>SUM(M68:M71)</f>
        <v>0</v>
      </c>
      <c r="N72" s="163">
        <f>SUM(L72:M72)</f>
        <v>233650</v>
      </c>
      <c r="O72" s="163">
        <f>SUM(O68:O71)</f>
        <v>0</v>
      </c>
      <c r="P72" s="163">
        <f>SUM(N72:O72)</f>
        <v>233650</v>
      </c>
      <c r="Q72" s="163">
        <f>SUM(Q68:Q71)</f>
        <v>0</v>
      </c>
      <c r="R72" s="163">
        <f>SUM(P72:Q72)</f>
        <v>233650</v>
      </c>
      <c r="S72" s="163">
        <f>SUM(S68:S71)</f>
        <v>0</v>
      </c>
      <c r="T72" s="163">
        <f>SUM(R72:S72)</f>
        <v>233650</v>
      </c>
      <c r="U72" s="163">
        <f>SUM(U68:U71)</f>
        <v>0</v>
      </c>
      <c r="V72" s="163">
        <f>SUM(T72:U72)</f>
        <v>233650</v>
      </c>
    </row>
    <row r="73" spans="1:22" s="142" customFormat="1" ht="24" customHeight="1">
      <c r="A73" s="184" t="s">
        <v>45</v>
      </c>
      <c r="B73" s="185"/>
      <c r="C73" s="185"/>
      <c r="D73" s="185"/>
      <c r="E73" s="185"/>
      <c r="F73" s="185"/>
      <c r="G73" s="185"/>
      <c r="H73" s="186"/>
      <c r="I73" s="185"/>
      <c r="J73" s="186"/>
      <c r="K73" s="185"/>
      <c r="L73" s="186"/>
      <c r="M73" s="185"/>
      <c r="N73" s="186"/>
      <c r="O73" s="185"/>
      <c r="P73" s="186"/>
      <c r="Q73" s="185"/>
      <c r="R73" s="186"/>
      <c r="S73" s="185"/>
      <c r="T73" s="186"/>
      <c r="U73" s="185"/>
      <c r="V73" s="186"/>
    </row>
    <row r="74" spans="1:22" s="142" customFormat="1" ht="25.5" customHeight="1">
      <c r="A74" s="5" t="s">
        <v>244</v>
      </c>
      <c r="B74" s="5" t="s">
        <v>245</v>
      </c>
      <c r="C74" s="5" t="s">
        <v>246</v>
      </c>
      <c r="D74" s="5" t="s">
        <v>646</v>
      </c>
      <c r="E74" s="5" t="s">
        <v>647</v>
      </c>
      <c r="F74" s="139" t="s">
        <v>717</v>
      </c>
      <c r="G74" s="139" t="s">
        <v>716</v>
      </c>
      <c r="H74" s="139" t="s">
        <v>718</v>
      </c>
      <c r="I74" s="139" t="s">
        <v>506</v>
      </c>
      <c r="J74" s="139" t="s">
        <v>119</v>
      </c>
      <c r="K74" s="139" t="s">
        <v>716</v>
      </c>
      <c r="L74" s="139" t="s">
        <v>718</v>
      </c>
      <c r="M74" s="139" t="s">
        <v>716</v>
      </c>
      <c r="N74" s="139" t="s">
        <v>718</v>
      </c>
      <c r="O74" s="139" t="s">
        <v>716</v>
      </c>
      <c r="P74" s="139" t="s">
        <v>717</v>
      </c>
      <c r="Q74" s="139" t="s">
        <v>716</v>
      </c>
      <c r="R74" s="139" t="s">
        <v>718</v>
      </c>
      <c r="S74" s="139" t="s">
        <v>716</v>
      </c>
      <c r="T74" s="139" t="s">
        <v>413</v>
      </c>
      <c r="U74" s="139" t="s">
        <v>716</v>
      </c>
      <c r="V74" s="139" t="s">
        <v>718</v>
      </c>
    </row>
    <row r="75" spans="1:22" s="142" customFormat="1" ht="51.75" customHeight="1">
      <c r="A75" s="147">
        <v>851</v>
      </c>
      <c r="B75" s="147">
        <v>85154</v>
      </c>
      <c r="C75" s="147">
        <v>2710</v>
      </c>
      <c r="D75" s="192" t="s">
        <v>63</v>
      </c>
      <c r="E75" s="191" t="s">
        <v>70</v>
      </c>
      <c r="F75" s="190">
        <v>0</v>
      </c>
      <c r="G75" s="190"/>
      <c r="H75" s="190">
        <f>SUM(F75:G75)</f>
        <v>0</v>
      </c>
      <c r="I75" s="190">
        <v>11551</v>
      </c>
      <c r="J75" s="190">
        <f>SUM(H75:I75)</f>
        <v>11551</v>
      </c>
      <c r="K75" s="190">
        <v>0</v>
      </c>
      <c r="L75" s="190">
        <f>SUM(J75:K75)</f>
        <v>11551</v>
      </c>
      <c r="M75" s="190">
        <v>0</v>
      </c>
      <c r="N75" s="190">
        <f>SUM(L75:M75)</f>
        <v>11551</v>
      </c>
      <c r="O75" s="190">
        <v>0</v>
      </c>
      <c r="P75" s="190">
        <f>SUM(N75:O75)</f>
        <v>11551</v>
      </c>
      <c r="Q75" s="190">
        <v>0</v>
      </c>
      <c r="R75" s="190">
        <f>SUM(P75:Q75)</f>
        <v>11551</v>
      </c>
      <c r="S75" s="190">
        <v>0</v>
      </c>
      <c r="T75" s="190">
        <f>SUM(R75:S75)</f>
        <v>11551</v>
      </c>
      <c r="U75" s="190">
        <v>0</v>
      </c>
      <c r="V75" s="190">
        <f>SUM(T75:U75)</f>
        <v>11551</v>
      </c>
    </row>
    <row r="76" spans="1:22" s="142" customFormat="1" ht="51.75" customHeight="1">
      <c r="A76" s="147">
        <v>853</v>
      </c>
      <c r="B76" s="147">
        <v>85311</v>
      </c>
      <c r="C76" s="147">
        <v>2710</v>
      </c>
      <c r="D76" s="192" t="s">
        <v>157</v>
      </c>
      <c r="E76" s="191" t="s">
        <v>158</v>
      </c>
      <c r="F76" s="190"/>
      <c r="G76" s="190"/>
      <c r="H76" s="190"/>
      <c r="I76" s="190"/>
      <c r="J76" s="190"/>
      <c r="K76" s="190"/>
      <c r="L76" s="190">
        <v>0</v>
      </c>
      <c r="M76" s="190">
        <v>5352</v>
      </c>
      <c r="N76" s="190">
        <f>SUM(L76:M76)</f>
        <v>5352</v>
      </c>
      <c r="O76" s="190">
        <v>0</v>
      </c>
      <c r="P76" s="190">
        <f>SUM(N76:O76)</f>
        <v>5352</v>
      </c>
      <c r="Q76" s="190">
        <v>0</v>
      </c>
      <c r="R76" s="190">
        <f>SUM(P76:Q76)</f>
        <v>5352</v>
      </c>
      <c r="S76" s="190">
        <v>0</v>
      </c>
      <c r="T76" s="190">
        <f>SUM(R76:S76)</f>
        <v>5352</v>
      </c>
      <c r="U76" s="190">
        <v>0</v>
      </c>
      <c r="V76" s="190">
        <f>SUM(T76:U76)</f>
        <v>5352</v>
      </c>
    </row>
    <row r="77" spans="1:22" s="142" customFormat="1" ht="21.75" customHeight="1">
      <c r="A77" s="314" t="s">
        <v>329</v>
      </c>
      <c r="B77" s="315"/>
      <c r="C77" s="315"/>
      <c r="D77" s="315"/>
      <c r="E77" s="316"/>
      <c r="F77" s="190">
        <f>SUM(F75:F75)</f>
        <v>0</v>
      </c>
      <c r="G77" s="190">
        <f>SUM(G75:G75)</f>
        <v>0</v>
      </c>
      <c r="H77" s="190">
        <f>SUM(F77:G77)</f>
        <v>0</v>
      </c>
      <c r="I77" s="190">
        <f>SUM(I75:I75)</f>
        <v>11551</v>
      </c>
      <c r="J77" s="190">
        <f>SUM(H77:I77)</f>
        <v>11551</v>
      </c>
      <c r="K77" s="190">
        <f>SUM(K75:K75)</f>
        <v>0</v>
      </c>
      <c r="L77" s="190">
        <f>SUM(J77:K77)</f>
        <v>11551</v>
      </c>
      <c r="M77" s="190">
        <f>SUM(M75:M76)</f>
        <v>5352</v>
      </c>
      <c r="N77" s="190">
        <f>SUM(L77:M77)</f>
        <v>16903</v>
      </c>
      <c r="O77" s="190">
        <f>SUM(O75:O76)</f>
        <v>0</v>
      </c>
      <c r="P77" s="190">
        <f>SUM(N77:O77)</f>
        <v>16903</v>
      </c>
      <c r="Q77" s="190">
        <f>SUM(Q75:Q76)</f>
        <v>0</v>
      </c>
      <c r="R77" s="190">
        <f>SUM(P77:Q77)</f>
        <v>16903</v>
      </c>
      <c r="S77" s="190">
        <f>SUM(S75:S76)</f>
        <v>0</v>
      </c>
      <c r="T77" s="190">
        <f>SUM(R77:S77)</f>
        <v>16903</v>
      </c>
      <c r="U77" s="190">
        <f>SUM(U75:U76)</f>
        <v>0</v>
      </c>
      <c r="V77" s="190">
        <f>SUM(T77:U77)</f>
        <v>16903</v>
      </c>
    </row>
    <row r="78" spans="1:22" s="28" customFormat="1" ht="24" customHeight="1">
      <c r="A78" s="158" t="s">
        <v>93</v>
      </c>
      <c r="B78" s="167"/>
      <c r="C78" s="167"/>
      <c r="D78" s="167"/>
      <c r="E78" s="167"/>
      <c r="F78" s="168">
        <f aca="true" t="shared" si="24" ref="F78:L78">SUM(F22,F65,F72,F77)</f>
        <v>5362098</v>
      </c>
      <c r="G78" s="168">
        <f t="shared" si="24"/>
        <v>11500</v>
      </c>
      <c r="H78" s="168">
        <f t="shared" si="24"/>
        <v>5373598</v>
      </c>
      <c r="I78" s="168">
        <f t="shared" si="24"/>
        <v>-6849</v>
      </c>
      <c r="J78" s="168">
        <f t="shared" si="24"/>
        <v>5366749</v>
      </c>
      <c r="K78" s="168">
        <f t="shared" si="24"/>
        <v>5000</v>
      </c>
      <c r="L78" s="168">
        <f t="shared" si="24"/>
        <v>5371749</v>
      </c>
      <c r="M78" s="168">
        <f aca="true" t="shared" si="25" ref="M78:R78">SUM(M22,M65,M72,M77)</f>
        <v>204413</v>
      </c>
      <c r="N78" s="168">
        <f t="shared" si="25"/>
        <v>5576162</v>
      </c>
      <c r="O78" s="168">
        <f t="shared" si="25"/>
        <v>-5000</v>
      </c>
      <c r="P78" s="168">
        <f t="shared" si="25"/>
        <v>5571162</v>
      </c>
      <c r="Q78" s="168">
        <f t="shared" si="25"/>
        <v>44985</v>
      </c>
      <c r="R78" s="168">
        <f t="shared" si="25"/>
        <v>5616147</v>
      </c>
      <c r="S78" s="168">
        <f>SUM(S22,S65,S72,S77)</f>
        <v>29710</v>
      </c>
      <c r="T78" s="168">
        <f>SUM(T22,T65,T72,T77)</f>
        <v>5645857</v>
      </c>
      <c r="U78" s="168">
        <f>SUM(U22,U65,U72,U77)</f>
        <v>0</v>
      </c>
      <c r="V78" s="168">
        <f>SUM(V22,V65,V72,V77)</f>
        <v>5645857</v>
      </c>
    </row>
    <row r="79" spans="1:5" ht="24" customHeight="1">
      <c r="A79" s="317" t="s">
        <v>91</v>
      </c>
      <c r="B79" s="317"/>
      <c r="C79" s="317"/>
      <c r="D79" s="317"/>
      <c r="E79" s="317"/>
    </row>
    <row r="80" spans="1:22" ht="20.25" customHeight="1">
      <c r="A80" s="184" t="s">
        <v>92</v>
      </c>
      <c r="B80" s="185"/>
      <c r="C80" s="185"/>
      <c r="D80" s="185"/>
      <c r="E80" s="185"/>
      <c r="F80" s="185"/>
      <c r="G80" s="185"/>
      <c r="H80" s="186"/>
      <c r="I80" s="185"/>
      <c r="J80" s="186"/>
      <c r="K80" s="185"/>
      <c r="L80" s="186"/>
      <c r="M80" s="185"/>
      <c r="N80" s="186"/>
      <c r="O80" s="185"/>
      <c r="P80" s="186"/>
      <c r="Q80" s="185"/>
      <c r="R80" s="186"/>
      <c r="S80" s="185"/>
      <c r="T80" s="186"/>
      <c r="U80" s="185"/>
      <c r="V80" s="186"/>
    </row>
    <row r="81" spans="1:22" ht="27.75" customHeight="1">
      <c r="A81" s="5" t="s">
        <v>244</v>
      </c>
      <c r="B81" s="5" t="s">
        <v>245</v>
      </c>
      <c r="C81" s="5" t="s">
        <v>246</v>
      </c>
      <c r="D81" s="5" t="s">
        <v>646</v>
      </c>
      <c r="E81" s="5" t="s">
        <v>647</v>
      </c>
      <c r="F81" s="139" t="s">
        <v>717</v>
      </c>
      <c r="G81" s="139" t="s">
        <v>716</v>
      </c>
      <c r="H81" s="139" t="s">
        <v>718</v>
      </c>
      <c r="I81" s="139" t="s">
        <v>506</v>
      </c>
      <c r="J81" s="139" t="s">
        <v>119</v>
      </c>
      <c r="K81" s="139" t="s">
        <v>716</v>
      </c>
      <c r="L81" s="139" t="s">
        <v>718</v>
      </c>
      <c r="M81" s="139" t="s">
        <v>716</v>
      </c>
      <c r="N81" s="139" t="s">
        <v>718</v>
      </c>
      <c r="O81" s="139" t="s">
        <v>716</v>
      </c>
      <c r="P81" s="139" t="s">
        <v>717</v>
      </c>
      <c r="Q81" s="139" t="s">
        <v>716</v>
      </c>
      <c r="R81" s="139" t="s">
        <v>718</v>
      </c>
      <c r="S81" s="139" t="s">
        <v>716</v>
      </c>
      <c r="T81" s="139" t="s">
        <v>413</v>
      </c>
      <c r="U81" s="139" t="s">
        <v>716</v>
      </c>
      <c r="V81" s="139" t="s">
        <v>718</v>
      </c>
    </row>
    <row r="82" spans="1:22" ht="78.75">
      <c r="A82" s="147">
        <v>600</v>
      </c>
      <c r="B82" s="147">
        <v>60013</v>
      </c>
      <c r="C82" s="147">
        <v>6300</v>
      </c>
      <c r="D82" s="192" t="s">
        <v>71</v>
      </c>
      <c r="E82" s="191" t="s">
        <v>72</v>
      </c>
      <c r="F82" s="190">
        <v>0</v>
      </c>
      <c r="G82" s="190"/>
      <c r="H82" s="190">
        <f>SUM(F82:G82)</f>
        <v>0</v>
      </c>
      <c r="I82" s="190">
        <v>30000</v>
      </c>
      <c r="J82" s="190">
        <f>SUM(H82:I82)</f>
        <v>30000</v>
      </c>
      <c r="K82" s="190">
        <v>0</v>
      </c>
      <c r="L82" s="190">
        <f>SUM(J82:K82)</f>
        <v>30000</v>
      </c>
      <c r="M82" s="190">
        <v>0</v>
      </c>
      <c r="N82" s="190">
        <f>SUM(L82:M82)</f>
        <v>30000</v>
      </c>
      <c r="O82" s="190">
        <v>0</v>
      </c>
      <c r="P82" s="190">
        <f>SUM(N82:O82)</f>
        <v>30000</v>
      </c>
      <c r="Q82" s="190">
        <v>0</v>
      </c>
      <c r="R82" s="190">
        <f>SUM(P82:Q82)</f>
        <v>30000</v>
      </c>
      <c r="S82" s="190">
        <v>0</v>
      </c>
      <c r="T82" s="190">
        <f>SUM(R82:S82)</f>
        <v>30000</v>
      </c>
      <c r="U82" s="190">
        <v>0</v>
      </c>
      <c r="V82" s="190">
        <f>SUM(T82:U82)</f>
        <v>30000</v>
      </c>
    </row>
    <row r="83" spans="1:22" ht="23.25" customHeight="1">
      <c r="A83" s="314" t="s">
        <v>329</v>
      </c>
      <c r="B83" s="315"/>
      <c r="C83" s="315"/>
      <c r="D83" s="315"/>
      <c r="E83" s="316"/>
      <c r="F83" s="190">
        <f>SUM(F82:F82)</f>
        <v>0</v>
      </c>
      <c r="G83" s="190">
        <f>SUM(G82:G82)</f>
        <v>0</v>
      </c>
      <c r="H83" s="190">
        <f>SUM(F83:G83)</f>
        <v>0</v>
      </c>
      <c r="I83" s="190">
        <f>SUM(I82:I82)</f>
        <v>30000</v>
      </c>
      <c r="J83" s="190">
        <f>SUM(H83:I83)</f>
        <v>30000</v>
      </c>
      <c r="K83" s="190">
        <f>SUM(K82:K82)</f>
        <v>0</v>
      </c>
      <c r="L83" s="190">
        <f>SUM(J83:K83)</f>
        <v>30000</v>
      </c>
      <c r="M83" s="190">
        <f>SUM(M82:M82)</f>
        <v>0</v>
      </c>
      <c r="N83" s="190">
        <f>SUM(L83:M83)</f>
        <v>30000</v>
      </c>
      <c r="O83" s="190">
        <f>SUM(O82:O82)</f>
        <v>0</v>
      </c>
      <c r="P83" s="190">
        <f>SUM(N83:O83)</f>
        <v>30000</v>
      </c>
      <c r="Q83" s="190">
        <f>SUM(Q82:Q82)</f>
        <v>0</v>
      </c>
      <c r="R83" s="190">
        <f>SUM(P83:Q83)</f>
        <v>30000</v>
      </c>
      <c r="S83" s="190">
        <f>SUM(S82:S82)</f>
        <v>0</v>
      </c>
      <c r="T83" s="190">
        <f>SUM(R83:S83)</f>
        <v>30000</v>
      </c>
      <c r="U83" s="190">
        <f>SUM(U82:U82)</f>
        <v>0</v>
      </c>
      <c r="V83" s="190">
        <f>SUM(T83:U83)</f>
        <v>30000</v>
      </c>
    </row>
    <row r="84" spans="1:22" ht="22.5" customHeight="1">
      <c r="A84" s="184" t="s">
        <v>217</v>
      </c>
      <c r="B84" s="185"/>
      <c r="C84" s="185"/>
      <c r="D84" s="185"/>
      <c r="E84" s="185"/>
      <c r="F84" s="185"/>
      <c r="G84" s="185"/>
      <c r="H84" s="185"/>
      <c r="I84" s="185"/>
      <c r="J84" s="185"/>
      <c r="K84" s="185"/>
      <c r="L84" s="185"/>
      <c r="M84" s="185"/>
      <c r="N84" s="186"/>
      <c r="O84" s="185"/>
      <c r="P84" s="186"/>
      <c r="Q84" s="185"/>
      <c r="R84" s="186"/>
      <c r="S84" s="185"/>
      <c r="T84" s="186"/>
      <c r="U84" s="185"/>
      <c r="V84" s="186"/>
    </row>
    <row r="85" spans="1:22" ht="64.5" customHeight="1">
      <c r="A85" s="178">
        <v>754</v>
      </c>
      <c r="B85" s="178">
        <v>75411</v>
      </c>
      <c r="C85" s="178">
        <v>6220</v>
      </c>
      <c r="D85" s="253" t="s">
        <v>216</v>
      </c>
      <c r="E85" s="254" t="s">
        <v>242</v>
      </c>
      <c r="F85" s="255"/>
      <c r="G85" s="255"/>
      <c r="H85" s="255"/>
      <c r="I85" s="255"/>
      <c r="J85" s="255"/>
      <c r="K85" s="255"/>
      <c r="L85" s="255">
        <v>0</v>
      </c>
      <c r="M85" s="255">
        <v>25000</v>
      </c>
      <c r="N85" s="255">
        <f>SUM(L85:M85)</f>
        <v>25000</v>
      </c>
      <c r="O85" s="255">
        <v>-25000</v>
      </c>
      <c r="P85" s="255">
        <f>SUM(N85:O85)</f>
        <v>0</v>
      </c>
      <c r="Q85" s="255">
        <v>0</v>
      </c>
      <c r="R85" s="255">
        <f>SUM(P85:Q85)</f>
        <v>0</v>
      </c>
      <c r="S85" s="255">
        <v>0</v>
      </c>
      <c r="T85" s="255">
        <f>SUM(R85:S85)</f>
        <v>0</v>
      </c>
      <c r="U85" s="255">
        <v>0</v>
      </c>
      <c r="V85" s="255">
        <f>SUM(T85:U85)</f>
        <v>0</v>
      </c>
    </row>
    <row r="86" spans="1:22" ht="64.5" customHeight="1">
      <c r="A86" s="178">
        <v>754</v>
      </c>
      <c r="B86" s="178">
        <v>75411</v>
      </c>
      <c r="C86" s="178">
        <v>6620</v>
      </c>
      <c r="D86" s="253" t="s">
        <v>157</v>
      </c>
      <c r="E86" s="254" t="s">
        <v>242</v>
      </c>
      <c r="F86" s="255"/>
      <c r="G86" s="255"/>
      <c r="H86" s="255"/>
      <c r="I86" s="255"/>
      <c r="J86" s="255"/>
      <c r="K86" s="255"/>
      <c r="L86" s="255">
        <v>0</v>
      </c>
      <c r="M86" s="255"/>
      <c r="N86" s="255">
        <f>SUM(L86:M86)</f>
        <v>0</v>
      </c>
      <c r="O86" s="255">
        <v>25000</v>
      </c>
      <c r="P86" s="255">
        <f>SUM(N86:O86)</f>
        <v>25000</v>
      </c>
      <c r="Q86" s="255">
        <v>0</v>
      </c>
      <c r="R86" s="255">
        <f>SUM(P86:Q86)</f>
        <v>25000</v>
      </c>
      <c r="S86" s="255">
        <v>0</v>
      </c>
      <c r="T86" s="255">
        <f>SUM(R86:S86)</f>
        <v>25000</v>
      </c>
      <c r="U86" s="255">
        <v>0</v>
      </c>
      <c r="V86" s="255">
        <f>SUM(T86:U86)</f>
        <v>25000</v>
      </c>
    </row>
    <row r="87" spans="1:22" ht="23.25" customHeight="1">
      <c r="A87" s="318" t="s">
        <v>329</v>
      </c>
      <c r="B87" s="319"/>
      <c r="C87" s="319"/>
      <c r="D87" s="319"/>
      <c r="E87" s="320"/>
      <c r="F87" s="255"/>
      <c r="G87" s="255"/>
      <c r="H87" s="255"/>
      <c r="I87" s="255"/>
      <c r="J87" s="255"/>
      <c r="K87" s="255"/>
      <c r="L87" s="255">
        <f aca="true" t="shared" si="26" ref="L87:R87">SUM(L85:L86)</f>
        <v>0</v>
      </c>
      <c r="M87" s="255">
        <f t="shared" si="26"/>
        <v>25000</v>
      </c>
      <c r="N87" s="255">
        <f t="shared" si="26"/>
        <v>25000</v>
      </c>
      <c r="O87" s="255">
        <f t="shared" si="26"/>
        <v>0</v>
      </c>
      <c r="P87" s="255">
        <f t="shared" si="26"/>
        <v>25000</v>
      </c>
      <c r="Q87" s="255">
        <f t="shared" si="26"/>
        <v>0</v>
      </c>
      <c r="R87" s="255">
        <f t="shared" si="26"/>
        <v>25000</v>
      </c>
      <c r="S87" s="255">
        <f>SUM(S85:S86)</f>
        <v>0</v>
      </c>
      <c r="T87" s="255">
        <f>SUM(T85:T86)</f>
        <v>25000</v>
      </c>
      <c r="U87" s="255">
        <f>SUM(U85:U86)</f>
        <v>0</v>
      </c>
      <c r="V87" s="255">
        <f>SUM(V85:V86)</f>
        <v>25000</v>
      </c>
    </row>
    <row r="88" spans="1:22" s="196" customFormat="1" ht="21.75" customHeight="1">
      <c r="A88" s="197" t="s">
        <v>94</v>
      </c>
      <c r="B88" s="198"/>
      <c r="C88" s="198"/>
      <c r="D88" s="198"/>
      <c r="E88" s="198"/>
      <c r="F88" s="198"/>
      <c r="G88" s="198"/>
      <c r="H88" s="199">
        <f>SUM(H83)</f>
        <v>0</v>
      </c>
      <c r="I88" s="199">
        <f>SUM(I83)</f>
        <v>30000</v>
      </c>
      <c r="J88" s="199">
        <f>SUM(J83)</f>
        <v>30000</v>
      </c>
      <c r="K88" s="199">
        <f>SUM(K83)</f>
        <v>0</v>
      </c>
      <c r="L88" s="199">
        <f aca="true" t="shared" si="27" ref="L88:R88">SUM(L83,L87)</f>
        <v>30000</v>
      </c>
      <c r="M88" s="199">
        <f t="shared" si="27"/>
        <v>25000</v>
      </c>
      <c r="N88" s="199">
        <f t="shared" si="27"/>
        <v>55000</v>
      </c>
      <c r="O88" s="199">
        <f t="shared" si="27"/>
        <v>0</v>
      </c>
      <c r="P88" s="199">
        <f t="shared" si="27"/>
        <v>55000</v>
      </c>
      <c r="Q88" s="199">
        <f t="shared" si="27"/>
        <v>0</v>
      </c>
      <c r="R88" s="199">
        <f t="shared" si="27"/>
        <v>55000</v>
      </c>
      <c r="S88" s="199">
        <f>SUM(S83,S87)</f>
        <v>0</v>
      </c>
      <c r="T88" s="199">
        <f>SUM(T83,T87)</f>
        <v>55000</v>
      </c>
      <c r="U88" s="199">
        <f>SUM(U83,U87)</f>
        <v>0</v>
      </c>
      <c r="V88" s="199">
        <f>SUM(V83,V87)</f>
        <v>55000</v>
      </c>
    </row>
    <row r="89" spans="1:22" ht="20.25">
      <c r="A89" s="313" t="s">
        <v>96</v>
      </c>
      <c r="B89" s="313"/>
      <c r="C89" s="313"/>
      <c r="D89" s="313"/>
      <c r="E89" s="313"/>
      <c r="H89" s="200">
        <f aca="true" t="shared" si="28" ref="H89:M89">SUM(H88,H78)</f>
        <v>5373598</v>
      </c>
      <c r="I89" s="200">
        <f t="shared" si="28"/>
        <v>23151</v>
      </c>
      <c r="J89" s="200">
        <f t="shared" si="28"/>
        <v>5396749</v>
      </c>
      <c r="K89" s="200">
        <f t="shared" si="28"/>
        <v>5000</v>
      </c>
      <c r="L89" s="200">
        <f t="shared" si="28"/>
        <v>5401749</v>
      </c>
      <c r="M89" s="200">
        <f t="shared" si="28"/>
        <v>229413</v>
      </c>
      <c r="N89" s="200">
        <f>SUM(L89:M89)</f>
        <v>5631162</v>
      </c>
      <c r="O89" s="200">
        <f>SUM(O88,O78)</f>
        <v>-5000</v>
      </c>
      <c r="P89" s="200">
        <f>SUM(N89:O89)</f>
        <v>5626162</v>
      </c>
      <c r="Q89" s="200">
        <f>SUM(Q88,Q78)</f>
        <v>44985</v>
      </c>
      <c r="R89" s="200">
        <f>SUM(P89:Q89)</f>
        <v>5671147</v>
      </c>
      <c r="S89" s="200">
        <f>SUM(S88,S78)</f>
        <v>29710</v>
      </c>
      <c r="T89" s="200">
        <f>SUM(R89:S89)</f>
        <v>5700857</v>
      </c>
      <c r="U89" s="200">
        <f>SUM(U88,U78)</f>
        <v>0</v>
      </c>
      <c r="V89" s="200">
        <f>SUM(T89:U89)</f>
        <v>5700857</v>
      </c>
    </row>
  </sheetData>
  <mergeCells count="10">
    <mergeCell ref="A5:F5"/>
    <mergeCell ref="A22:E22"/>
    <mergeCell ref="A65:E65"/>
    <mergeCell ref="A72:E72"/>
    <mergeCell ref="A6:E6"/>
    <mergeCell ref="A89:E89"/>
    <mergeCell ref="A83:E83"/>
    <mergeCell ref="A79:E79"/>
    <mergeCell ref="A77:E77"/>
    <mergeCell ref="A87:E87"/>
  </mergeCells>
  <printOptions horizontalCentered="1"/>
  <pageMargins left="0.5118110236220472" right="0.5118110236220472" top="0.5905511811023623" bottom="0.5905511811023623" header="0.5118110236220472" footer="0.31496062992125984"/>
  <pageSetup firstPageNumber="1" useFirstPageNumber="1" horizontalDpi="600" verticalDpi="600" orientation="landscape" paperSize="9" scale="95" r:id="rId1"/>
  <headerFooter alignWithMargins="0">
    <oddFooter>&amp;C&amp;8Dotacje przekazywane - str.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F95"/>
  <sheetViews>
    <sheetView workbookViewId="0" topLeftCell="A60">
      <selection activeCell="A1" sqref="A1:AB77"/>
    </sheetView>
  </sheetViews>
  <sheetFormatPr defaultColWidth="9.00390625" defaultRowHeight="12.75"/>
  <cols>
    <col min="1" max="1" width="4.875" style="8" customWidth="1"/>
    <col min="2" max="2" width="7.375" style="8" customWidth="1"/>
    <col min="3" max="3" width="5.75390625" style="8" customWidth="1"/>
    <col min="4" max="4" width="34.375" style="8" customWidth="1"/>
    <col min="5" max="5" width="11.25390625" style="0" hidden="1" customWidth="1"/>
    <col min="6" max="6" width="39.75390625" style="0" hidden="1" customWidth="1"/>
    <col min="7" max="7" width="10.00390625" style="0" hidden="1" customWidth="1"/>
    <col min="8" max="8" width="37.625" style="0" hidden="1" customWidth="1"/>
    <col min="9" max="9" width="10.00390625" style="0" hidden="1" customWidth="1"/>
    <col min="10" max="10" width="12.875" style="0" hidden="1" customWidth="1"/>
    <col min="11" max="11" width="12.00390625" style="0" hidden="1" customWidth="1"/>
    <col min="12" max="12" width="14.625" style="0" hidden="1" customWidth="1"/>
    <col min="13" max="13" width="13.00390625" style="0" hidden="1" customWidth="1"/>
    <col min="14" max="14" width="12.625" style="0" hidden="1" customWidth="1"/>
    <col min="15" max="15" width="10.375" style="0" hidden="1" customWidth="1"/>
    <col min="16" max="16" width="12.625" style="0" hidden="1" customWidth="1"/>
    <col min="17" max="17" width="10.00390625" style="0" hidden="1" customWidth="1"/>
    <col min="18" max="18" width="32.375" style="0" hidden="1" customWidth="1"/>
    <col min="19" max="19" width="10.375" style="0" hidden="1" customWidth="1"/>
    <col min="20" max="21" width="12.625" style="0" hidden="1" customWidth="1"/>
    <col min="22" max="22" width="31.75390625" style="0" hidden="1" customWidth="1"/>
    <col min="23" max="23" width="10.00390625" style="0" hidden="1" customWidth="1"/>
    <col min="24" max="24" width="13.625" style="0" hidden="1" customWidth="1"/>
    <col min="25" max="25" width="8.625" style="0" hidden="1" customWidth="1"/>
    <col min="26" max="28" width="12.625" style="0" customWidth="1"/>
  </cols>
  <sheetData>
    <row r="1" spans="5:28" ht="12.75">
      <c r="E1" s="66"/>
      <c r="F1" s="66" t="s">
        <v>709</v>
      </c>
      <c r="G1" s="66"/>
      <c r="H1" s="98" t="s">
        <v>123</v>
      </c>
      <c r="I1" s="66"/>
      <c r="J1" s="98" t="s">
        <v>145</v>
      </c>
      <c r="K1" s="66"/>
      <c r="L1" s="98" t="s">
        <v>210</v>
      </c>
      <c r="M1" s="98"/>
      <c r="N1" s="98"/>
      <c r="O1" s="98"/>
      <c r="P1" s="98" t="s">
        <v>540</v>
      </c>
      <c r="Q1" s="98"/>
      <c r="R1" s="98" t="s">
        <v>727</v>
      </c>
      <c r="S1" s="98"/>
      <c r="T1" s="98" t="s">
        <v>496</v>
      </c>
      <c r="U1" s="98"/>
      <c r="V1" s="98" t="s">
        <v>485</v>
      </c>
      <c r="W1" s="98"/>
      <c r="X1" s="98" t="s">
        <v>480</v>
      </c>
      <c r="Y1" s="98"/>
      <c r="Z1" s="98" t="s">
        <v>68</v>
      </c>
      <c r="AA1" s="98"/>
      <c r="AB1" s="66"/>
    </row>
    <row r="2" spans="4:28" ht="12.75">
      <c r="D2" s="8" t="s">
        <v>532</v>
      </c>
      <c r="E2" s="66"/>
      <c r="F2" s="66" t="s">
        <v>698</v>
      </c>
      <c r="G2" s="66"/>
      <c r="H2" s="98" t="s">
        <v>120</v>
      </c>
      <c r="I2" s="66"/>
      <c r="J2" s="98" t="s">
        <v>141</v>
      </c>
      <c r="K2" s="66"/>
      <c r="L2" s="98" t="s">
        <v>207</v>
      </c>
      <c r="M2" s="98"/>
      <c r="N2" s="98"/>
      <c r="O2" s="98"/>
      <c r="P2" s="98" t="s">
        <v>537</v>
      </c>
      <c r="Q2" s="98"/>
      <c r="R2" s="98" t="s">
        <v>722</v>
      </c>
      <c r="S2" s="98"/>
      <c r="T2" s="98" t="s">
        <v>490</v>
      </c>
      <c r="U2" s="98"/>
      <c r="V2" s="98" t="s">
        <v>483</v>
      </c>
      <c r="W2" s="98"/>
      <c r="X2" s="98" t="s">
        <v>564</v>
      </c>
      <c r="Y2" s="98"/>
      <c r="Z2" s="98" t="s">
        <v>65</v>
      </c>
      <c r="AA2" s="98"/>
      <c r="AB2" s="66"/>
    </row>
    <row r="3" spans="4:28" ht="12.75">
      <c r="D3" s="8" t="s">
        <v>530</v>
      </c>
      <c r="E3" s="66"/>
      <c r="F3" s="66" t="s">
        <v>710</v>
      </c>
      <c r="G3" s="66"/>
      <c r="H3" s="98" t="s">
        <v>125</v>
      </c>
      <c r="I3" s="66"/>
      <c r="J3" s="98" t="s">
        <v>123</v>
      </c>
      <c r="K3" s="66"/>
      <c r="L3" s="98" t="s">
        <v>145</v>
      </c>
      <c r="M3" s="98"/>
      <c r="N3" s="98"/>
      <c r="O3" s="98"/>
      <c r="P3" s="98" t="s">
        <v>188</v>
      </c>
      <c r="Q3" s="98"/>
      <c r="R3" s="98" t="s">
        <v>540</v>
      </c>
      <c r="S3" s="98"/>
      <c r="T3" s="98" t="s">
        <v>57</v>
      </c>
      <c r="U3" s="98"/>
      <c r="V3" s="98" t="s">
        <v>496</v>
      </c>
      <c r="W3" s="98"/>
      <c r="X3" s="98" t="s">
        <v>485</v>
      </c>
      <c r="Y3" s="98"/>
      <c r="Z3" s="98" t="s">
        <v>480</v>
      </c>
      <c r="AA3" s="98"/>
      <c r="AB3" s="66"/>
    </row>
    <row r="4" spans="5:28" ht="12.75">
      <c r="E4" s="66"/>
      <c r="F4" s="66" t="s">
        <v>708</v>
      </c>
      <c r="G4" s="66"/>
      <c r="H4" s="98" t="s">
        <v>708</v>
      </c>
      <c r="I4" s="66"/>
      <c r="J4" s="98" t="s">
        <v>130</v>
      </c>
      <c r="K4" s="66"/>
      <c r="L4" s="98" t="s">
        <v>148</v>
      </c>
      <c r="M4" s="98"/>
      <c r="N4" s="98"/>
      <c r="O4" s="98"/>
      <c r="P4" s="98" t="s">
        <v>162</v>
      </c>
      <c r="Q4" s="98"/>
      <c r="R4" s="98" t="s">
        <v>723</v>
      </c>
      <c r="S4" s="98"/>
      <c r="T4" s="98" t="s">
        <v>58</v>
      </c>
      <c r="U4" s="98"/>
      <c r="V4" s="98" t="s">
        <v>628</v>
      </c>
      <c r="W4" s="98"/>
      <c r="X4" s="98" t="s">
        <v>269</v>
      </c>
      <c r="Y4" s="98"/>
      <c r="Z4" s="98" t="s">
        <v>236</v>
      </c>
      <c r="AA4" s="98"/>
      <c r="AB4" s="66"/>
    </row>
    <row r="6" spans="1:28" s="196" customFormat="1" ht="36.75" customHeight="1">
      <c r="A6" s="326" t="s">
        <v>707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  <c r="T6" s="326"/>
      <c r="U6" s="326"/>
      <c r="V6" s="326"/>
      <c r="W6" s="326"/>
      <c r="X6" s="326"/>
      <c r="Y6" s="326"/>
      <c r="Z6" s="326"/>
      <c r="AA6" s="326"/>
      <c r="AB6" s="326"/>
    </row>
    <row r="7" spans="1:28" s="8" customFormat="1" ht="24.75" customHeight="1">
      <c r="A7" s="12" t="s">
        <v>244</v>
      </c>
      <c r="B7" s="12" t="s">
        <v>245</v>
      </c>
      <c r="C7" s="12" t="s">
        <v>246</v>
      </c>
      <c r="D7" s="17" t="s">
        <v>247</v>
      </c>
      <c r="E7" s="99" t="s">
        <v>412</v>
      </c>
      <c r="F7" s="99" t="s">
        <v>704</v>
      </c>
      <c r="G7" s="99" t="s">
        <v>502</v>
      </c>
      <c r="H7" s="99" t="s">
        <v>119</v>
      </c>
      <c r="I7" s="99" t="s">
        <v>506</v>
      </c>
      <c r="J7" s="99" t="s">
        <v>119</v>
      </c>
      <c r="K7" s="99" t="s">
        <v>716</v>
      </c>
      <c r="L7" s="99" t="s">
        <v>119</v>
      </c>
      <c r="M7" s="99" t="s">
        <v>716</v>
      </c>
      <c r="N7" s="99" t="s">
        <v>717</v>
      </c>
      <c r="O7" s="99" t="s">
        <v>716</v>
      </c>
      <c r="P7" s="99" t="s">
        <v>126</v>
      </c>
      <c r="Q7" s="99" t="s">
        <v>716</v>
      </c>
      <c r="R7" s="99" t="s">
        <v>119</v>
      </c>
      <c r="S7" s="99" t="s">
        <v>716</v>
      </c>
      <c r="T7" s="99" t="s">
        <v>119</v>
      </c>
      <c r="U7" s="99" t="s">
        <v>716</v>
      </c>
      <c r="V7" s="99" t="s">
        <v>413</v>
      </c>
      <c r="W7" s="99" t="s">
        <v>716</v>
      </c>
      <c r="X7" s="99" t="s">
        <v>413</v>
      </c>
      <c r="Y7" s="99" t="s">
        <v>716</v>
      </c>
      <c r="Z7" s="99" t="s">
        <v>413</v>
      </c>
      <c r="AA7" s="99" t="s">
        <v>716</v>
      </c>
      <c r="AB7" s="99" t="s">
        <v>126</v>
      </c>
    </row>
    <row r="8" spans="1:28" s="8" customFormat="1" ht="24.75" customHeight="1">
      <c r="A8" s="38" t="s">
        <v>248</v>
      </c>
      <c r="B8" s="68"/>
      <c r="C8" s="92"/>
      <c r="D8" s="39" t="s">
        <v>249</v>
      </c>
      <c r="E8" s="99"/>
      <c r="F8" s="99"/>
      <c r="G8" s="99"/>
      <c r="H8" s="128">
        <f aca="true" t="shared" si="0" ref="H8:AB8">SUM(H9)</f>
        <v>0</v>
      </c>
      <c r="I8" s="128">
        <f t="shared" si="0"/>
        <v>98263</v>
      </c>
      <c r="J8" s="128">
        <f t="shared" si="0"/>
        <v>98263</v>
      </c>
      <c r="K8" s="128">
        <f t="shared" si="0"/>
        <v>0</v>
      </c>
      <c r="L8" s="128">
        <f t="shared" si="0"/>
        <v>98263</v>
      </c>
      <c r="M8" s="128">
        <f t="shared" si="0"/>
        <v>0</v>
      </c>
      <c r="N8" s="128">
        <f t="shared" si="0"/>
        <v>98263</v>
      </c>
      <c r="O8" s="128">
        <f t="shared" si="0"/>
        <v>0</v>
      </c>
      <c r="P8" s="128">
        <f t="shared" si="0"/>
        <v>98263</v>
      </c>
      <c r="Q8" s="128">
        <f t="shared" si="0"/>
        <v>0</v>
      </c>
      <c r="R8" s="128">
        <f t="shared" si="0"/>
        <v>98263</v>
      </c>
      <c r="S8" s="128">
        <f t="shared" si="0"/>
        <v>0</v>
      </c>
      <c r="T8" s="128">
        <f t="shared" si="0"/>
        <v>98263</v>
      </c>
      <c r="U8" s="128">
        <f t="shared" si="0"/>
        <v>0</v>
      </c>
      <c r="V8" s="128">
        <f t="shared" si="0"/>
        <v>98263</v>
      </c>
      <c r="W8" s="128">
        <f t="shared" si="0"/>
        <v>95263</v>
      </c>
      <c r="X8" s="128">
        <f t="shared" si="0"/>
        <v>193526</v>
      </c>
      <c r="Y8" s="128">
        <f t="shared" si="0"/>
        <v>0</v>
      </c>
      <c r="Z8" s="128">
        <f t="shared" si="0"/>
        <v>193526</v>
      </c>
      <c r="AA8" s="128">
        <f t="shared" si="0"/>
        <v>0</v>
      </c>
      <c r="AB8" s="128">
        <f t="shared" si="0"/>
        <v>193526</v>
      </c>
    </row>
    <row r="9" spans="1:28" s="8" customFormat="1" ht="24.75" customHeight="1">
      <c r="A9" s="73"/>
      <c r="B9" s="71" t="s">
        <v>73</v>
      </c>
      <c r="C9" s="204"/>
      <c r="D9" s="40" t="s">
        <v>250</v>
      </c>
      <c r="E9" s="99"/>
      <c r="F9" s="99"/>
      <c r="G9" s="99"/>
      <c r="H9" s="129">
        <f aca="true" t="shared" si="1" ref="H9:N9">SUM(H11:H13)</f>
        <v>0</v>
      </c>
      <c r="I9" s="129">
        <f t="shared" si="1"/>
        <v>98263</v>
      </c>
      <c r="J9" s="129">
        <f t="shared" si="1"/>
        <v>98263</v>
      </c>
      <c r="K9" s="129">
        <f t="shared" si="1"/>
        <v>0</v>
      </c>
      <c r="L9" s="129">
        <f t="shared" si="1"/>
        <v>98263</v>
      </c>
      <c r="M9" s="129">
        <f t="shared" si="1"/>
        <v>0</v>
      </c>
      <c r="N9" s="129">
        <f t="shared" si="1"/>
        <v>98263</v>
      </c>
      <c r="O9" s="129">
        <f aca="true" t="shared" si="2" ref="O9:T9">SUM(O11:O13)</f>
        <v>0</v>
      </c>
      <c r="P9" s="129">
        <f t="shared" si="2"/>
        <v>98263</v>
      </c>
      <c r="Q9" s="129">
        <f t="shared" si="2"/>
        <v>0</v>
      </c>
      <c r="R9" s="129">
        <f t="shared" si="2"/>
        <v>98263</v>
      </c>
      <c r="S9" s="129">
        <f t="shared" si="2"/>
        <v>0</v>
      </c>
      <c r="T9" s="129">
        <f t="shared" si="2"/>
        <v>98263</v>
      </c>
      <c r="U9" s="129">
        <f>SUM(U11:U13)</f>
        <v>0</v>
      </c>
      <c r="V9" s="129">
        <f aca="true" t="shared" si="3" ref="V9:AB9">SUM(V10:V14)</f>
        <v>98263</v>
      </c>
      <c r="W9" s="129">
        <f t="shared" si="3"/>
        <v>95263</v>
      </c>
      <c r="X9" s="129">
        <f t="shared" si="3"/>
        <v>193526</v>
      </c>
      <c r="Y9" s="129">
        <f t="shared" si="3"/>
        <v>0</v>
      </c>
      <c r="Z9" s="129">
        <f t="shared" si="3"/>
        <v>193526</v>
      </c>
      <c r="AA9" s="129">
        <f t="shared" si="3"/>
        <v>0</v>
      </c>
      <c r="AB9" s="129">
        <f t="shared" si="3"/>
        <v>193526</v>
      </c>
    </row>
    <row r="10" spans="1:28" s="8" customFormat="1" ht="24.75" customHeight="1">
      <c r="A10" s="73"/>
      <c r="B10" s="71"/>
      <c r="C10" s="204">
        <v>4210</v>
      </c>
      <c r="D10" s="81" t="s">
        <v>354</v>
      </c>
      <c r="E10" s="99"/>
      <c r="F10" s="99"/>
      <c r="G10" s="9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>
        <v>0</v>
      </c>
      <c r="W10" s="129">
        <v>300</v>
      </c>
      <c r="X10" s="171">
        <f>SUM(V10:W10)</f>
        <v>300</v>
      </c>
      <c r="Y10" s="129">
        <v>0</v>
      </c>
      <c r="Z10" s="171">
        <f>SUM(X10:Y10)</f>
        <v>300</v>
      </c>
      <c r="AA10" s="129">
        <v>0</v>
      </c>
      <c r="AB10" s="171">
        <f>SUM(Z10:AA10)</f>
        <v>300</v>
      </c>
    </row>
    <row r="11" spans="1:28" s="27" customFormat="1" ht="24.75" customHeight="1">
      <c r="A11" s="73"/>
      <c r="B11" s="71"/>
      <c r="C11" s="204">
        <v>4300</v>
      </c>
      <c r="D11" s="14" t="s">
        <v>340</v>
      </c>
      <c r="E11" s="205"/>
      <c r="F11" s="205"/>
      <c r="G11" s="205"/>
      <c r="H11" s="171">
        <v>0</v>
      </c>
      <c r="I11" s="171">
        <v>1500</v>
      </c>
      <c r="J11" s="171">
        <f>SUM(H11:I11)</f>
        <v>1500</v>
      </c>
      <c r="K11" s="171">
        <v>0</v>
      </c>
      <c r="L11" s="171">
        <f>SUM(J11:K11)</f>
        <v>1500</v>
      </c>
      <c r="M11" s="171">
        <v>0</v>
      </c>
      <c r="N11" s="171">
        <f>SUM(L11:M11)</f>
        <v>1500</v>
      </c>
      <c r="O11" s="171">
        <v>0</v>
      </c>
      <c r="P11" s="171">
        <f>SUM(N11:O11)</f>
        <v>1500</v>
      </c>
      <c r="Q11" s="171">
        <v>0</v>
      </c>
      <c r="R11" s="171">
        <f>SUM(P11:Q11)</f>
        <v>1500</v>
      </c>
      <c r="S11" s="171">
        <v>0</v>
      </c>
      <c r="T11" s="171">
        <f>SUM(R11:S11)</f>
        <v>1500</v>
      </c>
      <c r="U11" s="171">
        <v>0</v>
      </c>
      <c r="V11" s="171">
        <f>SUM(T11:U11)</f>
        <v>1500</v>
      </c>
      <c r="W11" s="171">
        <v>1218</v>
      </c>
      <c r="X11" s="171">
        <f>SUM(V11:W11)</f>
        <v>2718</v>
      </c>
      <c r="Y11" s="171">
        <v>0</v>
      </c>
      <c r="Z11" s="171">
        <f>SUM(X11:Y11)</f>
        <v>2718</v>
      </c>
      <c r="AA11" s="171">
        <v>0</v>
      </c>
      <c r="AB11" s="171">
        <f>SUM(Z11:AA11)</f>
        <v>2718</v>
      </c>
    </row>
    <row r="12" spans="1:28" s="27" customFormat="1" ht="24.75" customHeight="1">
      <c r="A12" s="85"/>
      <c r="B12" s="85"/>
      <c r="C12" s="78">
        <v>4430</v>
      </c>
      <c r="D12" s="40" t="s">
        <v>356</v>
      </c>
      <c r="E12" s="205"/>
      <c r="F12" s="205"/>
      <c r="G12" s="205"/>
      <c r="H12" s="171">
        <v>0</v>
      </c>
      <c r="I12" s="171">
        <v>96336</v>
      </c>
      <c r="J12" s="171">
        <f>SUM(H12:I12)</f>
        <v>96336</v>
      </c>
      <c r="K12" s="171">
        <v>0</v>
      </c>
      <c r="L12" s="171">
        <f>SUM(J12:K12)</f>
        <v>96336</v>
      </c>
      <c r="M12" s="171">
        <v>0</v>
      </c>
      <c r="N12" s="171">
        <f>SUM(L12:M12)</f>
        <v>96336</v>
      </c>
      <c r="O12" s="171">
        <v>0</v>
      </c>
      <c r="P12" s="171">
        <f>SUM(N12:O12)</f>
        <v>96336</v>
      </c>
      <c r="Q12" s="171">
        <v>0</v>
      </c>
      <c r="R12" s="171">
        <f>SUM(P12:Q12)</f>
        <v>96336</v>
      </c>
      <c r="S12" s="171">
        <v>0</v>
      </c>
      <c r="T12" s="171">
        <f>SUM(R12:S12)</f>
        <v>96336</v>
      </c>
      <c r="U12" s="171">
        <v>0</v>
      </c>
      <c r="V12" s="171">
        <f>SUM(T12:U12)</f>
        <v>96336</v>
      </c>
      <c r="W12" s="171">
        <v>93395</v>
      </c>
      <c r="X12" s="171">
        <f>SUM(V12:W12)</f>
        <v>189731</v>
      </c>
      <c r="Y12" s="171">
        <v>0</v>
      </c>
      <c r="Z12" s="171">
        <f>SUM(X12:Y12)</f>
        <v>189731</v>
      </c>
      <c r="AA12" s="171">
        <v>0</v>
      </c>
      <c r="AB12" s="171">
        <f>SUM(Z12:AA12)</f>
        <v>189731</v>
      </c>
    </row>
    <row r="13" spans="1:28" s="27" customFormat="1" ht="26.25" customHeight="1">
      <c r="A13" s="85"/>
      <c r="B13" s="85"/>
      <c r="C13" s="58">
        <v>4740</v>
      </c>
      <c r="D13" s="14" t="s">
        <v>185</v>
      </c>
      <c r="E13" s="205"/>
      <c r="F13" s="205"/>
      <c r="G13" s="205"/>
      <c r="H13" s="171">
        <v>0</v>
      </c>
      <c r="I13" s="171">
        <v>427</v>
      </c>
      <c r="J13" s="171">
        <f>SUM(H13:I13)</f>
        <v>427</v>
      </c>
      <c r="K13" s="171">
        <v>0</v>
      </c>
      <c r="L13" s="171">
        <f>SUM(J13:K13)</f>
        <v>427</v>
      </c>
      <c r="M13" s="171">
        <v>0</v>
      </c>
      <c r="N13" s="171">
        <f>SUM(L13:M13)</f>
        <v>427</v>
      </c>
      <c r="O13" s="171">
        <v>0</v>
      </c>
      <c r="P13" s="171">
        <f>SUM(N13:O13)</f>
        <v>427</v>
      </c>
      <c r="Q13" s="171">
        <v>0</v>
      </c>
      <c r="R13" s="171">
        <f>SUM(P13:Q13)</f>
        <v>427</v>
      </c>
      <c r="S13" s="171">
        <v>0</v>
      </c>
      <c r="T13" s="171">
        <f>SUM(R13:S13)</f>
        <v>427</v>
      </c>
      <c r="U13" s="171">
        <v>0</v>
      </c>
      <c r="V13" s="171">
        <f>SUM(T13:U13)</f>
        <v>427</v>
      </c>
      <c r="W13" s="171">
        <v>100</v>
      </c>
      <c r="X13" s="171">
        <f>SUM(V13:W13)</f>
        <v>527</v>
      </c>
      <c r="Y13" s="171">
        <v>0</v>
      </c>
      <c r="Z13" s="171">
        <f>SUM(X13:Y13)</f>
        <v>527</v>
      </c>
      <c r="AA13" s="171">
        <v>0</v>
      </c>
      <c r="AB13" s="171">
        <f>SUM(Z13:AA13)</f>
        <v>527</v>
      </c>
    </row>
    <row r="14" spans="1:28" s="27" customFormat="1" ht="26.25" customHeight="1">
      <c r="A14" s="85"/>
      <c r="B14" s="85"/>
      <c r="C14" s="84">
        <v>4750</v>
      </c>
      <c r="D14" s="14" t="s">
        <v>572</v>
      </c>
      <c r="E14" s="205"/>
      <c r="F14" s="205"/>
      <c r="G14" s="205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>
        <v>0</v>
      </c>
      <c r="W14" s="171">
        <v>250</v>
      </c>
      <c r="X14" s="171">
        <f>SUM(V14:W14)</f>
        <v>250</v>
      </c>
      <c r="Y14" s="171">
        <v>0</v>
      </c>
      <c r="Z14" s="171">
        <f>SUM(X14:Y14)</f>
        <v>250</v>
      </c>
      <c r="AA14" s="171">
        <v>0</v>
      </c>
      <c r="AB14" s="171">
        <f>SUM(Z14:AA14)</f>
        <v>250</v>
      </c>
    </row>
    <row r="15" spans="1:28" s="27" customFormat="1" ht="24.75" customHeight="1">
      <c r="A15" s="36" t="s">
        <v>268</v>
      </c>
      <c r="B15" s="5"/>
      <c r="C15" s="23"/>
      <c r="D15" s="34" t="s">
        <v>270</v>
      </c>
      <c r="E15" s="44">
        <f>SUM(E16)</f>
        <v>144800</v>
      </c>
      <c r="F15" s="44">
        <f>SUM(F16)</f>
        <v>0</v>
      </c>
      <c r="G15" s="44">
        <f>SUM(G16)</f>
        <v>0</v>
      </c>
      <c r="H15" s="44">
        <f>E15+F15-G15</f>
        <v>144800</v>
      </c>
      <c r="I15" s="44">
        <f>SUM(I16)</f>
        <v>0</v>
      </c>
      <c r="J15" s="44">
        <f>H15+I15</f>
        <v>144800</v>
      </c>
      <c r="K15" s="44">
        <f>SUM(K16)</f>
        <v>0</v>
      </c>
      <c r="L15" s="44">
        <f>J15+K15</f>
        <v>144800</v>
      </c>
      <c r="M15" s="44">
        <f>SUM(M16)</f>
        <v>0</v>
      </c>
      <c r="N15" s="44">
        <f>L15+M15</f>
        <v>144800</v>
      </c>
      <c r="O15" s="44">
        <f>SUM(O16)</f>
        <v>0</v>
      </c>
      <c r="P15" s="44">
        <f>N15+O15</f>
        <v>144800</v>
      </c>
      <c r="Q15" s="44">
        <f>SUM(Q16)</f>
        <v>0</v>
      </c>
      <c r="R15" s="44">
        <f>P15+Q15</f>
        <v>144800</v>
      </c>
      <c r="S15" s="44">
        <f>SUM(S16)</f>
        <v>7300</v>
      </c>
      <c r="T15" s="44">
        <f aca="true" t="shared" si="4" ref="T15:T21">R15+S15</f>
        <v>152100</v>
      </c>
      <c r="U15" s="44">
        <f>SUM(U16)</f>
        <v>0</v>
      </c>
      <c r="V15" s="44">
        <f aca="true" t="shared" si="5" ref="V15:V21">T15+U15</f>
        <v>152100</v>
      </c>
      <c r="W15" s="44">
        <f>SUM(W16)</f>
        <v>0</v>
      </c>
      <c r="X15" s="44">
        <f aca="true" t="shared" si="6" ref="X15:X21">V15+W15</f>
        <v>152100</v>
      </c>
      <c r="Y15" s="44">
        <f>SUM(Y16)</f>
        <v>0</v>
      </c>
      <c r="Z15" s="44">
        <f aca="true" t="shared" si="7" ref="Z15:Z21">X15+Y15</f>
        <v>152100</v>
      </c>
      <c r="AA15" s="44">
        <f>SUM(AA16)</f>
        <v>0</v>
      </c>
      <c r="AB15" s="44">
        <f aca="true" t="shared" si="8" ref="AB15:AB21">Z15+AA15</f>
        <v>152100</v>
      </c>
    </row>
    <row r="16" spans="1:28" s="27" customFormat="1" ht="24.75" customHeight="1">
      <c r="A16" s="76"/>
      <c r="B16" s="76">
        <v>75011</v>
      </c>
      <c r="C16" s="84"/>
      <c r="D16" s="81" t="s">
        <v>271</v>
      </c>
      <c r="E16" s="89">
        <f>SUM(E17:E21)</f>
        <v>144800</v>
      </c>
      <c r="F16" s="89">
        <f>SUM(F17:F21)</f>
        <v>0</v>
      </c>
      <c r="G16" s="89">
        <f>SUM(G17:G21)</f>
        <v>0</v>
      </c>
      <c r="H16" s="89">
        <f aca="true" t="shared" si="9" ref="H16:H76">E16+F16-G16</f>
        <v>144800</v>
      </c>
      <c r="I16" s="89">
        <f>SUM(I17:I21)</f>
        <v>0</v>
      </c>
      <c r="J16" s="89">
        <f>H16+I16</f>
        <v>144800</v>
      </c>
      <c r="K16" s="89">
        <f>SUM(K17:K21)</f>
        <v>0</v>
      </c>
      <c r="L16" s="89">
        <f>J16+K16</f>
        <v>144800</v>
      </c>
      <c r="M16" s="89">
        <f>SUM(M17:M21)</f>
        <v>0</v>
      </c>
      <c r="N16" s="89">
        <f>L16+M16</f>
        <v>144800</v>
      </c>
      <c r="O16" s="89">
        <f>SUM(O17:O21)</f>
        <v>0</v>
      </c>
      <c r="P16" s="89">
        <f>N16+O16</f>
        <v>144800</v>
      </c>
      <c r="Q16" s="89">
        <f>SUM(Q17:Q21)</f>
        <v>0</v>
      </c>
      <c r="R16" s="89">
        <f>P16+Q16</f>
        <v>144800</v>
      </c>
      <c r="S16" s="89">
        <f>SUM(S17:S21)</f>
        <v>7300</v>
      </c>
      <c r="T16" s="89">
        <f t="shared" si="4"/>
        <v>152100</v>
      </c>
      <c r="U16" s="89">
        <f>SUM(U17:U21)</f>
        <v>0</v>
      </c>
      <c r="V16" s="89">
        <f t="shared" si="5"/>
        <v>152100</v>
      </c>
      <c r="W16" s="89">
        <f>SUM(W17:W21)</f>
        <v>0</v>
      </c>
      <c r="X16" s="89">
        <f t="shared" si="6"/>
        <v>152100</v>
      </c>
      <c r="Y16" s="89">
        <f>SUM(Y17:Y21)</f>
        <v>0</v>
      </c>
      <c r="Z16" s="89">
        <f t="shared" si="7"/>
        <v>152100</v>
      </c>
      <c r="AA16" s="89">
        <f>SUM(AA17:AA21)</f>
        <v>0</v>
      </c>
      <c r="AB16" s="89">
        <f t="shared" si="8"/>
        <v>152100</v>
      </c>
    </row>
    <row r="17" spans="1:28" s="27" customFormat="1" ht="21.75" customHeight="1">
      <c r="A17" s="76"/>
      <c r="B17" s="58"/>
      <c r="C17" s="77">
        <v>4010</v>
      </c>
      <c r="D17" s="81" t="s">
        <v>345</v>
      </c>
      <c r="E17" s="89">
        <v>98200</v>
      </c>
      <c r="F17" s="89"/>
      <c r="G17" s="89"/>
      <c r="H17" s="89">
        <f t="shared" si="9"/>
        <v>98200</v>
      </c>
      <c r="I17" s="89">
        <v>0</v>
      </c>
      <c r="J17" s="89">
        <f aca="true" t="shared" si="10" ref="J17:J76">H17+I17</f>
        <v>98200</v>
      </c>
      <c r="K17" s="89">
        <v>0</v>
      </c>
      <c r="L17" s="89">
        <f aca="true" t="shared" si="11" ref="L17:L76">J17+K17</f>
        <v>98200</v>
      </c>
      <c r="M17" s="89">
        <v>0</v>
      </c>
      <c r="N17" s="89">
        <f aca="true" t="shared" si="12" ref="N17:N76">L17+M17</f>
        <v>98200</v>
      </c>
      <c r="O17" s="89">
        <v>0</v>
      </c>
      <c r="P17" s="89">
        <f aca="true" t="shared" si="13" ref="P17:P76">N17+O17</f>
        <v>98200</v>
      </c>
      <c r="Q17" s="89">
        <v>0</v>
      </c>
      <c r="R17" s="89">
        <f aca="true" t="shared" si="14" ref="R17:R76">P17+Q17</f>
        <v>98200</v>
      </c>
      <c r="S17" s="89">
        <v>6096</v>
      </c>
      <c r="T17" s="89">
        <f t="shared" si="4"/>
        <v>104296</v>
      </c>
      <c r="U17" s="89">
        <v>639</v>
      </c>
      <c r="V17" s="89">
        <f t="shared" si="5"/>
        <v>104935</v>
      </c>
      <c r="W17" s="89">
        <v>0</v>
      </c>
      <c r="X17" s="89">
        <f t="shared" si="6"/>
        <v>104935</v>
      </c>
      <c r="Y17" s="89">
        <v>0</v>
      </c>
      <c r="Z17" s="89">
        <f t="shared" si="7"/>
        <v>104935</v>
      </c>
      <c r="AA17" s="89">
        <v>-160</v>
      </c>
      <c r="AB17" s="89">
        <f t="shared" si="8"/>
        <v>104775</v>
      </c>
    </row>
    <row r="18" spans="1:28" s="27" customFormat="1" ht="21.75" customHeight="1">
      <c r="A18" s="76"/>
      <c r="B18" s="58"/>
      <c r="C18" s="77">
        <v>4040</v>
      </c>
      <c r="D18" s="81" t="s">
        <v>346</v>
      </c>
      <c r="E18" s="89">
        <v>16500</v>
      </c>
      <c r="F18" s="89"/>
      <c r="G18" s="89"/>
      <c r="H18" s="89">
        <f t="shared" si="9"/>
        <v>16500</v>
      </c>
      <c r="I18" s="89">
        <v>0</v>
      </c>
      <c r="J18" s="89">
        <f t="shared" si="10"/>
        <v>16500</v>
      </c>
      <c r="K18" s="89">
        <v>0</v>
      </c>
      <c r="L18" s="89">
        <f t="shared" si="11"/>
        <v>16500</v>
      </c>
      <c r="M18" s="89">
        <v>0</v>
      </c>
      <c r="N18" s="89">
        <f t="shared" si="12"/>
        <v>16500</v>
      </c>
      <c r="O18" s="89">
        <v>0</v>
      </c>
      <c r="P18" s="89">
        <f t="shared" si="13"/>
        <v>16500</v>
      </c>
      <c r="Q18" s="89">
        <v>0</v>
      </c>
      <c r="R18" s="89">
        <f t="shared" si="14"/>
        <v>16500</v>
      </c>
      <c r="S18" s="89">
        <v>0</v>
      </c>
      <c r="T18" s="89">
        <f t="shared" si="4"/>
        <v>16500</v>
      </c>
      <c r="U18" s="89">
        <v>-639</v>
      </c>
      <c r="V18" s="89">
        <f t="shared" si="5"/>
        <v>15861</v>
      </c>
      <c r="W18" s="89">
        <v>0</v>
      </c>
      <c r="X18" s="89">
        <f t="shared" si="6"/>
        <v>15861</v>
      </c>
      <c r="Y18" s="89">
        <v>0</v>
      </c>
      <c r="Z18" s="89">
        <f t="shared" si="7"/>
        <v>15861</v>
      </c>
      <c r="AA18" s="89">
        <v>0</v>
      </c>
      <c r="AB18" s="89">
        <f t="shared" si="8"/>
        <v>15861</v>
      </c>
    </row>
    <row r="19" spans="1:28" s="27" customFormat="1" ht="21.75" customHeight="1">
      <c r="A19" s="76"/>
      <c r="B19" s="58"/>
      <c r="C19" s="77">
        <v>4110</v>
      </c>
      <c r="D19" s="81" t="s">
        <v>347</v>
      </c>
      <c r="E19" s="89">
        <v>19950</v>
      </c>
      <c r="F19" s="89"/>
      <c r="G19" s="89"/>
      <c r="H19" s="89">
        <f t="shared" si="9"/>
        <v>19950</v>
      </c>
      <c r="I19" s="89">
        <v>0</v>
      </c>
      <c r="J19" s="89">
        <f t="shared" si="10"/>
        <v>19950</v>
      </c>
      <c r="K19" s="89">
        <v>0</v>
      </c>
      <c r="L19" s="89">
        <f t="shared" si="11"/>
        <v>19950</v>
      </c>
      <c r="M19" s="89">
        <v>0</v>
      </c>
      <c r="N19" s="89">
        <f t="shared" si="12"/>
        <v>19950</v>
      </c>
      <c r="O19" s="89">
        <v>0</v>
      </c>
      <c r="P19" s="89">
        <f t="shared" si="13"/>
        <v>19950</v>
      </c>
      <c r="Q19" s="89">
        <v>0</v>
      </c>
      <c r="R19" s="89">
        <f t="shared" si="14"/>
        <v>19950</v>
      </c>
      <c r="S19" s="89">
        <v>1054</v>
      </c>
      <c r="T19" s="89">
        <f t="shared" si="4"/>
        <v>21004</v>
      </c>
      <c r="U19" s="89">
        <v>0</v>
      </c>
      <c r="V19" s="89">
        <f t="shared" si="5"/>
        <v>21004</v>
      </c>
      <c r="W19" s="89">
        <v>0</v>
      </c>
      <c r="X19" s="89">
        <f t="shared" si="6"/>
        <v>21004</v>
      </c>
      <c r="Y19" s="89">
        <v>0</v>
      </c>
      <c r="Z19" s="89">
        <f t="shared" si="7"/>
        <v>21004</v>
      </c>
      <c r="AA19" s="89">
        <v>0</v>
      </c>
      <c r="AB19" s="89">
        <f t="shared" si="8"/>
        <v>21004</v>
      </c>
    </row>
    <row r="20" spans="1:28" s="27" customFormat="1" ht="21.75" customHeight="1">
      <c r="A20" s="76"/>
      <c r="B20" s="58"/>
      <c r="C20" s="77">
        <v>4120</v>
      </c>
      <c r="D20" s="81" t="s">
        <v>348</v>
      </c>
      <c r="E20" s="89">
        <v>2800</v>
      </c>
      <c r="F20" s="89"/>
      <c r="G20" s="89"/>
      <c r="H20" s="89">
        <f t="shared" si="9"/>
        <v>2800</v>
      </c>
      <c r="I20" s="89">
        <v>0</v>
      </c>
      <c r="J20" s="89">
        <f t="shared" si="10"/>
        <v>2800</v>
      </c>
      <c r="K20" s="89">
        <v>0</v>
      </c>
      <c r="L20" s="89">
        <f t="shared" si="11"/>
        <v>2800</v>
      </c>
      <c r="M20" s="89">
        <v>0</v>
      </c>
      <c r="N20" s="89">
        <f t="shared" si="12"/>
        <v>2800</v>
      </c>
      <c r="O20" s="89">
        <v>0</v>
      </c>
      <c r="P20" s="89">
        <f t="shared" si="13"/>
        <v>2800</v>
      </c>
      <c r="Q20" s="89">
        <v>0</v>
      </c>
      <c r="R20" s="89">
        <f t="shared" si="14"/>
        <v>2800</v>
      </c>
      <c r="S20" s="89">
        <v>150</v>
      </c>
      <c r="T20" s="89">
        <f t="shared" si="4"/>
        <v>2950</v>
      </c>
      <c r="U20" s="89">
        <v>0</v>
      </c>
      <c r="V20" s="89">
        <f t="shared" si="5"/>
        <v>2950</v>
      </c>
      <c r="W20" s="89">
        <v>0</v>
      </c>
      <c r="X20" s="89">
        <f t="shared" si="6"/>
        <v>2950</v>
      </c>
      <c r="Y20" s="89">
        <v>0</v>
      </c>
      <c r="Z20" s="89">
        <f t="shared" si="7"/>
        <v>2950</v>
      </c>
      <c r="AA20" s="89">
        <v>0</v>
      </c>
      <c r="AB20" s="89">
        <f t="shared" si="8"/>
        <v>2950</v>
      </c>
    </row>
    <row r="21" spans="1:28" s="27" customFormat="1" ht="21.75" customHeight="1">
      <c r="A21" s="76"/>
      <c r="B21" s="58"/>
      <c r="C21" s="78">
        <v>4440</v>
      </c>
      <c r="D21" s="81" t="s">
        <v>349</v>
      </c>
      <c r="E21" s="89">
        <v>7350</v>
      </c>
      <c r="F21" s="89"/>
      <c r="G21" s="89"/>
      <c r="H21" s="89">
        <f t="shared" si="9"/>
        <v>7350</v>
      </c>
      <c r="I21" s="89">
        <v>0</v>
      </c>
      <c r="J21" s="89">
        <f t="shared" si="10"/>
        <v>7350</v>
      </c>
      <c r="K21" s="89">
        <v>0</v>
      </c>
      <c r="L21" s="89">
        <f t="shared" si="11"/>
        <v>7350</v>
      </c>
      <c r="M21" s="89">
        <v>0</v>
      </c>
      <c r="N21" s="89">
        <f t="shared" si="12"/>
        <v>7350</v>
      </c>
      <c r="O21" s="89">
        <v>0</v>
      </c>
      <c r="P21" s="89">
        <f t="shared" si="13"/>
        <v>7350</v>
      </c>
      <c r="Q21" s="89">
        <v>0</v>
      </c>
      <c r="R21" s="89">
        <f t="shared" si="14"/>
        <v>7350</v>
      </c>
      <c r="S21" s="89">
        <v>0</v>
      </c>
      <c r="T21" s="89">
        <f t="shared" si="4"/>
        <v>7350</v>
      </c>
      <c r="U21" s="89">
        <v>0</v>
      </c>
      <c r="V21" s="89">
        <f t="shared" si="5"/>
        <v>7350</v>
      </c>
      <c r="W21" s="89">
        <v>0</v>
      </c>
      <c r="X21" s="89">
        <f t="shared" si="6"/>
        <v>7350</v>
      </c>
      <c r="Y21" s="89">
        <v>0</v>
      </c>
      <c r="Z21" s="89">
        <f t="shared" si="7"/>
        <v>7350</v>
      </c>
      <c r="AA21" s="89">
        <v>160</v>
      </c>
      <c r="AB21" s="89">
        <f t="shared" si="8"/>
        <v>7510</v>
      </c>
    </row>
    <row r="22" spans="1:28" s="27" customFormat="1" ht="41.25" customHeight="1">
      <c r="A22" s="36">
        <v>751</v>
      </c>
      <c r="B22" s="5"/>
      <c r="C22" s="23"/>
      <c r="D22" s="34" t="s">
        <v>274</v>
      </c>
      <c r="E22" s="44">
        <f>E23</f>
        <v>3809</v>
      </c>
      <c r="F22" s="44">
        <f>F23</f>
        <v>0</v>
      </c>
      <c r="G22" s="44">
        <f>G23</f>
        <v>0</v>
      </c>
      <c r="H22" s="44">
        <f t="shared" si="9"/>
        <v>3809</v>
      </c>
      <c r="I22" s="44">
        <f>I23</f>
        <v>0</v>
      </c>
      <c r="J22" s="44">
        <f t="shared" si="10"/>
        <v>3809</v>
      </c>
      <c r="K22" s="44">
        <f>K23</f>
        <v>0</v>
      </c>
      <c r="L22" s="44">
        <f t="shared" si="11"/>
        <v>3809</v>
      </c>
      <c r="M22" s="44">
        <f>M23</f>
        <v>0</v>
      </c>
      <c r="N22" s="44">
        <f t="shared" si="12"/>
        <v>3809</v>
      </c>
      <c r="O22" s="44">
        <f>O23</f>
        <v>0</v>
      </c>
      <c r="P22" s="44">
        <f aca="true" t="shared" si="15" ref="P22:V22">SUM(P23,P27,)</f>
        <v>3809</v>
      </c>
      <c r="Q22" s="44">
        <f t="shared" si="15"/>
        <v>6644</v>
      </c>
      <c r="R22" s="44">
        <f t="shared" si="15"/>
        <v>10453</v>
      </c>
      <c r="S22" s="44">
        <f t="shared" si="15"/>
        <v>31767</v>
      </c>
      <c r="T22" s="44">
        <f t="shared" si="15"/>
        <v>42220</v>
      </c>
      <c r="U22" s="44">
        <f t="shared" si="15"/>
        <v>0</v>
      </c>
      <c r="V22" s="44">
        <f t="shared" si="15"/>
        <v>42220</v>
      </c>
      <c r="W22" s="44">
        <f aca="true" t="shared" si="16" ref="W22:AB22">SUM(W23,W27,)</f>
        <v>0</v>
      </c>
      <c r="X22" s="44">
        <f t="shared" si="16"/>
        <v>42220</v>
      </c>
      <c r="Y22" s="44">
        <f t="shared" si="16"/>
        <v>0</v>
      </c>
      <c r="Z22" s="44">
        <f t="shared" si="16"/>
        <v>42220</v>
      </c>
      <c r="AA22" s="44">
        <f t="shared" si="16"/>
        <v>0</v>
      </c>
      <c r="AB22" s="44">
        <f t="shared" si="16"/>
        <v>42220</v>
      </c>
    </row>
    <row r="23" spans="1:28" s="27" customFormat="1" ht="27" customHeight="1">
      <c r="A23" s="58"/>
      <c r="B23" s="76">
        <v>75101</v>
      </c>
      <c r="C23" s="84"/>
      <c r="D23" s="81" t="s">
        <v>275</v>
      </c>
      <c r="E23" s="89">
        <f>SUM(E24:E26)</f>
        <v>3809</v>
      </c>
      <c r="F23" s="89">
        <f>SUM(F24:F26)</f>
        <v>0</v>
      </c>
      <c r="G23" s="89">
        <f>SUM(G24:G26)</f>
        <v>0</v>
      </c>
      <c r="H23" s="89">
        <f t="shared" si="9"/>
        <v>3809</v>
      </c>
      <c r="I23" s="89">
        <f>SUM(I24:I26)</f>
        <v>0</v>
      </c>
      <c r="J23" s="89">
        <f t="shared" si="10"/>
        <v>3809</v>
      </c>
      <c r="K23" s="89">
        <f>SUM(K24:K26)</f>
        <v>0</v>
      </c>
      <c r="L23" s="89">
        <f t="shared" si="11"/>
        <v>3809</v>
      </c>
      <c r="M23" s="89">
        <f>SUM(M24:M26)</f>
        <v>0</v>
      </c>
      <c r="N23" s="89">
        <f t="shared" si="12"/>
        <v>3809</v>
      </c>
      <c r="O23" s="89">
        <f>SUM(O24:O26)</f>
        <v>0</v>
      </c>
      <c r="P23" s="89">
        <f t="shared" si="13"/>
        <v>3809</v>
      </c>
      <c r="Q23" s="89">
        <f>SUM(Q24:Q26)</f>
        <v>0</v>
      </c>
      <c r="R23" s="89">
        <f t="shared" si="14"/>
        <v>3809</v>
      </c>
      <c r="S23" s="89">
        <f>SUM(S24:S26)</f>
        <v>0</v>
      </c>
      <c r="T23" s="89">
        <f>R23+S23</f>
        <v>3809</v>
      </c>
      <c r="U23" s="89">
        <f>SUM(U24:U26)</f>
        <v>0</v>
      </c>
      <c r="V23" s="89">
        <f>T23+U23</f>
        <v>3809</v>
      </c>
      <c r="W23" s="89">
        <f>SUM(W24:W26)</f>
        <v>0</v>
      </c>
      <c r="X23" s="89">
        <f>V23+W23</f>
        <v>3809</v>
      </c>
      <c r="Y23" s="89">
        <f>SUM(Y24:Y26)</f>
        <v>0</v>
      </c>
      <c r="Z23" s="89">
        <f>X23+Y23</f>
        <v>3809</v>
      </c>
      <c r="AA23" s="89">
        <f>SUM(AA24:AA26)</f>
        <v>0</v>
      </c>
      <c r="AB23" s="89">
        <f>Z23+AA23</f>
        <v>3809</v>
      </c>
    </row>
    <row r="24" spans="1:28" s="27" customFormat="1" ht="21.75" customHeight="1">
      <c r="A24" s="58"/>
      <c r="B24" s="76"/>
      <c r="C24" s="77">
        <v>4210</v>
      </c>
      <c r="D24" s="81" t="s">
        <v>354</v>
      </c>
      <c r="E24" s="89">
        <v>1009</v>
      </c>
      <c r="F24" s="89"/>
      <c r="G24" s="89"/>
      <c r="H24" s="89">
        <f t="shared" si="9"/>
        <v>1009</v>
      </c>
      <c r="I24" s="89">
        <v>0</v>
      </c>
      <c r="J24" s="89">
        <f t="shared" si="10"/>
        <v>1009</v>
      </c>
      <c r="K24" s="89">
        <v>0</v>
      </c>
      <c r="L24" s="89">
        <f t="shared" si="11"/>
        <v>1009</v>
      </c>
      <c r="M24" s="89">
        <v>800</v>
      </c>
      <c r="N24" s="89">
        <f t="shared" si="12"/>
        <v>1809</v>
      </c>
      <c r="O24" s="89">
        <v>0</v>
      </c>
      <c r="P24" s="89">
        <f t="shared" si="13"/>
        <v>1809</v>
      </c>
      <c r="Q24" s="89">
        <v>0</v>
      </c>
      <c r="R24" s="89">
        <f t="shared" si="14"/>
        <v>1809</v>
      </c>
      <c r="S24" s="89">
        <v>0</v>
      </c>
      <c r="T24" s="89">
        <f>R24+S24</f>
        <v>1809</v>
      </c>
      <c r="U24" s="89">
        <v>0</v>
      </c>
      <c r="V24" s="89">
        <f>T24+U24</f>
        <v>1809</v>
      </c>
      <c r="W24" s="89">
        <v>0</v>
      </c>
      <c r="X24" s="89">
        <f>V24+W24</f>
        <v>1809</v>
      </c>
      <c r="Y24" s="89">
        <v>412</v>
      </c>
      <c r="Z24" s="89">
        <f>X24+Y24</f>
        <v>2221</v>
      </c>
      <c r="AA24" s="89">
        <v>0</v>
      </c>
      <c r="AB24" s="89">
        <f>Z24+AA24</f>
        <v>2221</v>
      </c>
    </row>
    <row r="25" spans="1:28" s="27" customFormat="1" ht="29.25" customHeight="1">
      <c r="A25" s="58"/>
      <c r="B25" s="76"/>
      <c r="C25" s="77">
        <v>4700</v>
      </c>
      <c r="D25" s="40" t="s">
        <v>571</v>
      </c>
      <c r="E25" s="89">
        <v>1600</v>
      </c>
      <c r="F25" s="89"/>
      <c r="G25" s="89"/>
      <c r="H25" s="89">
        <f t="shared" si="9"/>
        <v>1600</v>
      </c>
      <c r="I25" s="89">
        <v>0</v>
      </c>
      <c r="J25" s="89">
        <f t="shared" si="10"/>
        <v>1600</v>
      </c>
      <c r="K25" s="89">
        <v>0</v>
      </c>
      <c r="L25" s="89">
        <f t="shared" si="11"/>
        <v>1600</v>
      </c>
      <c r="M25" s="89">
        <v>-800</v>
      </c>
      <c r="N25" s="89">
        <f t="shared" si="12"/>
        <v>800</v>
      </c>
      <c r="O25" s="89">
        <v>0</v>
      </c>
      <c r="P25" s="89">
        <f t="shared" si="13"/>
        <v>800</v>
      </c>
      <c r="Q25" s="89">
        <v>0</v>
      </c>
      <c r="R25" s="89">
        <f t="shared" si="14"/>
        <v>800</v>
      </c>
      <c r="S25" s="89">
        <v>0</v>
      </c>
      <c r="T25" s="89">
        <f>R25+S25</f>
        <v>800</v>
      </c>
      <c r="U25" s="89">
        <v>0</v>
      </c>
      <c r="V25" s="89">
        <f>T25+U25</f>
        <v>800</v>
      </c>
      <c r="W25" s="89">
        <v>0</v>
      </c>
      <c r="X25" s="89">
        <f>V25+W25</f>
        <v>800</v>
      </c>
      <c r="Y25" s="89">
        <v>-412</v>
      </c>
      <c r="Z25" s="89">
        <f>X25+Y25</f>
        <v>388</v>
      </c>
      <c r="AA25" s="89">
        <v>0</v>
      </c>
      <c r="AB25" s="89">
        <f>Z25+AA25</f>
        <v>388</v>
      </c>
    </row>
    <row r="26" spans="1:28" s="27" customFormat="1" ht="27" customHeight="1">
      <c r="A26" s="58"/>
      <c r="B26" s="76"/>
      <c r="C26" s="77">
        <v>4740</v>
      </c>
      <c r="D26" s="40" t="s">
        <v>570</v>
      </c>
      <c r="E26" s="89">
        <v>1200</v>
      </c>
      <c r="F26" s="89"/>
      <c r="G26" s="89"/>
      <c r="H26" s="89">
        <f t="shared" si="9"/>
        <v>1200</v>
      </c>
      <c r="I26" s="89">
        <v>0</v>
      </c>
      <c r="J26" s="89">
        <f t="shared" si="10"/>
        <v>1200</v>
      </c>
      <c r="K26" s="89">
        <v>0</v>
      </c>
      <c r="L26" s="89">
        <f t="shared" si="11"/>
        <v>1200</v>
      </c>
      <c r="M26" s="89">
        <v>0</v>
      </c>
      <c r="N26" s="89">
        <f t="shared" si="12"/>
        <v>1200</v>
      </c>
      <c r="O26" s="89">
        <v>0</v>
      </c>
      <c r="P26" s="89">
        <f t="shared" si="13"/>
        <v>1200</v>
      </c>
      <c r="Q26" s="89">
        <v>0</v>
      </c>
      <c r="R26" s="89">
        <f t="shared" si="14"/>
        <v>1200</v>
      </c>
      <c r="S26" s="89">
        <v>0</v>
      </c>
      <c r="T26" s="89">
        <f>R26+S26</f>
        <v>1200</v>
      </c>
      <c r="U26" s="89">
        <v>0</v>
      </c>
      <c r="V26" s="89">
        <f>T26+U26</f>
        <v>1200</v>
      </c>
      <c r="W26" s="89">
        <v>0</v>
      </c>
      <c r="X26" s="89">
        <f>V26+W26</f>
        <v>1200</v>
      </c>
      <c r="Y26" s="89">
        <v>0</v>
      </c>
      <c r="Z26" s="89">
        <f>X26+Y26</f>
        <v>1200</v>
      </c>
      <c r="AA26" s="89">
        <v>0</v>
      </c>
      <c r="AB26" s="89">
        <f>Z26+AA26</f>
        <v>1200</v>
      </c>
    </row>
    <row r="27" spans="1:28" s="27" customFormat="1" ht="20.25" customHeight="1">
      <c r="A27" s="58"/>
      <c r="B27" s="76">
        <v>75108</v>
      </c>
      <c r="C27" s="77"/>
      <c r="D27" s="70" t="s">
        <v>598</v>
      </c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>
        <f>SUM(P32:P33)</f>
        <v>0</v>
      </c>
      <c r="Q27" s="89">
        <f>SUM(Q32:Q33)</f>
        <v>6644</v>
      </c>
      <c r="R27" s="89">
        <f aca="true" t="shared" si="17" ref="R27:X27">SUM(R28:R36)</f>
        <v>6644</v>
      </c>
      <c r="S27" s="89">
        <f t="shared" si="17"/>
        <v>31767</v>
      </c>
      <c r="T27" s="89">
        <f t="shared" si="17"/>
        <v>38411</v>
      </c>
      <c r="U27" s="89">
        <f t="shared" si="17"/>
        <v>0</v>
      </c>
      <c r="V27" s="89">
        <f t="shared" si="17"/>
        <v>38411</v>
      </c>
      <c r="W27" s="89">
        <f t="shared" si="17"/>
        <v>0</v>
      </c>
      <c r="X27" s="89">
        <f t="shared" si="17"/>
        <v>38411</v>
      </c>
      <c r="Y27" s="89">
        <f>SUM(Y28:Y36)</f>
        <v>0</v>
      </c>
      <c r="Z27" s="89">
        <f>SUM(Z28:Z36)</f>
        <v>38411</v>
      </c>
      <c r="AA27" s="89">
        <f>SUM(AA28:AA36)</f>
        <v>0</v>
      </c>
      <c r="AB27" s="89">
        <f>SUM(AB28:AB36)</f>
        <v>38411</v>
      </c>
    </row>
    <row r="28" spans="1:28" s="27" customFormat="1" ht="20.25" customHeight="1">
      <c r="A28" s="58"/>
      <c r="B28" s="76"/>
      <c r="C28" s="77">
        <v>3030</v>
      </c>
      <c r="D28" s="40" t="s">
        <v>350</v>
      </c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>
        <v>0</v>
      </c>
      <c r="S28" s="89">
        <v>19125</v>
      </c>
      <c r="T28" s="89">
        <f aca="true" t="shared" si="18" ref="T28:T36">SUM(R28:S28)</f>
        <v>19125</v>
      </c>
      <c r="U28" s="89">
        <v>0</v>
      </c>
      <c r="V28" s="89">
        <f aca="true" t="shared" si="19" ref="V28:V36">SUM(T28:U28)</f>
        <v>19125</v>
      </c>
      <c r="W28" s="89">
        <v>0</v>
      </c>
      <c r="X28" s="89">
        <f aca="true" t="shared" si="20" ref="X28:X36">SUM(V28:W28)</f>
        <v>19125</v>
      </c>
      <c r="Y28" s="89">
        <v>0</v>
      </c>
      <c r="Z28" s="89">
        <f aca="true" t="shared" si="21" ref="Z28:Z36">SUM(X28:Y28)</f>
        <v>19125</v>
      </c>
      <c r="AA28" s="89">
        <v>0</v>
      </c>
      <c r="AB28" s="89">
        <f aca="true" t="shared" si="22" ref="AB28:AB36">SUM(Z28:AA28)</f>
        <v>19125</v>
      </c>
    </row>
    <row r="29" spans="1:28" s="27" customFormat="1" ht="20.25" customHeight="1">
      <c r="A29" s="58"/>
      <c r="B29" s="76"/>
      <c r="C29" s="77">
        <v>4110</v>
      </c>
      <c r="D29" s="81" t="s">
        <v>347</v>
      </c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>
        <v>0</v>
      </c>
      <c r="S29" s="89">
        <v>814</v>
      </c>
      <c r="T29" s="89">
        <f t="shared" si="18"/>
        <v>814</v>
      </c>
      <c r="U29" s="89">
        <v>0</v>
      </c>
      <c r="V29" s="89">
        <f t="shared" si="19"/>
        <v>814</v>
      </c>
      <c r="W29" s="89">
        <v>0</v>
      </c>
      <c r="X29" s="89">
        <f t="shared" si="20"/>
        <v>814</v>
      </c>
      <c r="Y29" s="89">
        <v>0</v>
      </c>
      <c r="Z29" s="89">
        <f t="shared" si="21"/>
        <v>814</v>
      </c>
      <c r="AA29" s="89">
        <v>0</v>
      </c>
      <c r="AB29" s="89">
        <f t="shared" si="22"/>
        <v>814</v>
      </c>
    </row>
    <row r="30" spans="1:28" s="27" customFormat="1" ht="20.25" customHeight="1">
      <c r="A30" s="58"/>
      <c r="B30" s="76"/>
      <c r="C30" s="77">
        <v>4120</v>
      </c>
      <c r="D30" s="81" t="s">
        <v>348</v>
      </c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>
        <v>0</v>
      </c>
      <c r="S30" s="89">
        <v>117</v>
      </c>
      <c r="T30" s="89">
        <f t="shared" si="18"/>
        <v>117</v>
      </c>
      <c r="U30" s="89">
        <v>0</v>
      </c>
      <c r="V30" s="89">
        <f t="shared" si="19"/>
        <v>117</v>
      </c>
      <c r="W30" s="89">
        <v>0</v>
      </c>
      <c r="X30" s="89">
        <f t="shared" si="20"/>
        <v>117</v>
      </c>
      <c r="Y30" s="89">
        <v>0</v>
      </c>
      <c r="Z30" s="89">
        <f t="shared" si="21"/>
        <v>117</v>
      </c>
      <c r="AA30" s="89">
        <v>0</v>
      </c>
      <c r="AB30" s="89">
        <f t="shared" si="22"/>
        <v>117</v>
      </c>
    </row>
    <row r="31" spans="1:28" s="27" customFormat="1" ht="20.25" customHeight="1">
      <c r="A31" s="58"/>
      <c r="B31" s="76"/>
      <c r="C31" s="77">
        <v>4170</v>
      </c>
      <c r="D31" s="70" t="s">
        <v>478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>
        <v>0</v>
      </c>
      <c r="S31" s="89">
        <v>7300</v>
      </c>
      <c r="T31" s="89">
        <f t="shared" si="18"/>
        <v>7300</v>
      </c>
      <c r="U31" s="89">
        <v>0</v>
      </c>
      <c r="V31" s="89">
        <f t="shared" si="19"/>
        <v>7300</v>
      </c>
      <c r="W31" s="89">
        <v>0</v>
      </c>
      <c r="X31" s="89">
        <f t="shared" si="20"/>
        <v>7300</v>
      </c>
      <c r="Y31" s="89">
        <v>0</v>
      </c>
      <c r="Z31" s="89">
        <f t="shared" si="21"/>
        <v>7300</v>
      </c>
      <c r="AA31" s="89">
        <v>0</v>
      </c>
      <c r="AB31" s="89">
        <f t="shared" si="22"/>
        <v>7300</v>
      </c>
    </row>
    <row r="32" spans="1:28" s="27" customFormat="1" ht="21" customHeight="1">
      <c r="A32" s="58"/>
      <c r="B32" s="76"/>
      <c r="C32" s="77">
        <v>4210</v>
      </c>
      <c r="D32" s="81" t="s">
        <v>354</v>
      </c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>
        <v>0</v>
      </c>
      <c r="Q32" s="89">
        <v>6000</v>
      </c>
      <c r="R32" s="89">
        <f>SUM(P32:Q32)</f>
        <v>6000</v>
      </c>
      <c r="S32" s="89">
        <v>-789</v>
      </c>
      <c r="T32" s="89">
        <f t="shared" si="18"/>
        <v>5211</v>
      </c>
      <c r="U32" s="89">
        <v>0</v>
      </c>
      <c r="V32" s="89">
        <f t="shared" si="19"/>
        <v>5211</v>
      </c>
      <c r="W32" s="89">
        <v>1487</v>
      </c>
      <c r="X32" s="89">
        <f t="shared" si="20"/>
        <v>6698</v>
      </c>
      <c r="Y32" s="89">
        <v>58</v>
      </c>
      <c r="Z32" s="89">
        <f t="shared" si="21"/>
        <v>6756</v>
      </c>
      <c r="AA32" s="89">
        <v>0</v>
      </c>
      <c r="AB32" s="89">
        <f t="shared" si="22"/>
        <v>6756</v>
      </c>
    </row>
    <row r="33" spans="1:28" s="27" customFormat="1" ht="21.75" customHeight="1">
      <c r="A33" s="58"/>
      <c r="B33" s="76"/>
      <c r="C33" s="77">
        <v>4300</v>
      </c>
      <c r="D33" s="14" t="s">
        <v>340</v>
      </c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>
        <v>0</v>
      </c>
      <c r="Q33" s="89">
        <v>644</v>
      </c>
      <c r="R33" s="89">
        <f>SUM(P33:Q33)</f>
        <v>644</v>
      </c>
      <c r="S33" s="89">
        <v>800</v>
      </c>
      <c r="T33" s="89">
        <f t="shared" si="18"/>
        <v>1444</v>
      </c>
      <c r="U33" s="89">
        <v>0</v>
      </c>
      <c r="V33" s="89">
        <f t="shared" si="19"/>
        <v>1444</v>
      </c>
      <c r="W33" s="89">
        <v>-330</v>
      </c>
      <c r="X33" s="89">
        <f t="shared" si="20"/>
        <v>1114</v>
      </c>
      <c r="Y33" s="89">
        <v>0</v>
      </c>
      <c r="Z33" s="89">
        <f t="shared" si="21"/>
        <v>1114</v>
      </c>
      <c r="AA33" s="89">
        <v>0</v>
      </c>
      <c r="AB33" s="89">
        <f t="shared" si="22"/>
        <v>1114</v>
      </c>
    </row>
    <row r="34" spans="1:28" s="27" customFormat="1" ht="21.75" customHeight="1">
      <c r="A34" s="58"/>
      <c r="B34" s="76"/>
      <c r="C34" s="77">
        <v>4410</v>
      </c>
      <c r="D34" s="14" t="s">
        <v>352</v>
      </c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>
        <v>0</v>
      </c>
      <c r="S34" s="89">
        <v>2500</v>
      </c>
      <c r="T34" s="89">
        <f t="shared" si="18"/>
        <v>2500</v>
      </c>
      <c r="U34" s="89">
        <v>0</v>
      </c>
      <c r="V34" s="89">
        <f t="shared" si="19"/>
        <v>2500</v>
      </c>
      <c r="W34" s="89">
        <v>-1186</v>
      </c>
      <c r="X34" s="89">
        <f t="shared" si="20"/>
        <v>1314</v>
      </c>
      <c r="Y34" s="89">
        <v>-58</v>
      </c>
      <c r="Z34" s="89">
        <f t="shared" si="21"/>
        <v>1256</v>
      </c>
      <c r="AA34" s="89">
        <v>0</v>
      </c>
      <c r="AB34" s="89">
        <f t="shared" si="22"/>
        <v>1256</v>
      </c>
    </row>
    <row r="35" spans="1:28" s="27" customFormat="1" ht="28.5" customHeight="1">
      <c r="A35" s="58"/>
      <c r="B35" s="76"/>
      <c r="C35" s="77">
        <v>4740</v>
      </c>
      <c r="D35" s="14" t="s">
        <v>185</v>
      </c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>
        <v>0</v>
      </c>
      <c r="S35" s="89">
        <v>700</v>
      </c>
      <c r="T35" s="89">
        <f t="shared" si="18"/>
        <v>700</v>
      </c>
      <c r="U35" s="89">
        <v>0</v>
      </c>
      <c r="V35" s="89">
        <f t="shared" si="19"/>
        <v>700</v>
      </c>
      <c r="W35" s="89">
        <v>207</v>
      </c>
      <c r="X35" s="89">
        <f t="shared" si="20"/>
        <v>907</v>
      </c>
      <c r="Y35" s="89">
        <v>0</v>
      </c>
      <c r="Z35" s="89">
        <f t="shared" si="21"/>
        <v>907</v>
      </c>
      <c r="AA35" s="89">
        <v>0</v>
      </c>
      <c r="AB35" s="89">
        <f t="shared" si="22"/>
        <v>907</v>
      </c>
    </row>
    <row r="36" spans="1:28" s="27" customFormat="1" ht="27" customHeight="1">
      <c r="A36" s="58"/>
      <c r="B36" s="76"/>
      <c r="C36" s="77">
        <v>4750</v>
      </c>
      <c r="D36" s="14" t="s">
        <v>572</v>
      </c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>
        <v>0</v>
      </c>
      <c r="S36" s="89">
        <v>1200</v>
      </c>
      <c r="T36" s="89">
        <f t="shared" si="18"/>
        <v>1200</v>
      </c>
      <c r="U36" s="89">
        <v>0</v>
      </c>
      <c r="V36" s="89">
        <f t="shared" si="19"/>
        <v>1200</v>
      </c>
      <c r="W36" s="89">
        <v>-178</v>
      </c>
      <c r="X36" s="89">
        <f t="shared" si="20"/>
        <v>1022</v>
      </c>
      <c r="Y36" s="89">
        <v>0</v>
      </c>
      <c r="Z36" s="89">
        <f t="shared" si="21"/>
        <v>1022</v>
      </c>
      <c r="AA36" s="89">
        <v>0</v>
      </c>
      <c r="AB36" s="89">
        <f t="shared" si="22"/>
        <v>1022</v>
      </c>
    </row>
    <row r="37" spans="1:214" s="27" customFormat="1" ht="26.25" customHeight="1">
      <c r="A37" s="36">
        <v>852</v>
      </c>
      <c r="B37" s="5"/>
      <c r="C37" s="23"/>
      <c r="D37" s="34" t="s">
        <v>470</v>
      </c>
      <c r="E37" s="44">
        <f>SUM(E51,E72,E74,)</f>
        <v>8343900</v>
      </c>
      <c r="F37" s="44">
        <f>SUM(F51,F72,F74,)</f>
        <v>7900</v>
      </c>
      <c r="G37" s="44">
        <f>SUM(G51,G72,G74,)</f>
        <v>23700</v>
      </c>
      <c r="H37" s="44">
        <f t="shared" si="9"/>
        <v>8328100</v>
      </c>
      <c r="I37" s="44">
        <f>SUM(I51,I72,I74,)</f>
        <v>0</v>
      </c>
      <c r="J37" s="44">
        <f t="shared" si="10"/>
        <v>8328100</v>
      </c>
      <c r="K37" s="44">
        <f>SUM(K51,K72,K74,)</f>
        <v>0</v>
      </c>
      <c r="L37" s="44">
        <f t="shared" si="11"/>
        <v>8328100</v>
      </c>
      <c r="M37" s="44">
        <f>SUM(M51,M72,M74,)</f>
        <v>0</v>
      </c>
      <c r="N37" s="44">
        <f t="shared" si="12"/>
        <v>8328100</v>
      </c>
      <c r="O37" s="44">
        <f>SUM(O51,O72,O74,)</f>
        <v>-203000</v>
      </c>
      <c r="P37" s="44">
        <f t="shared" si="13"/>
        <v>8125100</v>
      </c>
      <c r="Q37" s="44">
        <f>SUM(Q51,Q72,Q74,)</f>
        <v>-50000</v>
      </c>
      <c r="R37" s="44">
        <f t="shared" si="14"/>
        <v>8075100</v>
      </c>
      <c r="S37" s="44">
        <f>SUM(S51,S72,S74,)</f>
        <v>-234000</v>
      </c>
      <c r="T37" s="44">
        <f aca="true" t="shared" si="23" ref="T37:T76">R37+S37</f>
        <v>7841100</v>
      </c>
      <c r="U37" s="44">
        <f>SUM(U51,U72,U74,)</f>
        <v>0</v>
      </c>
      <c r="V37" s="44">
        <f aca="true" t="shared" si="24" ref="V37:V76">T37+U37</f>
        <v>7841100</v>
      </c>
      <c r="W37" s="44">
        <f>SUM(W51,W72,W74,)</f>
        <v>0</v>
      </c>
      <c r="X37" s="44">
        <f aca="true" t="shared" si="25" ref="X37:X76">V37+W37</f>
        <v>7841100</v>
      </c>
      <c r="Y37" s="44">
        <f>SUM(Y51,Y72,Y74,)</f>
        <v>5941</v>
      </c>
      <c r="Z37" s="44">
        <f aca="true" t="shared" si="26" ref="Z37:Z76">X37+Y37</f>
        <v>7847041</v>
      </c>
      <c r="AA37" s="44">
        <f>SUM(AA51,AA72,AA74,)</f>
        <v>0</v>
      </c>
      <c r="AB37" s="44">
        <f aca="true" t="shared" si="27" ref="AB37:AB76">Z37+AA37</f>
        <v>7847041</v>
      </c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7"/>
      <c r="BQ37" s="107"/>
      <c r="BR37" s="107"/>
      <c r="BS37" s="107"/>
      <c r="BT37" s="107"/>
      <c r="BU37" s="107"/>
      <c r="BV37" s="107"/>
      <c r="BW37" s="107"/>
      <c r="BX37" s="107"/>
      <c r="BY37" s="107"/>
      <c r="BZ37" s="107"/>
      <c r="CA37" s="107"/>
      <c r="CB37" s="107"/>
      <c r="CC37" s="107"/>
      <c r="CD37" s="107"/>
      <c r="CE37" s="107"/>
      <c r="CF37" s="107"/>
      <c r="CG37" s="107"/>
      <c r="CH37" s="107"/>
      <c r="CI37" s="107"/>
      <c r="CJ37" s="107"/>
      <c r="CK37" s="107"/>
      <c r="CL37" s="107"/>
      <c r="CM37" s="107"/>
      <c r="CN37" s="107"/>
      <c r="CO37" s="107"/>
      <c r="CP37" s="107"/>
      <c r="CQ37" s="107"/>
      <c r="CR37" s="107"/>
      <c r="CS37" s="107"/>
      <c r="CT37" s="107"/>
      <c r="CU37" s="107"/>
      <c r="CV37" s="107"/>
      <c r="CW37" s="107"/>
      <c r="CX37" s="107"/>
      <c r="CY37" s="107"/>
      <c r="CZ37" s="107"/>
      <c r="DA37" s="107"/>
      <c r="DB37" s="107"/>
      <c r="DC37" s="107"/>
      <c r="DD37" s="107"/>
      <c r="DE37" s="107"/>
      <c r="DF37" s="107"/>
      <c r="DG37" s="107"/>
      <c r="DH37" s="107"/>
      <c r="DI37" s="107"/>
      <c r="DJ37" s="107"/>
      <c r="DK37" s="107"/>
      <c r="DL37" s="107"/>
      <c r="DM37" s="107"/>
      <c r="DN37" s="107"/>
      <c r="DO37" s="107"/>
      <c r="DP37" s="107"/>
      <c r="DQ37" s="107"/>
      <c r="DR37" s="107"/>
      <c r="DS37" s="107"/>
      <c r="DT37" s="107"/>
      <c r="DU37" s="107"/>
      <c r="DV37" s="107"/>
      <c r="DW37" s="107"/>
      <c r="DX37" s="107"/>
      <c r="DY37" s="107"/>
      <c r="DZ37" s="107"/>
      <c r="EA37" s="107"/>
      <c r="EB37" s="107"/>
      <c r="EC37" s="107"/>
      <c r="ED37" s="107"/>
      <c r="EE37" s="107"/>
      <c r="EF37" s="107"/>
      <c r="EG37" s="107"/>
      <c r="EH37" s="107"/>
      <c r="EI37" s="107"/>
      <c r="EJ37" s="107"/>
      <c r="EK37" s="107"/>
      <c r="EL37" s="107"/>
      <c r="EM37" s="107"/>
      <c r="EN37" s="107"/>
      <c r="EO37" s="107"/>
      <c r="EP37" s="107"/>
      <c r="EQ37" s="107"/>
      <c r="ER37" s="107"/>
      <c r="ES37" s="107"/>
      <c r="ET37" s="107"/>
      <c r="EU37" s="107"/>
      <c r="EV37" s="107"/>
      <c r="EW37" s="107"/>
      <c r="EX37" s="107"/>
      <c r="EY37" s="107"/>
      <c r="EZ37" s="107"/>
      <c r="FA37" s="107"/>
      <c r="FB37" s="107"/>
      <c r="FC37" s="107"/>
      <c r="FD37" s="107"/>
      <c r="FE37" s="107"/>
      <c r="FF37" s="107"/>
      <c r="FG37" s="107"/>
      <c r="FH37" s="107"/>
      <c r="FI37" s="107"/>
      <c r="FJ37" s="107"/>
      <c r="FK37" s="107"/>
      <c r="FL37" s="107"/>
      <c r="FM37" s="107"/>
      <c r="FN37" s="107"/>
      <c r="FO37" s="107"/>
      <c r="FP37" s="107"/>
      <c r="FQ37" s="107"/>
      <c r="FR37" s="107"/>
      <c r="FS37" s="107"/>
      <c r="FT37" s="107"/>
      <c r="FU37" s="107"/>
      <c r="FV37" s="107"/>
      <c r="FW37" s="107"/>
      <c r="FX37" s="107"/>
      <c r="FY37" s="107"/>
      <c r="FZ37" s="107"/>
      <c r="GA37" s="107"/>
      <c r="GB37" s="107"/>
      <c r="GC37" s="107"/>
      <c r="GD37" s="107"/>
      <c r="GE37" s="107"/>
      <c r="GF37" s="107"/>
      <c r="GG37" s="107"/>
      <c r="GH37" s="107"/>
      <c r="GI37" s="107"/>
      <c r="GJ37" s="107"/>
      <c r="GK37" s="107"/>
      <c r="GL37" s="107"/>
      <c r="GM37" s="107"/>
      <c r="GN37" s="107"/>
      <c r="GO37" s="107"/>
      <c r="GP37" s="107"/>
      <c r="GQ37" s="107"/>
      <c r="GR37" s="107"/>
      <c r="GS37" s="107"/>
      <c r="GT37" s="107"/>
      <c r="GU37" s="107"/>
      <c r="GV37" s="107"/>
      <c r="GW37" s="107"/>
      <c r="GX37" s="107"/>
      <c r="GY37" s="107"/>
      <c r="GZ37" s="107"/>
      <c r="HA37" s="107"/>
      <c r="HB37" s="107"/>
      <c r="HC37" s="107"/>
      <c r="HD37" s="107"/>
      <c r="HE37" s="107"/>
      <c r="HF37" s="107"/>
    </row>
    <row r="38" spans="1:214" s="27" customFormat="1" ht="33.75" hidden="1">
      <c r="A38" s="93"/>
      <c r="B38" s="58">
        <v>85212</v>
      </c>
      <c r="C38" s="83"/>
      <c r="D38" s="81" t="s">
        <v>511</v>
      </c>
      <c r="E38" s="87">
        <f>SUM(E39:E50)</f>
        <v>5507000</v>
      </c>
      <c r="F38" s="87">
        <f>SUM(F39:F50)</f>
        <v>5507000</v>
      </c>
      <c r="G38" s="87">
        <f>SUM(G39:G50)</f>
        <v>5507000</v>
      </c>
      <c r="H38" s="89">
        <f t="shared" si="9"/>
        <v>5507000</v>
      </c>
      <c r="I38" s="87">
        <f>SUM(I39:I50)</f>
        <v>5507000</v>
      </c>
      <c r="J38" s="44">
        <f t="shared" si="10"/>
        <v>11014000</v>
      </c>
      <c r="K38" s="87">
        <f>SUM(K39:K50)</f>
        <v>5507000</v>
      </c>
      <c r="L38" s="44">
        <f t="shared" si="11"/>
        <v>16521000</v>
      </c>
      <c r="M38" s="87">
        <f>SUM(M39:M50)</f>
        <v>5507000</v>
      </c>
      <c r="N38" s="44">
        <f t="shared" si="12"/>
        <v>22028000</v>
      </c>
      <c r="O38" s="87">
        <f>SUM(O39:O50)</f>
        <v>5507000</v>
      </c>
      <c r="P38" s="44">
        <f t="shared" si="13"/>
        <v>27535000</v>
      </c>
      <c r="Q38" s="87">
        <f>SUM(Q39:Q50)</f>
        <v>5507000</v>
      </c>
      <c r="R38" s="44">
        <f t="shared" si="14"/>
        <v>33042000</v>
      </c>
      <c r="S38" s="87">
        <f>SUM(S39:S50)</f>
        <v>5507000</v>
      </c>
      <c r="T38" s="44">
        <f t="shared" si="23"/>
        <v>38549000</v>
      </c>
      <c r="U38" s="87">
        <f>SUM(U39:U50)</f>
        <v>5507000</v>
      </c>
      <c r="V38" s="44">
        <f t="shared" si="24"/>
        <v>44056000</v>
      </c>
      <c r="W38" s="87">
        <f>SUM(W39:W50)</f>
        <v>5507000</v>
      </c>
      <c r="X38" s="44">
        <f t="shared" si="25"/>
        <v>49563000</v>
      </c>
      <c r="Y38" s="87">
        <f>SUM(Y39:Y50)</f>
        <v>5507000</v>
      </c>
      <c r="Z38" s="44">
        <f t="shared" si="26"/>
        <v>55070000</v>
      </c>
      <c r="AA38" s="87">
        <f>SUM(AA39:AA50)</f>
        <v>5507000</v>
      </c>
      <c r="AB38" s="44">
        <f t="shared" si="27"/>
        <v>60577000</v>
      </c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7"/>
      <c r="BX38" s="107"/>
      <c r="BY38" s="107"/>
      <c r="BZ38" s="107"/>
      <c r="CA38" s="107"/>
      <c r="CB38" s="107"/>
      <c r="CC38" s="107"/>
      <c r="CD38" s="107"/>
      <c r="CE38" s="107"/>
      <c r="CF38" s="107"/>
      <c r="CG38" s="107"/>
      <c r="CH38" s="107"/>
      <c r="CI38" s="107"/>
      <c r="CJ38" s="107"/>
      <c r="CK38" s="107"/>
      <c r="CL38" s="107"/>
      <c r="CM38" s="107"/>
      <c r="CN38" s="107"/>
      <c r="CO38" s="107"/>
      <c r="CP38" s="107"/>
      <c r="CQ38" s="107"/>
      <c r="CR38" s="107"/>
      <c r="CS38" s="107"/>
      <c r="CT38" s="107"/>
      <c r="CU38" s="107"/>
      <c r="CV38" s="107"/>
      <c r="CW38" s="107"/>
      <c r="CX38" s="107"/>
      <c r="CY38" s="107"/>
      <c r="CZ38" s="107"/>
      <c r="DA38" s="107"/>
      <c r="DB38" s="107"/>
      <c r="DC38" s="107"/>
      <c r="DD38" s="107"/>
      <c r="DE38" s="107"/>
      <c r="DF38" s="107"/>
      <c r="DG38" s="107"/>
      <c r="DH38" s="107"/>
      <c r="DI38" s="107"/>
      <c r="DJ38" s="107"/>
      <c r="DK38" s="107"/>
      <c r="DL38" s="107"/>
      <c r="DM38" s="107"/>
      <c r="DN38" s="107"/>
      <c r="DO38" s="107"/>
      <c r="DP38" s="107"/>
      <c r="DQ38" s="107"/>
      <c r="DR38" s="107"/>
      <c r="DS38" s="107"/>
      <c r="DT38" s="107"/>
      <c r="DU38" s="107"/>
      <c r="DV38" s="107"/>
      <c r="DW38" s="107"/>
      <c r="DX38" s="107"/>
      <c r="DY38" s="107"/>
      <c r="DZ38" s="107"/>
      <c r="EA38" s="107"/>
      <c r="EB38" s="107"/>
      <c r="EC38" s="107"/>
      <c r="ED38" s="107"/>
      <c r="EE38" s="107"/>
      <c r="EF38" s="107"/>
      <c r="EG38" s="107"/>
      <c r="EH38" s="107"/>
      <c r="EI38" s="107"/>
      <c r="EJ38" s="107"/>
      <c r="EK38" s="107"/>
      <c r="EL38" s="107"/>
      <c r="EM38" s="107"/>
      <c r="EN38" s="107"/>
      <c r="EO38" s="107"/>
      <c r="EP38" s="107"/>
      <c r="EQ38" s="107"/>
      <c r="ER38" s="107"/>
      <c r="ES38" s="107"/>
      <c r="ET38" s="107"/>
      <c r="EU38" s="107"/>
      <c r="EV38" s="107"/>
      <c r="EW38" s="107"/>
      <c r="EX38" s="107"/>
      <c r="EY38" s="107"/>
      <c r="EZ38" s="107"/>
      <c r="FA38" s="107"/>
      <c r="FB38" s="107"/>
      <c r="FC38" s="107"/>
      <c r="FD38" s="107"/>
      <c r="FE38" s="107"/>
      <c r="FF38" s="107"/>
      <c r="FG38" s="107"/>
      <c r="FH38" s="107"/>
      <c r="FI38" s="107"/>
      <c r="FJ38" s="107"/>
      <c r="FK38" s="107"/>
      <c r="FL38" s="107"/>
      <c r="FM38" s="107"/>
      <c r="FN38" s="107"/>
      <c r="FO38" s="107"/>
      <c r="FP38" s="107"/>
      <c r="FQ38" s="107"/>
      <c r="FR38" s="107"/>
      <c r="FS38" s="107"/>
      <c r="FT38" s="107"/>
      <c r="FU38" s="107"/>
      <c r="FV38" s="107"/>
      <c r="FW38" s="107"/>
      <c r="FX38" s="107"/>
      <c r="FY38" s="107"/>
      <c r="FZ38" s="107"/>
      <c r="GA38" s="107"/>
      <c r="GB38" s="107"/>
      <c r="GC38" s="107"/>
      <c r="GD38" s="107"/>
      <c r="GE38" s="107"/>
      <c r="GF38" s="107"/>
      <c r="GG38" s="107"/>
      <c r="GH38" s="107"/>
      <c r="GI38" s="107"/>
      <c r="GJ38" s="107"/>
      <c r="GK38" s="107"/>
      <c r="GL38" s="107"/>
      <c r="GM38" s="107"/>
      <c r="GN38" s="107"/>
      <c r="GO38" s="107"/>
      <c r="GP38" s="107"/>
      <c r="GQ38" s="107"/>
      <c r="GR38" s="107"/>
      <c r="GS38" s="107"/>
      <c r="GT38" s="107"/>
      <c r="GU38" s="107"/>
      <c r="GV38" s="107"/>
      <c r="GW38" s="107"/>
      <c r="GX38" s="107"/>
      <c r="GY38" s="107"/>
      <c r="GZ38" s="107"/>
      <c r="HA38" s="107"/>
      <c r="HB38" s="107"/>
      <c r="HC38" s="107"/>
      <c r="HD38" s="107"/>
      <c r="HE38" s="107"/>
      <c r="HF38" s="107"/>
    </row>
    <row r="39" spans="1:214" s="27" customFormat="1" ht="22.5" hidden="1">
      <c r="A39" s="93"/>
      <c r="B39" s="58"/>
      <c r="C39" s="83">
        <v>3020</v>
      </c>
      <c r="D39" s="40" t="s">
        <v>533</v>
      </c>
      <c r="E39" s="89">
        <v>2000</v>
      </c>
      <c r="F39" s="89">
        <v>2000</v>
      </c>
      <c r="G39" s="89">
        <v>2000</v>
      </c>
      <c r="H39" s="89">
        <f t="shared" si="9"/>
        <v>2000</v>
      </c>
      <c r="I39" s="89">
        <v>2000</v>
      </c>
      <c r="J39" s="44">
        <f t="shared" si="10"/>
        <v>4000</v>
      </c>
      <c r="K39" s="89">
        <v>2000</v>
      </c>
      <c r="L39" s="44">
        <f t="shared" si="11"/>
        <v>6000</v>
      </c>
      <c r="M39" s="89">
        <v>2000</v>
      </c>
      <c r="N39" s="44">
        <f t="shared" si="12"/>
        <v>8000</v>
      </c>
      <c r="O39" s="89">
        <v>2000</v>
      </c>
      <c r="P39" s="44">
        <f t="shared" si="13"/>
        <v>10000</v>
      </c>
      <c r="Q39" s="89">
        <v>2000</v>
      </c>
      <c r="R39" s="44">
        <f t="shared" si="14"/>
        <v>12000</v>
      </c>
      <c r="S39" s="89">
        <v>2000</v>
      </c>
      <c r="T39" s="44">
        <f t="shared" si="23"/>
        <v>14000</v>
      </c>
      <c r="U39" s="89">
        <v>2000</v>
      </c>
      <c r="V39" s="44">
        <f t="shared" si="24"/>
        <v>16000</v>
      </c>
      <c r="W39" s="89">
        <v>2000</v>
      </c>
      <c r="X39" s="44">
        <f t="shared" si="25"/>
        <v>18000</v>
      </c>
      <c r="Y39" s="89">
        <v>2000</v>
      </c>
      <c r="Z39" s="44">
        <f t="shared" si="26"/>
        <v>20000</v>
      </c>
      <c r="AA39" s="89">
        <v>2000</v>
      </c>
      <c r="AB39" s="44">
        <f t="shared" si="27"/>
        <v>22000</v>
      </c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7"/>
      <c r="BT39" s="107"/>
      <c r="BU39" s="107"/>
      <c r="BV39" s="107"/>
      <c r="BW39" s="107"/>
      <c r="BX39" s="107"/>
      <c r="BY39" s="107"/>
      <c r="BZ39" s="107"/>
      <c r="CA39" s="107"/>
      <c r="CB39" s="107"/>
      <c r="CC39" s="107"/>
      <c r="CD39" s="107"/>
      <c r="CE39" s="107"/>
      <c r="CF39" s="107"/>
      <c r="CG39" s="107"/>
      <c r="CH39" s="107"/>
      <c r="CI39" s="107"/>
      <c r="CJ39" s="107"/>
      <c r="CK39" s="107"/>
      <c r="CL39" s="107"/>
      <c r="CM39" s="107"/>
      <c r="CN39" s="107"/>
      <c r="CO39" s="107"/>
      <c r="CP39" s="107"/>
      <c r="CQ39" s="107"/>
      <c r="CR39" s="107"/>
      <c r="CS39" s="107"/>
      <c r="CT39" s="107"/>
      <c r="CU39" s="107"/>
      <c r="CV39" s="107"/>
      <c r="CW39" s="107"/>
      <c r="CX39" s="107"/>
      <c r="CY39" s="107"/>
      <c r="CZ39" s="107"/>
      <c r="DA39" s="107"/>
      <c r="DB39" s="107"/>
      <c r="DC39" s="107"/>
      <c r="DD39" s="107"/>
      <c r="DE39" s="107"/>
      <c r="DF39" s="107"/>
      <c r="DG39" s="107"/>
      <c r="DH39" s="107"/>
      <c r="DI39" s="107"/>
      <c r="DJ39" s="107"/>
      <c r="DK39" s="107"/>
      <c r="DL39" s="107"/>
      <c r="DM39" s="107"/>
      <c r="DN39" s="107"/>
      <c r="DO39" s="107"/>
      <c r="DP39" s="107"/>
      <c r="DQ39" s="107"/>
      <c r="DR39" s="107"/>
      <c r="DS39" s="107"/>
      <c r="DT39" s="107"/>
      <c r="DU39" s="107"/>
      <c r="DV39" s="107"/>
      <c r="DW39" s="107"/>
      <c r="DX39" s="107"/>
      <c r="DY39" s="107"/>
      <c r="DZ39" s="107"/>
      <c r="EA39" s="107"/>
      <c r="EB39" s="107"/>
      <c r="EC39" s="107"/>
      <c r="ED39" s="107"/>
      <c r="EE39" s="107"/>
      <c r="EF39" s="107"/>
      <c r="EG39" s="107"/>
      <c r="EH39" s="107"/>
      <c r="EI39" s="107"/>
      <c r="EJ39" s="107"/>
      <c r="EK39" s="107"/>
      <c r="EL39" s="107"/>
      <c r="EM39" s="107"/>
      <c r="EN39" s="107"/>
      <c r="EO39" s="107"/>
      <c r="EP39" s="107"/>
      <c r="EQ39" s="107"/>
      <c r="ER39" s="107"/>
      <c r="ES39" s="107"/>
      <c r="ET39" s="107"/>
      <c r="EU39" s="107"/>
      <c r="EV39" s="107"/>
      <c r="EW39" s="107"/>
      <c r="EX39" s="107"/>
      <c r="EY39" s="107"/>
      <c r="EZ39" s="107"/>
      <c r="FA39" s="107"/>
      <c r="FB39" s="107"/>
      <c r="FC39" s="107"/>
      <c r="FD39" s="107"/>
      <c r="FE39" s="107"/>
      <c r="FF39" s="107"/>
      <c r="FG39" s="107"/>
      <c r="FH39" s="107"/>
      <c r="FI39" s="107"/>
      <c r="FJ39" s="107"/>
      <c r="FK39" s="107"/>
      <c r="FL39" s="107"/>
      <c r="FM39" s="107"/>
      <c r="FN39" s="107"/>
      <c r="FO39" s="107"/>
      <c r="FP39" s="107"/>
      <c r="FQ39" s="107"/>
      <c r="FR39" s="107"/>
      <c r="FS39" s="107"/>
      <c r="FT39" s="107"/>
      <c r="FU39" s="107"/>
      <c r="FV39" s="107"/>
      <c r="FW39" s="107"/>
      <c r="FX39" s="107"/>
      <c r="FY39" s="107"/>
      <c r="FZ39" s="107"/>
      <c r="GA39" s="107"/>
      <c r="GB39" s="107"/>
      <c r="GC39" s="107"/>
      <c r="GD39" s="107"/>
      <c r="GE39" s="107"/>
      <c r="GF39" s="107"/>
      <c r="GG39" s="107"/>
      <c r="GH39" s="107"/>
      <c r="GI39" s="107"/>
      <c r="GJ39" s="107"/>
      <c r="GK39" s="107"/>
      <c r="GL39" s="107"/>
      <c r="GM39" s="107"/>
      <c r="GN39" s="107"/>
      <c r="GO39" s="107"/>
      <c r="GP39" s="107"/>
      <c r="GQ39" s="107"/>
      <c r="GR39" s="107"/>
      <c r="GS39" s="107"/>
      <c r="GT39" s="107"/>
      <c r="GU39" s="107"/>
      <c r="GV39" s="107"/>
      <c r="GW39" s="107"/>
      <c r="GX39" s="107"/>
      <c r="GY39" s="107"/>
      <c r="GZ39" s="107"/>
      <c r="HA39" s="107"/>
      <c r="HB39" s="107"/>
      <c r="HC39" s="107"/>
      <c r="HD39" s="107"/>
      <c r="HE39" s="107"/>
      <c r="HF39" s="107"/>
    </row>
    <row r="40" spans="1:214" s="27" customFormat="1" ht="12" hidden="1">
      <c r="A40" s="93"/>
      <c r="B40" s="58"/>
      <c r="C40" s="83">
        <v>3110</v>
      </c>
      <c r="D40" s="81" t="s">
        <v>376</v>
      </c>
      <c r="E40" s="89">
        <f>5346602-4812-23800</f>
        <v>5317990</v>
      </c>
      <c r="F40" s="89">
        <f>5346602-4812-23800</f>
        <v>5317990</v>
      </c>
      <c r="G40" s="89">
        <f>5346602-4812-23800</f>
        <v>5317990</v>
      </c>
      <c r="H40" s="89">
        <f t="shared" si="9"/>
        <v>5317990</v>
      </c>
      <c r="I40" s="89">
        <f>5346602-4812-23800</f>
        <v>5317990</v>
      </c>
      <c r="J40" s="44">
        <f t="shared" si="10"/>
        <v>10635980</v>
      </c>
      <c r="K40" s="89">
        <f>5346602-4812-23800</f>
        <v>5317990</v>
      </c>
      <c r="L40" s="44">
        <f t="shared" si="11"/>
        <v>15953970</v>
      </c>
      <c r="M40" s="89">
        <f>5346602-4812-23800</f>
        <v>5317990</v>
      </c>
      <c r="N40" s="44">
        <f t="shared" si="12"/>
        <v>21271960</v>
      </c>
      <c r="O40" s="89">
        <f>5346602-4812-23800</f>
        <v>5317990</v>
      </c>
      <c r="P40" s="44">
        <f t="shared" si="13"/>
        <v>26589950</v>
      </c>
      <c r="Q40" s="89">
        <f>5346602-4812-23800</f>
        <v>5317990</v>
      </c>
      <c r="R40" s="44">
        <f t="shared" si="14"/>
        <v>31907940</v>
      </c>
      <c r="S40" s="89">
        <f>5346602-4812-23800</f>
        <v>5317990</v>
      </c>
      <c r="T40" s="44">
        <f t="shared" si="23"/>
        <v>37225930</v>
      </c>
      <c r="U40" s="89">
        <f>5346602-4812-23800</f>
        <v>5317990</v>
      </c>
      <c r="V40" s="44">
        <f t="shared" si="24"/>
        <v>42543920</v>
      </c>
      <c r="W40" s="89">
        <f>5346602-4812-23800</f>
        <v>5317990</v>
      </c>
      <c r="X40" s="44">
        <f t="shared" si="25"/>
        <v>47861910</v>
      </c>
      <c r="Y40" s="89">
        <f>5346602-4812-23800</f>
        <v>5317990</v>
      </c>
      <c r="Z40" s="44">
        <f t="shared" si="26"/>
        <v>53179900</v>
      </c>
      <c r="AA40" s="89">
        <f>5346602-4812-23800</f>
        <v>5317990</v>
      </c>
      <c r="AB40" s="44">
        <f t="shared" si="27"/>
        <v>58497890</v>
      </c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  <c r="BN40" s="107"/>
      <c r="BO40" s="107"/>
      <c r="BP40" s="107"/>
      <c r="BQ40" s="107"/>
      <c r="BR40" s="107"/>
      <c r="BS40" s="107"/>
      <c r="BT40" s="107"/>
      <c r="BU40" s="107"/>
      <c r="BV40" s="107"/>
      <c r="BW40" s="107"/>
      <c r="BX40" s="107"/>
      <c r="BY40" s="107"/>
      <c r="BZ40" s="107"/>
      <c r="CA40" s="107"/>
      <c r="CB40" s="107"/>
      <c r="CC40" s="107"/>
      <c r="CD40" s="107"/>
      <c r="CE40" s="107"/>
      <c r="CF40" s="107"/>
      <c r="CG40" s="107"/>
      <c r="CH40" s="107"/>
      <c r="CI40" s="107"/>
      <c r="CJ40" s="107"/>
      <c r="CK40" s="107"/>
      <c r="CL40" s="107"/>
      <c r="CM40" s="107"/>
      <c r="CN40" s="107"/>
      <c r="CO40" s="107"/>
      <c r="CP40" s="107"/>
      <c r="CQ40" s="107"/>
      <c r="CR40" s="107"/>
      <c r="CS40" s="107"/>
      <c r="CT40" s="107"/>
      <c r="CU40" s="107"/>
      <c r="CV40" s="107"/>
      <c r="CW40" s="107"/>
      <c r="CX40" s="107"/>
      <c r="CY40" s="107"/>
      <c r="CZ40" s="107"/>
      <c r="DA40" s="107"/>
      <c r="DB40" s="107"/>
      <c r="DC40" s="107"/>
      <c r="DD40" s="107"/>
      <c r="DE40" s="107"/>
      <c r="DF40" s="107"/>
      <c r="DG40" s="107"/>
      <c r="DH40" s="107"/>
      <c r="DI40" s="107"/>
      <c r="DJ40" s="107"/>
      <c r="DK40" s="107"/>
      <c r="DL40" s="107"/>
      <c r="DM40" s="107"/>
      <c r="DN40" s="107"/>
      <c r="DO40" s="107"/>
      <c r="DP40" s="107"/>
      <c r="DQ40" s="107"/>
      <c r="DR40" s="107"/>
      <c r="DS40" s="107"/>
      <c r="DT40" s="107"/>
      <c r="DU40" s="107"/>
      <c r="DV40" s="107"/>
      <c r="DW40" s="107"/>
      <c r="DX40" s="107"/>
      <c r="DY40" s="107"/>
      <c r="DZ40" s="107"/>
      <c r="EA40" s="107"/>
      <c r="EB40" s="107"/>
      <c r="EC40" s="107"/>
      <c r="ED40" s="107"/>
      <c r="EE40" s="107"/>
      <c r="EF40" s="107"/>
      <c r="EG40" s="107"/>
      <c r="EH40" s="107"/>
      <c r="EI40" s="107"/>
      <c r="EJ40" s="107"/>
      <c r="EK40" s="107"/>
      <c r="EL40" s="107"/>
      <c r="EM40" s="107"/>
      <c r="EN40" s="107"/>
      <c r="EO40" s="107"/>
      <c r="EP40" s="107"/>
      <c r="EQ40" s="107"/>
      <c r="ER40" s="107"/>
      <c r="ES40" s="107"/>
      <c r="ET40" s="107"/>
      <c r="EU40" s="107"/>
      <c r="EV40" s="107"/>
      <c r="EW40" s="107"/>
      <c r="EX40" s="107"/>
      <c r="EY40" s="107"/>
      <c r="EZ40" s="107"/>
      <c r="FA40" s="107"/>
      <c r="FB40" s="107"/>
      <c r="FC40" s="107"/>
      <c r="FD40" s="107"/>
      <c r="FE40" s="107"/>
      <c r="FF40" s="107"/>
      <c r="FG40" s="107"/>
      <c r="FH40" s="107"/>
      <c r="FI40" s="107"/>
      <c r="FJ40" s="107"/>
      <c r="FK40" s="107"/>
      <c r="FL40" s="107"/>
      <c r="FM40" s="107"/>
      <c r="FN40" s="107"/>
      <c r="FO40" s="107"/>
      <c r="FP40" s="107"/>
      <c r="FQ40" s="107"/>
      <c r="FR40" s="107"/>
      <c r="FS40" s="107"/>
      <c r="FT40" s="107"/>
      <c r="FU40" s="107"/>
      <c r="FV40" s="107"/>
      <c r="FW40" s="107"/>
      <c r="FX40" s="107"/>
      <c r="FY40" s="107"/>
      <c r="FZ40" s="107"/>
      <c r="GA40" s="107"/>
      <c r="GB40" s="107"/>
      <c r="GC40" s="107"/>
      <c r="GD40" s="107"/>
      <c r="GE40" s="107"/>
      <c r="GF40" s="107"/>
      <c r="GG40" s="107"/>
      <c r="GH40" s="107"/>
      <c r="GI40" s="107"/>
      <c r="GJ40" s="107"/>
      <c r="GK40" s="107"/>
      <c r="GL40" s="107"/>
      <c r="GM40" s="107"/>
      <c r="GN40" s="107"/>
      <c r="GO40" s="107"/>
      <c r="GP40" s="107"/>
      <c r="GQ40" s="107"/>
      <c r="GR40" s="107"/>
      <c r="GS40" s="107"/>
      <c r="GT40" s="107"/>
      <c r="GU40" s="107"/>
      <c r="GV40" s="107"/>
      <c r="GW40" s="107"/>
      <c r="GX40" s="107"/>
      <c r="GY40" s="107"/>
      <c r="GZ40" s="107"/>
      <c r="HA40" s="107"/>
      <c r="HB40" s="107"/>
      <c r="HC40" s="107"/>
      <c r="HD40" s="107"/>
      <c r="HE40" s="107"/>
      <c r="HF40" s="107"/>
    </row>
    <row r="41" spans="1:214" s="27" customFormat="1" ht="12" hidden="1">
      <c r="A41" s="93"/>
      <c r="B41" s="58"/>
      <c r="C41" s="58">
        <v>4010</v>
      </c>
      <c r="D41" s="14" t="s">
        <v>345</v>
      </c>
      <c r="E41" s="89">
        <v>86691</v>
      </c>
      <c r="F41" s="89">
        <v>86691</v>
      </c>
      <c r="G41" s="89">
        <v>86691</v>
      </c>
      <c r="H41" s="89">
        <f t="shared" si="9"/>
        <v>86691</v>
      </c>
      <c r="I41" s="89">
        <v>86691</v>
      </c>
      <c r="J41" s="44">
        <f t="shared" si="10"/>
        <v>173382</v>
      </c>
      <c r="K41" s="89">
        <v>86691</v>
      </c>
      <c r="L41" s="44">
        <f t="shared" si="11"/>
        <v>260073</v>
      </c>
      <c r="M41" s="89">
        <v>86691</v>
      </c>
      <c r="N41" s="44">
        <f t="shared" si="12"/>
        <v>346764</v>
      </c>
      <c r="O41" s="89">
        <v>86691</v>
      </c>
      <c r="P41" s="44">
        <f t="shared" si="13"/>
        <v>433455</v>
      </c>
      <c r="Q41" s="89">
        <v>86691</v>
      </c>
      <c r="R41" s="44">
        <f t="shared" si="14"/>
        <v>520146</v>
      </c>
      <c r="S41" s="89">
        <v>86691</v>
      </c>
      <c r="T41" s="44">
        <f t="shared" si="23"/>
        <v>606837</v>
      </c>
      <c r="U41" s="89">
        <v>86691</v>
      </c>
      <c r="V41" s="44">
        <f t="shared" si="24"/>
        <v>693528</v>
      </c>
      <c r="W41" s="89">
        <v>86691</v>
      </c>
      <c r="X41" s="44">
        <f t="shared" si="25"/>
        <v>780219</v>
      </c>
      <c r="Y41" s="89">
        <v>86691</v>
      </c>
      <c r="Z41" s="44">
        <f t="shared" si="26"/>
        <v>866910</v>
      </c>
      <c r="AA41" s="89">
        <v>86691</v>
      </c>
      <c r="AB41" s="44">
        <f t="shared" si="27"/>
        <v>953601</v>
      </c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7"/>
      <c r="BL41" s="107"/>
      <c r="BM41" s="107"/>
      <c r="BN41" s="107"/>
      <c r="BO41" s="107"/>
      <c r="BP41" s="107"/>
      <c r="BQ41" s="107"/>
      <c r="BR41" s="107"/>
      <c r="BS41" s="107"/>
      <c r="BT41" s="107"/>
      <c r="BU41" s="107"/>
      <c r="BV41" s="107"/>
      <c r="BW41" s="107"/>
      <c r="BX41" s="107"/>
      <c r="BY41" s="107"/>
      <c r="BZ41" s="107"/>
      <c r="CA41" s="107"/>
      <c r="CB41" s="107"/>
      <c r="CC41" s="107"/>
      <c r="CD41" s="107"/>
      <c r="CE41" s="107"/>
      <c r="CF41" s="107"/>
      <c r="CG41" s="107"/>
      <c r="CH41" s="107"/>
      <c r="CI41" s="107"/>
      <c r="CJ41" s="107"/>
      <c r="CK41" s="107"/>
      <c r="CL41" s="107"/>
      <c r="CM41" s="107"/>
      <c r="CN41" s="107"/>
      <c r="CO41" s="107"/>
      <c r="CP41" s="107"/>
      <c r="CQ41" s="107"/>
      <c r="CR41" s="107"/>
      <c r="CS41" s="107"/>
      <c r="CT41" s="107"/>
      <c r="CU41" s="107"/>
      <c r="CV41" s="107"/>
      <c r="CW41" s="107"/>
      <c r="CX41" s="107"/>
      <c r="CY41" s="107"/>
      <c r="CZ41" s="107"/>
      <c r="DA41" s="107"/>
      <c r="DB41" s="107"/>
      <c r="DC41" s="107"/>
      <c r="DD41" s="107"/>
      <c r="DE41" s="107"/>
      <c r="DF41" s="107"/>
      <c r="DG41" s="107"/>
      <c r="DH41" s="107"/>
      <c r="DI41" s="107"/>
      <c r="DJ41" s="107"/>
      <c r="DK41" s="107"/>
      <c r="DL41" s="107"/>
      <c r="DM41" s="107"/>
      <c r="DN41" s="107"/>
      <c r="DO41" s="107"/>
      <c r="DP41" s="107"/>
      <c r="DQ41" s="107"/>
      <c r="DR41" s="107"/>
      <c r="DS41" s="107"/>
      <c r="DT41" s="107"/>
      <c r="DU41" s="107"/>
      <c r="DV41" s="107"/>
      <c r="DW41" s="107"/>
      <c r="DX41" s="107"/>
      <c r="DY41" s="107"/>
      <c r="DZ41" s="107"/>
      <c r="EA41" s="107"/>
      <c r="EB41" s="107"/>
      <c r="EC41" s="107"/>
      <c r="ED41" s="107"/>
      <c r="EE41" s="107"/>
      <c r="EF41" s="107"/>
      <c r="EG41" s="107"/>
      <c r="EH41" s="107"/>
      <c r="EI41" s="107"/>
      <c r="EJ41" s="107"/>
      <c r="EK41" s="107"/>
      <c r="EL41" s="107"/>
      <c r="EM41" s="107"/>
      <c r="EN41" s="107"/>
      <c r="EO41" s="107"/>
      <c r="EP41" s="107"/>
      <c r="EQ41" s="107"/>
      <c r="ER41" s="107"/>
      <c r="ES41" s="107"/>
      <c r="ET41" s="107"/>
      <c r="EU41" s="107"/>
      <c r="EV41" s="107"/>
      <c r="EW41" s="107"/>
      <c r="EX41" s="107"/>
      <c r="EY41" s="107"/>
      <c r="EZ41" s="107"/>
      <c r="FA41" s="107"/>
      <c r="FB41" s="107"/>
      <c r="FC41" s="107"/>
      <c r="FD41" s="107"/>
      <c r="FE41" s="107"/>
      <c r="FF41" s="107"/>
      <c r="FG41" s="107"/>
      <c r="FH41" s="107"/>
      <c r="FI41" s="107"/>
      <c r="FJ41" s="107"/>
      <c r="FK41" s="107"/>
      <c r="FL41" s="107"/>
      <c r="FM41" s="107"/>
      <c r="FN41" s="107"/>
      <c r="FO41" s="107"/>
      <c r="FP41" s="107"/>
      <c r="FQ41" s="107"/>
      <c r="FR41" s="107"/>
      <c r="FS41" s="107"/>
      <c r="FT41" s="107"/>
      <c r="FU41" s="107"/>
      <c r="FV41" s="107"/>
      <c r="FW41" s="107"/>
      <c r="FX41" s="107"/>
      <c r="FY41" s="107"/>
      <c r="FZ41" s="107"/>
      <c r="GA41" s="107"/>
      <c r="GB41" s="107"/>
      <c r="GC41" s="107"/>
      <c r="GD41" s="107"/>
      <c r="GE41" s="107"/>
      <c r="GF41" s="107"/>
      <c r="GG41" s="107"/>
      <c r="GH41" s="107"/>
      <c r="GI41" s="107"/>
      <c r="GJ41" s="107"/>
      <c r="GK41" s="107"/>
      <c r="GL41" s="107"/>
      <c r="GM41" s="107"/>
      <c r="GN41" s="107"/>
      <c r="GO41" s="107"/>
      <c r="GP41" s="107"/>
      <c r="GQ41" s="107"/>
      <c r="GR41" s="107"/>
      <c r="GS41" s="107"/>
      <c r="GT41" s="107"/>
      <c r="GU41" s="107"/>
      <c r="GV41" s="107"/>
      <c r="GW41" s="107"/>
      <c r="GX41" s="107"/>
      <c r="GY41" s="107"/>
      <c r="GZ41" s="107"/>
      <c r="HA41" s="107"/>
      <c r="HB41" s="107"/>
      <c r="HC41" s="107"/>
      <c r="HD41" s="107"/>
      <c r="HE41" s="107"/>
      <c r="HF41" s="107"/>
    </row>
    <row r="42" spans="1:214" s="27" customFormat="1" ht="12" hidden="1">
      <c r="A42" s="93"/>
      <c r="B42" s="58"/>
      <c r="C42" s="58">
        <v>4040</v>
      </c>
      <c r="D42" s="14" t="s">
        <v>346</v>
      </c>
      <c r="E42" s="89">
        <v>7500</v>
      </c>
      <c r="F42" s="89">
        <v>7500</v>
      </c>
      <c r="G42" s="89">
        <v>7500</v>
      </c>
      <c r="H42" s="89">
        <f t="shared" si="9"/>
        <v>7500</v>
      </c>
      <c r="I42" s="89">
        <v>7500</v>
      </c>
      <c r="J42" s="44">
        <f t="shared" si="10"/>
        <v>15000</v>
      </c>
      <c r="K42" s="89">
        <v>7500</v>
      </c>
      <c r="L42" s="44">
        <f t="shared" si="11"/>
        <v>22500</v>
      </c>
      <c r="M42" s="89">
        <v>7500</v>
      </c>
      <c r="N42" s="44">
        <f t="shared" si="12"/>
        <v>30000</v>
      </c>
      <c r="O42" s="89">
        <v>7500</v>
      </c>
      <c r="P42" s="44">
        <f t="shared" si="13"/>
        <v>37500</v>
      </c>
      <c r="Q42" s="89">
        <v>7500</v>
      </c>
      <c r="R42" s="44">
        <f t="shared" si="14"/>
        <v>45000</v>
      </c>
      <c r="S42" s="89">
        <v>7500</v>
      </c>
      <c r="T42" s="44">
        <f t="shared" si="23"/>
        <v>52500</v>
      </c>
      <c r="U42" s="89">
        <v>7500</v>
      </c>
      <c r="V42" s="44">
        <f t="shared" si="24"/>
        <v>60000</v>
      </c>
      <c r="W42" s="89">
        <v>7500</v>
      </c>
      <c r="X42" s="44">
        <f t="shared" si="25"/>
        <v>67500</v>
      </c>
      <c r="Y42" s="89">
        <v>7500</v>
      </c>
      <c r="Z42" s="44">
        <f t="shared" si="26"/>
        <v>75000</v>
      </c>
      <c r="AA42" s="89">
        <v>7500</v>
      </c>
      <c r="AB42" s="44">
        <f t="shared" si="27"/>
        <v>82500</v>
      </c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7"/>
      <c r="BH42" s="107"/>
      <c r="BI42" s="107"/>
      <c r="BJ42" s="107"/>
      <c r="BK42" s="107"/>
      <c r="BL42" s="107"/>
      <c r="BM42" s="107"/>
      <c r="BN42" s="107"/>
      <c r="BO42" s="107"/>
      <c r="BP42" s="107"/>
      <c r="BQ42" s="107"/>
      <c r="BR42" s="107"/>
      <c r="BS42" s="107"/>
      <c r="BT42" s="107"/>
      <c r="BU42" s="107"/>
      <c r="BV42" s="107"/>
      <c r="BW42" s="107"/>
      <c r="BX42" s="107"/>
      <c r="BY42" s="107"/>
      <c r="BZ42" s="107"/>
      <c r="CA42" s="107"/>
      <c r="CB42" s="107"/>
      <c r="CC42" s="107"/>
      <c r="CD42" s="107"/>
      <c r="CE42" s="107"/>
      <c r="CF42" s="107"/>
      <c r="CG42" s="107"/>
      <c r="CH42" s="107"/>
      <c r="CI42" s="107"/>
      <c r="CJ42" s="107"/>
      <c r="CK42" s="107"/>
      <c r="CL42" s="107"/>
      <c r="CM42" s="107"/>
      <c r="CN42" s="107"/>
      <c r="CO42" s="107"/>
      <c r="CP42" s="107"/>
      <c r="CQ42" s="107"/>
      <c r="CR42" s="107"/>
      <c r="CS42" s="107"/>
      <c r="CT42" s="107"/>
      <c r="CU42" s="107"/>
      <c r="CV42" s="107"/>
      <c r="CW42" s="107"/>
      <c r="CX42" s="107"/>
      <c r="CY42" s="107"/>
      <c r="CZ42" s="107"/>
      <c r="DA42" s="107"/>
      <c r="DB42" s="107"/>
      <c r="DC42" s="107"/>
      <c r="DD42" s="107"/>
      <c r="DE42" s="107"/>
      <c r="DF42" s="107"/>
      <c r="DG42" s="107"/>
      <c r="DH42" s="107"/>
      <c r="DI42" s="107"/>
      <c r="DJ42" s="107"/>
      <c r="DK42" s="107"/>
      <c r="DL42" s="107"/>
      <c r="DM42" s="107"/>
      <c r="DN42" s="107"/>
      <c r="DO42" s="107"/>
      <c r="DP42" s="107"/>
      <c r="DQ42" s="107"/>
      <c r="DR42" s="107"/>
      <c r="DS42" s="107"/>
      <c r="DT42" s="107"/>
      <c r="DU42" s="107"/>
      <c r="DV42" s="107"/>
      <c r="DW42" s="107"/>
      <c r="DX42" s="107"/>
      <c r="DY42" s="107"/>
      <c r="DZ42" s="107"/>
      <c r="EA42" s="107"/>
      <c r="EB42" s="107"/>
      <c r="EC42" s="107"/>
      <c r="ED42" s="107"/>
      <c r="EE42" s="107"/>
      <c r="EF42" s="107"/>
      <c r="EG42" s="107"/>
      <c r="EH42" s="107"/>
      <c r="EI42" s="107"/>
      <c r="EJ42" s="107"/>
      <c r="EK42" s="107"/>
      <c r="EL42" s="107"/>
      <c r="EM42" s="107"/>
      <c r="EN42" s="107"/>
      <c r="EO42" s="107"/>
      <c r="EP42" s="107"/>
      <c r="EQ42" s="107"/>
      <c r="ER42" s="107"/>
      <c r="ES42" s="107"/>
      <c r="ET42" s="107"/>
      <c r="EU42" s="107"/>
      <c r="EV42" s="107"/>
      <c r="EW42" s="107"/>
      <c r="EX42" s="107"/>
      <c r="EY42" s="107"/>
      <c r="EZ42" s="107"/>
      <c r="FA42" s="107"/>
      <c r="FB42" s="107"/>
      <c r="FC42" s="107"/>
      <c r="FD42" s="107"/>
      <c r="FE42" s="107"/>
      <c r="FF42" s="107"/>
      <c r="FG42" s="107"/>
      <c r="FH42" s="107"/>
      <c r="FI42" s="107"/>
      <c r="FJ42" s="107"/>
      <c r="FK42" s="107"/>
      <c r="FL42" s="107"/>
      <c r="FM42" s="107"/>
      <c r="FN42" s="107"/>
      <c r="FO42" s="107"/>
      <c r="FP42" s="107"/>
      <c r="FQ42" s="107"/>
      <c r="FR42" s="107"/>
      <c r="FS42" s="107"/>
      <c r="FT42" s="107"/>
      <c r="FU42" s="107"/>
      <c r="FV42" s="107"/>
      <c r="FW42" s="107"/>
      <c r="FX42" s="107"/>
      <c r="FY42" s="107"/>
      <c r="FZ42" s="107"/>
      <c r="GA42" s="107"/>
      <c r="GB42" s="107"/>
      <c r="GC42" s="107"/>
      <c r="GD42" s="107"/>
      <c r="GE42" s="107"/>
      <c r="GF42" s="107"/>
      <c r="GG42" s="107"/>
      <c r="GH42" s="107"/>
      <c r="GI42" s="107"/>
      <c r="GJ42" s="107"/>
      <c r="GK42" s="107"/>
      <c r="GL42" s="107"/>
      <c r="GM42" s="107"/>
      <c r="GN42" s="107"/>
      <c r="GO42" s="107"/>
      <c r="GP42" s="107"/>
      <c r="GQ42" s="107"/>
      <c r="GR42" s="107"/>
      <c r="GS42" s="107"/>
      <c r="GT42" s="107"/>
      <c r="GU42" s="107"/>
      <c r="GV42" s="107"/>
      <c r="GW42" s="107"/>
      <c r="GX42" s="107"/>
      <c r="GY42" s="107"/>
      <c r="GZ42" s="107"/>
      <c r="HA42" s="107"/>
      <c r="HB42" s="107"/>
      <c r="HC42" s="107"/>
      <c r="HD42" s="107"/>
      <c r="HE42" s="107"/>
      <c r="HF42" s="107"/>
    </row>
    <row r="43" spans="1:214" s="27" customFormat="1" ht="12" hidden="1">
      <c r="A43" s="93"/>
      <c r="B43" s="58"/>
      <c r="C43" s="58">
        <v>4110</v>
      </c>
      <c r="D43" s="14" t="s">
        <v>347</v>
      </c>
      <c r="E43" s="89">
        <f>16800+23800</f>
        <v>40600</v>
      </c>
      <c r="F43" s="89">
        <f>16800+23800</f>
        <v>40600</v>
      </c>
      <c r="G43" s="89">
        <f>16800+23800</f>
        <v>40600</v>
      </c>
      <c r="H43" s="89">
        <f t="shared" si="9"/>
        <v>40600</v>
      </c>
      <c r="I43" s="89">
        <f>16800+23800</f>
        <v>40600</v>
      </c>
      <c r="J43" s="44">
        <f t="shared" si="10"/>
        <v>81200</v>
      </c>
      <c r="K43" s="89">
        <f>16800+23800</f>
        <v>40600</v>
      </c>
      <c r="L43" s="44">
        <f t="shared" si="11"/>
        <v>121800</v>
      </c>
      <c r="M43" s="89">
        <f>16800+23800</f>
        <v>40600</v>
      </c>
      <c r="N43" s="44">
        <f t="shared" si="12"/>
        <v>162400</v>
      </c>
      <c r="O43" s="89">
        <f>16800+23800</f>
        <v>40600</v>
      </c>
      <c r="P43" s="44">
        <f t="shared" si="13"/>
        <v>203000</v>
      </c>
      <c r="Q43" s="89">
        <f>16800+23800</f>
        <v>40600</v>
      </c>
      <c r="R43" s="44">
        <f t="shared" si="14"/>
        <v>243600</v>
      </c>
      <c r="S43" s="89">
        <f>16800+23800</f>
        <v>40600</v>
      </c>
      <c r="T43" s="44">
        <f t="shared" si="23"/>
        <v>284200</v>
      </c>
      <c r="U43" s="89">
        <f>16800+23800</f>
        <v>40600</v>
      </c>
      <c r="V43" s="44">
        <f t="shared" si="24"/>
        <v>324800</v>
      </c>
      <c r="W43" s="89">
        <f>16800+23800</f>
        <v>40600</v>
      </c>
      <c r="X43" s="44">
        <f t="shared" si="25"/>
        <v>365400</v>
      </c>
      <c r="Y43" s="89">
        <f>16800+23800</f>
        <v>40600</v>
      </c>
      <c r="Z43" s="44">
        <f t="shared" si="26"/>
        <v>406000</v>
      </c>
      <c r="AA43" s="89">
        <f>16800+23800</f>
        <v>40600</v>
      </c>
      <c r="AB43" s="44">
        <f t="shared" si="27"/>
        <v>446600</v>
      </c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  <c r="BG43" s="107"/>
      <c r="BH43" s="107"/>
      <c r="BI43" s="107"/>
      <c r="BJ43" s="107"/>
      <c r="BK43" s="107"/>
      <c r="BL43" s="107"/>
      <c r="BM43" s="107"/>
      <c r="BN43" s="107"/>
      <c r="BO43" s="107"/>
      <c r="BP43" s="107"/>
      <c r="BQ43" s="107"/>
      <c r="BR43" s="107"/>
      <c r="BS43" s="107"/>
      <c r="BT43" s="107"/>
      <c r="BU43" s="107"/>
      <c r="BV43" s="107"/>
      <c r="BW43" s="107"/>
      <c r="BX43" s="107"/>
      <c r="BY43" s="107"/>
      <c r="BZ43" s="107"/>
      <c r="CA43" s="107"/>
      <c r="CB43" s="107"/>
      <c r="CC43" s="107"/>
      <c r="CD43" s="107"/>
      <c r="CE43" s="107"/>
      <c r="CF43" s="107"/>
      <c r="CG43" s="107"/>
      <c r="CH43" s="107"/>
      <c r="CI43" s="107"/>
      <c r="CJ43" s="107"/>
      <c r="CK43" s="107"/>
      <c r="CL43" s="107"/>
      <c r="CM43" s="107"/>
      <c r="CN43" s="107"/>
      <c r="CO43" s="107"/>
      <c r="CP43" s="107"/>
      <c r="CQ43" s="107"/>
      <c r="CR43" s="107"/>
      <c r="CS43" s="107"/>
      <c r="CT43" s="107"/>
      <c r="CU43" s="107"/>
      <c r="CV43" s="107"/>
      <c r="CW43" s="107"/>
      <c r="CX43" s="107"/>
      <c r="CY43" s="107"/>
      <c r="CZ43" s="107"/>
      <c r="DA43" s="107"/>
      <c r="DB43" s="107"/>
      <c r="DC43" s="107"/>
      <c r="DD43" s="107"/>
      <c r="DE43" s="107"/>
      <c r="DF43" s="107"/>
      <c r="DG43" s="107"/>
      <c r="DH43" s="107"/>
      <c r="DI43" s="107"/>
      <c r="DJ43" s="107"/>
      <c r="DK43" s="107"/>
      <c r="DL43" s="107"/>
      <c r="DM43" s="107"/>
      <c r="DN43" s="107"/>
      <c r="DO43" s="107"/>
      <c r="DP43" s="107"/>
      <c r="DQ43" s="107"/>
      <c r="DR43" s="107"/>
      <c r="DS43" s="107"/>
      <c r="DT43" s="107"/>
      <c r="DU43" s="107"/>
      <c r="DV43" s="107"/>
      <c r="DW43" s="107"/>
      <c r="DX43" s="107"/>
      <c r="DY43" s="107"/>
      <c r="DZ43" s="107"/>
      <c r="EA43" s="107"/>
      <c r="EB43" s="107"/>
      <c r="EC43" s="107"/>
      <c r="ED43" s="107"/>
      <c r="EE43" s="107"/>
      <c r="EF43" s="107"/>
      <c r="EG43" s="107"/>
      <c r="EH43" s="107"/>
      <c r="EI43" s="107"/>
      <c r="EJ43" s="107"/>
      <c r="EK43" s="107"/>
      <c r="EL43" s="107"/>
      <c r="EM43" s="107"/>
      <c r="EN43" s="107"/>
      <c r="EO43" s="107"/>
      <c r="EP43" s="107"/>
      <c r="EQ43" s="107"/>
      <c r="ER43" s="107"/>
      <c r="ES43" s="107"/>
      <c r="ET43" s="107"/>
      <c r="EU43" s="107"/>
      <c r="EV43" s="107"/>
      <c r="EW43" s="107"/>
      <c r="EX43" s="107"/>
      <c r="EY43" s="107"/>
      <c r="EZ43" s="107"/>
      <c r="FA43" s="107"/>
      <c r="FB43" s="107"/>
      <c r="FC43" s="107"/>
      <c r="FD43" s="107"/>
      <c r="FE43" s="107"/>
      <c r="FF43" s="107"/>
      <c r="FG43" s="107"/>
      <c r="FH43" s="107"/>
      <c r="FI43" s="107"/>
      <c r="FJ43" s="107"/>
      <c r="FK43" s="107"/>
      <c r="FL43" s="107"/>
      <c r="FM43" s="107"/>
      <c r="FN43" s="107"/>
      <c r="FO43" s="107"/>
      <c r="FP43" s="107"/>
      <c r="FQ43" s="107"/>
      <c r="FR43" s="107"/>
      <c r="FS43" s="107"/>
      <c r="FT43" s="107"/>
      <c r="FU43" s="107"/>
      <c r="FV43" s="107"/>
      <c r="FW43" s="107"/>
      <c r="FX43" s="107"/>
      <c r="FY43" s="107"/>
      <c r="FZ43" s="107"/>
      <c r="GA43" s="107"/>
      <c r="GB43" s="107"/>
      <c r="GC43" s="107"/>
      <c r="GD43" s="107"/>
      <c r="GE43" s="107"/>
      <c r="GF43" s="107"/>
      <c r="GG43" s="107"/>
      <c r="GH43" s="107"/>
      <c r="GI43" s="107"/>
      <c r="GJ43" s="107"/>
      <c r="GK43" s="107"/>
      <c r="GL43" s="107"/>
      <c r="GM43" s="107"/>
      <c r="GN43" s="107"/>
      <c r="GO43" s="107"/>
      <c r="GP43" s="107"/>
      <c r="GQ43" s="107"/>
      <c r="GR43" s="107"/>
      <c r="GS43" s="107"/>
      <c r="GT43" s="107"/>
      <c r="GU43" s="107"/>
      <c r="GV43" s="107"/>
      <c r="GW43" s="107"/>
      <c r="GX43" s="107"/>
      <c r="GY43" s="107"/>
      <c r="GZ43" s="107"/>
      <c r="HA43" s="107"/>
      <c r="HB43" s="107"/>
      <c r="HC43" s="107"/>
      <c r="HD43" s="107"/>
      <c r="HE43" s="107"/>
      <c r="HF43" s="107"/>
    </row>
    <row r="44" spans="1:214" s="27" customFormat="1" ht="12" hidden="1">
      <c r="A44" s="93"/>
      <c r="B44" s="58"/>
      <c r="C44" s="58">
        <v>4120</v>
      </c>
      <c r="D44" s="14" t="s">
        <v>348</v>
      </c>
      <c r="E44" s="89">
        <v>2300</v>
      </c>
      <c r="F44" s="89">
        <v>2300</v>
      </c>
      <c r="G44" s="89">
        <v>2300</v>
      </c>
      <c r="H44" s="89">
        <f t="shared" si="9"/>
        <v>2300</v>
      </c>
      <c r="I44" s="89">
        <v>2300</v>
      </c>
      <c r="J44" s="44">
        <f t="shared" si="10"/>
        <v>4600</v>
      </c>
      <c r="K44" s="89">
        <v>2300</v>
      </c>
      <c r="L44" s="44">
        <f t="shared" si="11"/>
        <v>6900</v>
      </c>
      <c r="M44" s="89">
        <v>2300</v>
      </c>
      <c r="N44" s="44">
        <f t="shared" si="12"/>
        <v>9200</v>
      </c>
      <c r="O44" s="89">
        <v>2300</v>
      </c>
      <c r="P44" s="44">
        <f t="shared" si="13"/>
        <v>11500</v>
      </c>
      <c r="Q44" s="89">
        <v>2300</v>
      </c>
      <c r="R44" s="44">
        <f t="shared" si="14"/>
        <v>13800</v>
      </c>
      <c r="S44" s="89">
        <v>2300</v>
      </c>
      <c r="T44" s="44">
        <f t="shared" si="23"/>
        <v>16100</v>
      </c>
      <c r="U44" s="89">
        <v>2300</v>
      </c>
      <c r="V44" s="44">
        <f t="shared" si="24"/>
        <v>18400</v>
      </c>
      <c r="W44" s="89">
        <v>2300</v>
      </c>
      <c r="X44" s="44">
        <f t="shared" si="25"/>
        <v>20700</v>
      </c>
      <c r="Y44" s="89">
        <v>2300</v>
      </c>
      <c r="Z44" s="44">
        <f t="shared" si="26"/>
        <v>23000</v>
      </c>
      <c r="AA44" s="89">
        <v>2300</v>
      </c>
      <c r="AB44" s="44">
        <f t="shared" si="27"/>
        <v>25300</v>
      </c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07"/>
      <c r="BF44" s="107"/>
      <c r="BG44" s="107"/>
      <c r="BH44" s="107"/>
      <c r="BI44" s="107"/>
      <c r="BJ44" s="107"/>
      <c r="BK44" s="107"/>
      <c r="BL44" s="107"/>
      <c r="BM44" s="107"/>
      <c r="BN44" s="107"/>
      <c r="BO44" s="107"/>
      <c r="BP44" s="107"/>
      <c r="BQ44" s="107"/>
      <c r="BR44" s="107"/>
      <c r="BS44" s="107"/>
      <c r="BT44" s="107"/>
      <c r="BU44" s="107"/>
      <c r="BV44" s="107"/>
      <c r="BW44" s="107"/>
      <c r="BX44" s="107"/>
      <c r="BY44" s="107"/>
      <c r="BZ44" s="107"/>
      <c r="CA44" s="107"/>
      <c r="CB44" s="107"/>
      <c r="CC44" s="107"/>
      <c r="CD44" s="107"/>
      <c r="CE44" s="107"/>
      <c r="CF44" s="107"/>
      <c r="CG44" s="107"/>
      <c r="CH44" s="107"/>
      <c r="CI44" s="107"/>
      <c r="CJ44" s="107"/>
      <c r="CK44" s="107"/>
      <c r="CL44" s="107"/>
      <c r="CM44" s="107"/>
      <c r="CN44" s="107"/>
      <c r="CO44" s="107"/>
      <c r="CP44" s="107"/>
      <c r="CQ44" s="107"/>
      <c r="CR44" s="107"/>
      <c r="CS44" s="107"/>
      <c r="CT44" s="107"/>
      <c r="CU44" s="107"/>
      <c r="CV44" s="107"/>
      <c r="CW44" s="107"/>
      <c r="CX44" s="107"/>
      <c r="CY44" s="107"/>
      <c r="CZ44" s="107"/>
      <c r="DA44" s="107"/>
      <c r="DB44" s="107"/>
      <c r="DC44" s="107"/>
      <c r="DD44" s="107"/>
      <c r="DE44" s="107"/>
      <c r="DF44" s="107"/>
      <c r="DG44" s="107"/>
      <c r="DH44" s="107"/>
      <c r="DI44" s="107"/>
      <c r="DJ44" s="107"/>
      <c r="DK44" s="107"/>
      <c r="DL44" s="107"/>
      <c r="DM44" s="107"/>
      <c r="DN44" s="107"/>
      <c r="DO44" s="107"/>
      <c r="DP44" s="107"/>
      <c r="DQ44" s="107"/>
      <c r="DR44" s="107"/>
      <c r="DS44" s="107"/>
      <c r="DT44" s="107"/>
      <c r="DU44" s="107"/>
      <c r="DV44" s="107"/>
      <c r="DW44" s="107"/>
      <c r="DX44" s="107"/>
      <c r="DY44" s="107"/>
      <c r="DZ44" s="107"/>
      <c r="EA44" s="107"/>
      <c r="EB44" s="107"/>
      <c r="EC44" s="107"/>
      <c r="ED44" s="107"/>
      <c r="EE44" s="107"/>
      <c r="EF44" s="107"/>
      <c r="EG44" s="107"/>
      <c r="EH44" s="107"/>
      <c r="EI44" s="107"/>
      <c r="EJ44" s="107"/>
      <c r="EK44" s="107"/>
      <c r="EL44" s="107"/>
      <c r="EM44" s="107"/>
      <c r="EN44" s="107"/>
      <c r="EO44" s="107"/>
      <c r="EP44" s="107"/>
      <c r="EQ44" s="107"/>
      <c r="ER44" s="107"/>
      <c r="ES44" s="107"/>
      <c r="ET44" s="107"/>
      <c r="EU44" s="107"/>
      <c r="EV44" s="107"/>
      <c r="EW44" s="107"/>
      <c r="EX44" s="107"/>
      <c r="EY44" s="107"/>
      <c r="EZ44" s="107"/>
      <c r="FA44" s="107"/>
      <c r="FB44" s="107"/>
      <c r="FC44" s="107"/>
      <c r="FD44" s="107"/>
      <c r="FE44" s="107"/>
      <c r="FF44" s="107"/>
      <c r="FG44" s="107"/>
      <c r="FH44" s="107"/>
      <c r="FI44" s="107"/>
      <c r="FJ44" s="107"/>
      <c r="FK44" s="107"/>
      <c r="FL44" s="107"/>
      <c r="FM44" s="107"/>
      <c r="FN44" s="107"/>
      <c r="FO44" s="107"/>
      <c r="FP44" s="107"/>
      <c r="FQ44" s="107"/>
      <c r="FR44" s="107"/>
      <c r="FS44" s="107"/>
      <c r="FT44" s="107"/>
      <c r="FU44" s="107"/>
      <c r="FV44" s="107"/>
      <c r="FW44" s="107"/>
      <c r="FX44" s="107"/>
      <c r="FY44" s="107"/>
      <c r="FZ44" s="107"/>
      <c r="GA44" s="107"/>
      <c r="GB44" s="107"/>
      <c r="GC44" s="107"/>
      <c r="GD44" s="107"/>
      <c r="GE44" s="107"/>
      <c r="GF44" s="107"/>
      <c r="GG44" s="107"/>
      <c r="GH44" s="107"/>
      <c r="GI44" s="107"/>
      <c r="GJ44" s="107"/>
      <c r="GK44" s="107"/>
      <c r="GL44" s="107"/>
      <c r="GM44" s="107"/>
      <c r="GN44" s="107"/>
      <c r="GO44" s="107"/>
      <c r="GP44" s="107"/>
      <c r="GQ44" s="107"/>
      <c r="GR44" s="107"/>
      <c r="GS44" s="107"/>
      <c r="GT44" s="107"/>
      <c r="GU44" s="107"/>
      <c r="GV44" s="107"/>
      <c r="GW44" s="107"/>
      <c r="GX44" s="107"/>
      <c r="GY44" s="107"/>
      <c r="GZ44" s="107"/>
      <c r="HA44" s="107"/>
      <c r="HB44" s="107"/>
      <c r="HC44" s="107"/>
      <c r="HD44" s="107"/>
      <c r="HE44" s="107"/>
      <c r="HF44" s="107"/>
    </row>
    <row r="45" spans="1:214" s="27" customFormat="1" ht="12" hidden="1">
      <c r="A45" s="93"/>
      <c r="B45" s="58"/>
      <c r="C45" s="58">
        <v>4170</v>
      </c>
      <c r="D45" s="14" t="s">
        <v>478</v>
      </c>
      <c r="E45" s="89">
        <v>3000</v>
      </c>
      <c r="F45" s="89">
        <v>3000</v>
      </c>
      <c r="G45" s="89">
        <v>3000</v>
      </c>
      <c r="H45" s="89">
        <f t="shared" si="9"/>
        <v>3000</v>
      </c>
      <c r="I45" s="89">
        <v>3000</v>
      </c>
      <c r="J45" s="44">
        <f t="shared" si="10"/>
        <v>6000</v>
      </c>
      <c r="K45" s="89">
        <v>3000</v>
      </c>
      <c r="L45" s="44">
        <f t="shared" si="11"/>
        <v>9000</v>
      </c>
      <c r="M45" s="89">
        <v>3000</v>
      </c>
      <c r="N45" s="44">
        <f t="shared" si="12"/>
        <v>12000</v>
      </c>
      <c r="O45" s="89">
        <v>3000</v>
      </c>
      <c r="P45" s="44">
        <f t="shared" si="13"/>
        <v>15000</v>
      </c>
      <c r="Q45" s="89">
        <v>3000</v>
      </c>
      <c r="R45" s="44">
        <f t="shared" si="14"/>
        <v>18000</v>
      </c>
      <c r="S45" s="89">
        <v>3000</v>
      </c>
      <c r="T45" s="44">
        <f t="shared" si="23"/>
        <v>21000</v>
      </c>
      <c r="U45" s="89">
        <v>3000</v>
      </c>
      <c r="V45" s="44">
        <f t="shared" si="24"/>
        <v>24000</v>
      </c>
      <c r="W45" s="89">
        <v>3000</v>
      </c>
      <c r="X45" s="44">
        <f t="shared" si="25"/>
        <v>27000</v>
      </c>
      <c r="Y45" s="89">
        <v>3000</v>
      </c>
      <c r="Z45" s="44">
        <f t="shared" si="26"/>
        <v>30000</v>
      </c>
      <c r="AA45" s="89">
        <v>3000</v>
      </c>
      <c r="AB45" s="44">
        <f t="shared" si="27"/>
        <v>33000</v>
      </c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  <c r="BF45" s="107"/>
      <c r="BG45" s="107"/>
      <c r="BH45" s="107"/>
      <c r="BI45" s="107"/>
      <c r="BJ45" s="107"/>
      <c r="BK45" s="107"/>
      <c r="BL45" s="107"/>
      <c r="BM45" s="107"/>
      <c r="BN45" s="107"/>
      <c r="BO45" s="107"/>
      <c r="BP45" s="107"/>
      <c r="BQ45" s="107"/>
      <c r="BR45" s="107"/>
      <c r="BS45" s="107"/>
      <c r="BT45" s="107"/>
      <c r="BU45" s="107"/>
      <c r="BV45" s="107"/>
      <c r="BW45" s="107"/>
      <c r="BX45" s="107"/>
      <c r="BY45" s="107"/>
      <c r="BZ45" s="107"/>
      <c r="CA45" s="107"/>
      <c r="CB45" s="107"/>
      <c r="CC45" s="107"/>
      <c r="CD45" s="107"/>
      <c r="CE45" s="107"/>
      <c r="CF45" s="107"/>
      <c r="CG45" s="107"/>
      <c r="CH45" s="107"/>
      <c r="CI45" s="107"/>
      <c r="CJ45" s="107"/>
      <c r="CK45" s="107"/>
      <c r="CL45" s="107"/>
      <c r="CM45" s="107"/>
      <c r="CN45" s="107"/>
      <c r="CO45" s="107"/>
      <c r="CP45" s="107"/>
      <c r="CQ45" s="107"/>
      <c r="CR45" s="107"/>
      <c r="CS45" s="107"/>
      <c r="CT45" s="107"/>
      <c r="CU45" s="107"/>
      <c r="CV45" s="107"/>
      <c r="CW45" s="107"/>
      <c r="CX45" s="107"/>
      <c r="CY45" s="107"/>
      <c r="CZ45" s="107"/>
      <c r="DA45" s="107"/>
      <c r="DB45" s="107"/>
      <c r="DC45" s="107"/>
      <c r="DD45" s="107"/>
      <c r="DE45" s="107"/>
      <c r="DF45" s="107"/>
      <c r="DG45" s="107"/>
      <c r="DH45" s="107"/>
      <c r="DI45" s="107"/>
      <c r="DJ45" s="107"/>
      <c r="DK45" s="107"/>
      <c r="DL45" s="107"/>
      <c r="DM45" s="107"/>
      <c r="DN45" s="107"/>
      <c r="DO45" s="107"/>
      <c r="DP45" s="107"/>
      <c r="DQ45" s="107"/>
      <c r="DR45" s="107"/>
      <c r="DS45" s="107"/>
      <c r="DT45" s="107"/>
      <c r="DU45" s="107"/>
      <c r="DV45" s="107"/>
      <c r="DW45" s="107"/>
      <c r="DX45" s="107"/>
      <c r="DY45" s="107"/>
      <c r="DZ45" s="107"/>
      <c r="EA45" s="107"/>
      <c r="EB45" s="107"/>
      <c r="EC45" s="107"/>
      <c r="ED45" s="107"/>
      <c r="EE45" s="107"/>
      <c r="EF45" s="107"/>
      <c r="EG45" s="107"/>
      <c r="EH45" s="107"/>
      <c r="EI45" s="107"/>
      <c r="EJ45" s="107"/>
      <c r="EK45" s="107"/>
      <c r="EL45" s="107"/>
      <c r="EM45" s="107"/>
      <c r="EN45" s="107"/>
      <c r="EO45" s="107"/>
      <c r="EP45" s="107"/>
      <c r="EQ45" s="107"/>
      <c r="ER45" s="107"/>
      <c r="ES45" s="107"/>
      <c r="ET45" s="107"/>
      <c r="EU45" s="107"/>
      <c r="EV45" s="107"/>
      <c r="EW45" s="107"/>
      <c r="EX45" s="107"/>
      <c r="EY45" s="107"/>
      <c r="EZ45" s="107"/>
      <c r="FA45" s="107"/>
      <c r="FB45" s="107"/>
      <c r="FC45" s="107"/>
      <c r="FD45" s="107"/>
      <c r="FE45" s="107"/>
      <c r="FF45" s="107"/>
      <c r="FG45" s="107"/>
      <c r="FH45" s="107"/>
      <c r="FI45" s="107"/>
      <c r="FJ45" s="107"/>
      <c r="FK45" s="107"/>
      <c r="FL45" s="107"/>
      <c r="FM45" s="107"/>
      <c r="FN45" s="107"/>
      <c r="FO45" s="107"/>
      <c r="FP45" s="107"/>
      <c r="FQ45" s="107"/>
      <c r="FR45" s="107"/>
      <c r="FS45" s="107"/>
      <c r="FT45" s="107"/>
      <c r="FU45" s="107"/>
      <c r="FV45" s="107"/>
      <c r="FW45" s="107"/>
      <c r="FX45" s="107"/>
      <c r="FY45" s="107"/>
      <c r="FZ45" s="107"/>
      <c r="GA45" s="107"/>
      <c r="GB45" s="107"/>
      <c r="GC45" s="107"/>
      <c r="GD45" s="107"/>
      <c r="GE45" s="107"/>
      <c r="GF45" s="107"/>
      <c r="GG45" s="107"/>
      <c r="GH45" s="107"/>
      <c r="GI45" s="107"/>
      <c r="GJ45" s="107"/>
      <c r="GK45" s="107"/>
      <c r="GL45" s="107"/>
      <c r="GM45" s="107"/>
      <c r="GN45" s="107"/>
      <c r="GO45" s="107"/>
      <c r="GP45" s="107"/>
      <c r="GQ45" s="107"/>
      <c r="GR45" s="107"/>
      <c r="GS45" s="107"/>
      <c r="GT45" s="107"/>
      <c r="GU45" s="107"/>
      <c r="GV45" s="107"/>
      <c r="GW45" s="107"/>
      <c r="GX45" s="107"/>
      <c r="GY45" s="107"/>
      <c r="GZ45" s="107"/>
      <c r="HA45" s="107"/>
      <c r="HB45" s="107"/>
      <c r="HC45" s="107"/>
      <c r="HD45" s="107"/>
      <c r="HE45" s="107"/>
      <c r="HF45" s="107"/>
    </row>
    <row r="46" spans="1:214" s="27" customFormat="1" ht="12" hidden="1">
      <c r="A46" s="93"/>
      <c r="B46" s="58"/>
      <c r="C46" s="58">
        <v>4210</v>
      </c>
      <c r="D46" s="14" t="s">
        <v>354</v>
      </c>
      <c r="E46" s="89">
        <f>9000+4812</f>
        <v>13812</v>
      </c>
      <c r="F46" s="89">
        <f>9000+4812</f>
        <v>13812</v>
      </c>
      <c r="G46" s="89">
        <f>9000+4812</f>
        <v>13812</v>
      </c>
      <c r="H46" s="89">
        <f t="shared" si="9"/>
        <v>13812</v>
      </c>
      <c r="I46" s="89">
        <f>9000+4812</f>
        <v>13812</v>
      </c>
      <c r="J46" s="44">
        <f t="shared" si="10"/>
        <v>27624</v>
      </c>
      <c r="K46" s="89">
        <f>9000+4812</f>
        <v>13812</v>
      </c>
      <c r="L46" s="44">
        <f t="shared" si="11"/>
        <v>41436</v>
      </c>
      <c r="M46" s="89">
        <f>9000+4812</f>
        <v>13812</v>
      </c>
      <c r="N46" s="44">
        <f t="shared" si="12"/>
        <v>55248</v>
      </c>
      <c r="O46" s="89">
        <f>9000+4812</f>
        <v>13812</v>
      </c>
      <c r="P46" s="44">
        <f t="shared" si="13"/>
        <v>69060</v>
      </c>
      <c r="Q46" s="89">
        <f>9000+4812</f>
        <v>13812</v>
      </c>
      <c r="R46" s="44">
        <f t="shared" si="14"/>
        <v>82872</v>
      </c>
      <c r="S46" s="89">
        <f>9000+4812</f>
        <v>13812</v>
      </c>
      <c r="T46" s="44">
        <f t="shared" si="23"/>
        <v>96684</v>
      </c>
      <c r="U46" s="89">
        <f>9000+4812</f>
        <v>13812</v>
      </c>
      <c r="V46" s="44">
        <f t="shared" si="24"/>
        <v>110496</v>
      </c>
      <c r="W46" s="89">
        <f>9000+4812</f>
        <v>13812</v>
      </c>
      <c r="X46" s="44">
        <f t="shared" si="25"/>
        <v>124308</v>
      </c>
      <c r="Y46" s="89">
        <f>9000+4812</f>
        <v>13812</v>
      </c>
      <c r="Z46" s="44">
        <f t="shared" si="26"/>
        <v>138120</v>
      </c>
      <c r="AA46" s="89">
        <f>9000+4812</f>
        <v>13812</v>
      </c>
      <c r="AB46" s="44">
        <f t="shared" si="27"/>
        <v>151932</v>
      </c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7"/>
      <c r="BC46" s="107"/>
      <c r="BD46" s="107"/>
      <c r="BE46" s="107"/>
      <c r="BF46" s="107"/>
      <c r="BG46" s="107"/>
      <c r="BH46" s="107"/>
      <c r="BI46" s="107"/>
      <c r="BJ46" s="107"/>
      <c r="BK46" s="107"/>
      <c r="BL46" s="107"/>
      <c r="BM46" s="107"/>
      <c r="BN46" s="107"/>
      <c r="BO46" s="107"/>
      <c r="BP46" s="107"/>
      <c r="BQ46" s="107"/>
      <c r="BR46" s="107"/>
      <c r="BS46" s="107"/>
      <c r="BT46" s="107"/>
      <c r="BU46" s="107"/>
      <c r="BV46" s="107"/>
      <c r="BW46" s="107"/>
      <c r="BX46" s="107"/>
      <c r="BY46" s="107"/>
      <c r="BZ46" s="107"/>
      <c r="CA46" s="107"/>
      <c r="CB46" s="107"/>
      <c r="CC46" s="107"/>
      <c r="CD46" s="107"/>
      <c r="CE46" s="107"/>
      <c r="CF46" s="107"/>
      <c r="CG46" s="107"/>
      <c r="CH46" s="107"/>
      <c r="CI46" s="107"/>
      <c r="CJ46" s="107"/>
      <c r="CK46" s="107"/>
      <c r="CL46" s="107"/>
      <c r="CM46" s="107"/>
      <c r="CN46" s="107"/>
      <c r="CO46" s="107"/>
      <c r="CP46" s="107"/>
      <c r="CQ46" s="107"/>
      <c r="CR46" s="107"/>
      <c r="CS46" s="107"/>
      <c r="CT46" s="107"/>
      <c r="CU46" s="107"/>
      <c r="CV46" s="107"/>
      <c r="CW46" s="107"/>
      <c r="CX46" s="107"/>
      <c r="CY46" s="107"/>
      <c r="CZ46" s="107"/>
      <c r="DA46" s="107"/>
      <c r="DB46" s="107"/>
      <c r="DC46" s="107"/>
      <c r="DD46" s="107"/>
      <c r="DE46" s="107"/>
      <c r="DF46" s="107"/>
      <c r="DG46" s="107"/>
      <c r="DH46" s="107"/>
      <c r="DI46" s="107"/>
      <c r="DJ46" s="107"/>
      <c r="DK46" s="107"/>
      <c r="DL46" s="107"/>
      <c r="DM46" s="107"/>
      <c r="DN46" s="107"/>
      <c r="DO46" s="107"/>
      <c r="DP46" s="107"/>
      <c r="DQ46" s="107"/>
      <c r="DR46" s="107"/>
      <c r="DS46" s="107"/>
      <c r="DT46" s="107"/>
      <c r="DU46" s="107"/>
      <c r="DV46" s="107"/>
      <c r="DW46" s="107"/>
      <c r="DX46" s="107"/>
      <c r="DY46" s="107"/>
      <c r="DZ46" s="107"/>
      <c r="EA46" s="107"/>
      <c r="EB46" s="107"/>
      <c r="EC46" s="107"/>
      <c r="ED46" s="107"/>
      <c r="EE46" s="107"/>
      <c r="EF46" s="107"/>
      <c r="EG46" s="107"/>
      <c r="EH46" s="107"/>
      <c r="EI46" s="107"/>
      <c r="EJ46" s="107"/>
      <c r="EK46" s="107"/>
      <c r="EL46" s="107"/>
      <c r="EM46" s="107"/>
      <c r="EN46" s="107"/>
      <c r="EO46" s="107"/>
      <c r="EP46" s="107"/>
      <c r="EQ46" s="107"/>
      <c r="ER46" s="107"/>
      <c r="ES46" s="107"/>
      <c r="ET46" s="107"/>
      <c r="EU46" s="107"/>
      <c r="EV46" s="107"/>
      <c r="EW46" s="107"/>
      <c r="EX46" s="107"/>
      <c r="EY46" s="107"/>
      <c r="EZ46" s="107"/>
      <c r="FA46" s="107"/>
      <c r="FB46" s="107"/>
      <c r="FC46" s="107"/>
      <c r="FD46" s="107"/>
      <c r="FE46" s="107"/>
      <c r="FF46" s="107"/>
      <c r="FG46" s="107"/>
      <c r="FH46" s="107"/>
      <c r="FI46" s="107"/>
      <c r="FJ46" s="107"/>
      <c r="FK46" s="107"/>
      <c r="FL46" s="107"/>
      <c r="FM46" s="107"/>
      <c r="FN46" s="107"/>
      <c r="FO46" s="107"/>
      <c r="FP46" s="107"/>
      <c r="FQ46" s="107"/>
      <c r="FR46" s="107"/>
      <c r="FS46" s="107"/>
      <c r="FT46" s="107"/>
      <c r="FU46" s="107"/>
      <c r="FV46" s="107"/>
      <c r="FW46" s="107"/>
      <c r="FX46" s="107"/>
      <c r="FY46" s="107"/>
      <c r="FZ46" s="107"/>
      <c r="GA46" s="107"/>
      <c r="GB46" s="107"/>
      <c r="GC46" s="107"/>
      <c r="GD46" s="107"/>
      <c r="GE46" s="107"/>
      <c r="GF46" s="107"/>
      <c r="GG46" s="107"/>
      <c r="GH46" s="107"/>
      <c r="GI46" s="107"/>
      <c r="GJ46" s="107"/>
      <c r="GK46" s="107"/>
      <c r="GL46" s="107"/>
      <c r="GM46" s="107"/>
      <c r="GN46" s="107"/>
      <c r="GO46" s="107"/>
      <c r="GP46" s="107"/>
      <c r="GQ46" s="107"/>
      <c r="GR46" s="107"/>
      <c r="GS46" s="107"/>
      <c r="GT46" s="107"/>
      <c r="GU46" s="107"/>
      <c r="GV46" s="107"/>
      <c r="GW46" s="107"/>
      <c r="GX46" s="107"/>
      <c r="GY46" s="107"/>
      <c r="GZ46" s="107"/>
      <c r="HA46" s="107"/>
      <c r="HB46" s="107"/>
      <c r="HC46" s="107"/>
      <c r="HD46" s="107"/>
      <c r="HE46" s="107"/>
      <c r="HF46" s="107"/>
    </row>
    <row r="47" spans="1:214" s="27" customFormat="1" ht="12" hidden="1">
      <c r="A47" s="93"/>
      <c r="B47" s="58"/>
      <c r="C47" s="58">
        <v>4300</v>
      </c>
      <c r="D47" s="14" t="s">
        <v>340</v>
      </c>
      <c r="E47" s="89">
        <v>24307</v>
      </c>
      <c r="F47" s="89">
        <v>24307</v>
      </c>
      <c r="G47" s="89">
        <v>24307</v>
      </c>
      <c r="H47" s="89">
        <f t="shared" si="9"/>
        <v>24307</v>
      </c>
      <c r="I47" s="89">
        <v>24307</v>
      </c>
      <c r="J47" s="44">
        <f t="shared" si="10"/>
        <v>48614</v>
      </c>
      <c r="K47" s="89">
        <v>24307</v>
      </c>
      <c r="L47" s="44">
        <f t="shared" si="11"/>
        <v>72921</v>
      </c>
      <c r="M47" s="89">
        <v>24307</v>
      </c>
      <c r="N47" s="44">
        <f t="shared" si="12"/>
        <v>97228</v>
      </c>
      <c r="O47" s="89">
        <v>24307</v>
      </c>
      <c r="P47" s="44">
        <f t="shared" si="13"/>
        <v>121535</v>
      </c>
      <c r="Q47" s="89">
        <v>24307</v>
      </c>
      <c r="R47" s="44">
        <f t="shared" si="14"/>
        <v>145842</v>
      </c>
      <c r="S47" s="89">
        <v>24307</v>
      </c>
      <c r="T47" s="44">
        <f t="shared" si="23"/>
        <v>170149</v>
      </c>
      <c r="U47" s="89">
        <v>24307</v>
      </c>
      <c r="V47" s="44">
        <f t="shared" si="24"/>
        <v>194456</v>
      </c>
      <c r="W47" s="89">
        <v>24307</v>
      </c>
      <c r="X47" s="44">
        <f t="shared" si="25"/>
        <v>218763</v>
      </c>
      <c r="Y47" s="89">
        <v>24307</v>
      </c>
      <c r="Z47" s="44">
        <f t="shared" si="26"/>
        <v>243070</v>
      </c>
      <c r="AA47" s="89">
        <v>24307</v>
      </c>
      <c r="AB47" s="44">
        <f t="shared" si="27"/>
        <v>267377</v>
      </c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  <c r="BN47" s="107"/>
      <c r="BO47" s="107"/>
      <c r="BP47" s="107"/>
      <c r="BQ47" s="107"/>
      <c r="BR47" s="107"/>
      <c r="BS47" s="107"/>
      <c r="BT47" s="107"/>
      <c r="BU47" s="107"/>
      <c r="BV47" s="107"/>
      <c r="BW47" s="107"/>
      <c r="BX47" s="107"/>
      <c r="BY47" s="107"/>
      <c r="BZ47" s="107"/>
      <c r="CA47" s="107"/>
      <c r="CB47" s="107"/>
      <c r="CC47" s="107"/>
      <c r="CD47" s="107"/>
      <c r="CE47" s="107"/>
      <c r="CF47" s="107"/>
      <c r="CG47" s="107"/>
      <c r="CH47" s="107"/>
      <c r="CI47" s="107"/>
      <c r="CJ47" s="107"/>
      <c r="CK47" s="107"/>
      <c r="CL47" s="107"/>
      <c r="CM47" s="107"/>
      <c r="CN47" s="107"/>
      <c r="CO47" s="107"/>
      <c r="CP47" s="107"/>
      <c r="CQ47" s="107"/>
      <c r="CR47" s="107"/>
      <c r="CS47" s="107"/>
      <c r="CT47" s="107"/>
      <c r="CU47" s="107"/>
      <c r="CV47" s="107"/>
      <c r="CW47" s="107"/>
      <c r="CX47" s="107"/>
      <c r="CY47" s="107"/>
      <c r="CZ47" s="107"/>
      <c r="DA47" s="107"/>
      <c r="DB47" s="107"/>
      <c r="DC47" s="107"/>
      <c r="DD47" s="107"/>
      <c r="DE47" s="107"/>
      <c r="DF47" s="107"/>
      <c r="DG47" s="107"/>
      <c r="DH47" s="107"/>
      <c r="DI47" s="107"/>
      <c r="DJ47" s="107"/>
      <c r="DK47" s="107"/>
      <c r="DL47" s="107"/>
      <c r="DM47" s="107"/>
      <c r="DN47" s="107"/>
      <c r="DO47" s="107"/>
      <c r="DP47" s="107"/>
      <c r="DQ47" s="107"/>
      <c r="DR47" s="107"/>
      <c r="DS47" s="107"/>
      <c r="DT47" s="107"/>
      <c r="DU47" s="107"/>
      <c r="DV47" s="107"/>
      <c r="DW47" s="107"/>
      <c r="DX47" s="107"/>
      <c r="DY47" s="107"/>
      <c r="DZ47" s="107"/>
      <c r="EA47" s="107"/>
      <c r="EB47" s="107"/>
      <c r="EC47" s="107"/>
      <c r="ED47" s="107"/>
      <c r="EE47" s="107"/>
      <c r="EF47" s="107"/>
      <c r="EG47" s="107"/>
      <c r="EH47" s="107"/>
      <c r="EI47" s="107"/>
      <c r="EJ47" s="107"/>
      <c r="EK47" s="107"/>
      <c r="EL47" s="107"/>
      <c r="EM47" s="107"/>
      <c r="EN47" s="107"/>
      <c r="EO47" s="107"/>
      <c r="EP47" s="107"/>
      <c r="EQ47" s="107"/>
      <c r="ER47" s="107"/>
      <c r="ES47" s="107"/>
      <c r="ET47" s="107"/>
      <c r="EU47" s="107"/>
      <c r="EV47" s="107"/>
      <c r="EW47" s="107"/>
      <c r="EX47" s="107"/>
      <c r="EY47" s="107"/>
      <c r="EZ47" s="107"/>
      <c r="FA47" s="107"/>
      <c r="FB47" s="107"/>
      <c r="FC47" s="107"/>
      <c r="FD47" s="107"/>
      <c r="FE47" s="107"/>
      <c r="FF47" s="107"/>
      <c r="FG47" s="107"/>
      <c r="FH47" s="107"/>
      <c r="FI47" s="107"/>
      <c r="FJ47" s="107"/>
      <c r="FK47" s="107"/>
      <c r="FL47" s="107"/>
      <c r="FM47" s="107"/>
      <c r="FN47" s="107"/>
      <c r="FO47" s="107"/>
      <c r="FP47" s="107"/>
      <c r="FQ47" s="107"/>
      <c r="FR47" s="107"/>
      <c r="FS47" s="107"/>
      <c r="FT47" s="107"/>
      <c r="FU47" s="107"/>
      <c r="FV47" s="107"/>
      <c r="FW47" s="107"/>
      <c r="FX47" s="107"/>
      <c r="FY47" s="107"/>
      <c r="FZ47" s="107"/>
      <c r="GA47" s="107"/>
      <c r="GB47" s="107"/>
      <c r="GC47" s="107"/>
      <c r="GD47" s="107"/>
      <c r="GE47" s="107"/>
      <c r="GF47" s="107"/>
      <c r="GG47" s="107"/>
      <c r="GH47" s="107"/>
      <c r="GI47" s="107"/>
      <c r="GJ47" s="107"/>
      <c r="GK47" s="107"/>
      <c r="GL47" s="107"/>
      <c r="GM47" s="107"/>
      <c r="GN47" s="107"/>
      <c r="GO47" s="107"/>
      <c r="GP47" s="107"/>
      <c r="GQ47" s="107"/>
      <c r="GR47" s="107"/>
      <c r="GS47" s="107"/>
      <c r="GT47" s="107"/>
      <c r="GU47" s="107"/>
      <c r="GV47" s="107"/>
      <c r="GW47" s="107"/>
      <c r="GX47" s="107"/>
      <c r="GY47" s="107"/>
      <c r="GZ47" s="107"/>
      <c r="HA47" s="107"/>
      <c r="HB47" s="107"/>
      <c r="HC47" s="107"/>
      <c r="HD47" s="107"/>
      <c r="HE47" s="107"/>
      <c r="HF47" s="107"/>
    </row>
    <row r="48" spans="1:214" s="27" customFormat="1" ht="12" hidden="1">
      <c r="A48" s="93"/>
      <c r="B48" s="58"/>
      <c r="C48" s="58">
        <v>4410</v>
      </c>
      <c r="D48" s="14" t="s">
        <v>352</v>
      </c>
      <c r="E48" s="89">
        <v>3000</v>
      </c>
      <c r="F48" s="89">
        <v>3000</v>
      </c>
      <c r="G48" s="89">
        <v>3000</v>
      </c>
      <c r="H48" s="89">
        <f t="shared" si="9"/>
        <v>3000</v>
      </c>
      <c r="I48" s="89">
        <v>3000</v>
      </c>
      <c r="J48" s="44">
        <f t="shared" si="10"/>
        <v>6000</v>
      </c>
      <c r="K48" s="89">
        <v>3000</v>
      </c>
      <c r="L48" s="44">
        <f t="shared" si="11"/>
        <v>9000</v>
      </c>
      <c r="M48" s="89">
        <v>3000</v>
      </c>
      <c r="N48" s="44">
        <f t="shared" si="12"/>
        <v>12000</v>
      </c>
      <c r="O48" s="89">
        <v>3000</v>
      </c>
      <c r="P48" s="44">
        <f t="shared" si="13"/>
        <v>15000</v>
      </c>
      <c r="Q48" s="89">
        <v>3000</v>
      </c>
      <c r="R48" s="44">
        <f t="shared" si="14"/>
        <v>18000</v>
      </c>
      <c r="S48" s="89">
        <v>3000</v>
      </c>
      <c r="T48" s="44">
        <f t="shared" si="23"/>
        <v>21000</v>
      </c>
      <c r="U48" s="89">
        <v>3000</v>
      </c>
      <c r="V48" s="44">
        <f t="shared" si="24"/>
        <v>24000</v>
      </c>
      <c r="W48" s="89">
        <v>3000</v>
      </c>
      <c r="X48" s="44">
        <f t="shared" si="25"/>
        <v>27000</v>
      </c>
      <c r="Y48" s="89">
        <v>3000</v>
      </c>
      <c r="Z48" s="44">
        <f t="shared" si="26"/>
        <v>30000</v>
      </c>
      <c r="AA48" s="89">
        <v>3000</v>
      </c>
      <c r="AB48" s="44">
        <f t="shared" si="27"/>
        <v>33000</v>
      </c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107"/>
      <c r="BF48" s="107"/>
      <c r="BG48" s="107"/>
      <c r="BH48" s="107"/>
      <c r="BI48" s="107"/>
      <c r="BJ48" s="107"/>
      <c r="BK48" s="107"/>
      <c r="BL48" s="107"/>
      <c r="BM48" s="107"/>
      <c r="BN48" s="107"/>
      <c r="BO48" s="107"/>
      <c r="BP48" s="107"/>
      <c r="BQ48" s="107"/>
      <c r="BR48" s="107"/>
      <c r="BS48" s="107"/>
      <c r="BT48" s="107"/>
      <c r="BU48" s="107"/>
      <c r="BV48" s="107"/>
      <c r="BW48" s="107"/>
      <c r="BX48" s="107"/>
      <c r="BY48" s="107"/>
      <c r="BZ48" s="107"/>
      <c r="CA48" s="107"/>
      <c r="CB48" s="107"/>
      <c r="CC48" s="107"/>
      <c r="CD48" s="107"/>
      <c r="CE48" s="107"/>
      <c r="CF48" s="107"/>
      <c r="CG48" s="107"/>
      <c r="CH48" s="107"/>
      <c r="CI48" s="107"/>
      <c r="CJ48" s="107"/>
      <c r="CK48" s="107"/>
      <c r="CL48" s="107"/>
      <c r="CM48" s="107"/>
      <c r="CN48" s="107"/>
      <c r="CO48" s="107"/>
      <c r="CP48" s="107"/>
      <c r="CQ48" s="107"/>
      <c r="CR48" s="107"/>
      <c r="CS48" s="107"/>
      <c r="CT48" s="107"/>
      <c r="CU48" s="107"/>
      <c r="CV48" s="107"/>
      <c r="CW48" s="107"/>
      <c r="CX48" s="107"/>
      <c r="CY48" s="107"/>
      <c r="CZ48" s="107"/>
      <c r="DA48" s="107"/>
      <c r="DB48" s="107"/>
      <c r="DC48" s="107"/>
      <c r="DD48" s="107"/>
      <c r="DE48" s="107"/>
      <c r="DF48" s="107"/>
      <c r="DG48" s="107"/>
      <c r="DH48" s="107"/>
      <c r="DI48" s="107"/>
      <c r="DJ48" s="107"/>
      <c r="DK48" s="107"/>
      <c r="DL48" s="107"/>
      <c r="DM48" s="107"/>
      <c r="DN48" s="107"/>
      <c r="DO48" s="107"/>
      <c r="DP48" s="107"/>
      <c r="DQ48" s="107"/>
      <c r="DR48" s="107"/>
      <c r="DS48" s="107"/>
      <c r="DT48" s="107"/>
      <c r="DU48" s="107"/>
      <c r="DV48" s="107"/>
      <c r="DW48" s="107"/>
      <c r="DX48" s="107"/>
      <c r="DY48" s="107"/>
      <c r="DZ48" s="107"/>
      <c r="EA48" s="107"/>
      <c r="EB48" s="107"/>
      <c r="EC48" s="107"/>
      <c r="ED48" s="107"/>
      <c r="EE48" s="107"/>
      <c r="EF48" s="107"/>
      <c r="EG48" s="107"/>
      <c r="EH48" s="107"/>
      <c r="EI48" s="107"/>
      <c r="EJ48" s="107"/>
      <c r="EK48" s="107"/>
      <c r="EL48" s="107"/>
      <c r="EM48" s="107"/>
      <c r="EN48" s="107"/>
      <c r="EO48" s="107"/>
      <c r="EP48" s="107"/>
      <c r="EQ48" s="107"/>
      <c r="ER48" s="107"/>
      <c r="ES48" s="107"/>
      <c r="ET48" s="107"/>
      <c r="EU48" s="107"/>
      <c r="EV48" s="107"/>
      <c r="EW48" s="107"/>
      <c r="EX48" s="107"/>
      <c r="EY48" s="107"/>
      <c r="EZ48" s="107"/>
      <c r="FA48" s="107"/>
      <c r="FB48" s="107"/>
      <c r="FC48" s="107"/>
      <c r="FD48" s="107"/>
      <c r="FE48" s="107"/>
      <c r="FF48" s="107"/>
      <c r="FG48" s="107"/>
      <c r="FH48" s="107"/>
      <c r="FI48" s="107"/>
      <c r="FJ48" s="107"/>
      <c r="FK48" s="107"/>
      <c r="FL48" s="107"/>
      <c r="FM48" s="107"/>
      <c r="FN48" s="107"/>
      <c r="FO48" s="107"/>
      <c r="FP48" s="107"/>
      <c r="FQ48" s="107"/>
      <c r="FR48" s="107"/>
      <c r="FS48" s="107"/>
      <c r="FT48" s="107"/>
      <c r="FU48" s="107"/>
      <c r="FV48" s="107"/>
      <c r="FW48" s="107"/>
      <c r="FX48" s="107"/>
      <c r="FY48" s="107"/>
      <c r="FZ48" s="107"/>
      <c r="GA48" s="107"/>
      <c r="GB48" s="107"/>
      <c r="GC48" s="107"/>
      <c r="GD48" s="107"/>
      <c r="GE48" s="107"/>
      <c r="GF48" s="107"/>
      <c r="GG48" s="107"/>
      <c r="GH48" s="107"/>
      <c r="GI48" s="107"/>
      <c r="GJ48" s="107"/>
      <c r="GK48" s="107"/>
      <c r="GL48" s="107"/>
      <c r="GM48" s="107"/>
      <c r="GN48" s="107"/>
      <c r="GO48" s="107"/>
      <c r="GP48" s="107"/>
      <c r="GQ48" s="107"/>
      <c r="GR48" s="107"/>
      <c r="GS48" s="107"/>
      <c r="GT48" s="107"/>
      <c r="GU48" s="107"/>
      <c r="GV48" s="107"/>
      <c r="GW48" s="107"/>
      <c r="GX48" s="107"/>
      <c r="GY48" s="107"/>
      <c r="GZ48" s="107"/>
      <c r="HA48" s="107"/>
      <c r="HB48" s="107"/>
      <c r="HC48" s="107"/>
      <c r="HD48" s="107"/>
      <c r="HE48" s="107"/>
      <c r="HF48" s="107"/>
    </row>
    <row r="49" spans="1:214" s="27" customFormat="1" ht="12" hidden="1">
      <c r="A49" s="93"/>
      <c r="B49" s="58"/>
      <c r="C49" s="58">
        <v>4430</v>
      </c>
      <c r="D49" s="14" t="s">
        <v>356</v>
      </c>
      <c r="E49" s="89">
        <v>2000</v>
      </c>
      <c r="F49" s="89">
        <v>2000</v>
      </c>
      <c r="G49" s="89">
        <v>2000</v>
      </c>
      <c r="H49" s="89">
        <f t="shared" si="9"/>
        <v>2000</v>
      </c>
      <c r="I49" s="89">
        <v>2000</v>
      </c>
      <c r="J49" s="44">
        <f t="shared" si="10"/>
        <v>4000</v>
      </c>
      <c r="K49" s="89">
        <v>2000</v>
      </c>
      <c r="L49" s="44">
        <f t="shared" si="11"/>
        <v>6000</v>
      </c>
      <c r="M49" s="89">
        <v>2000</v>
      </c>
      <c r="N49" s="44">
        <f t="shared" si="12"/>
        <v>8000</v>
      </c>
      <c r="O49" s="89">
        <v>2000</v>
      </c>
      <c r="P49" s="44">
        <f t="shared" si="13"/>
        <v>10000</v>
      </c>
      <c r="Q49" s="89">
        <v>2000</v>
      </c>
      <c r="R49" s="44">
        <f t="shared" si="14"/>
        <v>12000</v>
      </c>
      <c r="S49" s="89">
        <v>2000</v>
      </c>
      <c r="T49" s="44">
        <f t="shared" si="23"/>
        <v>14000</v>
      </c>
      <c r="U49" s="89">
        <v>2000</v>
      </c>
      <c r="V49" s="44">
        <f t="shared" si="24"/>
        <v>16000</v>
      </c>
      <c r="W49" s="89">
        <v>2000</v>
      </c>
      <c r="X49" s="44">
        <f t="shared" si="25"/>
        <v>18000</v>
      </c>
      <c r="Y49" s="89">
        <v>2000</v>
      </c>
      <c r="Z49" s="44">
        <f t="shared" si="26"/>
        <v>20000</v>
      </c>
      <c r="AA49" s="89">
        <v>2000</v>
      </c>
      <c r="AB49" s="44">
        <f t="shared" si="27"/>
        <v>22000</v>
      </c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  <c r="BK49" s="107"/>
      <c r="BL49" s="107"/>
      <c r="BM49" s="107"/>
      <c r="BN49" s="107"/>
      <c r="BO49" s="107"/>
      <c r="BP49" s="107"/>
      <c r="BQ49" s="107"/>
      <c r="BR49" s="107"/>
      <c r="BS49" s="107"/>
      <c r="BT49" s="107"/>
      <c r="BU49" s="107"/>
      <c r="BV49" s="107"/>
      <c r="BW49" s="107"/>
      <c r="BX49" s="107"/>
      <c r="BY49" s="107"/>
      <c r="BZ49" s="107"/>
      <c r="CA49" s="107"/>
      <c r="CB49" s="107"/>
      <c r="CC49" s="107"/>
      <c r="CD49" s="107"/>
      <c r="CE49" s="107"/>
      <c r="CF49" s="107"/>
      <c r="CG49" s="107"/>
      <c r="CH49" s="107"/>
      <c r="CI49" s="107"/>
      <c r="CJ49" s="107"/>
      <c r="CK49" s="107"/>
      <c r="CL49" s="107"/>
      <c r="CM49" s="107"/>
      <c r="CN49" s="107"/>
      <c r="CO49" s="107"/>
      <c r="CP49" s="107"/>
      <c r="CQ49" s="107"/>
      <c r="CR49" s="107"/>
      <c r="CS49" s="107"/>
      <c r="CT49" s="107"/>
      <c r="CU49" s="107"/>
      <c r="CV49" s="107"/>
      <c r="CW49" s="107"/>
      <c r="CX49" s="107"/>
      <c r="CY49" s="107"/>
      <c r="CZ49" s="107"/>
      <c r="DA49" s="107"/>
      <c r="DB49" s="107"/>
      <c r="DC49" s="107"/>
      <c r="DD49" s="107"/>
      <c r="DE49" s="107"/>
      <c r="DF49" s="107"/>
      <c r="DG49" s="107"/>
      <c r="DH49" s="107"/>
      <c r="DI49" s="107"/>
      <c r="DJ49" s="107"/>
      <c r="DK49" s="107"/>
      <c r="DL49" s="107"/>
      <c r="DM49" s="107"/>
      <c r="DN49" s="107"/>
      <c r="DO49" s="107"/>
      <c r="DP49" s="107"/>
      <c r="DQ49" s="107"/>
      <c r="DR49" s="107"/>
      <c r="DS49" s="107"/>
      <c r="DT49" s="107"/>
      <c r="DU49" s="107"/>
      <c r="DV49" s="107"/>
      <c r="DW49" s="107"/>
      <c r="DX49" s="107"/>
      <c r="DY49" s="107"/>
      <c r="DZ49" s="107"/>
      <c r="EA49" s="107"/>
      <c r="EB49" s="107"/>
      <c r="EC49" s="107"/>
      <c r="ED49" s="107"/>
      <c r="EE49" s="107"/>
      <c r="EF49" s="107"/>
      <c r="EG49" s="107"/>
      <c r="EH49" s="107"/>
      <c r="EI49" s="107"/>
      <c r="EJ49" s="107"/>
      <c r="EK49" s="107"/>
      <c r="EL49" s="107"/>
      <c r="EM49" s="107"/>
      <c r="EN49" s="107"/>
      <c r="EO49" s="107"/>
      <c r="EP49" s="107"/>
      <c r="EQ49" s="107"/>
      <c r="ER49" s="107"/>
      <c r="ES49" s="107"/>
      <c r="ET49" s="107"/>
      <c r="EU49" s="107"/>
      <c r="EV49" s="107"/>
      <c r="EW49" s="107"/>
      <c r="EX49" s="107"/>
      <c r="EY49" s="107"/>
      <c r="EZ49" s="107"/>
      <c r="FA49" s="107"/>
      <c r="FB49" s="107"/>
      <c r="FC49" s="107"/>
      <c r="FD49" s="107"/>
      <c r="FE49" s="107"/>
      <c r="FF49" s="107"/>
      <c r="FG49" s="107"/>
      <c r="FH49" s="107"/>
      <c r="FI49" s="107"/>
      <c r="FJ49" s="107"/>
      <c r="FK49" s="107"/>
      <c r="FL49" s="107"/>
      <c r="FM49" s="107"/>
      <c r="FN49" s="107"/>
      <c r="FO49" s="107"/>
      <c r="FP49" s="107"/>
      <c r="FQ49" s="107"/>
      <c r="FR49" s="107"/>
      <c r="FS49" s="107"/>
      <c r="FT49" s="107"/>
      <c r="FU49" s="107"/>
      <c r="FV49" s="107"/>
      <c r="FW49" s="107"/>
      <c r="FX49" s="107"/>
      <c r="FY49" s="107"/>
      <c r="FZ49" s="107"/>
      <c r="GA49" s="107"/>
      <c r="GB49" s="107"/>
      <c r="GC49" s="107"/>
      <c r="GD49" s="107"/>
      <c r="GE49" s="107"/>
      <c r="GF49" s="107"/>
      <c r="GG49" s="107"/>
      <c r="GH49" s="107"/>
      <c r="GI49" s="107"/>
      <c r="GJ49" s="107"/>
      <c r="GK49" s="107"/>
      <c r="GL49" s="107"/>
      <c r="GM49" s="107"/>
      <c r="GN49" s="107"/>
      <c r="GO49" s="107"/>
      <c r="GP49" s="107"/>
      <c r="GQ49" s="107"/>
      <c r="GR49" s="107"/>
      <c r="GS49" s="107"/>
      <c r="GT49" s="107"/>
      <c r="GU49" s="107"/>
      <c r="GV49" s="107"/>
      <c r="GW49" s="107"/>
      <c r="GX49" s="107"/>
      <c r="GY49" s="107"/>
      <c r="GZ49" s="107"/>
      <c r="HA49" s="107"/>
      <c r="HB49" s="107"/>
      <c r="HC49" s="107"/>
      <c r="HD49" s="107"/>
      <c r="HE49" s="107"/>
      <c r="HF49" s="107"/>
    </row>
    <row r="50" spans="1:214" s="27" customFormat="1" ht="22.5" hidden="1">
      <c r="A50" s="93"/>
      <c r="B50" s="58"/>
      <c r="C50" s="58">
        <v>4440</v>
      </c>
      <c r="D50" s="14" t="s">
        <v>349</v>
      </c>
      <c r="E50" s="89">
        <v>3800</v>
      </c>
      <c r="F50" s="89">
        <v>3800</v>
      </c>
      <c r="G50" s="89">
        <v>3800</v>
      </c>
      <c r="H50" s="89">
        <f t="shared" si="9"/>
        <v>3800</v>
      </c>
      <c r="I50" s="89">
        <v>3800</v>
      </c>
      <c r="J50" s="44">
        <f t="shared" si="10"/>
        <v>7600</v>
      </c>
      <c r="K50" s="89">
        <v>3800</v>
      </c>
      <c r="L50" s="44">
        <f t="shared" si="11"/>
        <v>11400</v>
      </c>
      <c r="M50" s="89">
        <v>3800</v>
      </c>
      <c r="N50" s="44">
        <f t="shared" si="12"/>
        <v>15200</v>
      </c>
      <c r="O50" s="89">
        <v>3800</v>
      </c>
      <c r="P50" s="44">
        <f t="shared" si="13"/>
        <v>19000</v>
      </c>
      <c r="Q50" s="89">
        <v>3800</v>
      </c>
      <c r="R50" s="44">
        <f t="shared" si="14"/>
        <v>22800</v>
      </c>
      <c r="S50" s="89">
        <v>3800</v>
      </c>
      <c r="T50" s="44">
        <f t="shared" si="23"/>
        <v>26600</v>
      </c>
      <c r="U50" s="89">
        <v>3800</v>
      </c>
      <c r="V50" s="44">
        <f t="shared" si="24"/>
        <v>30400</v>
      </c>
      <c r="W50" s="89">
        <v>3800</v>
      </c>
      <c r="X50" s="44">
        <f t="shared" si="25"/>
        <v>34200</v>
      </c>
      <c r="Y50" s="89">
        <v>3800</v>
      </c>
      <c r="Z50" s="44">
        <f t="shared" si="26"/>
        <v>38000</v>
      </c>
      <c r="AA50" s="89">
        <v>3800</v>
      </c>
      <c r="AB50" s="44">
        <f t="shared" si="27"/>
        <v>41800</v>
      </c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7"/>
      <c r="BE50" s="107"/>
      <c r="BF50" s="107"/>
      <c r="BG50" s="107"/>
      <c r="BH50" s="107"/>
      <c r="BI50" s="107"/>
      <c r="BJ50" s="107"/>
      <c r="BK50" s="107"/>
      <c r="BL50" s="107"/>
      <c r="BM50" s="107"/>
      <c r="BN50" s="107"/>
      <c r="BO50" s="107"/>
      <c r="BP50" s="107"/>
      <c r="BQ50" s="107"/>
      <c r="BR50" s="107"/>
      <c r="BS50" s="107"/>
      <c r="BT50" s="107"/>
      <c r="BU50" s="107"/>
      <c r="BV50" s="107"/>
      <c r="BW50" s="107"/>
      <c r="BX50" s="107"/>
      <c r="BY50" s="107"/>
      <c r="BZ50" s="107"/>
      <c r="CA50" s="107"/>
      <c r="CB50" s="107"/>
      <c r="CC50" s="107"/>
      <c r="CD50" s="107"/>
      <c r="CE50" s="107"/>
      <c r="CF50" s="107"/>
      <c r="CG50" s="107"/>
      <c r="CH50" s="107"/>
      <c r="CI50" s="107"/>
      <c r="CJ50" s="107"/>
      <c r="CK50" s="107"/>
      <c r="CL50" s="107"/>
      <c r="CM50" s="107"/>
      <c r="CN50" s="107"/>
      <c r="CO50" s="107"/>
      <c r="CP50" s="107"/>
      <c r="CQ50" s="107"/>
      <c r="CR50" s="107"/>
      <c r="CS50" s="107"/>
      <c r="CT50" s="107"/>
      <c r="CU50" s="107"/>
      <c r="CV50" s="107"/>
      <c r="CW50" s="107"/>
      <c r="CX50" s="107"/>
      <c r="CY50" s="107"/>
      <c r="CZ50" s="107"/>
      <c r="DA50" s="107"/>
      <c r="DB50" s="107"/>
      <c r="DC50" s="107"/>
      <c r="DD50" s="107"/>
      <c r="DE50" s="107"/>
      <c r="DF50" s="107"/>
      <c r="DG50" s="107"/>
      <c r="DH50" s="107"/>
      <c r="DI50" s="107"/>
      <c r="DJ50" s="107"/>
      <c r="DK50" s="107"/>
      <c r="DL50" s="107"/>
      <c r="DM50" s="107"/>
      <c r="DN50" s="107"/>
      <c r="DO50" s="107"/>
      <c r="DP50" s="107"/>
      <c r="DQ50" s="107"/>
      <c r="DR50" s="107"/>
      <c r="DS50" s="107"/>
      <c r="DT50" s="107"/>
      <c r="DU50" s="107"/>
      <c r="DV50" s="107"/>
      <c r="DW50" s="107"/>
      <c r="DX50" s="107"/>
      <c r="DY50" s="107"/>
      <c r="DZ50" s="107"/>
      <c r="EA50" s="107"/>
      <c r="EB50" s="107"/>
      <c r="EC50" s="107"/>
      <c r="ED50" s="107"/>
      <c r="EE50" s="107"/>
      <c r="EF50" s="107"/>
      <c r="EG50" s="107"/>
      <c r="EH50" s="107"/>
      <c r="EI50" s="107"/>
      <c r="EJ50" s="107"/>
      <c r="EK50" s="107"/>
      <c r="EL50" s="107"/>
      <c r="EM50" s="107"/>
      <c r="EN50" s="107"/>
      <c r="EO50" s="107"/>
      <c r="EP50" s="107"/>
      <c r="EQ50" s="107"/>
      <c r="ER50" s="107"/>
      <c r="ES50" s="107"/>
      <c r="ET50" s="107"/>
      <c r="EU50" s="107"/>
      <c r="EV50" s="107"/>
      <c r="EW50" s="107"/>
      <c r="EX50" s="107"/>
      <c r="EY50" s="107"/>
      <c r="EZ50" s="107"/>
      <c r="FA50" s="107"/>
      <c r="FB50" s="107"/>
      <c r="FC50" s="107"/>
      <c r="FD50" s="107"/>
      <c r="FE50" s="107"/>
      <c r="FF50" s="107"/>
      <c r="FG50" s="107"/>
      <c r="FH50" s="107"/>
      <c r="FI50" s="107"/>
      <c r="FJ50" s="107"/>
      <c r="FK50" s="107"/>
      <c r="FL50" s="107"/>
      <c r="FM50" s="107"/>
      <c r="FN50" s="107"/>
      <c r="FO50" s="107"/>
      <c r="FP50" s="107"/>
      <c r="FQ50" s="107"/>
      <c r="FR50" s="107"/>
      <c r="FS50" s="107"/>
      <c r="FT50" s="107"/>
      <c r="FU50" s="107"/>
      <c r="FV50" s="107"/>
      <c r="FW50" s="107"/>
      <c r="FX50" s="107"/>
      <c r="FY50" s="107"/>
      <c r="FZ50" s="107"/>
      <c r="GA50" s="107"/>
      <c r="GB50" s="107"/>
      <c r="GC50" s="107"/>
      <c r="GD50" s="107"/>
      <c r="GE50" s="107"/>
      <c r="GF50" s="107"/>
      <c r="GG50" s="107"/>
      <c r="GH50" s="107"/>
      <c r="GI50" s="107"/>
      <c r="GJ50" s="107"/>
      <c r="GK50" s="107"/>
      <c r="GL50" s="107"/>
      <c r="GM50" s="107"/>
      <c r="GN50" s="107"/>
      <c r="GO50" s="107"/>
      <c r="GP50" s="107"/>
      <c r="GQ50" s="107"/>
      <c r="GR50" s="107"/>
      <c r="GS50" s="107"/>
      <c r="GT50" s="107"/>
      <c r="GU50" s="107"/>
      <c r="GV50" s="107"/>
      <c r="GW50" s="107"/>
      <c r="GX50" s="107"/>
      <c r="GY50" s="107"/>
      <c r="GZ50" s="107"/>
      <c r="HA50" s="107"/>
      <c r="HB50" s="107"/>
      <c r="HC50" s="107"/>
      <c r="HD50" s="107"/>
      <c r="HE50" s="107"/>
      <c r="HF50" s="107"/>
    </row>
    <row r="51" spans="1:214" s="27" customFormat="1" ht="42.75" customHeight="1">
      <c r="A51" s="93"/>
      <c r="B51" s="58">
        <v>85212</v>
      </c>
      <c r="C51" s="83"/>
      <c r="D51" s="81" t="s">
        <v>184</v>
      </c>
      <c r="E51" s="89">
        <f>SUM(E52:E71)</f>
        <v>7804800</v>
      </c>
      <c r="F51" s="89">
        <f>SUM(F52:F71)</f>
        <v>7900</v>
      </c>
      <c r="G51" s="89">
        <f>SUM(G52:G71)</f>
        <v>0</v>
      </c>
      <c r="H51" s="89">
        <f t="shared" si="9"/>
        <v>7812700</v>
      </c>
      <c r="I51" s="89">
        <f>SUM(I52:I71)</f>
        <v>0</v>
      </c>
      <c r="J51" s="89">
        <f t="shared" si="10"/>
        <v>7812700</v>
      </c>
      <c r="K51" s="89">
        <f>SUM(K52:K71)</f>
        <v>0</v>
      </c>
      <c r="L51" s="89">
        <f t="shared" si="11"/>
        <v>7812700</v>
      </c>
      <c r="M51" s="89">
        <f>SUM(M52:M71)</f>
        <v>0</v>
      </c>
      <c r="N51" s="89">
        <f t="shared" si="12"/>
        <v>7812700</v>
      </c>
      <c r="O51" s="89">
        <f>SUM(O52:O71)</f>
        <v>-200000</v>
      </c>
      <c r="P51" s="89">
        <f t="shared" si="13"/>
        <v>7612700</v>
      </c>
      <c r="Q51" s="89">
        <f>SUM(Q52:Q71)</f>
        <v>-50000</v>
      </c>
      <c r="R51" s="89">
        <f t="shared" si="14"/>
        <v>7562700</v>
      </c>
      <c r="S51" s="89">
        <f>SUM(S52:S71)</f>
        <v>-250000</v>
      </c>
      <c r="T51" s="89">
        <f t="shared" si="23"/>
        <v>7312700</v>
      </c>
      <c r="U51" s="89">
        <f>SUM(U52:U71)</f>
        <v>0</v>
      </c>
      <c r="V51" s="89">
        <f t="shared" si="24"/>
        <v>7312700</v>
      </c>
      <c r="W51" s="89">
        <f>SUM(W52:W71)</f>
        <v>0</v>
      </c>
      <c r="X51" s="89">
        <f t="shared" si="25"/>
        <v>7312700</v>
      </c>
      <c r="Y51" s="89">
        <f>SUM(Y52:Y71)</f>
        <v>0</v>
      </c>
      <c r="Z51" s="89">
        <f t="shared" si="26"/>
        <v>7312700</v>
      </c>
      <c r="AA51" s="89">
        <f>SUM(AA52:AA71)</f>
        <v>0</v>
      </c>
      <c r="AB51" s="89">
        <f t="shared" si="27"/>
        <v>7312700</v>
      </c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C51" s="107"/>
      <c r="BD51" s="107"/>
      <c r="BE51" s="107"/>
      <c r="BF51" s="107"/>
      <c r="BG51" s="107"/>
      <c r="BH51" s="107"/>
      <c r="BI51" s="107"/>
      <c r="BJ51" s="107"/>
      <c r="BK51" s="107"/>
      <c r="BL51" s="107"/>
      <c r="BM51" s="107"/>
      <c r="BN51" s="107"/>
      <c r="BO51" s="107"/>
      <c r="BP51" s="107"/>
      <c r="BQ51" s="107"/>
      <c r="BR51" s="107"/>
      <c r="BS51" s="107"/>
      <c r="BT51" s="107"/>
      <c r="BU51" s="107"/>
      <c r="BV51" s="107"/>
      <c r="BW51" s="107"/>
      <c r="BX51" s="107"/>
      <c r="BY51" s="107"/>
      <c r="BZ51" s="107"/>
      <c r="CA51" s="107"/>
      <c r="CB51" s="107"/>
      <c r="CC51" s="107"/>
      <c r="CD51" s="107"/>
      <c r="CE51" s="107"/>
      <c r="CF51" s="107"/>
      <c r="CG51" s="107"/>
      <c r="CH51" s="107"/>
      <c r="CI51" s="107"/>
      <c r="CJ51" s="107"/>
      <c r="CK51" s="107"/>
      <c r="CL51" s="107"/>
      <c r="CM51" s="107"/>
      <c r="CN51" s="107"/>
      <c r="CO51" s="107"/>
      <c r="CP51" s="107"/>
      <c r="CQ51" s="107"/>
      <c r="CR51" s="107"/>
      <c r="CS51" s="107"/>
      <c r="CT51" s="107"/>
      <c r="CU51" s="107"/>
      <c r="CV51" s="107"/>
      <c r="CW51" s="107"/>
      <c r="CX51" s="107"/>
      <c r="CY51" s="107"/>
      <c r="CZ51" s="107"/>
      <c r="DA51" s="107"/>
      <c r="DB51" s="107"/>
      <c r="DC51" s="107"/>
      <c r="DD51" s="107"/>
      <c r="DE51" s="107"/>
      <c r="DF51" s="107"/>
      <c r="DG51" s="107"/>
      <c r="DH51" s="107"/>
      <c r="DI51" s="107"/>
      <c r="DJ51" s="107"/>
      <c r="DK51" s="107"/>
      <c r="DL51" s="107"/>
      <c r="DM51" s="107"/>
      <c r="DN51" s="107"/>
      <c r="DO51" s="107"/>
      <c r="DP51" s="107"/>
      <c r="DQ51" s="107"/>
      <c r="DR51" s="107"/>
      <c r="DS51" s="107"/>
      <c r="DT51" s="107"/>
      <c r="DU51" s="107"/>
      <c r="DV51" s="107"/>
      <c r="DW51" s="107"/>
      <c r="DX51" s="107"/>
      <c r="DY51" s="107"/>
      <c r="DZ51" s="107"/>
      <c r="EA51" s="107"/>
      <c r="EB51" s="107"/>
      <c r="EC51" s="107"/>
      <c r="ED51" s="107"/>
      <c r="EE51" s="107"/>
      <c r="EF51" s="107"/>
      <c r="EG51" s="107"/>
      <c r="EH51" s="107"/>
      <c r="EI51" s="107"/>
      <c r="EJ51" s="107"/>
      <c r="EK51" s="107"/>
      <c r="EL51" s="107"/>
      <c r="EM51" s="107"/>
      <c r="EN51" s="107"/>
      <c r="EO51" s="107"/>
      <c r="EP51" s="107"/>
      <c r="EQ51" s="107"/>
      <c r="ER51" s="107"/>
      <c r="ES51" s="107"/>
      <c r="ET51" s="107"/>
      <c r="EU51" s="107"/>
      <c r="EV51" s="107"/>
      <c r="EW51" s="107"/>
      <c r="EX51" s="107"/>
      <c r="EY51" s="107"/>
      <c r="EZ51" s="107"/>
      <c r="FA51" s="107"/>
      <c r="FB51" s="107"/>
      <c r="FC51" s="107"/>
      <c r="FD51" s="107"/>
      <c r="FE51" s="107"/>
      <c r="FF51" s="107"/>
      <c r="FG51" s="107"/>
      <c r="FH51" s="107"/>
      <c r="FI51" s="107"/>
      <c r="FJ51" s="107"/>
      <c r="FK51" s="107"/>
      <c r="FL51" s="107"/>
      <c r="FM51" s="107"/>
      <c r="FN51" s="107"/>
      <c r="FO51" s="107"/>
      <c r="FP51" s="107"/>
      <c r="FQ51" s="107"/>
      <c r="FR51" s="107"/>
      <c r="FS51" s="107"/>
      <c r="FT51" s="107"/>
      <c r="FU51" s="107"/>
      <c r="FV51" s="107"/>
      <c r="FW51" s="107"/>
      <c r="FX51" s="107"/>
      <c r="FY51" s="107"/>
      <c r="FZ51" s="107"/>
      <c r="GA51" s="107"/>
      <c r="GB51" s="107"/>
      <c r="GC51" s="107"/>
      <c r="GD51" s="107"/>
      <c r="GE51" s="107"/>
      <c r="GF51" s="107"/>
      <c r="GG51" s="107"/>
      <c r="GH51" s="107"/>
      <c r="GI51" s="107"/>
      <c r="GJ51" s="107"/>
      <c r="GK51" s="107"/>
      <c r="GL51" s="107"/>
      <c r="GM51" s="107"/>
      <c r="GN51" s="107"/>
      <c r="GO51" s="107"/>
      <c r="GP51" s="107"/>
      <c r="GQ51" s="107"/>
      <c r="GR51" s="107"/>
      <c r="GS51" s="107"/>
      <c r="GT51" s="107"/>
      <c r="GU51" s="107"/>
      <c r="GV51" s="107"/>
      <c r="GW51" s="107"/>
      <c r="GX51" s="107"/>
      <c r="GY51" s="107"/>
      <c r="GZ51" s="107"/>
      <c r="HA51" s="107"/>
      <c r="HB51" s="107"/>
      <c r="HC51" s="107"/>
      <c r="HD51" s="107"/>
      <c r="HE51" s="107"/>
      <c r="HF51" s="107"/>
    </row>
    <row r="52" spans="1:214" s="27" customFormat="1" ht="24" customHeight="1">
      <c r="A52" s="93"/>
      <c r="B52" s="58"/>
      <c r="C52" s="83">
        <v>3020</v>
      </c>
      <c r="D52" s="40" t="s">
        <v>474</v>
      </c>
      <c r="E52" s="74">
        <v>1000</v>
      </c>
      <c r="F52" s="74"/>
      <c r="G52" s="74"/>
      <c r="H52" s="89">
        <f t="shared" si="9"/>
        <v>1000</v>
      </c>
      <c r="I52" s="74">
        <v>0</v>
      </c>
      <c r="J52" s="89">
        <f t="shared" si="10"/>
        <v>1000</v>
      </c>
      <c r="K52" s="74">
        <v>0</v>
      </c>
      <c r="L52" s="89">
        <f t="shared" si="11"/>
        <v>1000</v>
      </c>
      <c r="M52" s="74">
        <v>0</v>
      </c>
      <c r="N52" s="89">
        <f t="shared" si="12"/>
        <v>1000</v>
      </c>
      <c r="O52" s="74">
        <v>0</v>
      </c>
      <c r="P52" s="89">
        <f t="shared" si="13"/>
        <v>1000</v>
      </c>
      <c r="Q52" s="74">
        <v>0</v>
      </c>
      <c r="R52" s="89">
        <f t="shared" si="14"/>
        <v>1000</v>
      </c>
      <c r="S52" s="74">
        <v>0</v>
      </c>
      <c r="T52" s="89">
        <f t="shared" si="23"/>
        <v>1000</v>
      </c>
      <c r="U52" s="74">
        <v>0</v>
      </c>
      <c r="V52" s="89">
        <f t="shared" si="24"/>
        <v>1000</v>
      </c>
      <c r="W52" s="74">
        <v>0</v>
      </c>
      <c r="X52" s="89">
        <f t="shared" si="25"/>
        <v>1000</v>
      </c>
      <c r="Y52" s="74">
        <v>0</v>
      </c>
      <c r="Z52" s="89">
        <f t="shared" si="26"/>
        <v>1000</v>
      </c>
      <c r="AA52" s="74">
        <v>-755</v>
      </c>
      <c r="AB52" s="89">
        <f t="shared" si="27"/>
        <v>245</v>
      </c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/>
      <c r="BF52" s="107"/>
      <c r="BG52" s="107"/>
      <c r="BH52" s="107"/>
      <c r="BI52" s="107"/>
      <c r="BJ52" s="107"/>
      <c r="BK52" s="107"/>
      <c r="BL52" s="107"/>
      <c r="BM52" s="107"/>
      <c r="BN52" s="107"/>
      <c r="BO52" s="107"/>
      <c r="BP52" s="107"/>
      <c r="BQ52" s="107"/>
      <c r="BR52" s="107"/>
      <c r="BS52" s="107"/>
      <c r="BT52" s="107"/>
      <c r="BU52" s="107"/>
      <c r="BV52" s="107"/>
      <c r="BW52" s="107"/>
      <c r="BX52" s="107"/>
      <c r="BY52" s="107"/>
      <c r="BZ52" s="107"/>
      <c r="CA52" s="107"/>
      <c r="CB52" s="107"/>
      <c r="CC52" s="107"/>
      <c r="CD52" s="107"/>
      <c r="CE52" s="107"/>
      <c r="CF52" s="107"/>
      <c r="CG52" s="107"/>
      <c r="CH52" s="107"/>
      <c r="CI52" s="107"/>
      <c r="CJ52" s="107"/>
      <c r="CK52" s="107"/>
      <c r="CL52" s="107"/>
      <c r="CM52" s="107"/>
      <c r="CN52" s="107"/>
      <c r="CO52" s="107"/>
      <c r="CP52" s="107"/>
      <c r="CQ52" s="107"/>
      <c r="CR52" s="107"/>
      <c r="CS52" s="107"/>
      <c r="CT52" s="107"/>
      <c r="CU52" s="107"/>
      <c r="CV52" s="107"/>
      <c r="CW52" s="107"/>
      <c r="CX52" s="107"/>
      <c r="CY52" s="107"/>
      <c r="CZ52" s="107"/>
      <c r="DA52" s="107"/>
      <c r="DB52" s="107"/>
      <c r="DC52" s="107"/>
      <c r="DD52" s="107"/>
      <c r="DE52" s="107"/>
      <c r="DF52" s="107"/>
      <c r="DG52" s="107"/>
      <c r="DH52" s="107"/>
      <c r="DI52" s="107"/>
      <c r="DJ52" s="107"/>
      <c r="DK52" s="107"/>
      <c r="DL52" s="107"/>
      <c r="DM52" s="107"/>
      <c r="DN52" s="107"/>
      <c r="DO52" s="107"/>
      <c r="DP52" s="107"/>
      <c r="DQ52" s="107"/>
      <c r="DR52" s="107"/>
      <c r="DS52" s="107"/>
      <c r="DT52" s="107"/>
      <c r="DU52" s="107"/>
      <c r="DV52" s="107"/>
      <c r="DW52" s="107"/>
      <c r="DX52" s="107"/>
      <c r="DY52" s="107"/>
      <c r="DZ52" s="107"/>
      <c r="EA52" s="107"/>
      <c r="EB52" s="107"/>
      <c r="EC52" s="107"/>
      <c r="ED52" s="107"/>
      <c r="EE52" s="107"/>
      <c r="EF52" s="107"/>
      <c r="EG52" s="107"/>
      <c r="EH52" s="107"/>
      <c r="EI52" s="107"/>
      <c r="EJ52" s="107"/>
      <c r="EK52" s="107"/>
      <c r="EL52" s="107"/>
      <c r="EM52" s="107"/>
      <c r="EN52" s="107"/>
      <c r="EO52" s="107"/>
      <c r="EP52" s="107"/>
      <c r="EQ52" s="107"/>
      <c r="ER52" s="107"/>
      <c r="ES52" s="107"/>
      <c r="ET52" s="107"/>
      <c r="EU52" s="107"/>
      <c r="EV52" s="107"/>
      <c r="EW52" s="107"/>
      <c r="EX52" s="107"/>
      <c r="EY52" s="107"/>
      <c r="EZ52" s="107"/>
      <c r="FA52" s="107"/>
      <c r="FB52" s="107"/>
      <c r="FC52" s="107"/>
      <c r="FD52" s="107"/>
      <c r="FE52" s="107"/>
      <c r="FF52" s="107"/>
      <c r="FG52" s="107"/>
      <c r="FH52" s="107"/>
      <c r="FI52" s="107"/>
      <c r="FJ52" s="107"/>
      <c r="FK52" s="107"/>
      <c r="FL52" s="107"/>
      <c r="FM52" s="107"/>
      <c r="FN52" s="107"/>
      <c r="FO52" s="107"/>
      <c r="FP52" s="107"/>
      <c r="FQ52" s="107"/>
      <c r="FR52" s="107"/>
      <c r="FS52" s="107"/>
      <c r="FT52" s="107"/>
      <c r="FU52" s="107"/>
      <c r="FV52" s="107"/>
      <c r="FW52" s="107"/>
      <c r="FX52" s="107"/>
      <c r="FY52" s="107"/>
      <c r="FZ52" s="107"/>
      <c r="GA52" s="107"/>
      <c r="GB52" s="107"/>
      <c r="GC52" s="107"/>
      <c r="GD52" s="107"/>
      <c r="GE52" s="107"/>
      <c r="GF52" s="107"/>
      <c r="GG52" s="107"/>
      <c r="GH52" s="107"/>
      <c r="GI52" s="107"/>
      <c r="GJ52" s="107"/>
      <c r="GK52" s="107"/>
      <c r="GL52" s="107"/>
      <c r="GM52" s="107"/>
      <c r="GN52" s="107"/>
      <c r="GO52" s="107"/>
      <c r="GP52" s="107"/>
      <c r="GQ52" s="107"/>
      <c r="GR52" s="107"/>
      <c r="GS52" s="107"/>
      <c r="GT52" s="107"/>
      <c r="GU52" s="107"/>
      <c r="GV52" s="107"/>
      <c r="GW52" s="107"/>
      <c r="GX52" s="107"/>
      <c r="GY52" s="107"/>
      <c r="GZ52" s="107"/>
      <c r="HA52" s="107"/>
      <c r="HB52" s="107"/>
      <c r="HC52" s="107"/>
      <c r="HD52" s="107"/>
      <c r="HE52" s="107"/>
      <c r="HF52" s="107"/>
    </row>
    <row r="53" spans="1:214" s="27" customFormat="1" ht="24" customHeight="1">
      <c r="A53" s="93"/>
      <c r="B53" s="58"/>
      <c r="C53" s="83">
        <v>3110</v>
      </c>
      <c r="D53" s="81" t="s">
        <v>376</v>
      </c>
      <c r="E53" s="74">
        <v>7510656</v>
      </c>
      <c r="F53" s="74"/>
      <c r="G53" s="74"/>
      <c r="H53" s="89">
        <f t="shared" si="9"/>
        <v>7510656</v>
      </c>
      <c r="I53" s="74">
        <v>0</v>
      </c>
      <c r="J53" s="89">
        <f t="shared" si="10"/>
        <v>7510656</v>
      </c>
      <c r="K53" s="74">
        <v>7663</v>
      </c>
      <c r="L53" s="89">
        <f t="shared" si="11"/>
        <v>7518319</v>
      </c>
      <c r="M53" s="74"/>
      <c r="N53" s="89">
        <f t="shared" si="12"/>
        <v>7518319</v>
      </c>
      <c r="O53" s="74">
        <v>-194000</v>
      </c>
      <c r="P53" s="89">
        <f t="shared" si="13"/>
        <v>7324319</v>
      </c>
      <c r="Q53" s="74">
        <v>-48500</v>
      </c>
      <c r="R53" s="89">
        <f t="shared" si="14"/>
        <v>7275819</v>
      </c>
      <c r="S53" s="74">
        <f>-250000+7500</f>
        <v>-242500</v>
      </c>
      <c r="T53" s="89">
        <f t="shared" si="23"/>
        <v>7033319</v>
      </c>
      <c r="U53" s="74">
        <v>0</v>
      </c>
      <c r="V53" s="89">
        <f t="shared" si="24"/>
        <v>7033319</v>
      </c>
      <c r="W53" s="74">
        <v>0</v>
      </c>
      <c r="X53" s="89">
        <f t="shared" si="25"/>
        <v>7033319</v>
      </c>
      <c r="Y53" s="74">
        <v>0</v>
      </c>
      <c r="Z53" s="89">
        <f t="shared" si="26"/>
        <v>7033319</v>
      </c>
      <c r="AA53" s="74">
        <v>22881</v>
      </c>
      <c r="AB53" s="89">
        <f t="shared" si="27"/>
        <v>7056200</v>
      </c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  <c r="BF53" s="107"/>
      <c r="BG53" s="107"/>
      <c r="BH53" s="107"/>
      <c r="BI53" s="107"/>
      <c r="BJ53" s="107"/>
      <c r="BK53" s="107"/>
      <c r="BL53" s="107"/>
      <c r="BM53" s="107"/>
      <c r="BN53" s="107"/>
      <c r="BO53" s="107"/>
      <c r="BP53" s="107"/>
      <c r="BQ53" s="107"/>
      <c r="BR53" s="107"/>
      <c r="BS53" s="107"/>
      <c r="BT53" s="107"/>
      <c r="BU53" s="107"/>
      <c r="BV53" s="107"/>
      <c r="BW53" s="107"/>
      <c r="BX53" s="107"/>
      <c r="BY53" s="107"/>
      <c r="BZ53" s="107"/>
      <c r="CA53" s="107"/>
      <c r="CB53" s="107"/>
      <c r="CC53" s="107"/>
      <c r="CD53" s="107"/>
      <c r="CE53" s="107"/>
      <c r="CF53" s="107"/>
      <c r="CG53" s="107"/>
      <c r="CH53" s="107"/>
      <c r="CI53" s="107"/>
      <c r="CJ53" s="107"/>
      <c r="CK53" s="107"/>
      <c r="CL53" s="107"/>
      <c r="CM53" s="107"/>
      <c r="CN53" s="107"/>
      <c r="CO53" s="107"/>
      <c r="CP53" s="107"/>
      <c r="CQ53" s="107"/>
      <c r="CR53" s="107"/>
      <c r="CS53" s="107"/>
      <c r="CT53" s="107"/>
      <c r="CU53" s="107"/>
      <c r="CV53" s="107"/>
      <c r="CW53" s="107"/>
      <c r="CX53" s="107"/>
      <c r="CY53" s="107"/>
      <c r="CZ53" s="107"/>
      <c r="DA53" s="107"/>
      <c r="DB53" s="107"/>
      <c r="DC53" s="107"/>
      <c r="DD53" s="107"/>
      <c r="DE53" s="107"/>
      <c r="DF53" s="107"/>
      <c r="DG53" s="107"/>
      <c r="DH53" s="107"/>
      <c r="DI53" s="107"/>
      <c r="DJ53" s="107"/>
      <c r="DK53" s="107"/>
      <c r="DL53" s="107"/>
      <c r="DM53" s="107"/>
      <c r="DN53" s="107"/>
      <c r="DO53" s="107"/>
      <c r="DP53" s="107"/>
      <c r="DQ53" s="107"/>
      <c r="DR53" s="107"/>
      <c r="DS53" s="107"/>
      <c r="DT53" s="107"/>
      <c r="DU53" s="107"/>
      <c r="DV53" s="107"/>
      <c r="DW53" s="107"/>
      <c r="DX53" s="107"/>
      <c r="DY53" s="107"/>
      <c r="DZ53" s="107"/>
      <c r="EA53" s="107"/>
      <c r="EB53" s="107"/>
      <c r="EC53" s="107"/>
      <c r="ED53" s="107"/>
      <c r="EE53" s="107"/>
      <c r="EF53" s="107"/>
      <c r="EG53" s="107"/>
      <c r="EH53" s="107"/>
      <c r="EI53" s="107"/>
      <c r="EJ53" s="107"/>
      <c r="EK53" s="107"/>
      <c r="EL53" s="107"/>
      <c r="EM53" s="107"/>
      <c r="EN53" s="107"/>
      <c r="EO53" s="107"/>
      <c r="EP53" s="107"/>
      <c r="EQ53" s="107"/>
      <c r="ER53" s="107"/>
      <c r="ES53" s="107"/>
      <c r="ET53" s="107"/>
      <c r="EU53" s="107"/>
      <c r="EV53" s="107"/>
      <c r="EW53" s="107"/>
      <c r="EX53" s="107"/>
      <c r="EY53" s="107"/>
      <c r="EZ53" s="107"/>
      <c r="FA53" s="107"/>
      <c r="FB53" s="107"/>
      <c r="FC53" s="107"/>
      <c r="FD53" s="107"/>
      <c r="FE53" s="107"/>
      <c r="FF53" s="107"/>
      <c r="FG53" s="107"/>
      <c r="FH53" s="107"/>
      <c r="FI53" s="107"/>
      <c r="FJ53" s="107"/>
      <c r="FK53" s="107"/>
      <c r="FL53" s="107"/>
      <c r="FM53" s="107"/>
      <c r="FN53" s="107"/>
      <c r="FO53" s="107"/>
      <c r="FP53" s="107"/>
      <c r="FQ53" s="107"/>
      <c r="FR53" s="107"/>
      <c r="FS53" s="107"/>
      <c r="FT53" s="107"/>
      <c r="FU53" s="107"/>
      <c r="FV53" s="107"/>
      <c r="FW53" s="107"/>
      <c r="FX53" s="107"/>
      <c r="FY53" s="107"/>
      <c r="FZ53" s="107"/>
      <c r="GA53" s="107"/>
      <c r="GB53" s="107"/>
      <c r="GC53" s="107"/>
      <c r="GD53" s="107"/>
      <c r="GE53" s="107"/>
      <c r="GF53" s="107"/>
      <c r="GG53" s="107"/>
      <c r="GH53" s="107"/>
      <c r="GI53" s="107"/>
      <c r="GJ53" s="107"/>
      <c r="GK53" s="107"/>
      <c r="GL53" s="107"/>
      <c r="GM53" s="107"/>
      <c r="GN53" s="107"/>
      <c r="GO53" s="107"/>
      <c r="GP53" s="107"/>
      <c r="GQ53" s="107"/>
      <c r="GR53" s="107"/>
      <c r="GS53" s="107"/>
      <c r="GT53" s="107"/>
      <c r="GU53" s="107"/>
      <c r="GV53" s="107"/>
      <c r="GW53" s="107"/>
      <c r="GX53" s="107"/>
      <c r="GY53" s="107"/>
      <c r="GZ53" s="107"/>
      <c r="HA53" s="107"/>
      <c r="HB53" s="107"/>
      <c r="HC53" s="107"/>
      <c r="HD53" s="107"/>
      <c r="HE53" s="107"/>
      <c r="HF53" s="107"/>
    </row>
    <row r="54" spans="1:214" s="27" customFormat="1" ht="24" customHeight="1">
      <c r="A54" s="93"/>
      <c r="B54" s="58"/>
      <c r="C54" s="58">
        <v>4010</v>
      </c>
      <c r="D54" s="14" t="s">
        <v>345</v>
      </c>
      <c r="E54" s="74">
        <v>123700</v>
      </c>
      <c r="F54" s="74"/>
      <c r="G54" s="74"/>
      <c r="H54" s="89">
        <f t="shared" si="9"/>
        <v>123700</v>
      </c>
      <c r="I54" s="74">
        <v>0</v>
      </c>
      <c r="J54" s="89">
        <f t="shared" si="10"/>
        <v>123700</v>
      </c>
      <c r="K54" s="74">
        <v>0</v>
      </c>
      <c r="L54" s="89">
        <f t="shared" si="11"/>
        <v>123700</v>
      </c>
      <c r="M54" s="74">
        <v>0</v>
      </c>
      <c r="N54" s="89">
        <f t="shared" si="12"/>
        <v>123700</v>
      </c>
      <c r="O54" s="74">
        <v>0</v>
      </c>
      <c r="P54" s="89">
        <f t="shared" si="13"/>
        <v>123700</v>
      </c>
      <c r="Q54" s="74">
        <v>0</v>
      </c>
      <c r="R54" s="89">
        <f t="shared" si="14"/>
        <v>123700</v>
      </c>
      <c r="S54" s="74">
        <v>0</v>
      </c>
      <c r="T54" s="89">
        <f t="shared" si="23"/>
        <v>123700</v>
      </c>
      <c r="U54" s="74">
        <v>10073</v>
      </c>
      <c r="V54" s="89">
        <f t="shared" si="24"/>
        <v>133773</v>
      </c>
      <c r="W54" s="74">
        <v>0</v>
      </c>
      <c r="X54" s="89">
        <f t="shared" si="25"/>
        <v>133773</v>
      </c>
      <c r="Y54" s="74">
        <v>0</v>
      </c>
      <c r="Z54" s="89">
        <f t="shared" si="26"/>
        <v>133773</v>
      </c>
      <c r="AA54" s="74">
        <v>500</v>
      </c>
      <c r="AB54" s="89">
        <f t="shared" si="27"/>
        <v>134273</v>
      </c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107"/>
      <c r="BI54" s="107"/>
      <c r="BJ54" s="107"/>
      <c r="BK54" s="107"/>
      <c r="BL54" s="107"/>
      <c r="BM54" s="107"/>
      <c r="BN54" s="107"/>
      <c r="BO54" s="107"/>
      <c r="BP54" s="107"/>
      <c r="BQ54" s="107"/>
      <c r="BR54" s="107"/>
      <c r="BS54" s="107"/>
      <c r="BT54" s="107"/>
      <c r="BU54" s="107"/>
      <c r="BV54" s="107"/>
      <c r="BW54" s="107"/>
      <c r="BX54" s="107"/>
      <c r="BY54" s="107"/>
      <c r="BZ54" s="107"/>
      <c r="CA54" s="107"/>
      <c r="CB54" s="107"/>
      <c r="CC54" s="107"/>
      <c r="CD54" s="107"/>
      <c r="CE54" s="107"/>
      <c r="CF54" s="107"/>
      <c r="CG54" s="107"/>
      <c r="CH54" s="107"/>
      <c r="CI54" s="107"/>
      <c r="CJ54" s="107"/>
      <c r="CK54" s="107"/>
      <c r="CL54" s="107"/>
      <c r="CM54" s="107"/>
      <c r="CN54" s="107"/>
      <c r="CO54" s="107"/>
      <c r="CP54" s="107"/>
      <c r="CQ54" s="107"/>
      <c r="CR54" s="107"/>
      <c r="CS54" s="107"/>
      <c r="CT54" s="107"/>
      <c r="CU54" s="107"/>
      <c r="CV54" s="107"/>
      <c r="CW54" s="107"/>
      <c r="CX54" s="107"/>
      <c r="CY54" s="107"/>
      <c r="CZ54" s="107"/>
      <c r="DA54" s="107"/>
      <c r="DB54" s="107"/>
      <c r="DC54" s="107"/>
      <c r="DD54" s="107"/>
      <c r="DE54" s="107"/>
      <c r="DF54" s="107"/>
      <c r="DG54" s="107"/>
      <c r="DH54" s="107"/>
      <c r="DI54" s="107"/>
      <c r="DJ54" s="107"/>
      <c r="DK54" s="107"/>
      <c r="DL54" s="107"/>
      <c r="DM54" s="107"/>
      <c r="DN54" s="107"/>
      <c r="DO54" s="107"/>
      <c r="DP54" s="107"/>
      <c r="DQ54" s="107"/>
      <c r="DR54" s="107"/>
      <c r="DS54" s="107"/>
      <c r="DT54" s="107"/>
      <c r="DU54" s="107"/>
      <c r="DV54" s="107"/>
      <c r="DW54" s="107"/>
      <c r="DX54" s="107"/>
      <c r="DY54" s="107"/>
      <c r="DZ54" s="107"/>
      <c r="EA54" s="107"/>
      <c r="EB54" s="107"/>
      <c r="EC54" s="107"/>
      <c r="ED54" s="107"/>
      <c r="EE54" s="107"/>
      <c r="EF54" s="107"/>
      <c r="EG54" s="107"/>
      <c r="EH54" s="107"/>
      <c r="EI54" s="107"/>
      <c r="EJ54" s="107"/>
      <c r="EK54" s="107"/>
      <c r="EL54" s="107"/>
      <c r="EM54" s="107"/>
      <c r="EN54" s="107"/>
      <c r="EO54" s="107"/>
      <c r="EP54" s="107"/>
      <c r="EQ54" s="107"/>
      <c r="ER54" s="107"/>
      <c r="ES54" s="107"/>
      <c r="ET54" s="107"/>
      <c r="EU54" s="107"/>
      <c r="EV54" s="107"/>
      <c r="EW54" s="107"/>
      <c r="EX54" s="107"/>
      <c r="EY54" s="107"/>
      <c r="EZ54" s="107"/>
      <c r="FA54" s="107"/>
      <c r="FB54" s="107"/>
      <c r="FC54" s="107"/>
      <c r="FD54" s="107"/>
      <c r="FE54" s="107"/>
      <c r="FF54" s="107"/>
      <c r="FG54" s="107"/>
      <c r="FH54" s="107"/>
      <c r="FI54" s="107"/>
      <c r="FJ54" s="107"/>
      <c r="FK54" s="107"/>
      <c r="FL54" s="107"/>
      <c r="FM54" s="107"/>
      <c r="FN54" s="107"/>
      <c r="FO54" s="107"/>
      <c r="FP54" s="107"/>
      <c r="FQ54" s="107"/>
      <c r="FR54" s="107"/>
      <c r="FS54" s="107"/>
      <c r="FT54" s="107"/>
      <c r="FU54" s="107"/>
      <c r="FV54" s="107"/>
      <c r="FW54" s="107"/>
      <c r="FX54" s="107"/>
      <c r="FY54" s="107"/>
      <c r="FZ54" s="107"/>
      <c r="GA54" s="107"/>
      <c r="GB54" s="107"/>
      <c r="GC54" s="107"/>
      <c r="GD54" s="107"/>
      <c r="GE54" s="107"/>
      <c r="GF54" s="107"/>
      <c r="GG54" s="107"/>
      <c r="GH54" s="107"/>
      <c r="GI54" s="107"/>
      <c r="GJ54" s="107"/>
      <c r="GK54" s="107"/>
      <c r="GL54" s="107"/>
      <c r="GM54" s="107"/>
      <c r="GN54" s="107"/>
      <c r="GO54" s="107"/>
      <c r="GP54" s="107"/>
      <c r="GQ54" s="107"/>
      <c r="GR54" s="107"/>
      <c r="GS54" s="107"/>
      <c r="GT54" s="107"/>
      <c r="GU54" s="107"/>
      <c r="GV54" s="107"/>
      <c r="GW54" s="107"/>
      <c r="GX54" s="107"/>
      <c r="GY54" s="107"/>
      <c r="GZ54" s="107"/>
      <c r="HA54" s="107"/>
      <c r="HB54" s="107"/>
      <c r="HC54" s="107"/>
      <c r="HD54" s="107"/>
      <c r="HE54" s="107"/>
      <c r="HF54" s="107"/>
    </row>
    <row r="55" spans="1:214" s="27" customFormat="1" ht="24" customHeight="1">
      <c r="A55" s="93"/>
      <c r="B55" s="58"/>
      <c r="C55" s="58">
        <v>4040</v>
      </c>
      <c r="D55" s="14" t="s">
        <v>346</v>
      </c>
      <c r="E55" s="74">
        <v>11000</v>
      </c>
      <c r="F55" s="74"/>
      <c r="G55" s="74"/>
      <c r="H55" s="89">
        <f t="shared" si="9"/>
        <v>11000</v>
      </c>
      <c r="I55" s="74">
        <v>0</v>
      </c>
      <c r="J55" s="89">
        <f t="shared" si="10"/>
        <v>11000</v>
      </c>
      <c r="K55" s="74">
        <v>0</v>
      </c>
      <c r="L55" s="89">
        <f t="shared" si="11"/>
        <v>11000</v>
      </c>
      <c r="M55" s="74">
        <v>0</v>
      </c>
      <c r="N55" s="89">
        <f t="shared" si="12"/>
        <v>11000</v>
      </c>
      <c r="O55" s="74">
        <v>0</v>
      </c>
      <c r="P55" s="89">
        <f t="shared" si="13"/>
        <v>11000</v>
      </c>
      <c r="Q55" s="74">
        <v>0</v>
      </c>
      <c r="R55" s="89">
        <f t="shared" si="14"/>
        <v>11000</v>
      </c>
      <c r="S55" s="74">
        <v>0</v>
      </c>
      <c r="T55" s="89">
        <f t="shared" si="23"/>
        <v>11000</v>
      </c>
      <c r="U55" s="74">
        <v>-873</v>
      </c>
      <c r="V55" s="89">
        <f t="shared" si="24"/>
        <v>10127</v>
      </c>
      <c r="W55" s="74">
        <v>0</v>
      </c>
      <c r="X55" s="89">
        <f t="shared" si="25"/>
        <v>10127</v>
      </c>
      <c r="Y55" s="74">
        <v>0</v>
      </c>
      <c r="Z55" s="89">
        <f t="shared" si="26"/>
        <v>10127</v>
      </c>
      <c r="AA55" s="74">
        <v>0</v>
      </c>
      <c r="AB55" s="89">
        <f t="shared" si="27"/>
        <v>10127</v>
      </c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107"/>
      <c r="BD55" s="107"/>
      <c r="BE55" s="107"/>
      <c r="BF55" s="107"/>
      <c r="BG55" s="107"/>
      <c r="BH55" s="107"/>
      <c r="BI55" s="107"/>
      <c r="BJ55" s="107"/>
      <c r="BK55" s="107"/>
      <c r="BL55" s="107"/>
      <c r="BM55" s="107"/>
      <c r="BN55" s="107"/>
      <c r="BO55" s="107"/>
      <c r="BP55" s="107"/>
      <c r="BQ55" s="107"/>
      <c r="BR55" s="107"/>
      <c r="BS55" s="107"/>
      <c r="BT55" s="107"/>
      <c r="BU55" s="107"/>
      <c r="BV55" s="107"/>
      <c r="BW55" s="107"/>
      <c r="BX55" s="107"/>
      <c r="BY55" s="107"/>
      <c r="BZ55" s="107"/>
      <c r="CA55" s="107"/>
      <c r="CB55" s="107"/>
      <c r="CC55" s="107"/>
      <c r="CD55" s="107"/>
      <c r="CE55" s="107"/>
      <c r="CF55" s="107"/>
      <c r="CG55" s="107"/>
      <c r="CH55" s="107"/>
      <c r="CI55" s="107"/>
      <c r="CJ55" s="107"/>
      <c r="CK55" s="107"/>
      <c r="CL55" s="107"/>
      <c r="CM55" s="107"/>
      <c r="CN55" s="107"/>
      <c r="CO55" s="107"/>
      <c r="CP55" s="107"/>
      <c r="CQ55" s="107"/>
      <c r="CR55" s="107"/>
      <c r="CS55" s="107"/>
      <c r="CT55" s="107"/>
      <c r="CU55" s="107"/>
      <c r="CV55" s="107"/>
      <c r="CW55" s="107"/>
      <c r="CX55" s="107"/>
      <c r="CY55" s="107"/>
      <c r="CZ55" s="107"/>
      <c r="DA55" s="107"/>
      <c r="DB55" s="107"/>
      <c r="DC55" s="107"/>
      <c r="DD55" s="107"/>
      <c r="DE55" s="107"/>
      <c r="DF55" s="107"/>
      <c r="DG55" s="107"/>
      <c r="DH55" s="107"/>
      <c r="DI55" s="107"/>
      <c r="DJ55" s="107"/>
      <c r="DK55" s="107"/>
      <c r="DL55" s="107"/>
      <c r="DM55" s="107"/>
      <c r="DN55" s="107"/>
      <c r="DO55" s="107"/>
      <c r="DP55" s="107"/>
      <c r="DQ55" s="107"/>
      <c r="DR55" s="107"/>
      <c r="DS55" s="107"/>
      <c r="DT55" s="107"/>
      <c r="DU55" s="107"/>
      <c r="DV55" s="107"/>
      <c r="DW55" s="107"/>
      <c r="DX55" s="107"/>
      <c r="DY55" s="107"/>
      <c r="DZ55" s="107"/>
      <c r="EA55" s="107"/>
      <c r="EB55" s="107"/>
      <c r="EC55" s="107"/>
      <c r="ED55" s="107"/>
      <c r="EE55" s="107"/>
      <c r="EF55" s="107"/>
      <c r="EG55" s="107"/>
      <c r="EH55" s="107"/>
      <c r="EI55" s="107"/>
      <c r="EJ55" s="107"/>
      <c r="EK55" s="107"/>
      <c r="EL55" s="107"/>
      <c r="EM55" s="107"/>
      <c r="EN55" s="107"/>
      <c r="EO55" s="107"/>
      <c r="EP55" s="107"/>
      <c r="EQ55" s="107"/>
      <c r="ER55" s="107"/>
      <c r="ES55" s="107"/>
      <c r="ET55" s="107"/>
      <c r="EU55" s="107"/>
      <c r="EV55" s="107"/>
      <c r="EW55" s="107"/>
      <c r="EX55" s="107"/>
      <c r="EY55" s="107"/>
      <c r="EZ55" s="107"/>
      <c r="FA55" s="107"/>
      <c r="FB55" s="107"/>
      <c r="FC55" s="107"/>
      <c r="FD55" s="107"/>
      <c r="FE55" s="107"/>
      <c r="FF55" s="107"/>
      <c r="FG55" s="107"/>
      <c r="FH55" s="107"/>
      <c r="FI55" s="107"/>
      <c r="FJ55" s="107"/>
      <c r="FK55" s="107"/>
      <c r="FL55" s="107"/>
      <c r="FM55" s="107"/>
      <c r="FN55" s="107"/>
      <c r="FO55" s="107"/>
      <c r="FP55" s="107"/>
      <c r="FQ55" s="107"/>
      <c r="FR55" s="107"/>
      <c r="FS55" s="107"/>
      <c r="FT55" s="107"/>
      <c r="FU55" s="107"/>
      <c r="FV55" s="107"/>
      <c r="FW55" s="107"/>
      <c r="FX55" s="107"/>
      <c r="FY55" s="107"/>
      <c r="FZ55" s="107"/>
      <c r="GA55" s="107"/>
      <c r="GB55" s="107"/>
      <c r="GC55" s="107"/>
      <c r="GD55" s="107"/>
      <c r="GE55" s="107"/>
      <c r="GF55" s="107"/>
      <c r="GG55" s="107"/>
      <c r="GH55" s="107"/>
      <c r="GI55" s="107"/>
      <c r="GJ55" s="107"/>
      <c r="GK55" s="107"/>
      <c r="GL55" s="107"/>
      <c r="GM55" s="107"/>
      <c r="GN55" s="107"/>
      <c r="GO55" s="107"/>
      <c r="GP55" s="107"/>
      <c r="GQ55" s="107"/>
      <c r="GR55" s="107"/>
      <c r="GS55" s="107"/>
      <c r="GT55" s="107"/>
      <c r="GU55" s="107"/>
      <c r="GV55" s="107"/>
      <c r="GW55" s="107"/>
      <c r="GX55" s="107"/>
      <c r="GY55" s="107"/>
      <c r="GZ55" s="107"/>
      <c r="HA55" s="107"/>
      <c r="HB55" s="107"/>
      <c r="HC55" s="107"/>
      <c r="HD55" s="107"/>
      <c r="HE55" s="107"/>
      <c r="HF55" s="107"/>
    </row>
    <row r="56" spans="1:214" s="27" customFormat="1" ht="24" customHeight="1">
      <c r="A56" s="93"/>
      <c r="B56" s="58"/>
      <c r="C56" s="58">
        <v>4110</v>
      </c>
      <c r="D56" s="14" t="s">
        <v>347</v>
      </c>
      <c r="E56" s="74">
        <f>23500+60000</f>
        <v>83500</v>
      </c>
      <c r="F56" s="74"/>
      <c r="G56" s="74"/>
      <c r="H56" s="89">
        <f t="shared" si="9"/>
        <v>83500</v>
      </c>
      <c r="I56" s="74">
        <v>0</v>
      </c>
      <c r="J56" s="89">
        <f t="shared" si="10"/>
        <v>83500</v>
      </c>
      <c r="K56" s="74">
        <v>0</v>
      </c>
      <c r="L56" s="89">
        <f t="shared" si="11"/>
        <v>83500</v>
      </c>
      <c r="M56" s="74">
        <v>0</v>
      </c>
      <c r="N56" s="89">
        <f t="shared" si="12"/>
        <v>83500</v>
      </c>
      <c r="O56" s="74">
        <v>0</v>
      </c>
      <c r="P56" s="89">
        <f t="shared" si="13"/>
        <v>83500</v>
      </c>
      <c r="Q56" s="74">
        <v>0</v>
      </c>
      <c r="R56" s="89">
        <f t="shared" si="14"/>
        <v>83500</v>
      </c>
      <c r="S56" s="74">
        <v>0</v>
      </c>
      <c r="T56" s="89">
        <f t="shared" si="23"/>
        <v>83500</v>
      </c>
      <c r="U56" s="74">
        <v>1200</v>
      </c>
      <c r="V56" s="89">
        <f t="shared" si="24"/>
        <v>84700</v>
      </c>
      <c r="W56" s="74">
        <v>0</v>
      </c>
      <c r="X56" s="89">
        <f t="shared" si="25"/>
        <v>84700</v>
      </c>
      <c r="Y56" s="74">
        <v>0</v>
      </c>
      <c r="Z56" s="89">
        <f t="shared" si="26"/>
        <v>84700</v>
      </c>
      <c r="AA56" s="74">
        <f>300</f>
        <v>300</v>
      </c>
      <c r="AB56" s="89">
        <f t="shared" si="27"/>
        <v>85000</v>
      </c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  <c r="AX56" s="107"/>
      <c r="AY56" s="107"/>
      <c r="AZ56" s="107"/>
      <c r="BA56" s="107"/>
      <c r="BB56" s="107"/>
      <c r="BC56" s="107"/>
      <c r="BD56" s="107"/>
      <c r="BE56" s="107"/>
      <c r="BF56" s="107"/>
      <c r="BG56" s="107"/>
      <c r="BH56" s="107"/>
      <c r="BI56" s="107"/>
      <c r="BJ56" s="107"/>
      <c r="BK56" s="107"/>
      <c r="BL56" s="107"/>
      <c r="BM56" s="107"/>
      <c r="BN56" s="107"/>
      <c r="BO56" s="107"/>
      <c r="BP56" s="107"/>
      <c r="BQ56" s="107"/>
      <c r="BR56" s="107"/>
      <c r="BS56" s="107"/>
      <c r="BT56" s="107"/>
      <c r="BU56" s="107"/>
      <c r="BV56" s="107"/>
      <c r="BW56" s="107"/>
      <c r="BX56" s="107"/>
      <c r="BY56" s="107"/>
      <c r="BZ56" s="107"/>
      <c r="CA56" s="107"/>
      <c r="CB56" s="107"/>
      <c r="CC56" s="107"/>
      <c r="CD56" s="107"/>
      <c r="CE56" s="107"/>
      <c r="CF56" s="107"/>
      <c r="CG56" s="107"/>
      <c r="CH56" s="107"/>
      <c r="CI56" s="107"/>
      <c r="CJ56" s="107"/>
      <c r="CK56" s="107"/>
      <c r="CL56" s="107"/>
      <c r="CM56" s="107"/>
      <c r="CN56" s="107"/>
      <c r="CO56" s="107"/>
      <c r="CP56" s="107"/>
      <c r="CQ56" s="107"/>
      <c r="CR56" s="107"/>
      <c r="CS56" s="107"/>
      <c r="CT56" s="107"/>
      <c r="CU56" s="107"/>
      <c r="CV56" s="107"/>
      <c r="CW56" s="107"/>
      <c r="CX56" s="107"/>
      <c r="CY56" s="107"/>
      <c r="CZ56" s="107"/>
      <c r="DA56" s="107"/>
      <c r="DB56" s="107"/>
      <c r="DC56" s="107"/>
      <c r="DD56" s="107"/>
      <c r="DE56" s="107"/>
      <c r="DF56" s="107"/>
      <c r="DG56" s="107"/>
      <c r="DH56" s="107"/>
      <c r="DI56" s="107"/>
      <c r="DJ56" s="107"/>
      <c r="DK56" s="107"/>
      <c r="DL56" s="107"/>
      <c r="DM56" s="107"/>
      <c r="DN56" s="107"/>
      <c r="DO56" s="107"/>
      <c r="DP56" s="107"/>
      <c r="DQ56" s="107"/>
      <c r="DR56" s="107"/>
      <c r="DS56" s="107"/>
      <c r="DT56" s="107"/>
      <c r="DU56" s="107"/>
      <c r="DV56" s="107"/>
      <c r="DW56" s="107"/>
      <c r="DX56" s="107"/>
      <c r="DY56" s="107"/>
      <c r="DZ56" s="107"/>
      <c r="EA56" s="107"/>
      <c r="EB56" s="107"/>
      <c r="EC56" s="107"/>
      <c r="ED56" s="107"/>
      <c r="EE56" s="107"/>
      <c r="EF56" s="107"/>
      <c r="EG56" s="107"/>
      <c r="EH56" s="107"/>
      <c r="EI56" s="107"/>
      <c r="EJ56" s="107"/>
      <c r="EK56" s="107"/>
      <c r="EL56" s="107"/>
      <c r="EM56" s="107"/>
      <c r="EN56" s="107"/>
      <c r="EO56" s="107"/>
      <c r="EP56" s="107"/>
      <c r="EQ56" s="107"/>
      <c r="ER56" s="107"/>
      <c r="ES56" s="107"/>
      <c r="ET56" s="107"/>
      <c r="EU56" s="107"/>
      <c r="EV56" s="107"/>
      <c r="EW56" s="107"/>
      <c r="EX56" s="107"/>
      <c r="EY56" s="107"/>
      <c r="EZ56" s="107"/>
      <c r="FA56" s="107"/>
      <c r="FB56" s="107"/>
      <c r="FC56" s="107"/>
      <c r="FD56" s="107"/>
      <c r="FE56" s="107"/>
      <c r="FF56" s="107"/>
      <c r="FG56" s="107"/>
      <c r="FH56" s="107"/>
      <c r="FI56" s="107"/>
      <c r="FJ56" s="107"/>
      <c r="FK56" s="107"/>
      <c r="FL56" s="107"/>
      <c r="FM56" s="107"/>
      <c r="FN56" s="107"/>
      <c r="FO56" s="107"/>
      <c r="FP56" s="107"/>
      <c r="FQ56" s="107"/>
      <c r="FR56" s="107"/>
      <c r="FS56" s="107"/>
      <c r="FT56" s="107"/>
      <c r="FU56" s="107"/>
      <c r="FV56" s="107"/>
      <c r="FW56" s="107"/>
      <c r="FX56" s="107"/>
      <c r="FY56" s="107"/>
      <c r="FZ56" s="107"/>
      <c r="GA56" s="107"/>
      <c r="GB56" s="107"/>
      <c r="GC56" s="107"/>
      <c r="GD56" s="107"/>
      <c r="GE56" s="107"/>
      <c r="GF56" s="107"/>
      <c r="GG56" s="107"/>
      <c r="GH56" s="107"/>
      <c r="GI56" s="107"/>
      <c r="GJ56" s="107"/>
      <c r="GK56" s="107"/>
      <c r="GL56" s="107"/>
      <c r="GM56" s="107"/>
      <c r="GN56" s="107"/>
      <c r="GO56" s="107"/>
      <c r="GP56" s="107"/>
      <c r="GQ56" s="107"/>
      <c r="GR56" s="107"/>
      <c r="GS56" s="107"/>
      <c r="GT56" s="107"/>
      <c r="GU56" s="107"/>
      <c r="GV56" s="107"/>
      <c r="GW56" s="107"/>
      <c r="GX56" s="107"/>
      <c r="GY56" s="107"/>
      <c r="GZ56" s="107"/>
      <c r="HA56" s="107"/>
      <c r="HB56" s="107"/>
      <c r="HC56" s="107"/>
      <c r="HD56" s="107"/>
      <c r="HE56" s="107"/>
      <c r="HF56" s="107"/>
    </row>
    <row r="57" spans="1:214" s="27" customFormat="1" ht="24" customHeight="1">
      <c r="A57" s="93"/>
      <c r="B57" s="58"/>
      <c r="C57" s="58">
        <v>4120</v>
      </c>
      <c r="D57" s="14" t="s">
        <v>348</v>
      </c>
      <c r="E57" s="74">
        <v>3400</v>
      </c>
      <c r="F57" s="74"/>
      <c r="G57" s="74"/>
      <c r="H57" s="89">
        <f t="shared" si="9"/>
        <v>3400</v>
      </c>
      <c r="I57" s="74">
        <v>0</v>
      </c>
      <c r="J57" s="89">
        <f t="shared" si="10"/>
        <v>3400</v>
      </c>
      <c r="K57" s="74">
        <v>0</v>
      </c>
      <c r="L57" s="89">
        <f t="shared" si="11"/>
        <v>3400</v>
      </c>
      <c r="M57" s="74">
        <v>0</v>
      </c>
      <c r="N57" s="89">
        <f t="shared" si="12"/>
        <v>3400</v>
      </c>
      <c r="O57" s="74">
        <v>0</v>
      </c>
      <c r="P57" s="89">
        <f t="shared" si="13"/>
        <v>3400</v>
      </c>
      <c r="Q57" s="74">
        <v>0</v>
      </c>
      <c r="R57" s="89">
        <f t="shared" si="14"/>
        <v>3400</v>
      </c>
      <c r="S57" s="74">
        <v>0</v>
      </c>
      <c r="T57" s="89">
        <f t="shared" si="23"/>
        <v>3400</v>
      </c>
      <c r="U57" s="74">
        <v>100</v>
      </c>
      <c r="V57" s="89">
        <f t="shared" si="24"/>
        <v>3500</v>
      </c>
      <c r="W57" s="74">
        <v>0</v>
      </c>
      <c r="X57" s="89">
        <f t="shared" si="25"/>
        <v>3500</v>
      </c>
      <c r="Y57" s="74">
        <v>0</v>
      </c>
      <c r="Z57" s="89">
        <f t="shared" si="26"/>
        <v>3500</v>
      </c>
      <c r="AA57" s="74">
        <v>-22</v>
      </c>
      <c r="AB57" s="89">
        <f t="shared" si="27"/>
        <v>3478</v>
      </c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7"/>
      <c r="AV57" s="107"/>
      <c r="AW57" s="107"/>
      <c r="AX57" s="107"/>
      <c r="AY57" s="107"/>
      <c r="AZ57" s="107"/>
      <c r="BA57" s="107"/>
      <c r="BB57" s="107"/>
      <c r="BC57" s="107"/>
      <c r="BD57" s="107"/>
      <c r="BE57" s="107"/>
      <c r="BF57" s="107"/>
      <c r="BG57" s="107"/>
      <c r="BH57" s="107"/>
      <c r="BI57" s="107"/>
      <c r="BJ57" s="107"/>
      <c r="BK57" s="107"/>
      <c r="BL57" s="107"/>
      <c r="BM57" s="107"/>
      <c r="BN57" s="107"/>
      <c r="BO57" s="107"/>
      <c r="BP57" s="107"/>
      <c r="BQ57" s="107"/>
      <c r="BR57" s="107"/>
      <c r="BS57" s="107"/>
      <c r="BT57" s="107"/>
      <c r="BU57" s="107"/>
      <c r="BV57" s="107"/>
      <c r="BW57" s="107"/>
      <c r="BX57" s="107"/>
      <c r="BY57" s="107"/>
      <c r="BZ57" s="107"/>
      <c r="CA57" s="107"/>
      <c r="CB57" s="107"/>
      <c r="CC57" s="107"/>
      <c r="CD57" s="107"/>
      <c r="CE57" s="107"/>
      <c r="CF57" s="107"/>
      <c r="CG57" s="107"/>
      <c r="CH57" s="107"/>
      <c r="CI57" s="107"/>
      <c r="CJ57" s="107"/>
      <c r="CK57" s="107"/>
      <c r="CL57" s="107"/>
      <c r="CM57" s="107"/>
      <c r="CN57" s="107"/>
      <c r="CO57" s="107"/>
      <c r="CP57" s="107"/>
      <c r="CQ57" s="107"/>
      <c r="CR57" s="107"/>
      <c r="CS57" s="107"/>
      <c r="CT57" s="107"/>
      <c r="CU57" s="107"/>
      <c r="CV57" s="107"/>
      <c r="CW57" s="107"/>
      <c r="CX57" s="107"/>
      <c r="CY57" s="107"/>
      <c r="CZ57" s="107"/>
      <c r="DA57" s="107"/>
      <c r="DB57" s="107"/>
      <c r="DC57" s="107"/>
      <c r="DD57" s="107"/>
      <c r="DE57" s="107"/>
      <c r="DF57" s="107"/>
      <c r="DG57" s="107"/>
      <c r="DH57" s="107"/>
      <c r="DI57" s="107"/>
      <c r="DJ57" s="107"/>
      <c r="DK57" s="107"/>
      <c r="DL57" s="107"/>
      <c r="DM57" s="107"/>
      <c r="DN57" s="107"/>
      <c r="DO57" s="107"/>
      <c r="DP57" s="107"/>
      <c r="DQ57" s="107"/>
      <c r="DR57" s="107"/>
      <c r="DS57" s="107"/>
      <c r="DT57" s="107"/>
      <c r="DU57" s="107"/>
      <c r="DV57" s="107"/>
      <c r="DW57" s="107"/>
      <c r="DX57" s="107"/>
      <c r="DY57" s="107"/>
      <c r="DZ57" s="107"/>
      <c r="EA57" s="107"/>
      <c r="EB57" s="107"/>
      <c r="EC57" s="107"/>
      <c r="ED57" s="107"/>
      <c r="EE57" s="107"/>
      <c r="EF57" s="107"/>
      <c r="EG57" s="107"/>
      <c r="EH57" s="107"/>
      <c r="EI57" s="107"/>
      <c r="EJ57" s="107"/>
      <c r="EK57" s="107"/>
      <c r="EL57" s="107"/>
      <c r="EM57" s="107"/>
      <c r="EN57" s="107"/>
      <c r="EO57" s="107"/>
      <c r="EP57" s="107"/>
      <c r="EQ57" s="107"/>
      <c r="ER57" s="107"/>
      <c r="ES57" s="107"/>
      <c r="ET57" s="107"/>
      <c r="EU57" s="107"/>
      <c r="EV57" s="107"/>
      <c r="EW57" s="107"/>
      <c r="EX57" s="107"/>
      <c r="EY57" s="107"/>
      <c r="EZ57" s="107"/>
      <c r="FA57" s="107"/>
      <c r="FB57" s="107"/>
      <c r="FC57" s="107"/>
      <c r="FD57" s="107"/>
      <c r="FE57" s="107"/>
      <c r="FF57" s="107"/>
      <c r="FG57" s="107"/>
      <c r="FH57" s="107"/>
      <c r="FI57" s="107"/>
      <c r="FJ57" s="107"/>
      <c r="FK57" s="107"/>
      <c r="FL57" s="107"/>
      <c r="FM57" s="107"/>
      <c r="FN57" s="107"/>
      <c r="FO57" s="107"/>
      <c r="FP57" s="107"/>
      <c r="FQ57" s="107"/>
      <c r="FR57" s="107"/>
      <c r="FS57" s="107"/>
      <c r="FT57" s="107"/>
      <c r="FU57" s="107"/>
      <c r="FV57" s="107"/>
      <c r="FW57" s="107"/>
      <c r="FX57" s="107"/>
      <c r="FY57" s="107"/>
      <c r="FZ57" s="107"/>
      <c r="GA57" s="107"/>
      <c r="GB57" s="107"/>
      <c r="GC57" s="107"/>
      <c r="GD57" s="107"/>
      <c r="GE57" s="107"/>
      <c r="GF57" s="107"/>
      <c r="GG57" s="107"/>
      <c r="GH57" s="107"/>
      <c r="GI57" s="107"/>
      <c r="GJ57" s="107"/>
      <c r="GK57" s="107"/>
      <c r="GL57" s="107"/>
      <c r="GM57" s="107"/>
      <c r="GN57" s="107"/>
      <c r="GO57" s="107"/>
      <c r="GP57" s="107"/>
      <c r="GQ57" s="107"/>
      <c r="GR57" s="107"/>
      <c r="GS57" s="107"/>
      <c r="GT57" s="107"/>
      <c r="GU57" s="107"/>
      <c r="GV57" s="107"/>
      <c r="GW57" s="107"/>
      <c r="GX57" s="107"/>
      <c r="GY57" s="107"/>
      <c r="GZ57" s="107"/>
      <c r="HA57" s="107"/>
      <c r="HB57" s="107"/>
      <c r="HC57" s="107"/>
      <c r="HD57" s="107"/>
      <c r="HE57" s="107"/>
      <c r="HF57" s="107"/>
    </row>
    <row r="58" spans="1:214" s="27" customFormat="1" ht="24" customHeight="1">
      <c r="A58" s="93"/>
      <c r="B58" s="58"/>
      <c r="C58" s="58">
        <v>4170</v>
      </c>
      <c r="D58" s="40" t="s">
        <v>478</v>
      </c>
      <c r="E58" s="74">
        <v>4000</v>
      </c>
      <c r="F58" s="74"/>
      <c r="G58" s="74"/>
      <c r="H58" s="89">
        <f t="shared" si="9"/>
        <v>4000</v>
      </c>
      <c r="I58" s="74">
        <v>0</v>
      </c>
      <c r="J58" s="89">
        <f t="shared" si="10"/>
        <v>4000</v>
      </c>
      <c r="K58" s="74">
        <v>0</v>
      </c>
      <c r="L58" s="89">
        <f t="shared" si="11"/>
        <v>4000</v>
      </c>
      <c r="M58" s="74">
        <v>0</v>
      </c>
      <c r="N58" s="89">
        <f t="shared" si="12"/>
        <v>4000</v>
      </c>
      <c r="O58" s="74">
        <v>0</v>
      </c>
      <c r="P58" s="89">
        <f t="shared" si="13"/>
        <v>4000</v>
      </c>
      <c r="Q58" s="74">
        <v>0</v>
      </c>
      <c r="R58" s="89">
        <f t="shared" si="14"/>
        <v>4000</v>
      </c>
      <c r="S58" s="74">
        <v>0</v>
      </c>
      <c r="T58" s="89">
        <f t="shared" si="23"/>
        <v>4000</v>
      </c>
      <c r="U58" s="74">
        <v>-3000</v>
      </c>
      <c r="V58" s="89">
        <f t="shared" si="24"/>
        <v>1000</v>
      </c>
      <c r="W58" s="74">
        <v>0</v>
      </c>
      <c r="X58" s="89">
        <f t="shared" si="25"/>
        <v>1000</v>
      </c>
      <c r="Y58" s="74">
        <v>0</v>
      </c>
      <c r="Z58" s="89">
        <f t="shared" si="26"/>
        <v>1000</v>
      </c>
      <c r="AA58" s="74">
        <v>-920</v>
      </c>
      <c r="AB58" s="89">
        <f t="shared" si="27"/>
        <v>80</v>
      </c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7"/>
      <c r="AV58" s="107"/>
      <c r="AW58" s="107"/>
      <c r="AX58" s="107"/>
      <c r="AY58" s="107"/>
      <c r="AZ58" s="107"/>
      <c r="BA58" s="107"/>
      <c r="BB58" s="107"/>
      <c r="BC58" s="107"/>
      <c r="BD58" s="107"/>
      <c r="BE58" s="107"/>
      <c r="BF58" s="107"/>
      <c r="BG58" s="107"/>
      <c r="BH58" s="107"/>
      <c r="BI58" s="107"/>
      <c r="BJ58" s="107"/>
      <c r="BK58" s="107"/>
      <c r="BL58" s="107"/>
      <c r="BM58" s="107"/>
      <c r="BN58" s="107"/>
      <c r="BO58" s="107"/>
      <c r="BP58" s="107"/>
      <c r="BQ58" s="107"/>
      <c r="BR58" s="107"/>
      <c r="BS58" s="107"/>
      <c r="BT58" s="107"/>
      <c r="BU58" s="107"/>
      <c r="BV58" s="107"/>
      <c r="BW58" s="107"/>
      <c r="BX58" s="107"/>
      <c r="BY58" s="107"/>
      <c r="BZ58" s="107"/>
      <c r="CA58" s="107"/>
      <c r="CB58" s="107"/>
      <c r="CC58" s="107"/>
      <c r="CD58" s="107"/>
      <c r="CE58" s="107"/>
      <c r="CF58" s="107"/>
      <c r="CG58" s="107"/>
      <c r="CH58" s="107"/>
      <c r="CI58" s="107"/>
      <c r="CJ58" s="107"/>
      <c r="CK58" s="107"/>
      <c r="CL58" s="107"/>
      <c r="CM58" s="107"/>
      <c r="CN58" s="107"/>
      <c r="CO58" s="107"/>
      <c r="CP58" s="107"/>
      <c r="CQ58" s="107"/>
      <c r="CR58" s="107"/>
      <c r="CS58" s="107"/>
      <c r="CT58" s="107"/>
      <c r="CU58" s="107"/>
      <c r="CV58" s="107"/>
      <c r="CW58" s="107"/>
      <c r="CX58" s="107"/>
      <c r="CY58" s="107"/>
      <c r="CZ58" s="107"/>
      <c r="DA58" s="107"/>
      <c r="DB58" s="107"/>
      <c r="DC58" s="107"/>
      <c r="DD58" s="107"/>
      <c r="DE58" s="107"/>
      <c r="DF58" s="107"/>
      <c r="DG58" s="107"/>
      <c r="DH58" s="107"/>
      <c r="DI58" s="107"/>
      <c r="DJ58" s="107"/>
      <c r="DK58" s="107"/>
      <c r="DL58" s="107"/>
      <c r="DM58" s="107"/>
      <c r="DN58" s="107"/>
      <c r="DO58" s="107"/>
      <c r="DP58" s="107"/>
      <c r="DQ58" s="107"/>
      <c r="DR58" s="107"/>
      <c r="DS58" s="107"/>
      <c r="DT58" s="107"/>
      <c r="DU58" s="107"/>
      <c r="DV58" s="107"/>
      <c r="DW58" s="107"/>
      <c r="DX58" s="107"/>
      <c r="DY58" s="107"/>
      <c r="DZ58" s="107"/>
      <c r="EA58" s="107"/>
      <c r="EB58" s="107"/>
      <c r="EC58" s="107"/>
      <c r="ED58" s="107"/>
      <c r="EE58" s="107"/>
      <c r="EF58" s="107"/>
      <c r="EG58" s="107"/>
      <c r="EH58" s="107"/>
      <c r="EI58" s="107"/>
      <c r="EJ58" s="107"/>
      <c r="EK58" s="107"/>
      <c r="EL58" s="107"/>
      <c r="EM58" s="107"/>
      <c r="EN58" s="107"/>
      <c r="EO58" s="107"/>
      <c r="EP58" s="107"/>
      <c r="EQ58" s="107"/>
      <c r="ER58" s="107"/>
      <c r="ES58" s="107"/>
      <c r="ET58" s="107"/>
      <c r="EU58" s="107"/>
      <c r="EV58" s="107"/>
      <c r="EW58" s="107"/>
      <c r="EX58" s="107"/>
      <c r="EY58" s="107"/>
      <c r="EZ58" s="107"/>
      <c r="FA58" s="107"/>
      <c r="FB58" s="107"/>
      <c r="FC58" s="107"/>
      <c r="FD58" s="107"/>
      <c r="FE58" s="107"/>
      <c r="FF58" s="107"/>
      <c r="FG58" s="107"/>
      <c r="FH58" s="107"/>
      <c r="FI58" s="107"/>
      <c r="FJ58" s="107"/>
      <c r="FK58" s="107"/>
      <c r="FL58" s="107"/>
      <c r="FM58" s="107"/>
      <c r="FN58" s="107"/>
      <c r="FO58" s="107"/>
      <c r="FP58" s="107"/>
      <c r="FQ58" s="107"/>
      <c r="FR58" s="107"/>
      <c r="FS58" s="107"/>
      <c r="FT58" s="107"/>
      <c r="FU58" s="107"/>
      <c r="FV58" s="107"/>
      <c r="FW58" s="107"/>
      <c r="FX58" s="107"/>
      <c r="FY58" s="107"/>
      <c r="FZ58" s="107"/>
      <c r="GA58" s="107"/>
      <c r="GB58" s="107"/>
      <c r="GC58" s="107"/>
      <c r="GD58" s="107"/>
      <c r="GE58" s="107"/>
      <c r="GF58" s="107"/>
      <c r="GG58" s="107"/>
      <c r="GH58" s="107"/>
      <c r="GI58" s="107"/>
      <c r="GJ58" s="107"/>
      <c r="GK58" s="107"/>
      <c r="GL58" s="107"/>
      <c r="GM58" s="107"/>
      <c r="GN58" s="107"/>
      <c r="GO58" s="107"/>
      <c r="GP58" s="107"/>
      <c r="GQ58" s="107"/>
      <c r="GR58" s="107"/>
      <c r="GS58" s="107"/>
      <c r="GT58" s="107"/>
      <c r="GU58" s="107"/>
      <c r="GV58" s="107"/>
      <c r="GW58" s="107"/>
      <c r="GX58" s="107"/>
      <c r="GY58" s="107"/>
      <c r="GZ58" s="107"/>
      <c r="HA58" s="107"/>
      <c r="HB58" s="107"/>
      <c r="HC58" s="107"/>
      <c r="HD58" s="107"/>
      <c r="HE58" s="107"/>
      <c r="HF58" s="107"/>
    </row>
    <row r="59" spans="1:214" s="27" customFormat="1" ht="24" customHeight="1">
      <c r="A59" s="93"/>
      <c r="B59" s="58"/>
      <c r="C59" s="58">
        <v>4210</v>
      </c>
      <c r="D59" s="14" t="s">
        <v>354</v>
      </c>
      <c r="E59" s="74">
        <f>8000+3410</f>
        <v>11410</v>
      </c>
      <c r="F59" s="74">
        <v>7900</v>
      </c>
      <c r="G59" s="74"/>
      <c r="H59" s="89">
        <f t="shared" si="9"/>
        <v>19310</v>
      </c>
      <c r="I59" s="74">
        <v>0</v>
      </c>
      <c r="J59" s="89">
        <f t="shared" si="10"/>
        <v>19310</v>
      </c>
      <c r="K59" s="74">
        <v>-7663</v>
      </c>
      <c r="L59" s="89">
        <f t="shared" si="11"/>
        <v>11647</v>
      </c>
      <c r="M59" s="74"/>
      <c r="N59" s="89">
        <f t="shared" si="12"/>
        <v>11647</v>
      </c>
      <c r="O59" s="74"/>
      <c r="P59" s="89">
        <f t="shared" si="13"/>
        <v>11647</v>
      </c>
      <c r="Q59" s="74">
        <v>-1200</v>
      </c>
      <c r="R59" s="89">
        <f t="shared" si="14"/>
        <v>10447</v>
      </c>
      <c r="S59" s="74">
        <v>0</v>
      </c>
      <c r="T59" s="89">
        <f t="shared" si="23"/>
        <v>10447</v>
      </c>
      <c r="U59" s="74">
        <v>-4500</v>
      </c>
      <c r="V59" s="89">
        <f t="shared" si="24"/>
        <v>5947</v>
      </c>
      <c r="W59" s="74">
        <v>0</v>
      </c>
      <c r="X59" s="89">
        <f t="shared" si="25"/>
        <v>5947</v>
      </c>
      <c r="Y59" s="74">
        <v>0</v>
      </c>
      <c r="Z59" s="89">
        <f t="shared" si="26"/>
        <v>5947</v>
      </c>
      <c r="AA59" s="74">
        <v>-5000</v>
      </c>
      <c r="AB59" s="89">
        <f t="shared" si="27"/>
        <v>947</v>
      </c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7"/>
      <c r="AV59" s="107"/>
      <c r="AW59" s="107"/>
      <c r="AX59" s="107"/>
      <c r="AY59" s="107"/>
      <c r="AZ59" s="107"/>
      <c r="BA59" s="107"/>
      <c r="BB59" s="107"/>
      <c r="BC59" s="107"/>
      <c r="BD59" s="107"/>
      <c r="BE59" s="107"/>
      <c r="BF59" s="107"/>
      <c r="BG59" s="107"/>
      <c r="BH59" s="107"/>
      <c r="BI59" s="107"/>
      <c r="BJ59" s="107"/>
      <c r="BK59" s="107"/>
      <c r="BL59" s="107"/>
      <c r="BM59" s="107"/>
      <c r="BN59" s="107"/>
      <c r="BO59" s="107"/>
      <c r="BP59" s="107"/>
      <c r="BQ59" s="107"/>
      <c r="BR59" s="107"/>
      <c r="BS59" s="107"/>
      <c r="BT59" s="107"/>
      <c r="BU59" s="107"/>
      <c r="BV59" s="107"/>
      <c r="BW59" s="107"/>
      <c r="BX59" s="107"/>
      <c r="BY59" s="107"/>
      <c r="BZ59" s="107"/>
      <c r="CA59" s="107"/>
      <c r="CB59" s="107"/>
      <c r="CC59" s="107"/>
      <c r="CD59" s="107"/>
      <c r="CE59" s="107"/>
      <c r="CF59" s="107"/>
      <c r="CG59" s="107"/>
      <c r="CH59" s="107"/>
      <c r="CI59" s="107"/>
      <c r="CJ59" s="107"/>
      <c r="CK59" s="107"/>
      <c r="CL59" s="107"/>
      <c r="CM59" s="107"/>
      <c r="CN59" s="107"/>
      <c r="CO59" s="107"/>
      <c r="CP59" s="107"/>
      <c r="CQ59" s="107"/>
      <c r="CR59" s="107"/>
      <c r="CS59" s="107"/>
      <c r="CT59" s="107"/>
      <c r="CU59" s="107"/>
      <c r="CV59" s="107"/>
      <c r="CW59" s="107"/>
      <c r="CX59" s="107"/>
      <c r="CY59" s="107"/>
      <c r="CZ59" s="107"/>
      <c r="DA59" s="107"/>
      <c r="DB59" s="107"/>
      <c r="DC59" s="107"/>
      <c r="DD59" s="107"/>
      <c r="DE59" s="107"/>
      <c r="DF59" s="107"/>
      <c r="DG59" s="107"/>
      <c r="DH59" s="107"/>
      <c r="DI59" s="107"/>
      <c r="DJ59" s="107"/>
      <c r="DK59" s="107"/>
      <c r="DL59" s="107"/>
      <c r="DM59" s="107"/>
      <c r="DN59" s="107"/>
      <c r="DO59" s="107"/>
      <c r="DP59" s="107"/>
      <c r="DQ59" s="107"/>
      <c r="DR59" s="107"/>
      <c r="DS59" s="107"/>
      <c r="DT59" s="107"/>
      <c r="DU59" s="107"/>
      <c r="DV59" s="107"/>
      <c r="DW59" s="107"/>
      <c r="DX59" s="107"/>
      <c r="DY59" s="107"/>
      <c r="DZ59" s="107"/>
      <c r="EA59" s="107"/>
      <c r="EB59" s="107"/>
      <c r="EC59" s="107"/>
      <c r="ED59" s="107"/>
      <c r="EE59" s="107"/>
      <c r="EF59" s="107"/>
      <c r="EG59" s="107"/>
      <c r="EH59" s="107"/>
      <c r="EI59" s="107"/>
      <c r="EJ59" s="107"/>
      <c r="EK59" s="107"/>
      <c r="EL59" s="107"/>
      <c r="EM59" s="107"/>
      <c r="EN59" s="107"/>
      <c r="EO59" s="107"/>
      <c r="EP59" s="107"/>
      <c r="EQ59" s="107"/>
      <c r="ER59" s="107"/>
      <c r="ES59" s="107"/>
      <c r="ET59" s="107"/>
      <c r="EU59" s="107"/>
      <c r="EV59" s="107"/>
      <c r="EW59" s="107"/>
      <c r="EX59" s="107"/>
      <c r="EY59" s="107"/>
      <c r="EZ59" s="107"/>
      <c r="FA59" s="107"/>
      <c r="FB59" s="107"/>
      <c r="FC59" s="107"/>
      <c r="FD59" s="107"/>
      <c r="FE59" s="107"/>
      <c r="FF59" s="107"/>
      <c r="FG59" s="107"/>
      <c r="FH59" s="107"/>
      <c r="FI59" s="107"/>
      <c r="FJ59" s="107"/>
      <c r="FK59" s="107"/>
      <c r="FL59" s="107"/>
      <c r="FM59" s="107"/>
      <c r="FN59" s="107"/>
      <c r="FO59" s="107"/>
      <c r="FP59" s="107"/>
      <c r="FQ59" s="107"/>
      <c r="FR59" s="107"/>
      <c r="FS59" s="107"/>
      <c r="FT59" s="107"/>
      <c r="FU59" s="107"/>
      <c r="FV59" s="107"/>
      <c r="FW59" s="107"/>
      <c r="FX59" s="107"/>
      <c r="FY59" s="107"/>
      <c r="FZ59" s="107"/>
      <c r="GA59" s="107"/>
      <c r="GB59" s="107"/>
      <c r="GC59" s="107"/>
      <c r="GD59" s="107"/>
      <c r="GE59" s="107"/>
      <c r="GF59" s="107"/>
      <c r="GG59" s="107"/>
      <c r="GH59" s="107"/>
      <c r="GI59" s="107"/>
      <c r="GJ59" s="107"/>
      <c r="GK59" s="107"/>
      <c r="GL59" s="107"/>
      <c r="GM59" s="107"/>
      <c r="GN59" s="107"/>
      <c r="GO59" s="107"/>
      <c r="GP59" s="107"/>
      <c r="GQ59" s="107"/>
      <c r="GR59" s="107"/>
      <c r="GS59" s="107"/>
      <c r="GT59" s="107"/>
      <c r="GU59" s="107"/>
      <c r="GV59" s="107"/>
      <c r="GW59" s="107"/>
      <c r="GX59" s="107"/>
      <c r="GY59" s="107"/>
      <c r="GZ59" s="107"/>
      <c r="HA59" s="107"/>
      <c r="HB59" s="107"/>
      <c r="HC59" s="107"/>
      <c r="HD59" s="107"/>
      <c r="HE59" s="107"/>
      <c r="HF59" s="107"/>
    </row>
    <row r="60" spans="1:214" s="27" customFormat="1" ht="24" customHeight="1">
      <c r="A60" s="93"/>
      <c r="B60" s="58"/>
      <c r="C60" s="58">
        <v>4270</v>
      </c>
      <c r="D60" s="14" t="s">
        <v>339</v>
      </c>
      <c r="E60" s="74">
        <v>1000</v>
      </c>
      <c r="F60" s="74"/>
      <c r="G60" s="74"/>
      <c r="H60" s="89">
        <f t="shared" si="9"/>
        <v>1000</v>
      </c>
      <c r="I60" s="74">
        <v>0</v>
      </c>
      <c r="J60" s="89">
        <f t="shared" si="10"/>
        <v>1000</v>
      </c>
      <c r="K60" s="74">
        <v>0</v>
      </c>
      <c r="L60" s="89">
        <f t="shared" si="11"/>
        <v>1000</v>
      </c>
      <c r="M60" s="74">
        <v>0</v>
      </c>
      <c r="N60" s="89">
        <f t="shared" si="12"/>
        <v>1000</v>
      </c>
      <c r="O60" s="74">
        <v>0</v>
      </c>
      <c r="P60" s="89">
        <f t="shared" si="13"/>
        <v>1000</v>
      </c>
      <c r="Q60" s="74">
        <v>0</v>
      </c>
      <c r="R60" s="89">
        <f t="shared" si="14"/>
        <v>1000</v>
      </c>
      <c r="S60" s="74">
        <v>0</v>
      </c>
      <c r="T60" s="89">
        <f t="shared" si="23"/>
        <v>1000</v>
      </c>
      <c r="U60" s="74">
        <v>0</v>
      </c>
      <c r="V60" s="89">
        <f t="shared" si="24"/>
        <v>1000</v>
      </c>
      <c r="W60" s="74">
        <v>0</v>
      </c>
      <c r="X60" s="89">
        <f t="shared" si="25"/>
        <v>1000</v>
      </c>
      <c r="Y60" s="74">
        <v>0</v>
      </c>
      <c r="Z60" s="89">
        <f t="shared" si="26"/>
        <v>1000</v>
      </c>
      <c r="AA60" s="74">
        <v>-725</v>
      </c>
      <c r="AB60" s="89">
        <f t="shared" si="27"/>
        <v>275</v>
      </c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7"/>
      <c r="AV60" s="107"/>
      <c r="AW60" s="107"/>
      <c r="AX60" s="107"/>
      <c r="AY60" s="107"/>
      <c r="AZ60" s="107"/>
      <c r="BA60" s="107"/>
      <c r="BB60" s="107"/>
      <c r="BC60" s="107"/>
      <c r="BD60" s="107"/>
      <c r="BE60" s="107"/>
      <c r="BF60" s="107"/>
      <c r="BG60" s="107"/>
      <c r="BH60" s="107"/>
      <c r="BI60" s="107"/>
      <c r="BJ60" s="107"/>
      <c r="BK60" s="107"/>
      <c r="BL60" s="107"/>
      <c r="BM60" s="107"/>
      <c r="BN60" s="107"/>
      <c r="BO60" s="107"/>
      <c r="BP60" s="107"/>
      <c r="BQ60" s="107"/>
      <c r="BR60" s="107"/>
      <c r="BS60" s="107"/>
      <c r="BT60" s="107"/>
      <c r="BU60" s="107"/>
      <c r="BV60" s="107"/>
      <c r="BW60" s="107"/>
      <c r="BX60" s="107"/>
      <c r="BY60" s="107"/>
      <c r="BZ60" s="107"/>
      <c r="CA60" s="107"/>
      <c r="CB60" s="107"/>
      <c r="CC60" s="107"/>
      <c r="CD60" s="107"/>
      <c r="CE60" s="107"/>
      <c r="CF60" s="107"/>
      <c r="CG60" s="107"/>
      <c r="CH60" s="107"/>
      <c r="CI60" s="107"/>
      <c r="CJ60" s="107"/>
      <c r="CK60" s="107"/>
      <c r="CL60" s="107"/>
      <c r="CM60" s="107"/>
      <c r="CN60" s="107"/>
      <c r="CO60" s="107"/>
      <c r="CP60" s="107"/>
      <c r="CQ60" s="107"/>
      <c r="CR60" s="107"/>
      <c r="CS60" s="107"/>
      <c r="CT60" s="107"/>
      <c r="CU60" s="107"/>
      <c r="CV60" s="107"/>
      <c r="CW60" s="107"/>
      <c r="CX60" s="107"/>
      <c r="CY60" s="107"/>
      <c r="CZ60" s="107"/>
      <c r="DA60" s="107"/>
      <c r="DB60" s="107"/>
      <c r="DC60" s="107"/>
      <c r="DD60" s="107"/>
      <c r="DE60" s="107"/>
      <c r="DF60" s="107"/>
      <c r="DG60" s="107"/>
      <c r="DH60" s="107"/>
      <c r="DI60" s="107"/>
      <c r="DJ60" s="107"/>
      <c r="DK60" s="107"/>
      <c r="DL60" s="107"/>
      <c r="DM60" s="107"/>
      <c r="DN60" s="107"/>
      <c r="DO60" s="107"/>
      <c r="DP60" s="107"/>
      <c r="DQ60" s="107"/>
      <c r="DR60" s="107"/>
      <c r="DS60" s="107"/>
      <c r="DT60" s="107"/>
      <c r="DU60" s="107"/>
      <c r="DV60" s="107"/>
      <c r="DW60" s="107"/>
      <c r="DX60" s="107"/>
      <c r="DY60" s="107"/>
      <c r="DZ60" s="107"/>
      <c r="EA60" s="107"/>
      <c r="EB60" s="107"/>
      <c r="EC60" s="107"/>
      <c r="ED60" s="107"/>
      <c r="EE60" s="107"/>
      <c r="EF60" s="107"/>
      <c r="EG60" s="107"/>
      <c r="EH60" s="107"/>
      <c r="EI60" s="107"/>
      <c r="EJ60" s="107"/>
      <c r="EK60" s="107"/>
      <c r="EL60" s="107"/>
      <c r="EM60" s="107"/>
      <c r="EN60" s="107"/>
      <c r="EO60" s="107"/>
      <c r="EP60" s="107"/>
      <c r="EQ60" s="107"/>
      <c r="ER60" s="107"/>
      <c r="ES60" s="107"/>
      <c r="ET60" s="107"/>
      <c r="EU60" s="107"/>
      <c r="EV60" s="107"/>
      <c r="EW60" s="107"/>
      <c r="EX60" s="107"/>
      <c r="EY60" s="107"/>
      <c r="EZ60" s="107"/>
      <c r="FA60" s="107"/>
      <c r="FB60" s="107"/>
      <c r="FC60" s="107"/>
      <c r="FD60" s="107"/>
      <c r="FE60" s="107"/>
      <c r="FF60" s="107"/>
      <c r="FG60" s="107"/>
      <c r="FH60" s="107"/>
      <c r="FI60" s="107"/>
      <c r="FJ60" s="107"/>
      <c r="FK60" s="107"/>
      <c r="FL60" s="107"/>
      <c r="FM60" s="107"/>
      <c r="FN60" s="107"/>
      <c r="FO60" s="107"/>
      <c r="FP60" s="107"/>
      <c r="FQ60" s="107"/>
      <c r="FR60" s="107"/>
      <c r="FS60" s="107"/>
      <c r="FT60" s="107"/>
      <c r="FU60" s="107"/>
      <c r="FV60" s="107"/>
      <c r="FW60" s="107"/>
      <c r="FX60" s="107"/>
      <c r="FY60" s="107"/>
      <c r="FZ60" s="107"/>
      <c r="GA60" s="107"/>
      <c r="GB60" s="107"/>
      <c r="GC60" s="107"/>
      <c r="GD60" s="107"/>
      <c r="GE60" s="107"/>
      <c r="GF60" s="107"/>
      <c r="GG60" s="107"/>
      <c r="GH60" s="107"/>
      <c r="GI60" s="107"/>
      <c r="GJ60" s="107"/>
      <c r="GK60" s="107"/>
      <c r="GL60" s="107"/>
      <c r="GM60" s="107"/>
      <c r="GN60" s="107"/>
      <c r="GO60" s="107"/>
      <c r="GP60" s="107"/>
      <c r="GQ60" s="107"/>
      <c r="GR60" s="107"/>
      <c r="GS60" s="107"/>
      <c r="GT60" s="107"/>
      <c r="GU60" s="107"/>
      <c r="GV60" s="107"/>
      <c r="GW60" s="107"/>
      <c r="GX60" s="107"/>
      <c r="GY60" s="107"/>
      <c r="GZ60" s="107"/>
      <c r="HA60" s="107"/>
      <c r="HB60" s="107"/>
      <c r="HC60" s="107"/>
      <c r="HD60" s="107"/>
      <c r="HE60" s="107"/>
      <c r="HF60" s="107"/>
    </row>
    <row r="61" spans="1:214" s="27" customFormat="1" ht="24" customHeight="1">
      <c r="A61" s="93"/>
      <c r="B61" s="58"/>
      <c r="C61" s="58">
        <v>4280</v>
      </c>
      <c r="D61" s="14" t="s">
        <v>546</v>
      </c>
      <c r="E61" s="74">
        <v>500</v>
      </c>
      <c r="F61" s="74"/>
      <c r="G61" s="74"/>
      <c r="H61" s="89">
        <f t="shared" si="9"/>
        <v>500</v>
      </c>
      <c r="I61" s="74">
        <v>0</v>
      </c>
      <c r="J61" s="89">
        <f t="shared" si="10"/>
        <v>500</v>
      </c>
      <c r="K61" s="74">
        <v>0</v>
      </c>
      <c r="L61" s="89">
        <f t="shared" si="11"/>
        <v>500</v>
      </c>
      <c r="M61" s="74">
        <v>0</v>
      </c>
      <c r="N61" s="89">
        <f t="shared" si="12"/>
        <v>500</v>
      </c>
      <c r="O61" s="74">
        <v>0</v>
      </c>
      <c r="P61" s="89">
        <f t="shared" si="13"/>
        <v>500</v>
      </c>
      <c r="Q61" s="74">
        <v>0</v>
      </c>
      <c r="R61" s="89">
        <f t="shared" si="14"/>
        <v>500</v>
      </c>
      <c r="S61" s="74">
        <v>0</v>
      </c>
      <c r="T61" s="89">
        <f t="shared" si="23"/>
        <v>500</v>
      </c>
      <c r="U61" s="74">
        <v>0</v>
      </c>
      <c r="V61" s="89">
        <f t="shared" si="24"/>
        <v>500</v>
      </c>
      <c r="W61" s="74">
        <v>0</v>
      </c>
      <c r="X61" s="89">
        <f t="shared" si="25"/>
        <v>500</v>
      </c>
      <c r="Y61" s="74">
        <v>0</v>
      </c>
      <c r="Z61" s="89">
        <f t="shared" si="26"/>
        <v>500</v>
      </c>
      <c r="AA61" s="74">
        <v>-304</v>
      </c>
      <c r="AB61" s="89">
        <f t="shared" si="27"/>
        <v>196</v>
      </c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</row>
    <row r="62" spans="1:214" s="27" customFormat="1" ht="24" customHeight="1">
      <c r="A62" s="93"/>
      <c r="B62" s="58"/>
      <c r="C62" s="58">
        <v>4300</v>
      </c>
      <c r="D62" s="14" t="s">
        <v>340</v>
      </c>
      <c r="E62" s="74">
        <f>24150+3410</f>
        <v>27560</v>
      </c>
      <c r="F62" s="74"/>
      <c r="G62" s="74"/>
      <c r="H62" s="89">
        <f t="shared" si="9"/>
        <v>27560</v>
      </c>
      <c r="I62" s="74">
        <v>0</v>
      </c>
      <c r="J62" s="89">
        <f t="shared" si="10"/>
        <v>27560</v>
      </c>
      <c r="K62" s="74">
        <v>0</v>
      </c>
      <c r="L62" s="89">
        <f t="shared" si="11"/>
        <v>27560</v>
      </c>
      <c r="M62" s="74">
        <v>0</v>
      </c>
      <c r="N62" s="89">
        <f t="shared" si="12"/>
        <v>27560</v>
      </c>
      <c r="O62" s="74">
        <v>-6000</v>
      </c>
      <c r="P62" s="89">
        <f t="shared" si="13"/>
        <v>21560</v>
      </c>
      <c r="Q62" s="74">
        <v>-1500</v>
      </c>
      <c r="R62" s="89">
        <f t="shared" si="14"/>
        <v>20060</v>
      </c>
      <c r="S62" s="74">
        <v>-7500</v>
      </c>
      <c r="T62" s="89">
        <f t="shared" si="23"/>
        <v>12560</v>
      </c>
      <c r="U62" s="74">
        <v>0</v>
      </c>
      <c r="V62" s="89">
        <f t="shared" si="24"/>
        <v>12560</v>
      </c>
      <c r="W62" s="74">
        <v>0</v>
      </c>
      <c r="X62" s="89">
        <f t="shared" si="25"/>
        <v>12560</v>
      </c>
      <c r="Y62" s="74">
        <v>0</v>
      </c>
      <c r="Z62" s="89">
        <f t="shared" si="26"/>
        <v>12560</v>
      </c>
      <c r="AA62" s="74">
        <f>7116-13081</f>
        <v>-5965</v>
      </c>
      <c r="AB62" s="89">
        <f t="shared" si="27"/>
        <v>6595</v>
      </c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107"/>
      <c r="BD62" s="107"/>
      <c r="BE62" s="107"/>
      <c r="BF62" s="107"/>
      <c r="BG62" s="107"/>
      <c r="BH62" s="107"/>
      <c r="BI62" s="107"/>
      <c r="BJ62" s="107"/>
      <c r="BK62" s="107"/>
      <c r="BL62" s="107"/>
      <c r="BM62" s="107"/>
      <c r="BN62" s="107"/>
      <c r="BO62" s="107"/>
      <c r="BP62" s="107"/>
      <c r="BQ62" s="107"/>
      <c r="BR62" s="107"/>
      <c r="BS62" s="107"/>
      <c r="BT62" s="107"/>
      <c r="BU62" s="107"/>
      <c r="BV62" s="107"/>
      <c r="BW62" s="107"/>
      <c r="BX62" s="107"/>
      <c r="BY62" s="107"/>
      <c r="BZ62" s="107"/>
      <c r="CA62" s="107"/>
      <c r="CB62" s="107"/>
      <c r="CC62" s="107"/>
      <c r="CD62" s="107"/>
      <c r="CE62" s="107"/>
      <c r="CF62" s="107"/>
      <c r="CG62" s="107"/>
      <c r="CH62" s="107"/>
      <c r="CI62" s="107"/>
      <c r="CJ62" s="107"/>
      <c r="CK62" s="107"/>
      <c r="CL62" s="107"/>
      <c r="CM62" s="107"/>
      <c r="CN62" s="107"/>
      <c r="CO62" s="107"/>
      <c r="CP62" s="107"/>
      <c r="CQ62" s="107"/>
      <c r="CR62" s="107"/>
      <c r="CS62" s="107"/>
      <c r="CT62" s="107"/>
      <c r="CU62" s="107"/>
      <c r="CV62" s="107"/>
      <c r="CW62" s="107"/>
      <c r="CX62" s="107"/>
      <c r="CY62" s="107"/>
      <c r="CZ62" s="107"/>
      <c r="DA62" s="107"/>
      <c r="DB62" s="107"/>
      <c r="DC62" s="107"/>
      <c r="DD62" s="107"/>
      <c r="DE62" s="107"/>
      <c r="DF62" s="107"/>
      <c r="DG62" s="107"/>
      <c r="DH62" s="107"/>
      <c r="DI62" s="107"/>
      <c r="DJ62" s="107"/>
      <c r="DK62" s="107"/>
      <c r="DL62" s="107"/>
      <c r="DM62" s="107"/>
      <c r="DN62" s="107"/>
      <c r="DO62" s="107"/>
      <c r="DP62" s="107"/>
      <c r="DQ62" s="107"/>
      <c r="DR62" s="107"/>
      <c r="DS62" s="107"/>
      <c r="DT62" s="107"/>
      <c r="DU62" s="107"/>
      <c r="DV62" s="107"/>
      <c r="DW62" s="107"/>
      <c r="DX62" s="107"/>
      <c r="DY62" s="107"/>
      <c r="DZ62" s="107"/>
      <c r="EA62" s="107"/>
      <c r="EB62" s="107"/>
      <c r="EC62" s="107"/>
      <c r="ED62" s="107"/>
      <c r="EE62" s="107"/>
      <c r="EF62" s="107"/>
      <c r="EG62" s="107"/>
      <c r="EH62" s="107"/>
      <c r="EI62" s="107"/>
      <c r="EJ62" s="107"/>
      <c r="EK62" s="107"/>
      <c r="EL62" s="107"/>
      <c r="EM62" s="107"/>
      <c r="EN62" s="107"/>
      <c r="EO62" s="107"/>
      <c r="EP62" s="107"/>
      <c r="EQ62" s="107"/>
      <c r="ER62" s="107"/>
      <c r="ES62" s="107"/>
      <c r="ET62" s="107"/>
      <c r="EU62" s="107"/>
      <c r="EV62" s="107"/>
      <c r="EW62" s="107"/>
      <c r="EX62" s="107"/>
      <c r="EY62" s="107"/>
      <c r="EZ62" s="107"/>
      <c r="FA62" s="107"/>
      <c r="FB62" s="107"/>
      <c r="FC62" s="107"/>
      <c r="FD62" s="107"/>
      <c r="FE62" s="107"/>
      <c r="FF62" s="107"/>
      <c r="FG62" s="107"/>
      <c r="FH62" s="107"/>
      <c r="FI62" s="107"/>
      <c r="FJ62" s="107"/>
      <c r="FK62" s="107"/>
      <c r="FL62" s="107"/>
      <c r="FM62" s="107"/>
      <c r="FN62" s="107"/>
      <c r="FO62" s="107"/>
      <c r="FP62" s="107"/>
      <c r="FQ62" s="107"/>
      <c r="FR62" s="107"/>
      <c r="FS62" s="107"/>
      <c r="FT62" s="107"/>
      <c r="FU62" s="107"/>
      <c r="FV62" s="107"/>
      <c r="FW62" s="107"/>
      <c r="FX62" s="107"/>
      <c r="FY62" s="107"/>
      <c r="FZ62" s="107"/>
      <c r="GA62" s="107"/>
      <c r="GB62" s="107"/>
      <c r="GC62" s="107"/>
      <c r="GD62" s="107"/>
      <c r="GE62" s="107"/>
      <c r="GF62" s="107"/>
      <c r="GG62" s="107"/>
      <c r="GH62" s="107"/>
      <c r="GI62" s="107"/>
      <c r="GJ62" s="107"/>
      <c r="GK62" s="107"/>
      <c r="GL62" s="107"/>
      <c r="GM62" s="107"/>
      <c r="GN62" s="107"/>
      <c r="GO62" s="107"/>
      <c r="GP62" s="107"/>
      <c r="GQ62" s="107"/>
      <c r="GR62" s="107"/>
      <c r="GS62" s="107"/>
      <c r="GT62" s="107"/>
      <c r="GU62" s="107"/>
      <c r="GV62" s="107"/>
      <c r="GW62" s="107"/>
      <c r="GX62" s="107"/>
      <c r="GY62" s="107"/>
      <c r="GZ62" s="107"/>
      <c r="HA62" s="107"/>
      <c r="HB62" s="107"/>
      <c r="HC62" s="107"/>
      <c r="HD62" s="107"/>
      <c r="HE62" s="107"/>
      <c r="HF62" s="107"/>
    </row>
    <row r="63" spans="1:214" s="27" customFormat="1" ht="24" customHeight="1">
      <c r="A63" s="93"/>
      <c r="B63" s="58"/>
      <c r="C63" s="58">
        <v>4350</v>
      </c>
      <c r="D63" s="14" t="s">
        <v>548</v>
      </c>
      <c r="E63" s="74">
        <v>3500</v>
      </c>
      <c r="F63" s="74"/>
      <c r="G63" s="74"/>
      <c r="H63" s="89">
        <f t="shared" si="9"/>
        <v>3500</v>
      </c>
      <c r="I63" s="74">
        <v>0</v>
      </c>
      <c r="J63" s="89">
        <f t="shared" si="10"/>
        <v>3500</v>
      </c>
      <c r="K63" s="74">
        <v>0</v>
      </c>
      <c r="L63" s="89">
        <f t="shared" si="11"/>
        <v>3500</v>
      </c>
      <c r="M63" s="74">
        <v>0</v>
      </c>
      <c r="N63" s="89">
        <f t="shared" si="12"/>
        <v>3500</v>
      </c>
      <c r="O63" s="74">
        <v>0</v>
      </c>
      <c r="P63" s="89">
        <f t="shared" si="13"/>
        <v>3500</v>
      </c>
      <c r="Q63" s="74">
        <v>0</v>
      </c>
      <c r="R63" s="89">
        <f t="shared" si="14"/>
        <v>3500</v>
      </c>
      <c r="S63" s="74">
        <v>0</v>
      </c>
      <c r="T63" s="89">
        <f t="shared" si="23"/>
        <v>3500</v>
      </c>
      <c r="U63" s="74">
        <v>0</v>
      </c>
      <c r="V63" s="89">
        <f t="shared" si="24"/>
        <v>3500</v>
      </c>
      <c r="W63" s="74">
        <v>0</v>
      </c>
      <c r="X63" s="89">
        <f t="shared" si="25"/>
        <v>3500</v>
      </c>
      <c r="Y63" s="74">
        <v>0</v>
      </c>
      <c r="Z63" s="89">
        <f t="shared" si="26"/>
        <v>3500</v>
      </c>
      <c r="AA63" s="74">
        <f>-661-300</f>
        <v>-961</v>
      </c>
      <c r="AB63" s="89">
        <f t="shared" si="27"/>
        <v>2539</v>
      </c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7"/>
      <c r="CB63" s="107"/>
      <c r="CC63" s="107"/>
      <c r="CD63" s="107"/>
      <c r="CE63" s="107"/>
      <c r="CF63" s="107"/>
      <c r="CG63" s="107"/>
      <c r="CH63" s="107"/>
      <c r="CI63" s="107"/>
      <c r="CJ63" s="107"/>
      <c r="CK63" s="107"/>
      <c r="CL63" s="107"/>
      <c r="CM63" s="107"/>
      <c r="CN63" s="107"/>
      <c r="CO63" s="107"/>
      <c r="CP63" s="107"/>
      <c r="CQ63" s="107"/>
      <c r="CR63" s="107"/>
      <c r="CS63" s="107"/>
      <c r="CT63" s="107"/>
      <c r="CU63" s="107"/>
      <c r="CV63" s="107"/>
      <c r="CW63" s="107"/>
      <c r="CX63" s="107"/>
      <c r="CY63" s="107"/>
      <c r="CZ63" s="107"/>
      <c r="DA63" s="107"/>
      <c r="DB63" s="107"/>
      <c r="DC63" s="107"/>
      <c r="DD63" s="107"/>
      <c r="DE63" s="107"/>
      <c r="DF63" s="107"/>
      <c r="DG63" s="107"/>
      <c r="DH63" s="107"/>
      <c r="DI63" s="107"/>
      <c r="DJ63" s="107"/>
      <c r="DK63" s="107"/>
      <c r="DL63" s="107"/>
      <c r="DM63" s="107"/>
      <c r="DN63" s="107"/>
      <c r="DO63" s="107"/>
      <c r="DP63" s="107"/>
      <c r="DQ63" s="107"/>
      <c r="DR63" s="107"/>
      <c r="DS63" s="107"/>
      <c r="DT63" s="107"/>
      <c r="DU63" s="107"/>
      <c r="DV63" s="107"/>
      <c r="DW63" s="107"/>
      <c r="DX63" s="107"/>
      <c r="DY63" s="107"/>
      <c r="DZ63" s="107"/>
      <c r="EA63" s="107"/>
      <c r="EB63" s="107"/>
      <c r="EC63" s="107"/>
      <c r="ED63" s="107"/>
      <c r="EE63" s="107"/>
      <c r="EF63" s="107"/>
      <c r="EG63" s="107"/>
      <c r="EH63" s="107"/>
      <c r="EI63" s="107"/>
      <c r="EJ63" s="107"/>
      <c r="EK63" s="107"/>
      <c r="EL63" s="107"/>
      <c r="EM63" s="107"/>
      <c r="EN63" s="107"/>
      <c r="EO63" s="107"/>
      <c r="EP63" s="107"/>
      <c r="EQ63" s="107"/>
      <c r="ER63" s="107"/>
      <c r="ES63" s="107"/>
      <c r="ET63" s="107"/>
      <c r="EU63" s="107"/>
      <c r="EV63" s="107"/>
      <c r="EW63" s="107"/>
      <c r="EX63" s="107"/>
      <c r="EY63" s="107"/>
      <c r="EZ63" s="107"/>
      <c r="FA63" s="107"/>
      <c r="FB63" s="107"/>
      <c r="FC63" s="107"/>
      <c r="FD63" s="107"/>
      <c r="FE63" s="107"/>
      <c r="FF63" s="107"/>
      <c r="FG63" s="107"/>
      <c r="FH63" s="107"/>
      <c r="FI63" s="107"/>
      <c r="FJ63" s="107"/>
      <c r="FK63" s="107"/>
      <c r="FL63" s="107"/>
      <c r="FM63" s="107"/>
      <c r="FN63" s="107"/>
      <c r="FO63" s="107"/>
      <c r="FP63" s="107"/>
      <c r="FQ63" s="107"/>
      <c r="FR63" s="107"/>
      <c r="FS63" s="107"/>
      <c r="FT63" s="107"/>
      <c r="FU63" s="107"/>
      <c r="FV63" s="107"/>
      <c r="FW63" s="107"/>
      <c r="FX63" s="107"/>
      <c r="FY63" s="107"/>
      <c r="FZ63" s="107"/>
      <c r="GA63" s="107"/>
      <c r="GB63" s="107"/>
      <c r="GC63" s="107"/>
      <c r="GD63" s="107"/>
      <c r="GE63" s="107"/>
      <c r="GF63" s="107"/>
      <c r="GG63" s="107"/>
      <c r="GH63" s="107"/>
      <c r="GI63" s="107"/>
      <c r="GJ63" s="107"/>
      <c r="GK63" s="107"/>
      <c r="GL63" s="107"/>
      <c r="GM63" s="107"/>
      <c r="GN63" s="107"/>
      <c r="GO63" s="107"/>
      <c r="GP63" s="107"/>
      <c r="GQ63" s="107"/>
      <c r="GR63" s="107"/>
      <c r="GS63" s="107"/>
      <c r="GT63" s="107"/>
      <c r="GU63" s="107"/>
      <c r="GV63" s="107"/>
      <c r="GW63" s="107"/>
      <c r="GX63" s="107"/>
      <c r="GY63" s="107"/>
      <c r="GZ63" s="107"/>
      <c r="HA63" s="107"/>
      <c r="HB63" s="107"/>
      <c r="HC63" s="107"/>
      <c r="HD63" s="107"/>
      <c r="HE63" s="107"/>
      <c r="HF63" s="107"/>
    </row>
    <row r="64" spans="1:214" s="27" customFormat="1" ht="29.25" customHeight="1">
      <c r="A64" s="93"/>
      <c r="B64" s="58"/>
      <c r="C64" s="58">
        <v>4360</v>
      </c>
      <c r="D64" s="14" t="s">
        <v>573</v>
      </c>
      <c r="E64" s="74">
        <v>1000</v>
      </c>
      <c r="F64" s="74"/>
      <c r="G64" s="74"/>
      <c r="H64" s="89">
        <f t="shared" si="9"/>
        <v>1000</v>
      </c>
      <c r="I64" s="74">
        <v>0</v>
      </c>
      <c r="J64" s="89">
        <f t="shared" si="10"/>
        <v>1000</v>
      </c>
      <c r="K64" s="74">
        <v>0</v>
      </c>
      <c r="L64" s="89">
        <f t="shared" si="11"/>
        <v>1000</v>
      </c>
      <c r="M64" s="74">
        <v>0</v>
      </c>
      <c r="N64" s="89">
        <f t="shared" si="12"/>
        <v>1000</v>
      </c>
      <c r="O64" s="74">
        <v>0</v>
      </c>
      <c r="P64" s="89">
        <f t="shared" si="13"/>
        <v>1000</v>
      </c>
      <c r="Q64" s="74">
        <v>0</v>
      </c>
      <c r="R64" s="89">
        <f t="shared" si="14"/>
        <v>1000</v>
      </c>
      <c r="S64" s="74">
        <v>0</v>
      </c>
      <c r="T64" s="89">
        <f t="shared" si="23"/>
        <v>1000</v>
      </c>
      <c r="U64" s="74">
        <v>0</v>
      </c>
      <c r="V64" s="89">
        <f t="shared" si="24"/>
        <v>1000</v>
      </c>
      <c r="W64" s="74">
        <v>0</v>
      </c>
      <c r="X64" s="89">
        <f t="shared" si="25"/>
        <v>1000</v>
      </c>
      <c r="Y64" s="74">
        <v>0</v>
      </c>
      <c r="Z64" s="89">
        <f t="shared" si="26"/>
        <v>1000</v>
      </c>
      <c r="AA64" s="74">
        <f>-168-500</f>
        <v>-668</v>
      </c>
      <c r="AB64" s="89">
        <f t="shared" si="27"/>
        <v>332</v>
      </c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107"/>
      <c r="BC64" s="107"/>
      <c r="BD64" s="107"/>
      <c r="BE64" s="107"/>
      <c r="BF64" s="107"/>
      <c r="BG64" s="107"/>
      <c r="BH64" s="107"/>
      <c r="BI64" s="107"/>
      <c r="BJ64" s="107"/>
      <c r="BK64" s="107"/>
      <c r="BL64" s="107"/>
      <c r="BM64" s="107"/>
      <c r="BN64" s="107"/>
      <c r="BO64" s="107"/>
      <c r="BP64" s="107"/>
      <c r="BQ64" s="107"/>
      <c r="BR64" s="107"/>
      <c r="BS64" s="107"/>
      <c r="BT64" s="107"/>
      <c r="BU64" s="107"/>
      <c r="BV64" s="107"/>
      <c r="BW64" s="107"/>
      <c r="BX64" s="107"/>
      <c r="BY64" s="107"/>
      <c r="BZ64" s="107"/>
      <c r="CA64" s="107"/>
      <c r="CB64" s="107"/>
      <c r="CC64" s="107"/>
      <c r="CD64" s="107"/>
      <c r="CE64" s="107"/>
      <c r="CF64" s="107"/>
      <c r="CG64" s="107"/>
      <c r="CH64" s="107"/>
      <c r="CI64" s="107"/>
      <c r="CJ64" s="107"/>
      <c r="CK64" s="107"/>
      <c r="CL64" s="107"/>
      <c r="CM64" s="107"/>
      <c r="CN64" s="107"/>
      <c r="CO64" s="107"/>
      <c r="CP64" s="107"/>
      <c r="CQ64" s="107"/>
      <c r="CR64" s="107"/>
      <c r="CS64" s="107"/>
      <c r="CT64" s="107"/>
      <c r="CU64" s="107"/>
      <c r="CV64" s="107"/>
      <c r="CW64" s="107"/>
      <c r="CX64" s="107"/>
      <c r="CY64" s="107"/>
      <c r="CZ64" s="107"/>
      <c r="DA64" s="107"/>
      <c r="DB64" s="107"/>
      <c r="DC64" s="107"/>
      <c r="DD64" s="107"/>
      <c r="DE64" s="107"/>
      <c r="DF64" s="107"/>
      <c r="DG64" s="107"/>
      <c r="DH64" s="107"/>
      <c r="DI64" s="107"/>
      <c r="DJ64" s="107"/>
      <c r="DK64" s="107"/>
      <c r="DL64" s="107"/>
      <c r="DM64" s="107"/>
      <c r="DN64" s="107"/>
      <c r="DO64" s="107"/>
      <c r="DP64" s="107"/>
      <c r="DQ64" s="107"/>
      <c r="DR64" s="107"/>
      <c r="DS64" s="107"/>
      <c r="DT64" s="107"/>
      <c r="DU64" s="107"/>
      <c r="DV64" s="107"/>
      <c r="DW64" s="107"/>
      <c r="DX64" s="107"/>
      <c r="DY64" s="107"/>
      <c r="DZ64" s="107"/>
      <c r="EA64" s="107"/>
      <c r="EB64" s="107"/>
      <c r="EC64" s="107"/>
      <c r="ED64" s="107"/>
      <c r="EE64" s="107"/>
      <c r="EF64" s="107"/>
      <c r="EG64" s="107"/>
      <c r="EH64" s="107"/>
      <c r="EI64" s="107"/>
      <c r="EJ64" s="107"/>
      <c r="EK64" s="107"/>
      <c r="EL64" s="107"/>
      <c r="EM64" s="107"/>
      <c r="EN64" s="107"/>
      <c r="EO64" s="107"/>
      <c r="EP64" s="107"/>
      <c r="EQ64" s="107"/>
      <c r="ER64" s="107"/>
      <c r="ES64" s="107"/>
      <c r="ET64" s="107"/>
      <c r="EU64" s="107"/>
      <c r="EV64" s="107"/>
      <c r="EW64" s="107"/>
      <c r="EX64" s="107"/>
      <c r="EY64" s="107"/>
      <c r="EZ64" s="107"/>
      <c r="FA64" s="107"/>
      <c r="FB64" s="107"/>
      <c r="FC64" s="107"/>
      <c r="FD64" s="107"/>
      <c r="FE64" s="107"/>
      <c r="FF64" s="107"/>
      <c r="FG64" s="107"/>
      <c r="FH64" s="107"/>
      <c r="FI64" s="107"/>
      <c r="FJ64" s="107"/>
      <c r="FK64" s="107"/>
      <c r="FL64" s="107"/>
      <c r="FM64" s="107"/>
      <c r="FN64" s="107"/>
      <c r="FO64" s="107"/>
      <c r="FP64" s="107"/>
      <c r="FQ64" s="107"/>
      <c r="FR64" s="107"/>
      <c r="FS64" s="107"/>
      <c r="FT64" s="107"/>
      <c r="FU64" s="107"/>
      <c r="FV64" s="107"/>
      <c r="FW64" s="107"/>
      <c r="FX64" s="107"/>
      <c r="FY64" s="107"/>
      <c r="FZ64" s="107"/>
      <c r="GA64" s="107"/>
      <c r="GB64" s="107"/>
      <c r="GC64" s="107"/>
      <c r="GD64" s="107"/>
      <c r="GE64" s="107"/>
      <c r="GF64" s="107"/>
      <c r="GG64" s="107"/>
      <c r="GH64" s="107"/>
      <c r="GI64" s="107"/>
      <c r="GJ64" s="107"/>
      <c r="GK64" s="107"/>
      <c r="GL64" s="107"/>
      <c r="GM64" s="107"/>
      <c r="GN64" s="107"/>
      <c r="GO64" s="107"/>
      <c r="GP64" s="107"/>
      <c r="GQ64" s="107"/>
      <c r="GR64" s="107"/>
      <c r="GS64" s="107"/>
      <c r="GT64" s="107"/>
      <c r="GU64" s="107"/>
      <c r="GV64" s="107"/>
      <c r="GW64" s="107"/>
      <c r="GX64" s="107"/>
      <c r="GY64" s="107"/>
      <c r="GZ64" s="107"/>
      <c r="HA64" s="107"/>
      <c r="HB64" s="107"/>
      <c r="HC64" s="107"/>
      <c r="HD64" s="107"/>
      <c r="HE64" s="107"/>
      <c r="HF64" s="107"/>
    </row>
    <row r="65" spans="1:214" s="27" customFormat="1" ht="29.25" customHeight="1">
      <c r="A65" s="93"/>
      <c r="B65" s="58"/>
      <c r="C65" s="58">
        <v>4370</v>
      </c>
      <c r="D65" s="14" t="s">
        <v>568</v>
      </c>
      <c r="E65" s="74">
        <v>4000</v>
      </c>
      <c r="F65" s="74"/>
      <c r="G65" s="74"/>
      <c r="H65" s="89">
        <f t="shared" si="9"/>
        <v>4000</v>
      </c>
      <c r="I65" s="74">
        <v>0</v>
      </c>
      <c r="J65" s="89">
        <f t="shared" si="10"/>
        <v>4000</v>
      </c>
      <c r="K65" s="74">
        <v>0</v>
      </c>
      <c r="L65" s="89">
        <f t="shared" si="11"/>
        <v>4000</v>
      </c>
      <c r="M65" s="74">
        <v>0</v>
      </c>
      <c r="N65" s="89">
        <f t="shared" si="12"/>
        <v>4000</v>
      </c>
      <c r="O65" s="74">
        <v>0</v>
      </c>
      <c r="P65" s="89">
        <f t="shared" si="13"/>
        <v>4000</v>
      </c>
      <c r="Q65" s="74">
        <v>0</v>
      </c>
      <c r="R65" s="89">
        <f t="shared" si="14"/>
        <v>4000</v>
      </c>
      <c r="S65" s="74">
        <v>0</v>
      </c>
      <c r="T65" s="89">
        <f t="shared" si="23"/>
        <v>4000</v>
      </c>
      <c r="U65" s="74">
        <v>0</v>
      </c>
      <c r="V65" s="89">
        <f t="shared" si="24"/>
        <v>4000</v>
      </c>
      <c r="W65" s="74">
        <v>0</v>
      </c>
      <c r="X65" s="89">
        <f t="shared" si="25"/>
        <v>4000</v>
      </c>
      <c r="Y65" s="74">
        <v>0</v>
      </c>
      <c r="Z65" s="89">
        <f t="shared" si="26"/>
        <v>4000</v>
      </c>
      <c r="AA65" s="74">
        <f>-729-2000</f>
        <v>-2729</v>
      </c>
      <c r="AB65" s="89">
        <f t="shared" si="27"/>
        <v>1271</v>
      </c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7"/>
      <c r="AV65" s="107"/>
      <c r="AW65" s="107"/>
      <c r="AX65" s="107"/>
      <c r="AY65" s="107"/>
      <c r="AZ65" s="107"/>
      <c r="BA65" s="107"/>
      <c r="BB65" s="107"/>
      <c r="BC65" s="107"/>
      <c r="BD65" s="107"/>
      <c r="BE65" s="107"/>
      <c r="BF65" s="107"/>
      <c r="BG65" s="107"/>
      <c r="BH65" s="107"/>
      <c r="BI65" s="107"/>
      <c r="BJ65" s="107"/>
      <c r="BK65" s="107"/>
      <c r="BL65" s="107"/>
      <c r="BM65" s="107"/>
      <c r="BN65" s="107"/>
      <c r="BO65" s="107"/>
      <c r="BP65" s="107"/>
      <c r="BQ65" s="107"/>
      <c r="BR65" s="107"/>
      <c r="BS65" s="107"/>
      <c r="BT65" s="107"/>
      <c r="BU65" s="107"/>
      <c r="BV65" s="107"/>
      <c r="BW65" s="107"/>
      <c r="BX65" s="107"/>
      <c r="BY65" s="107"/>
      <c r="BZ65" s="107"/>
      <c r="CA65" s="107"/>
      <c r="CB65" s="107"/>
      <c r="CC65" s="107"/>
      <c r="CD65" s="107"/>
      <c r="CE65" s="107"/>
      <c r="CF65" s="107"/>
      <c r="CG65" s="107"/>
      <c r="CH65" s="107"/>
      <c r="CI65" s="107"/>
      <c r="CJ65" s="107"/>
      <c r="CK65" s="107"/>
      <c r="CL65" s="107"/>
      <c r="CM65" s="107"/>
      <c r="CN65" s="107"/>
      <c r="CO65" s="107"/>
      <c r="CP65" s="107"/>
      <c r="CQ65" s="107"/>
      <c r="CR65" s="107"/>
      <c r="CS65" s="107"/>
      <c r="CT65" s="107"/>
      <c r="CU65" s="107"/>
      <c r="CV65" s="107"/>
      <c r="CW65" s="107"/>
      <c r="CX65" s="107"/>
      <c r="CY65" s="107"/>
      <c r="CZ65" s="107"/>
      <c r="DA65" s="107"/>
      <c r="DB65" s="107"/>
      <c r="DC65" s="107"/>
      <c r="DD65" s="107"/>
      <c r="DE65" s="107"/>
      <c r="DF65" s="107"/>
      <c r="DG65" s="107"/>
      <c r="DH65" s="107"/>
      <c r="DI65" s="107"/>
      <c r="DJ65" s="107"/>
      <c r="DK65" s="107"/>
      <c r="DL65" s="107"/>
      <c r="DM65" s="107"/>
      <c r="DN65" s="107"/>
      <c r="DO65" s="107"/>
      <c r="DP65" s="107"/>
      <c r="DQ65" s="107"/>
      <c r="DR65" s="107"/>
      <c r="DS65" s="107"/>
      <c r="DT65" s="107"/>
      <c r="DU65" s="107"/>
      <c r="DV65" s="107"/>
      <c r="DW65" s="107"/>
      <c r="DX65" s="107"/>
      <c r="DY65" s="107"/>
      <c r="DZ65" s="107"/>
      <c r="EA65" s="107"/>
      <c r="EB65" s="107"/>
      <c r="EC65" s="107"/>
      <c r="ED65" s="107"/>
      <c r="EE65" s="107"/>
      <c r="EF65" s="107"/>
      <c r="EG65" s="107"/>
      <c r="EH65" s="107"/>
      <c r="EI65" s="107"/>
      <c r="EJ65" s="107"/>
      <c r="EK65" s="107"/>
      <c r="EL65" s="107"/>
      <c r="EM65" s="107"/>
      <c r="EN65" s="107"/>
      <c r="EO65" s="107"/>
      <c r="EP65" s="107"/>
      <c r="EQ65" s="107"/>
      <c r="ER65" s="107"/>
      <c r="ES65" s="107"/>
      <c r="ET65" s="107"/>
      <c r="EU65" s="107"/>
      <c r="EV65" s="107"/>
      <c r="EW65" s="107"/>
      <c r="EX65" s="107"/>
      <c r="EY65" s="107"/>
      <c r="EZ65" s="107"/>
      <c r="FA65" s="107"/>
      <c r="FB65" s="107"/>
      <c r="FC65" s="107"/>
      <c r="FD65" s="107"/>
      <c r="FE65" s="107"/>
      <c r="FF65" s="107"/>
      <c r="FG65" s="107"/>
      <c r="FH65" s="107"/>
      <c r="FI65" s="107"/>
      <c r="FJ65" s="107"/>
      <c r="FK65" s="107"/>
      <c r="FL65" s="107"/>
      <c r="FM65" s="107"/>
      <c r="FN65" s="107"/>
      <c r="FO65" s="107"/>
      <c r="FP65" s="107"/>
      <c r="FQ65" s="107"/>
      <c r="FR65" s="107"/>
      <c r="FS65" s="107"/>
      <c r="FT65" s="107"/>
      <c r="FU65" s="107"/>
      <c r="FV65" s="107"/>
      <c r="FW65" s="107"/>
      <c r="FX65" s="107"/>
      <c r="FY65" s="107"/>
      <c r="FZ65" s="107"/>
      <c r="GA65" s="107"/>
      <c r="GB65" s="107"/>
      <c r="GC65" s="107"/>
      <c r="GD65" s="107"/>
      <c r="GE65" s="107"/>
      <c r="GF65" s="107"/>
      <c r="GG65" s="107"/>
      <c r="GH65" s="107"/>
      <c r="GI65" s="107"/>
      <c r="GJ65" s="107"/>
      <c r="GK65" s="107"/>
      <c r="GL65" s="107"/>
      <c r="GM65" s="107"/>
      <c r="GN65" s="107"/>
      <c r="GO65" s="107"/>
      <c r="GP65" s="107"/>
      <c r="GQ65" s="107"/>
      <c r="GR65" s="107"/>
      <c r="GS65" s="107"/>
      <c r="GT65" s="107"/>
      <c r="GU65" s="107"/>
      <c r="GV65" s="107"/>
      <c r="GW65" s="107"/>
      <c r="GX65" s="107"/>
      <c r="GY65" s="107"/>
      <c r="GZ65" s="107"/>
      <c r="HA65" s="107"/>
      <c r="HB65" s="107"/>
      <c r="HC65" s="107"/>
      <c r="HD65" s="107"/>
      <c r="HE65" s="107"/>
      <c r="HF65" s="107"/>
    </row>
    <row r="66" spans="1:214" s="27" customFormat="1" ht="24" customHeight="1">
      <c r="A66" s="93"/>
      <c r="B66" s="58"/>
      <c r="C66" s="58">
        <v>4410</v>
      </c>
      <c r="D66" s="14" t="s">
        <v>352</v>
      </c>
      <c r="E66" s="74">
        <v>2500</v>
      </c>
      <c r="F66" s="74"/>
      <c r="G66" s="74"/>
      <c r="H66" s="89">
        <f t="shared" si="9"/>
        <v>2500</v>
      </c>
      <c r="I66" s="74">
        <v>0</v>
      </c>
      <c r="J66" s="89">
        <f t="shared" si="10"/>
        <v>2500</v>
      </c>
      <c r="K66" s="74">
        <v>0</v>
      </c>
      <c r="L66" s="89">
        <f t="shared" si="11"/>
        <v>2500</v>
      </c>
      <c r="M66" s="74">
        <v>0</v>
      </c>
      <c r="N66" s="89">
        <f t="shared" si="12"/>
        <v>2500</v>
      </c>
      <c r="O66" s="74">
        <v>0</v>
      </c>
      <c r="P66" s="89">
        <f t="shared" si="13"/>
        <v>2500</v>
      </c>
      <c r="Q66" s="74">
        <v>0</v>
      </c>
      <c r="R66" s="89">
        <f t="shared" si="14"/>
        <v>2500</v>
      </c>
      <c r="S66" s="74">
        <v>0</v>
      </c>
      <c r="T66" s="89">
        <f t="shared" si="23"/>
        <v>2500</v>
      </c>
      <c r="U66" s="74">
        <v>0</v>
      </c>
      <c r="V66" s="89">
        <f t="shared" si="24"/>
        <v>2500</v>
      </c>
      <c r="W66" s="74">
        <v>0</v>
      </c>
      <c r="X66" s="89">
        <f t="shared" si="25"/>
        <v>2500</v>
      </c>
      <c r="Y66" s="74">
        <v>0</v>
      </c>
      <c r="Z66" s="89">
        <f t="shared" si="26"/>
        <v>2500</v>
      </c>
      <c r="AA66" s="74">
        <f>250-2000</f>
        <v>-1750</v>
      </c>
      <c r="AB66" s="89">
        <f t="shared" si="27"/>
        <v>750</v>
      </c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7"/>
      <c r="AV66" s="107"/>
      <c r="AW66" s="107"/>
      <c r="AX66" s="107"/>
      <c r="AY66" s="107"/>
      <c r="AZ66" s="107"/>
      <c r="BA66" s="107"/>
      <c r="BB66" s="107"/>
      <c r="BC66" s="107"/>
      <c r="BD66" s="107"/>
      <c r="BE66" s="107"/>
      <c r="BF66" s="107"/>
      <c r="BG66" s="107"/>
      <c r="BH66" s="107"/>
      <c r="BI66" s="107"/>
      <c r="BJ66" s="107"/>
      <c r="BK66" s="107"/>
      <c r="BL66" s="107"/>
      <c r="BM66" s="107"/>
      <c r="BN66" s="107"/>
      <c r="BO66" s="107"/>
      <c r="BP66" s="107"/>
      <c r="BQ66" s="107"/>
      <c r="BR66" s="107"/>
      <c r="BS66" s="107"/>
      <c r="BT66" s="107"/>
      <c r="BU66" s="107"/>
      <c r="BV66" s="107"/>
      <c r="BW66" s="107"/>
      <c r="BX66" s="107"/>
      <c r="BY66" s="107"/>
      <c r="BZ66" s="107"/>
      <c r="CA66" s="107"/>
      <c r="CB66" s="107"/>
      <c r="CC66" s="107"/>
      <c r="CD66" s="107"/>
      <c r="CE66" s="107"/>
      <c r="CF66" s="107"/>
      <c r="CG66" s="107"/>
      <c r="CH66" s="107"/>
      <c r="CI66" s="107"/>
      <c r="CJ66" s="107"/>
      <c r="CK66" s="107"/>
      <c r="CL66" s="107"/>
      <c r="CM66" s="107"/>
      <c r="CN66" s="107"/>
      <c r="CO66" s="107"/>
      <c r="CP66" s="107"/>
      <c r="CQ66" s="107"/>
      <c r="CR66" s="107"/>
      <c r="CS66" s="107"/>
      <c r="CT66" s="107"/>
      <c r="CU66" s="107"/>
      <c r="CV66" s="107"/>
      <c r="CW66" s="107"/>
      <c r="CX66" s="107"/>
      <c r="CY66" s="107"/>
      <c r="CZ66" s="107"/>
      <c r="DA66" s="107"/>
      <c r="DB66" s="107"/>
      <c r="DC66" s="107"/>
      <c r="DD66" s="107"/>
      <c r="DE66" s="107"/>
      <c r="DF66" s="107"/>
      <c r="DG66" s="107"/>
      <c r="DH66" s="107"/>
      <c r="DI66" s="107"/>
      <c r="DJ66" s="107"/>
      <c r="DK66" s="107"/>
      <c r="DL66" s="107"/>
      <c r="DM66" s="107"/>
      <c r="DN66" s="107"/>
      <c r="DO66" s="107"/>
      <c r="DP66" s="107"/>
      <c r="DQ66" s="107"/>
      <c r="DR66" s="107"/>
      <c r="DS66" s="107"/>
      <c r="DT66" s="107"/>
      <c r="DU66" s="107"/>
      <c r="DV66" s="107"/>
      <c r="DW66" s="107"/>
      <c r="DX66" s="107"/>
      <c r="DY66" s="107"/>
      <c r="DZ66" s="107"/>
      <c r="EA66" s="107"/>
      <c r="EB66" s="107"/>
      <c r="EC66" s="107"/>
      <c r="ED66" s="107"/>
      <c r="EE66" s="107"/>
      <c r="EF66" s="107"/>
      <c r="EG66" s="107"/>
      <c r="EH66" s="107"/>
      <c r="EI66" s="107"/>
      <c r="EJ66" s="107"/>
      <c r="EK66" s="107"/>
      <c r="EL66" s="107"/>
      <c r="EM66" s="107"/>
      <c r="EN66" s="107"/>
      <c r="EO66" s="107"/>
      <c r="EP66" s="107"/>
      <c r="EQ66" s="107"/>
      <c r="ER66" s="107"/>
      <c r="ES66" s="107"/>
      <c r="ET66" s="107"/>
      <c r="EU66" s="107"/>
      <c r="EV66" s="107"/>
      <c r="EW66" s="107"/>
      <c r="EX66" s="107"/>
      <c r="EY66" s="107"/>
      <c r="EZ66" s="107"/>
      <c r="FA66" s="107"/>
      <c r="FB66" s="107"/>
      <c r="FC66" s="107"/>
      <c r="FD66" s="107"/>
      <c r="FE66" s="107"/>
      <c r="FF66" s="107"/>
      <c r="FG66" s="107"/>
      <c r="FH66" s="107"/>
      <c r="FI66" s="107"/>
      <c r="FJ66" s="107"/>
      <c r="FK66" s="107"/>
      <c r="FL66" s="107"/>
      <c r="FM66" s="107"/>
      <c r="FN66" s="107"/>
      <c r="FO66" s="107"/>
      <c r="FP66" s="107"/>
      <c r="FQ66" s="107"/>
      <c r="FR66" s="107"/>
      <c r="FS66" s="107"/>
      <c r="FT66" s="107"/>
      <c r="FU66" s="107"/>
      <c r="FV66" s="107"/>
      <c r="FW66" s="107"/>
      <c r="FX66" s="107"/>
      <c r="FY66" s="107"/>
      <c r="FZ66" s="107"/>
      <c r="GA66" s="107"/>
      <c r="GB66" s="107"/>
      <c r="GC66" s="107"/>
      <c r="GD66" s="107"/>
      <c r="GE66" s="107"/>
      <c r="GF66" s="107"/>
      <c r="GG66" s="107"/>
      <c r="GH66" s="107"/>
      <c r="GI66" s="107"/>
      <c r="GJ66" s="107"/>
      <c r="GK66" s="107"/>
      <c r="GL66" s="107"/>
      <c r="GM66" s="107"/>
      <c r="GN66" s="107"/>
      <c r="GO66" s="107"/>
      <c r="GP66" s="107"/>
      <c r="GQ66" s="107"/>
      <c r="GR66" s="107"/>
      <c r="GS66" s="107"/>
      <c r="GT66" s="107"/>
      <c r="GU66" s="107"/>
      <c r="GV66" s="107"/>
      <c r="GW66" s="107"/>
      <c r="GX66" s="107"/>
      <c r="GY66" s="107"/>
      <c r="GZ66" s="107"/>
      <c r="HA66" s="107"/>
      <c r="HB66" s="107"/>
      <c r="HC66" s="107"/>
      <c r="HD66" s="107"/>
      <c r="HE66" s="107"/>
      <c r="HF66" s="107"/>
    </row>
    <row r="67" spans="1:214" s="27" customFormat="1" ht="24" customHeight="1">
      <c r="A67" s="93"/>
      <c r="B67" s="58"/>
      <c r="C67" s="58">
        <v>4430</v>
      </c>
      <c r="D67" s="40" t="s">
        <v>356</v>
      </c>
      <c r="E67" s="74">
        <v>2000</v>
      </c>
      <c r="F67" s="74"/>
      <c r="G67" s="74"/>
      <c r="H67" s="89">
        <f t="shared" si="9"/>
        <v>2000</v>
      </c>
      <c r="I67" s="74">
        <v>0</v>
      </c>
      <c r="J67" s="89">
        <f t="shared" si="10"/>
        <v>2000</v>
      </c>
      <c r="K67" s="74">
        <v>0</v>
      </c>
      <c r="L67" s="89">
        <f t="shared" si="11"/>
        <v>2000</v>
      </c>
      <c r="M67" s="74">
        <v>0</v>
      </c>
      <c r="N67" s="89">
        <f t="shared" si="12"/>
        <v>2000</v>
      </c>
      <c r="O67" s="74">
        <v>0</v>
      </c>
      <c r="P67" s="89">
        <f t="shared" si="13"/>
        <v>2000</v>
      </c>
      <c r="Q67" s="74">
        <v>1200</v>
      </c>
      <c r="R67" s="89">
        <f t="shared" si="14"/>
        <v>3200</v>
      </c>
      <c r="S67" s="74">
        <v>0</v>
      </c>
      <c r="T67" s="89">
        <f t="shared" si="23"/>
        <v>3200</v>
      </c>
      <c r="U67" s="74">
        <v>0</v>
      </c>
      <c r="V67" s="89">
        <f t="shared" si="24"/>
        <v>3200</v>
      </c>
      <c r="W67" s="74">
        <v>0</v>
      </c>
      <c r="X67" s="89">
        <f t="shared" si="25"/>
        <v>3200</v>
      </c>
      <c r="Y67" s="74">
        <v>0</v>
      </c>
      <c r="Z67" s="89">
        <f t="shared" si="26"/>
        <v>3200</v>
      </c>
      <c r="AA67" s="74">
        <v>-284</v>
      </c>
      <c r="AB67" s="89">
        <f t="shared" si="27"/>
        <v>2916</v>
      </c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7"/>
      <c r="AV67" s="107"/>
      <c r="AW67" s="107"/>
      <c r="AX67" s="107"/>
      <c r="AY67" s="107"/>
      <c r="AZ67" s="107"/>
      <c r="BA67" s="107"/>
      <c r="BB67" s="107"/>
      <c r="BC67" s="107"/>
      <c r="BD67" s="107"/>
      <c r="BE67" s="107"/>
      <c r="BF67" s="107"/>
      <c r="BG67" s="107"/>
      <c r="BH67" s="107"/>
      <c r="BI67" s="107"/>
      <c r="BJ67" s="107"/>
      <c r="BK67" s="107"/>
      <c r="BL67" s="107"/>
      <c r="BM67" s="107"/>
      <c r="BN67" s="107"/>
      <c r="BO67" s="107"/>
      <c r="BP67" s="107"/>
      <c r="BQ67" s="107"/>
      <c r="BR67" s="107"/>
      <c r="BS67" s="107"/>
      <c r="BT67" s="107"/>
      <c r="BU67" s="107"/>
      <c r="BV67" s="107"/>
      <c r="BW67" s="107"/>
      <c r="BX67" s="107"/>
      <c r="BY67" s="107"/>
      <c r="BZ67" s="107"/>
      <c r="CA67" s="107"/>
      <c r="CB67" s="107"/>
      <c r="CC67" s="107"/>
      <c r="CD67" s="107"/>
      <c r="CE67" s="107"/>
      <c r="CF67" s="107"/>
      <c r="CG67" s="107"/>
      <c r="CH67" s="107"/>
      <c r="CI67" s="107"/>
      <c r="CJ67" s="107"/>
      <c r="CK67" s="107"/>
      <c r="CL67" s="107"/>
      <c r="CM67" s="107"/>
      <c r="CN67" s="107"/>
      <c r="CO67" s="107"/>
      <c r="CP67" s="107"/>
      <c r="CQ67" s="107"/>
      <c r="CR67" s="107"/>
      <c r="CS67" s="107"/>
      <c r="CT67" s="107"/>
      <c r="CU67" s="107"/>
      <c r="CV67" s="107"/>
      <c r="CW67" s="107"/>
      <c r="CX67" s="107"/>
      <c r="CY67" s="107"/>
      <c r="CZ67" s="107"/>
      <c r="DA67" s="107"/>
      <c r="DB67" s="107"/>
      <c r="DC67" s="107"/>
      <c r="DD67" s="107"/>
      <c r="DE67" s="107"/>
      <c r="DF67" s="107"/>
      <c r="DG67" s="107"/>
      <c r="DH67" s="107"/>
      <c r="DI67" s="107"/>
      <c r="DJ67" s="107"/>
      <c r="DK67" s="107"/>
      <c r="DL67" s="107"/>
      <c r="DM67" s="107"/>
      <c r="DN67" s="107"/>
      <c r="DO67" s="107"/>
      <c r="DP67" s="107"/>
      <c r="DQ67" s="107"/>
      <c r="DR67" s="107"/>
      <c r="DS67" s="107"/>
      <c r="DT67" s="107"/>
      <c r="DU67" s="107"/>
      <c r="DV67" s="107"/>
      <c r="DW67" s="107"/>
      <c r="DX67" s="107"/>
      <c r="DY67" s="107"/>
      <c r="DZ67" s="107"/>
      <c r="EA67" s="107"/>
      <c r="EB67" s="107"/>
      <c r="EC67" s="107"/>
      <c r="ED67" s="107"/>
      <c r="EE67" s="107"/>
      <c r="EF67" s="107"/>
      <c r="EG67" s="107"/>
      <c r="EH67" s="107"/>
      <c r="EI67" s="107"/>
      <c r="EJ67" s="107"/>
      <c r="EK67" s="107"/>
      <c r="EL67" s="107"/>
      <c r="EM67" s="107"/>
      <c r="EN67" s="107"/>
      <c r="EO67" s="107"/>
      <c r="EP67" s="107"/>
      <c r="EQ67" s="107"/>
      <c r="ER67" s="107"/>
      <c r="ES67" s="107"/>
      <c r="ET67" s="107"/>
      <c r="EU67" s="107"/>
      <c r="EV67" s="107"/>
      <c r="EW67" s="107"/>
      <c r="EX67" s="107"/>
      <c r="EY67" s="107"/>
      <c r="EZ67" s="107"/>
      <c r="FA67" s="107"/>
      <c r="FB67" s="107"/>
      <c r="FC67" s="107"/>
      <c r="FD67" s="107"/>
      <c r="FE67" s="107"/>
      <c r="FF67" s="107"/>
      <c r="FG67" s="107"/>
      <c r="FH67" s="107"/>
      <c r="FI67" s="107"/>
      <c r="FJ67" s="107"/>
      <c r="FK67" s="107"/>
      <c r="FL67" s="107"/>
      <c r="FM67" s="107"/>
      <c r="FN67" s="107"/>
      <c r="FO67" s="107"/>
      <c r="FP67" s="107"/>
      <c r="FQ67" s="107"/>
      <c r="FR67" s="107"/>
      <c r="FS67" s="107"/>
      <c r="FT67" s="107"/>
      <c r="FU67" s="107"/>
      <c r="FV67" s="107"/>
      <c r="FW67" s="107"/>
      <c r="FX67" s="107"/>
      <c r="FY67" s="107"/>
      <c r="FZ67" s="107"/>
      <c r="GA67" s="107"/>
      <c r="GB67" s="107"/>
      <c r="GC67" s="107"/>
      <c r="GD67" s="107"/>
      <c r="GE67" s="107"/>
      <c r="GF67" s="107"/>
      <c r="GG67" s="107"/>
      <c r="GH67" s="107"/>
      <c r="GI67" s="107"/>
      <c r="GJ67" s="107"/>
      <c r="GK67" s="107"/>
      <c r="GL67" s="107"/>
      <c r="GM67" s="107"/>
      <c r="GN67" s="107"/>
      <c r="GO67" s="107"/>
      <c r="GP67" s="107"/>
      <c r="GQ67" s="107"/>
      <c r="GR67" s="107"/>
      <c r="GS67" s="107"/>
      <c r="GT67" s="107"/>
      <c r="GU67" s="107"/>
      <c r="GV67" s="107"/>
      <c r="GW67" s="107"/>
      <c r="GX67" s="107"/>
      <c r="GY67" s="107"/>
      <c r="GZ67" s="107"/>
      <c r="HA67" s="107"/>
      <c r="HB67" s="107"/>
      <c r="HC67" s="107"/>
      <c r="HD67" s="107"/>
      <c r="HE67" s="107"/>
      <c r="HF67" s="107"/>
    </row>
    <row r="68" spans="1:214" s="27" customFormat="1" ht="24" customHeight="1">
      <c r="A68" s="93"/>
      <c r="B68" s="58"/>
      <c r="C68" s="58">
        <v>4440</v>
      </c>
      <c r="D68" s="14" t="s">
        <v>349</v>
      </c>
      <c r="E68" s="74">
        <v>4000</v>
      </c>
      <c r="F68" s="74"/>
      <c r="G68" s="74"/>
      <c r="H68" s="89">
        <f t="shared" si="9"/>
        <v>4000</v>
      </c>
      <c r="I68" s="74">
        <v>0</v>
      </c>
      <c r="J68" s="89">
        <f t="shared" si="10"/>
        <v>4000</v>
      </c>
      <c r="K68" s="74">
        <v>0</v>
      </c>
      <c r="L68" s="89">
        <f t="shared" si="11"/>
        <v>4000</v>
      </c>
      <c r="M68" s="74">
        <v>0</v>
      </c>
      <c r="N68" s="89">
        <f t="shared" si="12"/>
        <v>4000</v>
      </c>
      <c r="O68" s="74">
        <v>0</v>
      </c>
      <c r="P68" s="89">
        <f t="shared" si="13"/>
        <v>4000</v>
      </c>
      <c r="Q68" s="74">
        <v>0</v>
      </c>
      <c r="R68" s="89">
        <f t="shared" si="14"/>
        <v>4000</v>
      </c>
      <c r="S68" s="74">
        <v>0</v>
      </c>
      <c r="T68" s="89">
        <f t="shared" si="23"/>
        <v>4000</v>
      </c>
      <c r="U68" s="74">
        <v>0</v>
      </c>
      <c r="V68" s="89">
        <f t="shared" si="24"/>
        <v>4000</v>
      </c>
      <c r="W68" s="74">
        <v>0</v>
      </c>
      <c r="X68" s="89">
        <f t="shared" si="25"/>
        <v>4000</v>
      </c>
      <c r="Y68" s="74">
        <v>0</v>
      </c>
      <c r="Z68" s="89">
        <f t="shared" si="26"/>
        <v>4000</v>
      </c>
      <c r="AA68" s="74">
        <v>23</v>
      </c>
      <c r="AB68" s="89">
        <f t="shared" si="27"/>
        <v>4023</v>
      </c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7"/>
      <c r="AV68" s="107"/>
      <c r="AW68" s="107"/>
      <c r="AX68" s="107"/>
      <c r="AY68" s="107"/>
      <c r="AZ68" s="107"/>
      <c r="BA68" s="107"/>
      <c r="BB68" s="107"/>
      <c r="BC68" s="107"/>
      <c r="BD68" s="107"/>
      <c r="BE68" s="107"/>
      <c r="BF68" s="107"/>
      <c r="BG68" s="107"/>
      <c r="BH68" s="107"/>
      <c r="BI68" s="107"/>
      <c r="BJ68" s="107"/>
      <c r="BK68" s="107"/>
      <c r="BL68" s="107"/>
      <c r="BM68" s="107"/>
      <c r="BN68" s="107"/>
      <c r="BO68" s="107"/>
      <c r="BP68" s="107"/>
      <c r="BQ68" s="107"/>
      <c r="BR68" s="107"/>
      <c r="BS68" s="107"/>
      <c r="BT68" s="107"/>
      <c r="BU68" s="107"/>
      <c r="BV68" s="107"/>
      <c r="BW68" s="107"/>
      <c r="BX68" s="107"/>
      <c r="BY68" s="107"/>
      <c r="BZ68" s="107"/>
      <c r="CA68" s="107"/>
      <c r="CB68" s="107"/>
      <c r="CC68" s="107"/>
      <c r="CD68" s="107"/>
      <c r="CE68" s="107"/>
      <c r="CF68" s="107"/>
      <c r="CG68" s="107"/>
      <c r="CH68" s="107"/>
      <c r="CI68" s="107"/>
      <c r="CJ68" s="107"/>
      <c r="CK68" s="107"/>
      <c r="CL68" s="107"/>
      <c r="CM68" s="107"/>
      <c r="CN68" s="107"/>
      <c r="CO68" s="107"/>
      <c r="CP68" s="107"/>
      <c r="CQ68" s="107"/>
      <c r="CR68" s="107"/>
      <c r="CS68" s="107"/>
      <c r="CT68" s="107"/>
      <c r="CU68" s="107"/>
      <c r="CV68" s="107"/>
      <c r="CW68" s="107"/>
      <c r="CX68" s="107"/>
      <c r="CY68" s="107"/>
      <c r="CZ68" s="107"/>
      <c r="DA68" s="107"/>
      <c r="DB68" s="107"/>
      <c r="DC68" s="107"/>
      <c r="DD68" s="107"/>
      <c r="DE68" s="107"/>
      <c r="DF68" s="107"/>
      <c r="DG68" s="107"/>
      <c r="DH68" s="107"/>
      <c r="DI68" s="107"/>
      <c r="DJ68" s="107"/>
      <c r="DK68" s="107"/>
      <c r="DL68" s="107"/>
      <c r="DM68" s="107"/>
      <c r="DN68" s="107"/>
      <c r="DO68" s="107"/>
      <c r="DP68" s="107"/>
      <c r="DQ68" s="107"/>
      <c r="DR68" s="107"/>
      <c r="DS68" s="107"/>
      <c r="DT68" s="107"/>
      <c r="DU68" s="107"/>
      <c r="DV68" s="107"/>
      <c r="DW68" s="107"/>
      <c r="DX68" s="107"/>
      <c r="DY68" s="107"/>
      <c r="DZ68" s="107"/>
      <c r="EA68" s="107"/>
      <c r="EB68" s="107"/>
      <c r="EC68" s="107"/>
      <c r="ED68" s="107"/>
      <c r="EE68" s="107"/>
      <c r="EF68" s="107"/>
      <c r="EG68" s="107"/>
      <c r="EH68" s="107"/>
      <c r="EI68" s="107"/>
      <c r="EJ68" s="107"/>
      <c r="EK68" s="107"/>
      <c r="EL68" s="107"/>
      <c r="EM68" s="107"/>
      <c r="EN68" s="107"/>
      <c r="EO68" s="107"/>
      <c r="EP68" s="107"/>
      <c r="EQ68" s="107"/>
      <c r="ER68" s="107"/>
      <c r="ES68" s="107"/>
      <c r="ET68" s="107"/>
      <c r="EU68" s="107"/>
      <c r="EV68" s="107"/>
      <c r="EW68" s="107"/>
      <c r="EX68" s="107"/>
      <c r="EY68" s="107"/>
      <c r="EZ68" s="107"/>
      <c r="FA68" s="107"/>
      <c r="FB68" s="107"/>
      <c r="FC68" s="107"/>
      <c r="FD68" s="107"/>
      <c r="FE68" s="107"/>
      <c r="FF68" s="107"/>
      <c r="FG68" s="107"/>
      <c r="FH68" s="107"/>
      <c r="FI68" s="107"/>
      <c r="FJ68" s="107"/>
      <c r="FK68" s="107"/>
      <c r="FL68" s="107"/>
      <c r="FM68" s="107"/>
      <c r="FN68" s="107"/>
      <c r="FO68" s="107"/>
      <c r="FP68" s="107"/>
      <c r="FQ68" s="107"/>
      <c r="FR68" s="107"/>
      <c r="FS68" s="107"/>
      <c r="FT68" s="107"/>
      <c r="FU68" s="107"/>
      <c r="FV68" s="107"/>
      <c r="FW68" s="107"/>
      <c r="FX68" s="107"/>
      <c r="FY68" s="107"/>
      <c r="FZ68" s="107"/>
      <c r="GA68" s="107"/>
      <c r="GB68" s="107"/>
      <c r="GC68" s="107"/>
      <c r="GD68" s="107"/>
      <c r="GE68" s="107"/>
      <c r="GF68" s="107"/>
      <c r="GG68" s="107"/>
      <c r="GH68" s="107"/>
      <c r="GI68" s="107"/>
      <c r="GJ68" s="107"/>
      <c r="GK68" s="107"/>
      <c r="GL68" s="107"/>
      <c r="GM68" s="107"/>
      <c r="GN68" s="107"/>
      <c r="GO68" s="107"/>
      <c r="GP68" s="107"/>
      <c r="GQ68" s="107"/>
      <c r="GR68" s="107"/>
      <c r="GS68" s="107"/>
      <c r="GT68" s="107"/>
      <c r="GU68" s="107"/>
      <c r="GV68" s="107"/>
      <c r="GW68" s="107"/>
      <c r="GX68" s="107"/>
      <c r="GY68" s="107"/>
      <c r="GZ68" s="107"/>
      <c r="HA68" s="107"/>
      <c r="HB68" s="107"/>
      <c r="HC68" s="107"/>
      <c r="HD68" s="107"/>
      <c r="HE68" s="107"/>
      <c r="HF68" s="107"/>
    </row>
    <row r="69" spans="1:214" s="27" customFormat="1" ht="29.25" customHeight="1">
      <c r="A69" s="93"/>
      <c r="B69" s="58"/>
      <c r="C69" s="58">
        <v>4700</v>
      </c>
      <c r="D69" s="14" t="s">
        <v>571</v>
      </c>
      <c r="E69" s="74">
        <v>3000</v>
      </c>
      <c r="F69" s="74"/>
      <c r="G69" s="74"/>
      <c r="H69" s="89">
        <f t="shared" si="9"/>
        <v>3000</v>
      </c>
      <c r="I69" s="74">
        <v>0</v>
      </c>
      <c r="J69" s="89">
        <f t="shared" si="10"/>
        <v>3000</v>
      </c>
      <c r="K69" s="74">
        <v>0</v>
      </c>
      <c r="L69" s="89">
        <f t="shared" si="11"/>
        <v>3000</v>
      </c>
      <c r="M69" s="74">
        <v>0</v>
      </c>
      <c r="N69" s="89">
        <f t="shared" si="12"/>
        <v>3000</v>
      </c>
      <c r="O69" s="74">
        <v>0</v>
      </c>
      <c r="P69" s="89">
        <f t="shared" si="13"/>
        <v>3000</v>
      </c>
      <c r="Q69" s="74">
        <v>0</v>
      </c>
      <c r="R69" s="89">
        <f t="shared" si="14"/>
        <v>3000</v>
      </c>
      <c r="S69" s="74">
        <v>0</v>
      </c>
      <c r="T69" s="89">
        <f t="shared" si="23"/>
        <v>3000</v>
      </c>
      <c r="U69" s="74">
        <v>0</v>
      </c>
      <c r="V69" s="89">
        <f t="shared" si="24"/>
        <v>3000</v>
      </c>
      <c r="W69" s="74">
        <v>0</v>
      </c>
      <c r="X69" s="89">
        <f t="shared" si="25"/>
        <v>3000</v>
      </c>
      <c r="Y69" s="74">
        <v>0</v>
      </c>
      <c r="Z69" s="89">
        <f t="shared" si="26"/>
        <v>3000</v>
      </c>
      <c r="AA69" s="74">
        <v>-1540</v>
      </c>
      <c r="AB69" s="89">
        <f t="shared" si="27"/>
        <v>1460</v>
      </c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7"/>
      <c r="AV69" s="107"/>
      <c r="AW69" s="107"/>
      <c r="AX69" s="107"/>
      <c r="AY69" s="107"/>
      <c r="AZ69" s="107"/>
      <c r="BA69" s="107"/>
      <c r="BB69" s="107"/>
      <c r="BC69" s="107"/>
      <c r="BD69" s="107"/>
      <c r="BE69" s="107"/>
      <c r="BF69" s="107"/>
      <c r="BG69" s="107"/>
      <c r="BH69" s="107"/>
      <c r="BI69" s="107"/>
      <c r="BJ69" s="107"/>
      <c r="BK69" s="107"/>
      <c r="BL69" s="107"/>
      <c r="BM69" s="107"/>
      <c r="BN69" s="107"/>
      <c r="BO69" s="107"/>
      <c r="BP69" s="107"/>
      <c r="BQ69" s="107"/>
      <c r="BR69" s="107"/>
      <c r="BS69" s="107"/>
      <c r="BT69" s="107"/>
      <c r="BU69" s="107"/>
      <c r="BV69" s="107"/>
      <c r="BW69" s="107"/>
      <c r="BX69" s="107"/>
      <c r="BY69" s="107"/>
      <c r="BZ69" s="107"/>
      <c r="CA69" s="107"/>
      <c r="CB69" s="107"/>
      <c r="CC69" s="107"/>
      <c r="CD69" s="107"/>
      <c r="CE69" s="107"/>
      <c r="CF69" s="107"/>
      <c r="CG69" s="107"/>
      <c r="CH69" s="107"/>
      <c r="CI69" s="107"/>
      <c r="CJ69" s="107"/>
      <c r="CK69" s="107"/>
      <c r="CL69" s="107"/>
      <c r="CM69" s="107"/>
      <c r="CN69" s="107"/>
      <c r="CO69" s="107"/>
      <c r="CP69" s="107"/>
      <c r="CQ69" s="107"/>
      <c r="CR69" s="107"/>
      <c r="CS69" s="107"/>
      <c r="CT69" s="107"/>
      <c r="CU69" s="107"/>
      <c r="CV69" s="107"/>
      <c r="CW69" s="107"/>
      <c r="CX69" s="107"/>
      <c r="CY69" s="107"/>
      <c r="CZ69" s="107"/>
      <c r="DA69" s="107"/>
      <c r="DB69" s="107"/>
      <c r="DC69" s="107"/>
      <c r="DD69" s="107"/>
      <c r="DE69" s="107"/>
      <c r="DF69" s="107"/>
      <c r="DG69" s="107"/>
      <c r="DH69" s="107"/>
      <c r="DI69" s="107"/>
      <c r="DJ69" s="107"/>
      <c r="DK69" s="107"/>
      <c r="DL69" s="107"/>
      <c r="DM69" s="107"/>
      <c r="DN69" s="107"/>
      <c r="DO69" s="107"/>
      <c r="DP69" s="107"/>
      <c r="DQ69" s="107"/>
      <c r="DR69" s="107"/>
      <c r="DS69" s="107"/>
      <c r="DT69" s="107"/>
      <c r="DU69" s="107"/>
      <c r="DV69" s="107"/>
      <c r="DW69" s="107"/>
      <c r="DX69" s="107"/>
      <c r="DY69" s="107"/>
      <c r="DZ69" s="107"/>
      <c r="EA69" s="107"/>
      <c r="EB69" s="107"/>
      <c r="EC69" s="107"/>
      <c r="ED69" s="107"/>
      <c r="EE69" s="107"/>
      <c r="EF69" s="107"/>
      <c r="EG69" s="107"/>
      <c r="EH69" s="107"/>
      <c r="EI69" s="107"/>
      <c r="EJ69" s="107"/>
      <c r="EK69" s="107"/>
      <c r="EL69" s="107"/>
      <c r="EM69" s="107"/>
      <c r="EN69" s="107"/>
      <c r="EO69" s="107"/>
      <c r="EP69" s="107"/>
      <c r="EQ69" s="107"/>
      <c r="ER69" s="107"/>
      <c r="ES69" s="107"/>
      <c r="ET69" s="107"/>
      <c r="EU69" s="107"/>
      <c r="EV69" s="107"/>
      <c r="EW69" s="107"/>
      <c r="EX69" s="107"/>
      <c r="EY69" s="107"/>
      <c r="EZ69" s="107"/>
      <c r="FA69" s="107"/>
      <c r="FB69" s="107"/>
      <c r="FC69" s="107"/>
      <c r="FD69" s="107"/>
      <c r="FE69" s="107"/>
      <c r="FF69" s="107"/>
      <c r="FG69" s="107"/>
      <c r="FH69" s="107"/>
      <c r="FI69" s="107"/>
      <c r="FJ69" s="107"/>
      <c r="FK69" s="107"/>
      <c r="FL69" s="107"/>
      <c r="FM69" s="107"/>
      <c r="FN69" s="107"/>
      <c r="FO69" s="107"/>
      <c r="FP69" s="107"/>
      <c r="FQ69" s="107"/>
      <c r="FR69" s="107"/>
      <c r="FS69" s="107"/>
      <c r="FT69" s="107"/>
      <c r="FU69" s="107"/>
      <c r="FV69" s="107"/>
      <c r="FW69" s="107"/>
      <c r="FX69" s="107"/>
      <c r="FY69" s="107"/>
      <c r="FZ69" s="107"/>
      <c r="GA69" s="107"/>
      <c r="GB69" s="107"/>
      <c r="GC69" s="107"/>
      <c r="GD69" s="107"/>
      <c r="GE69" s="107"/>
      <c r="GF69" s="107"/>
      <c r="GG69" s="107"/>
      <c r="GH69" s="107"/>
      <c r="GI69" s="107"/>
      <c r="GJ69" s="107"/>
      <c r="GK69" s="107"/>
      <c r="GL69" s="107"/>
      <c r="GM69" s="107"/>
      <c r="GN69" s="107"/>
      <c r="GO69" s="107"/>
      <c r="GP69" s="107"/>
      <c r="GQ69" s="107"/>
      <c r="GR69" s="107"/>
      <c r="GS69" s="107"/>
      <c r="GT69" s="107"/>
      <c r="GU69" s="107"/>
      <c r="GV69" s="107"/>
      <c r="GW69" s="107"/>
      <c r="GX69" s="107"/>
      <c r="GY69" s="107"/>
      <c r="GZ69" s="107"/>
      <c r="HA69" s="107"/>
      <c r="HB69" s="107"/>
      <c r="HC69" s="107"/>
      <c r="HD69" s="107"/>
      <c r="HE69" s="107"/>
      <c r="HF69" s="107"/>
    </row>
    <row r="70" spans="1:214" s="27" customFormat="1" ht="31.5" customHeight="1">
      <c r="A70" s="93"/>
      <c r="B70" s="58"/>
      <c r="C70" s="58">
        <v>4740</v>
      </c>
      <c r="D70" s="14" t="s">
        <v>185</v>
      </c>
      <c r="E70" s="74">
        <v>4000</v>
      </c>
      <c r="F70" s="74"/>
      <c r="G70" s="74"/>
      <c r="H70" s="89">
        <f t="shared" si="9"/>
        <v>4000</v>
      </c>
      <c r="I70" s="74">
        <v>0</v>
      </c>
      <c r="J70" s="89">
        <f t="shared" si="10"/>
        <v>4000</v>
      </c>
      <c r="K70" s="74">
        <v>0</v>
      </c>
      <c r="L70" s="89">
        <f t="shared" si="11"/>
        <v>4000</v>
      </c>
      <c r="M70" s="74">
        <v>0</v>
      </c>
      <c r="N70" s="89">
        <f t="shared" si="12"/>
        <v>4000</v>
      </c>
      <c r="O70" s="74">
        <v>0</v>
      </c>
      <c r="P70" s="89">
        <f t="shared" si="13"/>
        <v>4000</v>
      </c>
      <c r="Q70" s="74">
        <v>0</v>
      </c>
      <c r="R70" s="89">
        <f t="shared" si="14"/>
        <v>4000</v>
      </c>
      <c r="S70" s="74">
        <v>0</v>
      </c>
      <c r="T70" s="89">
        <f t="shared" si="23"/>
        <v>4000</v>
      </c>
      <c r="U70" s="74">
        <v>-3000</v>
      </c>
      <c r="V70" s="89">
        <f t="shared" si="24"/>
        <v>1000</v>
      </c>
      <c r="W70" s="74">
        <v>0</v>
      </c>
      <c r="X70" s="89">
        <f t="shared" si="25"/>
        <v>1000</v>
      </c>
      <c r="Y70" s="74">
        <v>0</v>
      </c>
      <c r="Z70" s="89">
        <f t="shared" si="26"/>
        <v>1000</v>
      </c>
      <c r="AA70" s="74">
        <v>-674</v>
      </c>
      <c r="AB70" s="89">
        <f t="shared" si="27"/>
        <v>326</v>
      </c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7"/>
      <c r="AV70" s="107"/>
      <c r="AW70" s="107"/>
      <c r="AX70" s="107"/>
      <c r="AY70" s="107"/>
      <c r="AZ70" s="107"/>
      <c r="BA70" s="107"/>
      <c r="BB70" s="107"/>
      <c r="BC70" s="107"/>
      <c r="BD70" s="107"/>
      <c r="BE70" s="107"/>
      <c r="BF70" s="107"/>
      <c r="BG70" s="107"/>
      <c r="BH70" s="107"/>
      <c r="BI70" s="107"/>
      <c r="BJ70" s="107"/>
      <c r="BK70" s="107"/>
      <c r="BL70" s="107"/>
      <c r="BM70" s="107"/>
      <c r="BN70" s="107"/>
      <c r="BO70" s="107"/>
      <c r="BP70" s="107"/>
      <c r="BQ70" s="107"/>
      <c r="BR70" s="107"/>
      <c r="BS70" s="107"/>
      <c r="BT70" s="107"/>
      <c r="BU70" s="107"/>
      <c r="BV70" s="107"/>
      <c r="BW70" s="107"/>
      <c r="BX70" s="107"/>
      <c r="BY70" s="107"/>
      <c r="BZ70" s="107"/>
      <c r="CA70" s="107"/>
      <c r="CB70" s="107"/>
      <c r="CC70" s="107"/>
      <c r="CD70" s="107"/>
      <c r="CE70" s="107"/>
      <c r="CF70" s="107"/>
      <c r="CG70" s="107"/>
      <c r="CH70" s="107"/>
      <c r="CI70" s="107"/>
      <c r="CJ70" s="107"/>
      <c r="CK70" s="107"/>
      <c r="CL70" s="107"/>
      <c r="CM70" s="107"/>
      <c r="CN70" s="107"/>
      <c r="CO70" s="107"/>
      <c r="CP70" s="107"/>
      <c r="CQ70" s="107"/>
      <c r="CR70" s="107"/>
      <c r="CS70" s="107"/>
      <c r="CT70" s="107"/>
      <c r="CU70" s="107"/>
      <c r="CV70" s="107"/>
      <c r="CW70" s="107"/>
      <c r="CX70" s="107"/>
      <c r="CY70" s="107"/>
      <c r="CZ70" s="107"/>
      <c r="DA70" s="107"/>
      <c r="DB70" s="107"/>
      <c r="DC70" s="107"/>
      <c r="DD70" s="107"/>
      <c r="DE70" s="107"/>
      <c r="DF70" s="107"/>
      <c r="DG70" s="107"/>
      <c r="DH70" s="107"/>
      <c r="DI70" s="107"/>
      <c r="DJ70" s="107"/>
      <c r="DK70" s="107"/>
      <c r="DL70" s="107"/>
      <c r="DM70" s="107"/>
      <c r="DN70" s="107"/>
      <c r="DO70" s="107"/>
      <c r="DP70" s="107"/>
      <c r="DQ70" s="107"/>
      <c r="DR70" s="107"/>
      <c r="DS70" s="107"/>
      <c r="DT70" s="107"/>
      <c r="DU70" s="107"/>
      <c r="DV70" s="107"/>
      <c r="DW70" s="107"/>
      <c r="DX70" s="107"/>
      <c r="DY70" s="107"/>
      <c r="DZ70" s="107"/>
      <c r="EA70" s="107"/>
      <c r="EB70" s="107"/>
      <c r="EC70" s="107"/>
      <c r="ED70" s="107"/>
      <c r="EE70" s="107"/>
      <c r="EF70" s="107"/>
      <c r="EG70" s="107"/>
      <c r="EH70" s="107"/>
      <c r="EI70" s="107"/>
      <c r="EJ70" s="107"/>
      <c r="EK70" s="107"/>
      <c r="EL70" s="107"/>
      <c r="EM70" s="107"/>
      <c r="EN70" s="107"/>
      <c r="EO70" s="107"/>
      <c r="EP70" s="107"/>
      <c r="EQ70" s="107"/>
      <c r="ER70" s="107"/>
      <c r="ES70" s="107"/>
      <c r="ET70" s="107"/>
      <c r="EU70" s="107"/>
      <c r="EV70" s="107"/>
      <c r="EW70" s="107"/>
      <c r="EX70" s="107"/>
      <c r="EY70" s="107"/>
      <c r="EZ70" s="107"/>
      <c r="FA70" s="107"/>
      <c r="FB70" s="107"/>
      <c r="FC70" s="107"/>
      <c r="FD70" s="107"/>
      <c r="FE70" s="107"/>
      <c r="FF70" s="107"/>
      <c r="FG70" s="107"/>
      <c r="FH70" s="107"/>
      <c r="FI70" s="107"/>
      <c r="FJ70" s="107"/>
      <c r="FK70" s="107"/>
      <c r="FL70" s="107"/>
      <c r="FM70" s="107"/>
      <c r="FN70" s="107"/>
      <c r="FO70" s="107"/>
      <c r="FP70" s="107"/>
      <c r="FQ70" s="107"/>
      <c r="FR70" s="107"/>
      <c r="FS70" s="107"/>
      <c r="FT70" s="107"/>
      <c r="FU70" s="107"/>
      <c r="FV70" s="107"/>
      <c r="FW70" s="107"/>
      <c r="FX70" s="107"/>
      <c r="FY70" s="107"/>
      <c r="FZ70" s="107"/>
      <c r="GA70" s="107"/>
      <c r="GB70" s="107"/>
      <c r="GC70" s="107"/>
      <c r="GD70" s="107"/>
      <c r="GE70" s="107"/>
      <c r="GF70" s="107"/>
      <c r="GG70" s="107"/>
      <c r="GH70" s="107"/>
      <c r="GI70" s="107"/>
      <c r="GJ70" s="107"/>
      <c r="GK70" s="107"/>
      <c r="GL70" s="107"/>
      <c r="GM70" s="107"/>
      <c r="GN70" s="107"/>
      <c r="GO70" s="107"/>
      <c r="GP70" s="107"/>
      <c r="GQ70" s="107"/>
      <c r="GR70" s="107"/>
      <c r="GS70" s="107"/>
      <c r="GT70" s="107"/>
      <c r="GU70" s="107"/>
      <c r="GV70" s="107"/>
      <c r="GW70" s="107"/>
      <c r="GX70" s="107"/>
      <c r="GY70" s="107"/>
      <c r="GZ70" s="107"/>
      <c r="HA70" s="107"/>
      <c r="HB70" s="107"/>
      <c r="HC70" s="107"/>
      <c r="HD70" s="107"/>
      <c r="HE70" s="107"/>
      <c r="HF70" s="107"/>
    </row>
    <row r="71" spans="1:214" s="27" customFormat="1" ht="24.75" customHeight="1">
      <c r="A71" s="93"/>
      <c r="B71" s="58"/>
      <c r="C71" s="58">
        <v>4750</v>
      </c>
      <c r="D71" s="14" t="s">
        <v>572</v>
      </c>
      <c r="E71" s="74">
        <v>3074</v>
      </c>
      <c r="F71" s="74"/>
      <c r="G71" s="74"/>
      <c r="H71" s="89">
        <f t="shared" si="9"/>
        <v>3074</v>
      </c>
      <c r="I71" s="74">
        <v>0</v>
      </c>
      <c r="J71" s="89">
        <f t="shared" si="10"/>
        <v>3074</v>
      </c>
      <c r="K71" s="74">
        <v>0</v>
      </c>
      <c r="L71" s="89">
        <f t="shared" si="11"/>
        <v>3074</v>
      </c>
      <c r="M71" s="74">
        <v>0</v>
      </c>
      <c r="N71" s="89">
        <f t="shared" si="12"/>
        <v>3074</v>
      </c>
      <c r="O71" s="74">
        <v>0</v>
      </c>
      <c r="P71" s="89">
        <f t="shared" si="13"/>
        <v>3074</v>
      </c>
      <c r="Q71" s="74">
        <v>0</v>
      </c>
      <c r="R71" s="89">
        <f t="shared" si="14"/>
        <v>3074</v>
      </c>
      <c r="S71" s="74">
        <v>0</v>
      </c>
      <c r="T71" s="89">
        <f t="shared" si="23"/>
        <v>3074</v>
      </c>
      <c r="U71" s="74">
        <v>0</v>
      </c>
      <c r="V71" s="89">
        <f t="shared" si="24"/>
        <v>3074</v>
      </c>
      <c r="W71" s="74">
        <v>0</v>
      </c>
      <c r="X71" s="89">
        <f t="shared" si="25"/>
        <v>3074</v>
      </c>
      <c r="Y71" s="74">
        <v>0</v>
      </c>
      <c r="Z71" s="89">
        <f t="shared" si="26"/>
        <v>3074</v>
      </c>
      <c r="AA71" s="74">
        <v>-1407</v>
      </c>
      <c r="AB71" s="89">
        <f t="shared" si="27"/>
        <v>1667</v>
      </c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7"/>
      <c r="AV71" s="107"/>
      <c r="AW71" s="107"/>
      <c r="AX71" s="107"/>
      <c r="AY71" s="107"/>
      <c r="AZ71" s="107"/>
      <c r="BA71" s="107"/>
      <c r="BB71" s="107"/>
      <c r="BC71" s="107"/>
      <c r="BD71" s="107"/>
      <c r="BE71" s="107"/>
      <c r="BF71" s="107"/>
      <c r="BG71" s="107"/>
      <c r="BH71" s="107"/>
      <c r="BI71" s="107"/>
      <c r="BJ71" s="107"/>
      <c r="BK71" s="107"/>
      <c r="BL71" s="107"/>
      <c r="BM71" s="107"/>
      <c r="BN71" s="107"/>
      <c r="BO71" s="107"/>
      <c r="BP71" s="107"/>
      <c r="BQ71" s="107"/>
      <c r="BR71" s="107"/>
      <c r="BS71" s="107"/>
      <c r="BT71" s="107"/>
      <c r="BU71" s="107"/>
      <c r="BV71" s="107"/>
      <c r="BW71" s="107"/>
      <c r="BX71" s="107"/>
      <c r="BY71" s="107"/>
      <c r="BZ71" s="107"/>
      <c r="CA71" s="107"/>
      <c r="CB71" s="107"/>
      <c r="CC71" s="107"/>
      <c r="CD71" s="107"/>
      <c r="CE71" s="107"/>
      <c r="CF71" s="107"/>
      <c r="CG71" s="107"/>
      <c r="CH71" s="107"/>
      <c r="CI71" s="107"/>
      <c r="CJ71" s="107"/>
      <c r="CK71" s="107"/>
      <c r="CL71" s="107"/>
      <c r="CM71" s="107"/>
      <c r="CN71" s="107"/>
      <c r="CO71" s="107"/>
      <c r="CP71" s="107"/>
      <c r="CQ71" s="107"/>
      <c r="CR71" s="107"/>
      <c r="CS71" s="107"/>
      <c r="CT71" s="107"/>
      <c r="CU71" s="107"/>
      <c r="CV71" s="107"/>
      <c r="CW71" s="107"/>
      <c r="CX71" s="107"/>
      <c r="CY71" s="107"/>
      <c r="CZ71" s="107"/>
      <c r="DA71" s="107"/>
      <c r="DB71" s="107"/>
      <c r="DC71" s="107"/>
      <c r="DD71" s="107"/>
      <c r="DE71" s="107"/>
      <c r="DF71" s="107"/>
      <c r="DG71" s="107"/>
      <c r="DH71" s="107"/>
      <c r="DI71" s="107"/>
      <c r="DJ71" s="107"/>
      <c r="DK71" s="107"/>
      <c r="DL71" s="107"/>
      <c r="DM71" s="107"/>
      <c r="DN71" s="107"/>
      <c r="DO71" s="107"/>
      <c r="DP71" s="107"/>
      <c r="DQ71" s="107"/>
      <c r="DR71" s="107"/>
      <c r="DS71" s="107"/>
      <c r="DT71" s="107"/>
      <c r="DU71" s="107"/>
      <c r="DV71" s="107"/>
      <c r="DW71" s="107"/>
      <c r="DX71" s="107"/>
      <c r="DY71" s="107"/>
      <c r="DZ71" s="107"/>
      <c r="EA71" s="107"/>
      <c r="EB71" s="107"/>
      <c r="EC71" s="107"/>
      <c r="ED71" s="107"/>
      <c r="EE71" s="107"/>
      <c r="EF71" s="107"/>
      <c r="EG71" s="107"/>
      <c r="EH71" s="107"/>
      <c r="EI71" s="107"/>
      <c r="EJ71" s="107"/>
      <c r="EK71" s="107"/>
      <c r="EL71" s="107"/>
      <c r="EM71" s="107"/>
      <c r="EN71" s="107"/>
      <c r="EO71" s="107"/>
      <c r="EP71" s="107"/>
      <c r="EQ71" s="107"/>
      <c r="ER71" s="107"/>
      <c r="ES71" s="107"/>
      <c r="ET71" s="107"/>
      <c r="EU71" s="107"/>
      <c r="EV71" s="107"/>
      <c r="EW71" s="107"/>
      <c r="EX71" s="107"/>
      <c r="EY71" s="107"/>
      <c r="EZ71" s="107"/>
      <c r="FA71" s="107"/>
      <c r="FB71" s="107"/>
      <c r="FC71" s="107"/>
      <c r="FD71" s="107"/>
      <c r="FE71" s="107"/>
      <c r="FF71" s="107"/>
      <c r="FG71" s="107"/>
      <c r="FH71" s="107"/>
      <c r="FI71" s="107"/>
      <c r="FJ71" s="107"/>
      <c r="FK71" s="107"/>
      <c r="FL71" s="107"/>
      <c r="FM71" s="107"/>
      <c r="FN71" s="107"/>
      <c r="FO71" s="107"/>
      <c r="FP71" s="107"/>
      <c r="FQ71" s="107"/>
      <c r="FR71" s="107"/>
      <c r="FS71" s="107"/>
      <c r="FT71" s="107"/>
      <c r="FU71" s="107"/>
      <c r="FV71" s="107"/>
      <c r="FW71" s="107"/>
      <c r="FX71" s="107"/>
      <c r="FY71" s="107"/>
      <c r="FZ71" s="107"/>
      <c r="GA71" s="107"/>
      <c r="GB71" s="107"/>
      <c r="GC71" s="107"/>
      <c r="GD71" s="107"/>
      <c r="GE71" s="107"/>
      <c r="GF71" s="107"/>
      <c r="GG71" s="107"/>
      <c r="GH71" s="107"/>
      <c r="GI71" s="107"/>
      <c r="GJ71" s="107"/>
      <c r="GK71" s="107"/>
      <c r="GL71" s="107"/>
      <c r="GM71" s="107"/>
      <c r="GN71" s="107"/>
      <c r="GO71" s="107"/>
      <c r="GP71" s="107"/>
      <c r="GQ71" s="107"/>
      <c r="GR71" s="107"/>
      <c r="GS71" s="107"/>
      <c r="GT71" s="107"/>
      <c r="GU71" s="107"/>
      <c r="GV71" s="107"/>
      <c r="GW71" s="107"/>
      <c r="GX71" s="107"/>
      <c r="GY71" s="107"/>
      <c r="GZ71" s="107"/>
      <c r="HA71" s="107"/>
      <c r="HB71" s="107"/>
      <c r="HC71" s="107"/>
      <c r="HD71" s="107"/>
      <c r="HE71" s="107"/>
      <c r="HF71" s="107"/>
    </row>
    <row r="72" spans="1:214" s="27" customFormat="1" ht="56.25">
      <c r="A72" s="76"/>
      <c r="B72" s="58">
        <v>85213</v>
      </c>
      <c r="C72" s="84"/>
      <c r="D72" s="81" t="s">
        <v>183</v>
      </c>
      <c r="E72" s="89">
        <f>SUM(E73)</f>
        <v>99900</v>
      </c>
      <c r="F72" s="89">
        <f>SUM(F73)</f>
        <v>0</v>
      </c>
      <c r="G72" s="89">
        <f>SUM(G73)</f>
        <v>21500</v>
      </c>
      <c r="H72" s="89">
        <f t="shared" si="9"/>
        <v>78400</v>
      </c>
      <c r="I72" s="89">
        <f>SUM(I73)</f>
        <v>0</v>
      </c>
      <c r="J72" s="89">
        <f t="shared" si="10"/>
        <v>78400</v>
      </c>
      <c r="K72" s="89">
        <f>SUM(K73)</f>
        <v>0</v>
      </c>
      <c r="L72" s="89">
        <f t="shared" si="11"/>
        <v>78400</v>
      </c>
      <c r="M72" s="89">
        <f>SUM(M73)</f>
        <v>0</v>
      </c>
      <c r="N72" s="89">
        <f t="shared" si="12"/>
        <v>78400</v>
      </c>
      <c r="O72" s="89">
        <f>SUM(O73)</f>
        <v>0</v>
      </c>
      <c r="P72" s="89">
        <f t="shared" si="13"/>
        <v>78400</v>
      </c>
      <c r="Q72" s="89">
        <f>SUM(Q73)</f>
        <v>0</v>
      </c>
      <c r="R72" s="89">
        <f t="shared" si="14"/>
        <v>78400</v>
      </c>
      <c r="S72" s="89">
        <f>SUM(S73)</f>
        <v>0</v>
      </c>
      <c r="T72" s="89">
        <f t="shared" si="23"/>
        <v>78400</v>
      </c>
      <c r="U72" s="89">
        <f>SUM(U73)</f>
        <v>0</v>
      </c>
      <c r="V72" s="89">
        <f t="shared" si="24"/>
        <v>78400</v>
      </c>
      <c r="W72" s="89">
        <f>SUM(W73)</f>
        <v>0</v>
      </c>
      <c r="X72" s="89">
        <f t="shared" si="25"/>
        <v>78400</v>
      </c>
      <c r="Y72" s="89">
        <f>SUM(Y73)</f>
        <v>0</v>
      </c>
      <c r="Z72" s="89">
        <f t="shared" si="26"/>
        <v>78400</v>
      </c>
      <c r="AA72" s="89">
        <f>SUM(AA73)</f>
        <v>0</v>
      </c>
      <c r="AB72" s="89">
        <f t="shared" si="27"/>
        <v>78400</v>
      </c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7"/>
      <c r="AV72" s="107"/>
      <c r="AW72" s="107"/>
      <c r="AX72" s="107"/>
      <c r="AY72" s="107"/>
      <c r="AZ72" s="107"/>
      <c r="BA72" s="107"/>
      <c r="BB72" s="107"/>
      <c r="BC72" s="107"/>
      <c r="BD72" s="107"/>
      <c r="BE72" s="107"/>
      <c r="BF72" s="107"/>
      <c r="BG72" s="107"/>
      <c r="BH72" s="107"/>
      <c r="BI72" s="107"/>
      <c r="BJ72" s="107"/>
      <c r="BK72" s="107"/>
      <c r="BL72" s="107"/>
      <c r="BM72" s="107"/>
      <c r="BN72" s="107"/>
      <c r="BO72" s="107"/>
      <c r="BP72" s="107"/>
      <c r="BQ72" s="107"/>
      <c r="BR72" s="107"/>
      <c r="BS72" s="107"/>
      <c r="BT72" s="107"/>
      <c r="BU72" s="107"/>
      <c r="BV72" s="107"/>
      <c r="BW72" s="107"/>
      <c r="BX72" s="107"/>
      <c r="BY72" s="107"/>
      <c r="BZ72" s="107"/>
      <c r="CA72" s="107"/>
      <c r="CB72" s="107"/>
      <c r="CC72" s="107"/>
      <c r="CD72" s="107"/>
      <c r="CE72" s="107"/>
      <c r="CF72" s="107"/>
      <c r="CG72" s="107"/>
      <c r="CH72" s="107"/>
      <c r="CI72" s="107"/>
      <c r="CJ72" s="107"/>
      <c r="CK72" s="107"/>
      <c r="CL72" s="107"/>
      <c r="CM72" s="107"/>
      <c r="CN72" s="107"/>
      <c r="CO72" s="107"/>
      <c r="CP72" s="107"/>
      <c r="CQ72" s="107"/>
      <c r="CR72" s="107"/>
      <c r="CS72" s="107"/>
      <c r="CT72" s="107"/>
      <c r="CU72" s="107"/>
      <c r="CV72" s="107"/>
      <c r="CW72" s="107"/>
      <c r="CX72" s="107"/>
      <c r="CY72" s="107"/>
      <c r="CZ72" s="107"/>
      <c r="DA72" s="107"/>
      <c r="DB72" s="107"/>
      <c r="DC72" s="107"/>
      <c r="DD72" s="107"/>
      <c r="DE72" s="107"/>
      <c r="DF72" s="107"/>
      <c r="DG72" s="107"/>
      <c r="DH72" s="107"/>
      <c r="DI72" s="107"/>
      <c r="DJ72" s="107"/>
      <c r="DK72" s="107"/>
      <c r="DL72" s="107"/>
      <c r="DM72" s="107"/>
      <c r="DN72" s="107"/>
      <c r="DO72" s="107"/>
      <c r="DP72" s="107"/>
      <c r="DQ72" s="107"/>
      <c r="DR72" s="107"/>
      <c r="DS72" s="107"/>
      <c r="DT72" s="107"/>
      <c r="DU72" s="107"/>
      <c r="DV72" s="107"/>
      <c r="DW72" s="107"/>
      <c r="DX72" s="107"/>
      <c r="DY72" s="107"/>
      <c r="DZ72" s="107"/>
      <c r="EA72" s="107"/>
      <c r="EB72" s="107"/>
      <c r="EC72" s="107"/>
      <c r="ED72" s="107"/>
      <c r="EE72" s="107"/>
      <c r="EF72" s="107"/>
      <c r="EG72" s="107"/>
      <c r="EH72" s="107"/>
      <c r="EI72" s="107"/>
      <c r="EJ72" s="107"/>
      <c r="EK72" s="107"/>
      <c r="EL72" s="107"/>
      <c r="EM72" s="107"/>
      <c r="EN72" s="107"/>
      <c r="EO72" s="107"/>
      <c r="EP72" s="107"/>
      <c r="EQ72" s="107"/>
      <c r="ER72" s="107"/>
      <c r="ES72" s="107"/>
      <c r="ET72" s="107"/>
      <c r="EU72" s="107"/>
      <c r="EV72" s="107"/>
      <c r="EW72" s="107"/>
      <c r="EX72" s="107"/>
      <c r="EY72" s="107"/>
      <c r="EZ72" s="107"/>
      <c r="FA72" s="107"/>
      <c r="FB72" s="107"/>
      <c r="FC72" s="107"/>
      <c r="FD72" s="107"/>
      <c r="FE72" s="107"/>
      <c r="FF72" s="107"/>
      <c r="FG72" s="107"/>
      <c r="FH72" s="107"/>
      <c r="FI72" s="107"/>
      <c r="FJ72" s="107"/>
      <c r="FK72" s="107"/>
      <c r="FL72" s="107"/>
      <c r="FM72" s="107"/>
      <c r="FN72" s="107"/>
      <c r="FO72" s="107"/>
      <c r="FP72" s="107"/>
      <c r="FQ72" s="107"/>
      <c r="FR72" s="107"/>
      <c r="FS72" s="107"/>
      <c r="FT72" s="107"/>
      <c r="FU72" s="107"/>
      <c r="FV72" s="107"/>
      <c r="FW72" s="107"/>
      <c r="FX72" s="107"/>
      <c r="FY72" s="107"/>
      <c r="FZ72" s="107"/>
      <c r="GA72" s="107"/>
      <c r="GB72" s="107"/>
      <c r="GC72" s="107"/>
      <c r="GD72" s="107"/>
      <c r="GE72" s="107"/>
      <c r="GF72" s="107"/>
      <c r="GG72" s="107"/>
      <c r="GH72" s="107"/>
      <c r="GI72" s="107"/>
      <c r="GJ72" s="107"/>
      <c r="GK72" s="107"/>
      <c r="GL72" s="107"/>
      <c r="GM72" s="107"/>
      <c r="GN72" s="107"/>
      <c r="GO72" s="107"/>
      <c r="GP72" s="107"/>
      <c r="GQ72" s="107"/>
      <c r="GR72" s="107"/>
      <c r="GS72" s="107"/>
      <c r="GT72" s="107"/>
      <c r="GU72" s="107"/>
      <c r="GV72" s="107"/>
      <c r="GW72" s="107"/>
      <c r="GX72" s="107"/>
      <c r="GY72" s="107"/>
      <c r="GZ72" s="107"/>
      <c r="HA72" s="107"/>
      <c r="HB72" s="107"/>
      <c r="HC72" s="107"/>
      <c r="HD72" s="107"/>
      <c r="HE72" s="107"/>
      <c r="HF72" s="107"/>
    </row>
    <row r="73" spans="1:214" s="27" customFormat="1" ht="24.75" customHeight="1">
      <c r="A73" s="76"/>
      <c r="B73" s="58"/>
      <c r="C73" s="84">
        <v>4130</v>
      </c>
      <c r="D73" s="81" t="s">
        <v>384</v>
      </c>
      <c r="E73" s="89">
        <v>99900</v>
      </c>
      <c r="F73" s="89"/>
      <c r="G73" s="89">
        <v>21500</v>
      </c>
      <c r="H73" s="89">
        <f t="shared" si="9"/>
        <v>78400</v>
      </c>
      <c r="I73" s="89">
        <v>0</v>
      </c>
      <c r="J73" s="89">
        <f t="shared" si="10"/>
        <v>78400</v>
      </c>
      <c r="K73" s="89">
        <v>0</v>
      </c>
      <c r="L73" s="89">
        <f t="shared" si="11"/>
        <v>78400</v>
      </c>
      <c r="M73" s="89">
        <v>0</v>
      </c>
      <c r="N73" s="89">
        <f t="shared" si="12"/>
        <v>78400</v>
      </c>
      <c r="O73" s="89">
        <v>0</v>
      </c>
      <c r="P73" s="89">
        <f t="shared" si="13"/>
        <v>78400</v>
      </c>
      <c r="Q73" s="89">
        <v>0</v>
      </c>
      <c r="R73" s="89">
        <f t="shared" si="14"/>
        <v>78400</v>
      </c>
      <c r="S73" s="89">
        <v>0</v>
      </c>
      <c r="T73" s="89">
        <f t="shared" si="23"/>
        <v>78400</v>
      </c>
      <c r="U73" s="89">
        <v>0</v>
      </c>
      <c r="V73" s="89">
        <f t="shared" si="24"/>
        <v>78400</v>
      </c>
      <c r="W73" s="89">
        <v>0</v>
      </c>
      <c r="X73" s="89">
        <f t="shared" si="25"/>
        <v>78400</v>
      </c>
      <c r="Y73" s="89">
        <v>0</v>
      </c>
      <c r="Z73" s="89">
        <f t="shared" si="26"/>
        <v>78400</v>
      </c>
      <c r="AA73" s="89">
        <v>0</v>
      </c>
      <c r="AB73" s="89">
        <f t="shared" si="27"/>
        <v>78400</v>
      </c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7"/>
      <c r="AV73" s="107"/>
      <c r="AW73" s="107"/>
      <c r="AX73" s="107"/>
      <c r="AY73" s="107"/>
      <c r="AZ73" s="107"/>
      <c r="BA73" s="107"/>
      <c r="BB73" s="107"/>
      <c r="BC73" s="107"/>
      <c r="BD73" s="107"/>
      <c r="BE73" s="107"/>
      <c r="BF73" s="107"/>
      <c r="BG73" s="107"/>
      <c r="BH73" s="107"/>
      <c r="BI73" s="107"/>
      <c r="BJ73" s="107"/>
      <c r="BK73" s="107"/>
      <c r="BL73" s="107"/>
      <c r="BM73" s="107"/>
      <c r="BN73" s="107"/>
      <c r="BO73" s="107"/>
      <c r="BP73" s="107"/>
      <c r="BQ73" s="107"/>
      <c r="BR73" s="107"/>
      <c r="BS73" s="107"/>
      <c r="BT73" s="107"/>
      <c r="BU73" s="107"/>
      <c r="BV73" s="107"/>
      <c r="BW73" s="107"/>
      <c r="BX73" s="107"/>
      <c r="BY73" s="107"/>
      <c r="BZ73" s="107"/>
      <c r="CA73" s="107"/>
      <c r="CB73" s="107"/>
      <c r="CC73" s="107"/>
      <c r="CD73" s="107"/>
      <c r="CE73" s="107"/>
      <c r="CF73" s="107"/>
      <c r="CG73" s="107"/>
      <c r="CH73" s="107"/>
      <c r="CI73" s="107"/>
      <c r="CJ73" s="107"/>
      <c r="CK73" s="107"/>
      <c r="CL73" s="107"/>
      <c r="CM73" s="107"/>
      <c r="CN73" s="107"/>
      <c r="CO73" s="107"/>
      <c r="CP73" s="107"/>
      <c r="CQ73" s="107"/>
      <c r="CR73" s="107"/>
      <c r="CS73" s="107"/>
      <c r="CT73" s="107"/>
      <c r="CU73" s="107"/>
      <c r="CV73" s="107"/>
      <c r="CW73" s="107"/>
      <c r="CX73" s="107"/>
      <c r="CY73" s="107"/>
      <c r="CZ73" s="107"/>
      <c r="DA73" s="107"/>
      <c r="DB73" s="107"/>
      <c r="DC73" s="107"/>
      <c r="DD73" s="107"/>
      <c r="DE73" s="107"/>
      <c r="DF73" s="107"/>
      <c r="DG73" s="107"/>
      <c r="DH73" s="107"/>
      <c r="DI73" s="107"/>
      <c r="DJ73" s="107"/>
      <c r="DK73" s="107"/>
      <c r="DL73" s="107"/>
      <c r="DM73" s="107"/>
      <c r="DN73" s="107"/>
      <c r="DO73" s="107"/>
      <c r="DP73" s="107"/>
      <c r="DQ73" s="107"/>
      <c r="DR73" s="107"/>
      <c r="DS73" s="107"/>
      <c r="DT73" s="107"/>
      <c r="DU73" s="107"/>
      <c r="DV73" s="107"/>
      <c r="DW73" s="107"/>
      <c r="DX73" s="107"/>
      <c r="DY73" s="107"/>
      <c r="DZ73" s="107"/>
      <c r="EA73" s="107"/>
      <c r="EB73" s="107"/>
      <c r="EC73" s="107"/>
      <c r="ED73" s="107"/>
      <c r="EE73" s="107"/>
      <c r="EF73" s="107"/>
      <c r="EG73" s="107"/>
      <c r="EH73" s="107"/>
      <c r="EI73" s="107"/>
      <c r="EJ73" s="107"/>
      <c r="EK73" s="107"/>
      <c r="EL73" s="107"/>
      <c r="EM73" s="107"/>
      <c r="EN73" s="107"/>
      <c r="EO73" s="107"/>
      <c r="EP73" s="107"/>
      <c r="EQ73" s="107"/>
      <c r="ER73" s="107"/>
      <c r="ES73" s="107"/>
      <c r="ET73" s="107"/>
      <c r="EU73" s="107"/>
      <c r="EV73" s="107"/>
      <c r="EW73" s="107"/>
      <c r="EX73" s="107"/>
      <c r="EY73" s="107"/>
      <c r="EZ73" s="107"/>
      <c r="FA73" s="107"/>
      <c r="FB73" s="107"/>
      <c r="FC73" s="107"/>
      <c r="FD73" s="107"/>
      <c r="FE73" s="107"/>
      <c r="FF73" s="107"/>
      <c r="FG73" s="107"/>
      <c r="FH73" s="107"/>
      <c r="FI73" s="107"/>
      <c r="FJ73" s="107"/>
      <c r="FK73" s="107"/>
      <c r="FL73" s="107"/>
      <c r="FM73" s="107"/>
      <c r="FN73" s="107"/>
      <c r="FO73" s="107"/>
      <c r="FP73" s="107"/>
      <c r="FQ73" s="107"/>
      <c r="FR73" s="107"/>
      <c r="FS73" s="107"/>
      <c r="FT73" s="107"/>
      <c r="FU73" s="107"/>
      <c r="FV73" s="107"/>
      <c r="FW73" s="107"/>
      <c r="FX73" s="107"/>
      <c r="FY73" s="107"/>
      <c r="FZ73" s="107"/>
      <c r="GA73" s="107"/>
      <c r="GB73" s="107"/>
      <c r="GC73" s="107"/>
      <c r="GD73" s="107"/>
      <c r="GE73" s="107"/>
      <c r="GF73" s="107"/>
      <c r="GG73" s="107"/>
      <c r="GH73" s="107"/>
      <c r="GI73" s="107"/>
      <c r="GJ73" s="107"/>
      <c r="GK73" s="107"/>
      <c r="GL73" s="107"/>
      <c r="GM73" s="107"/>
      <c r="GN73" s="107"/>
      <c r="GO73" s="107"/>
      <c r="GP73" s="107"/>
      <c r="GQ73" s="107"/>
      <c r="GR73" s="107"/>
      <c r="GS73" s="107"/>
      <c r="GT73" s="107"/>
      <c r="GU73" s="107"/>
      <c r="GV73" s="107"/>
      <c r="GW73" s="107"/>
      <c r="GX73" s="107"/>
      <c r="GY73" s="107"/>
      <c r="GZ73" s="107"/>
      <c r="HA73" s="107"/>
      <c r="HB73" s="107"/>
      <c r="HC73" s="107"/>
      <c r="HD73" s="107"/>
      <c r="HE73" s="107"/>
      <c r="HF73" s="107"/>
    </row>
    <row r="74" spans="1:214" s="69" customFormat="1" ht="28.5" customHeight="1">
      <c r="A74" s="71"/>
      <c r="B74" s="71">
        <v>85214</v>
      </c>
      <c r="C74" s="72"/>
      <c r="D74" s="70" t="s">
        <v>524</v>
      </c>
      <c r="E74" s="90">
        <f>SUM(E75:E76)</f>
        <v>439200</v>
      </c>
      <c r="F74" s="90">
        <f>SUM(F75:F76)</f>
        <v>0</v>
      </c>
      <c r="G74" s="90">
        <f>SUM(G75:G76)</f>
        <v>2200</v>
      </c>
      <c r="H74" s="89">
        <f t="shared" si="9"/>
        <v>437000</v>
      </c>
      <c r="I74" s="90">
        <f>SUM(I75:I76)</f>
        <v>0</v>
      </c>
      <c r="J74" s="89">
        <f t="shared" si="10"/>
        <v>437000</v>
      </c>
      <c r="K74" s="90">
        <f>SUM(K75:K76)</f>
        <v>0</v>
      </c>
      <c r="L74" s="89">
        <f t="shared" si="11"/>
        <v>437000</v>
      </c>
      <c r="M74" s="90">
        <f>SUM(M75:M76)</f>
        <v>0</v>
      </c>
      <c r="N74" s="89">
        <f t="shared" si="12"/>
        <v>437000</v>
      </c>
      <c r="O74" s="90">
        <f>SUM(O75:O76)</f>
        <v>-3000</v>
      </c>
      <c r="P74" s="89">
        <f t="shared" si="13"/>
        <v>434000</v>
      </c>
      <c r="Q74" s="90">
        <f>SUM(Q75:Q76)</f>
        <v>0</v>
      </c>
      <c r="R74" s="89">
        <f t="shared" si="14"/>
        <v>434000</v>
      </c>
      <c r="S74" s="90">
        <f>SUM(S75:S76)</f>
        <v>16000</v>
      </c>
      <c r="T74" s="89">
        <f t="shared" si="23"/>
        <v>450000</v>
      </c>
      <c r="U74" s="90">
        <f>SUM(U75:U76)</f>
        <v>0</v>
      </c>
      <c r="V74" s="89">
        <f t="shared" si="24"/>
        <v>450000</v>
      </c>
      <c r="W74" s="90">
        <f>SUM(W75:W76)</f>
        <v>0</v>
      </c>
      <c r="X74" s="89">
        <f t="shared" si="25"/>
        <v>450000</v>
      </c>
      <c r="Y74" s="90">
        <f>SUM(Y75:Y76)</f>
        <v>5941</v>
      </c>
      <c r="Z74" s="89">
        <f t="shared" si="26"/>
        <v>455941</v>
      </c>
      <c r="AA74" s="90">
        <f>SUM(AA75:AA76)</f>
        <v>0</v>
      </c>
      <c r="AB74" s="89">
        <f t="shared" si="27"/>
        <v>455941</v>
      </c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7"/>
      <c r="AV74" s="107"/>
      <c r="AW74" s="107"/>
      <c r="AX74" s="107"/>
      <c r="AY74" s="107"/>
      <c r="AZ74" s="107"/>
      <c r="BA74" s="107"/>
      <c r="BB74" s="107"/>
      <c r="BC74" s="107"/>
      <c r="BD74" s="107"/>
      <c r="BE74" s="107"/>
      <c r="BF74" s="107"/>
      <c r="BG74" s="107"/>
      <c r="BH74" s="107"/>
      <c r="BI74" s="107"/>
      <c r="BJ74" s="107"/>
      <c r="BK74" s="107"/>
      <c r="BL74" s="107"/>
      <c r="BM74" s="107"/>
      <c r="BN74" s="107"/>
      <c r="BO74" s="107"/>
      <c r="BP74" s="107"/>
      <c r="BQ74" s="107"/>
      <c r="BR74" s="107"/>
      <c r="BS74" s="107"/>
      <c r="BT74" s="107"/>
      <c r="BU74" s="107"/>
      <c r="BV74" s="107"/>
      <c r="BW74" s="107"/>
      <c r="BX74" s="107"/>
      <c r="BY74" s="107"/>
      <c r="BZ74" s="107"/>
      <c r="CA74" s="107"/>
      <c r="CB74" s="107"/>
      <c r="CC74" s="107"/>
      <c r="CD74" s="107"/>
      <c r="CE74" s="107"/>
      <c r="CF74" s="107"/>
      <c r="CG74" s="107"/>
      <c r="CH74" s="107"/>
      <c r="CI74" s="107"/>
      <c r="CJ74" s="107"/>
      <c r="CK74" s="107"/>
      <c r="CL74" s="107"/>
      <c r="CM74" s="107"/>
      <c r="CN74" s="107"/>
      <c r="CO74" s="107"/>
      <c r="CP74" s="107"/>
      <c r="CQ74" s="107"/>
      <c r="CR74" s="107"/>
      <c r="CS74" s="107"/>
      <c r="CT74" s="107"/>
      <c r="CU74" s="107"/>
      <c r="CV74" s="107"/>
      <c r="CW74" s="107"/>
      <c r="CX74" s="107"/>
      <c r="CY74" s="107"/>
      <c r="CZ74" s="107"/>
      <c r="DA74" s="107"/>
      <c r="DB74" s="107"/>
      <c r="DC74" s="107"/>
      <c r="DD74" s="107"/>
      <c r="DE74" s="107"/>
      <c r="DF74" s="107"/>
      <c r="DG74" s="107"/>
      <c r="DH74" s="107"/>
      <c r="DI74" s="107"/>
      <c r="DJ74" s="107"/>
      <c r="DK74" s="107"/>
      <c r="DL74" s="107"/>
      <c r="DM74" s="107"/>
      <c r="DN74" s="107"/>
      <c r="DO74" s="107"/>
      <c r="DP74" s="107"/>
      <c r="DQ74" s="107"/>
      <c r="DR74" s="107"/>
      <c r="DS74" s="107"/>
      <c r="DT74" s="107"/>
      <c r="DU74" s="107"/>
      <c r="DV74" s="107"/>
      <c r="DW74" s="107"/>
      <c r="DX74" s="107"/>
      <c r="DY74" s="107"/>
      <c r="DZ74" s="107"/>
      <c r="EA74" s="107"/>
      <c r="EB74" s="107"/>
      <c r="EC74" s="107"/>
      <c r="ED74" s="107"/>
      <c r="EE74" s="107"/>
      <c r="EF74" s="107"/>
      <c r="EG74" s="107"/>
      <c r="EH74" s="107"/>
      <c r="EI74" s="107"/>
      <c r="EJ74" s="107"/>
      <c r="EK74" s="107"/>
      <c r="EL74" s="107"/>
      <c r="EM74" s="107"/>
      <c r="EN74" s="107"/>
      <c r="EO74" s="107"/>
      <c r="EP74" s="107"/>
      <c r="EQ74" s="107"/>
      <c r="ER74" s="107"/>
      <c r="ES74" s="107"/>
      <c r="ET74" s="107"/>
      <c r="EU74" s="107"/>
      <c r="EV74" s="107"/>
      <c r="EW74" s="107"/>
      <c r="EX74" s="107"/>
      <c r="EY74" s="107"/>
      <c r="EZ74" s="107"/>
      <c r="FA74" s="107"/>
      <c r="FB74" s="107"/>
      <c r="FC74" s="107"/>
      <c r="FD74" s="107"/>
      <c r="FE74" s="107"/>
      <c r="FF74" s="107"/>
      <c r="FG74" s="107"/>
      <c r="FH74" s="107"/>
      <c r="FI74" s="107"/>
      <c r="FJ74" s="107"/>
      <c r="FK74" s="107"/>
      <c r="FL74" s="107"/>
      <c r="FM74" s="107"/>
      <c r="FN74" s="107"/>
      <c r="FO74" s="107"/>
      <c r="FP74" s="107"/>
      <c r="FQ74" s="107"/>
      <c r="FR74" s="107"/>
      <c r="FS74" s="107"/>
      <c r="FT74" s="107"/>
      <c r="FU74" s="107"/>
      <c r="FV74" s="107"/>
      <c r="FW74" s="107"/>
      <c r="FX74" s="107"/>
      <c r="FY74" s="107"/>
      <c r="FZ74" s="107"/>
      <c r="GA74" s="107"/>
      <c r="GB74" s="107"/>
      <c r="GC74" s="107"/>
      <c r="GD74" s="107"/>
      <c r="GE74" s="107"/>
      <c r="GF74" s="107"/>
      <c r="GG74" s="107"/>
      <c r="GH74" s="107"/>
      <c r="GI74" s="107"/>
      <c r="GJ74" s="107"/>
      <c r="GK74" s="107"/>
      <c r="GL74" s="107"/>
      <c r="GM74" s="107"/>
      <c r="GN74" s="107"/>
      <c r="GO74" s="107"/>
      <c r="GP74" s="107"/>
      <c r="GQ74" s="107"/>
      <c r="GR74" s="107"/>
      <c r="GS74" s="107"/>
      <c r="GT74" s="107"/>
      <c r="GU74" s="107"/>
      <c r="GV74" s="107"/>
      <c r="GW74" s="107"/>
      <c r="GX74" s="107"/>
      <c r="GY74" s="107"/>
      <c r="GZ74" s="107"/>
      <c r="HA74" s="107"/>
      <c r="HB74" s="107"/>
      <c r="HC74" s="107"/>
      <c r="HD74" s="107"/>
      <c r="HE74" s="107"/>
      <c r="HF74" s="107"/>
    </row>
    <row r="75" spans="1:214" s="69" customFormat="1" ht="21.75" customHeight="1">
      <c r="A75" s="71"/>
      <c r="B75" s="88"/>
      <c r="C75" s="72">
        <v>3110</v>
      </c>
      <c r="D75" s="70" t="s">
        <v>376</v>
      </c>
      <c r="E75" s="90">
        <f>439200-3000</f>
        <v>436200</v>
      </c>
      <c r="F75" s="90"/>
      <c r="G75" s="90">
        <v>2200</v>
      </c>
      <c r="H75" s="89">
        <f t="shared" si="9"/>
        <v>434000</v>
      </c>
      <c r="I75" s="90">
        <v>0</v>
      </c>
      <c r="J75" s="89">
        <f t="shared" si="10"/>
        <v>434000</v>
      </c>
      <c r="K75" s="90">
        <v>0</v>
      </c>
      <c r="L75" s="89">
        <f t="shared" si="11"/>
        <v>434000</v>
      </c>
      <c r="M75" s="90">
        <v>0</v>
      </c>
      <c r="N75" s="89">
        <f t="shared" si="12"/>
        <v>434000</v>
      </c>
      <c r="O75" s="90">
        <v>-3000</v>
      </c>
      <c r="P75" s="89">
        <f t="shared" si="13"/>
        <v>431000</v>
      </c>
      <c r="Q75" s="90">
        <v>0</v>
      </c>
      <c r="R75" s="89">
        <f t="shared" si="14"/>
        <v>431000</v>
      </c>
      <c r="S75" s="90">
        <f>16000</f>
        <v>16000</v>
      </c>
      <c r="T75" s="89">
        <f t="shared" si="23"/>
        <v>447000</v>
      </c>
      <c r="U75" s="90">
        <v>615</v>
      </c>
      <c r="V75" s="89">
        <f t="shared" si="24"/>
        <v>447615</v>
      </c>
      <c r="W75" s="90">
        <v>0</v>
      </c>
      <c r="X75" s="89">
        <f t="shared" si="25"/>
        <v>447615</v>
      </c>
      <c r="Y75" s="90">
        <v>5941</v>
      </c>
      <c r="Z75" s="89">
        <f t="shared" si="26"/>
        <v>453556</v>
      </c>
      <c r="AA75" s="90">
        <v>0</v>
      </c>
      <c r="AB75" s="89">
        <f t="shared" si="27"/>
        <v>453556</v>
      </c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7"/>
      <c r="AV75" s="107"/>
      <c r="AW75" s="107"/>
      <c r="AX75" s="107"/>
      <c r="AY75" s="107"/>
      <c r="AZ75" s="107"/>
      <c r="BA75" s="107"/>
      <c r="BB75" s="107"/>
      <c r="BC75" s="107"/>
      <c r="BD75" s="107"/>
      <c r="BE75" s="107"/>
      <c r="BF75" s="107"/>
      <c r="BG75" s="107"/>
      <c r="BH75" s="107"/>
      <c r="BI75" s="107"/>
      <c r="BJ75" s="107"/>
      <c r="BK75" s="107"/>
      <c r="BL75" s="107"/>
      <c r="BM75" s="107"/>
      <c r="BN75" s="107"/>
      <c r="BO75" s="107"/>
      <c r="BP75" s="107"/>
      <c r="BQ75" s="107"/>
      <c r="BR75" s="107"/>
      <c r="BS75" s="107"/>
      <c r="BT75" s="107"/>
      <c r="BU75" s="107"/>
      <c r="BV75" s="107"/>
      <c r="BW75" s="107"/>
      <c r="BX75" s="107"/>
      <c r="BY75" s="107"/>
      <c r="BZ75" s="107"/>
      <c r="CA75" s="107"/>
      <c r="CB75" s="107"/>
      <c r="CC75" s="107"/>
      <c r="CD75" s="107"/>
      <c r="CE75" s="107"/>
      <c r="CF75" s="107"/>
      <c r="CG75" s="107"/>
      <c r="CH75" s="107"/>
      <c r="CI75" s="107"/>
      <c r="CJ75" s="107"/>
      <c r="CK75" s="107"/>
      <c r="CL75" s="107"/>
      <c r="CM75" s="107"/>
      <c r="CN75" s="107"/>
      <c r="CO75" s="107"/>
      <c r="CP75" s="107"/>
      <c r="CQ75" s="107"/>
      <c r="CR75" s="107"/>
      <c r="CS75" s="107"/>
      <c r="CT75" s="107"/>
      <c r="CU75" s="107"/>
      <c r="CV75" s="107"/>
      <c r="CW75" s="107"/>
      <c r="CX75" s="107"/>
      <c r="CY75" s="107"/>
      <c r="CZ75" s="107"/>
      <c r="DA75" s="107"/>
      <c r="DB75" s="107"/>
      <c r="DC75" s="107"/>
      <c r="DD75" s="107"/>
      <c r="DE75" s="107"/>
      <c r="DF75" s="107"/>
      <c r="DG75" s="107"/>
      <c r="DH75" s="107"/>
      <c r="DI75" s="107"/>
      <c r="DJ75" s="107"/>
      <c r="DK75" s="107"/>
      <c r="DL75" s="107"/>
      <c r="DM75" s="107"/>
      <c r="DN75" s="107"/>
      <c r="DO75" s="107"/>
      <c r="DP75" s="107"/>
      <c r="DQ75" s="107"/>
      <c r="DR75" s="107"/>
      <c r="DS75" s="107"/>
      <c r="DT75" s="107"/>
      <c r="DU75" s="107"/>
      <c r="DV75" s="107"/>
      <c r="DW75" s="107"/>
      <c r="DX75" s="107"/>
      <c r="DY75" s="107"/>
      <c r="DZ75" s="107"/>
      <c r="EA75" s="107"/>
      <c r="EB75" s="107"/>
      <c r="EC75" s="107"/>
      <c r="ED75" s="107"/>
      <c r="EE75" s="107"/>
      <c r="EF75" s="107"/>
      <c r="EG75" s="107"/>
      <c r="EH75" s="107"/>
      <c r="EI75" s="107"/>
      <c r="EJ75" s="107"/>
      <c r="EK75" s="107"/>
      <c r="EL75" s="107"/>
      <c r="EM75" s="107"/>
      <c r="EN75" s="107"/>
      <c r="EO75" s="107"/>
      <c r="EP75" s="107"/>
      <c r="EQ75" s="107"/>
      <c r="ER75" s="107"/>
      <c r="ES75" s="107"/>
      <c r="ET75" s="107"/>
      <c r="EU75" s="107"/>
      <c r="EV75" s="107"/>
      <c r="EW75" s="107"/>
      <c r="EX75" s="107"/>
      <c r="EY75" s="107"/>
      <c r="EZ75" s="107"/>
      <c r="FA75" s="107"/>
      <c r="FB75" s="107"/>
      <c r="FC75" s="107"/>
      <c r="FD75" s="107"/>
      <c r="FE75" s="107"/>
      <c r="FF75" s="107"/>
      <c r="FG75" s="107"/>
      <c r="FH75" s="107"/>
      <c r="FI75" s="107"/>
      <c r="FJ75" s="107"/>
      <c r="FK75" s="107"/>
      <c r="FL75" s="107"/>
      <c r="FM75" s="107"/>
      <c r="FN75" s="107"/>
      <c r="FO75" s="107"/>
      <c r="FP75" s="107"/>
      <c r="FQ75" s="107"/>
      <c r="FR75" s="107"/>
      <c r="FS75" s="107"/>
      <c r="FT75" s="107"/>
      <c r="FU75" s="107"/>
      <c r="FV75" s="107"/>
      <c r="FW75" s="107"/>
      <c r="FX75" s="107"/>
      <c r="FY75" s="107"/>
      <c r="FZ75" s="107"/>
      <c r="GA75" s="107"/>
      <c r="GB75" s="107"/>
      <c r="GC75" s="107"/>
      <c r="GD75" s="107"/>
      <c r="GE75" s="107"/>
      <c r="GF75" s="107"/>
      <c r="GG75" s="107"/>
      <c r="GH75" s="107"/>
      <c r="GI75" s="107"/>
      <c r="GJ75" s="107"/>
      <c r="GK75" s="107"/>
      <c r="GL75" s="107"/>
      <c r="GM75" s="107"/>
      <c r="GN75" s="107"/>
      <c r="GO75" s="107"/>
      <c r="GP75" s="107"/>
      <c r="GQ75" s="107"/>
      <c r="GR75" s="107"/>
      <c r="GS75" s="107"/>
      <c r="GT75" s="107"/>
      <c r="GU75" s="107"/>
      <c r="GV75" s="107"/>
      <c r="GW75" s="107"/>
      <c r="GX75" s="107"/>
      <c r="GY75" s="107"/>
      <c r="GZ75" s="107"/>
      <c r="HA75" s="107"/>
      <c r="HB75" s="107"/>
      <c r="HC75" s="107"/>
      <c r="HD75" s="107"/>
      <c r="HE75" s="107"/>
      <c r="HF75" s="107"/>
    </row>
    <row r="76" spans="1:214" s="69" customFormat="1" ht="21.75" customHeight="1">
      <c r="A76" s="71"/>
      <c r="B76" s="88"/>
      <c r="C76" s="88">
        <v>4110</v>
      </c>
      <c r="D76" s="14" t="s">
        <v>347</v>
      </c>
      <c r="E76" s="90">
        <v>3000</v>
      </c>
      <c r="F76" s="90"/>
      <c r="G76" s="90"/>
      <c r="H76" s="89">
        <f t="shared" si="9"/>
        <v>3000</v>
      </c>
      <c r="I76" s="90">
        <v>0</v>
      </c>
      <c r="J76" s="89">
        <f t="shared" si="10"/>
        <v>3000</v>
      </c>
      <c r="K76" s="90">
        <v>0</v>
      </c>
      <c r="L76" s="89">
        <f t="shared" si="11"/>
        <v>3000</v>
      </c>
      <c r="M76" s="90">
        <v>0</v>
      </c>
      <c r="N76" s="89">
        <f t="shared" si="12"/>
        <v>3000</v>
      </c>
      <c r="O76" s="90">
        <v>0</v>
      </c>
      <c r="P76" s="89">
        <f t="shared" si="13"/>
        <v>3000</v>
      </c>
      <c r="Q76" s="90">
        <v>0</v>
      </c>
      <c r="R76" s="89">
        <f t="shared" si="14"/>
        <v>3000</v>
      </c>
      <c r="S76" s="90">
        <v>0</v>
      </c>
      <c r="T76" s="89">
        <f t="shared" si="23"/>
        <v>3000</v>
      </c>
      <c r="U76" s="90">
        <v>-615</v>
      </c>
      <c r="V76" s="89">
        <f t="shared" si="24"/>
        <v>2385</v>
      </c>
      <c r="W76" s="90">
        <v>0</v>
      </c>
      <c r="X76" s="89">
        <f t="shared" si="25"/>
        <v>2385</v>
      </c>
      <c r="Y76" s="90">
        <v>0</v>
      </c>
      <c r="Z76" s="89">
        <f t="shared" si="26"/>
        <v>2385</v>
      </c>
      <c r="AA76" s="90">
        <v>0</v>
      </c>
      <c r="AB76" s="89">
        <f t="shared" si="27"/>
        <v>2385</v>
      </c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7"/>
      <c r="AV76" s="107"/>
      <c r="AW76" s="107"/>
      <c r="AX76" s="107"/>
      <c r="AY76" s="107"/>
      <c r="AZ76" s="107"/>
      <c r="BA76" s="107"/>
      <c r="BB76" s="107"/>
      <c r="BC76" s="107"/>
      <c r="BD76" s="107"/>
      <c r="BE76" s="107"/>
      <c r="BF76" s="107"/>
      <c r="BG76" s="107"/>
      <c r="BH76" s="107"/>
      <c r="BI76" s="107"/>
      <c r="BJ76" s="107"/>
      <c r="BK76" s="107"/>
      <c r="BL76" s="107"/>
      <c r="BM76" s="107"/>
      <c r="BN76" s="107"/>
      <c r="BO76" s="107"/>
      <c r="BP76" s="107"/>
      <c r="BQ76" s="107"/>
      <c r="BR76" s="107"/>
      <c r="BS76" s="107"/>
      <c r="BT76" s="107"/>
      <c r="BU76" s="107"/>
      <c r="BV76" s="107"/>
      <c r="BW76" s="107"/>
      <c r="BX76" s="107"/>
      <c r="BY76" s="107"/>
      <c r="BZ76" s="107"/>
      <c r="CA76" s="107"/>
      <c r="CB76" s="107"/>
      <c r="CC76" s="107"/>
      <c r="CD76" s="107"/>
      <c r="CE76" s="107"/>
      <c r="CF76" s="107"/>
      <c r="CG76" s="107"/>
      <c r="CH76" s="107"/>
      <c r="CI76" s="107"/>
      <c r="CJ76" s="107"/>
      <c r="CK76" s="107"/>
      <c r="CL76" s="107"/>
      <c r="CM76" s="107"/>
      <c r="CN76" s="107"/>
      <c r="CO76" s="107"/>
      <c r="CP76" s="107"/>
      <c r="CQ76" s="107"/>
      <c r="CR76" s="107"/>
      <c r="CS76" s="107"/>
      <c r="CT76" s="107"/>
      <c r="CU76" s="107"/>
      <c r="CV76" s="107"/>
      <c r="CW76" s="107"/>
      <c r="CX76" s="107"/>
      <c r="CY76" s="107"/>
      <c r="CZ76" s="107"/>
      <c r="DA76" s="107"/>
      <c r="DB76" s="107"/>
      <c r="DC76" s="107"/>
      <c r="DD76" s="107"/>
      <c r="DE76" s="107"/>
      <c r="DF76" s="107"/>
      <c r="DG76" s="107"/>
      <c r="DH76" s="107"/>
      <c r="DI76" s="107"/>
      <c r="DJ76" s="107"/>
      <c r="DK76" s="107"/>
      <c r="DL76" s="107"/>
      <c r="DM76" s="107"/>
      <c r="DN76" s="107"/>
      <c r="DO76" s="107"/>
      <c r="DP76" s="107"/>
      <c r="DQ76" s="107"/>
      <c r="DR76" s="107"/>
      <c r="DS76" s="107"/>
      <c r="DT76" s="107"/>
      <c r="DU76" s="107"/>
      <c r="DV76" s="107"/>
      <c r="DW76" s="107"/>
      <c r="DX76" s="107"/>
      <c r="DY76" s="107"/>
      <c r="DZ76" s="107"/>
      <c r="EA76" s="107"/>
      <c r="EB76" s="107"/>
      <c r="EC76" s="107"/>
      <c r="ED76" s="107"/>
      <c r="EE76" s="107"/>
      <c r="EF76" s="107"/>
      <c r="EG76" s="107"/>
      <c r="EH76" s="107"/>
      <c r="EI76" s="107"/>
      <c r="EJ76" s="107"/>
      <c r="EK76" s="107"/>
      <c r="EL76" s="107"/>
      <c r="EM76" s="107"/>
      <c r="EN76" s="107"/>
      <c r="EO76" s="107"/>
      <c r="EP76" s="107"/>
      <c r="EQ76" s="107"/>
      <c r="ER76" s="107"/>
      <c r="ES76" s="107"/>
      <c r="ET76" s="107"/>
      <c r="EU76" s="107"/>
      <c r="EV76" s="107"/>
      <c r="EW76" s="107"/>
      <c r="EX76" s="107"/>
      <c r="EY76" s="107"/>
      <c r="EZ76" s="107"/>
      <c r="FA76" s="107"/>
      <c r="FB76" s="107"/>
      <c r="FC76" s="107"/>
      <c r="FD76" s="107"/>
      <c r="FE76" s="107"/>
      <c r="FF76" s="107"/>
      <c r="FG76" s="107"/>
      <c r="FH76" s="107"/>
      <c r="FI76" s="107"/>
      <c r="FJ76" s="107"/>
      <c r="FK76" s="107"/>
      <c r="FL76" s="107"/>
      <c r="FM76" s="107"/>
      <c r="FN76" s="107"/>
      <c r="FO76" s="107"/>
      <c r="FP76" s="107"/>
      <c r="FQ76" s="107"/>
      <c r="FR76" s="107"/>
      <c r="FS76" s="107"/>
      <c r="FT76" s="107"/>
      <c r="FU76" s="107"/>
      <c r="FV76" s="107"/>
      <c r="FW76" s="107"/>
      <c r="FX76" s="107"/>
      <c r="FY76" s="107"/>
      <c r="FZ76" s="107"/>
      <c r="GA76" s="107"/>
      <c r="GB76" s="107"/>
      <c r="GC76" s="107"/>
      <c r="GD76" s="107"/>
      <c r="GE76" s="107"/>
      <c r="GF76" s="107"/>
      <c r="GG76" s="107"/>
      <c r="GH76" s="107"/>
      <c r="GI76" s="107"/>
      <c r="GJ76" s="107"/>
      <c r="GK76" s="107"/>
      <c r="GL76" s="107"/>
      <c r="GM76" s="107"/>
      <c r="GN76" s="107"/>
      <c r="GO76" s="107"/>
      <c r="GP76" s="107"/>
      <c r="GQ76" s="107"/>
      <c r="GR76" s="107"/>
      <c r="GS76" s="107"/>
      <c r="GT76" s="107"/>
      <c r="GU76" s="107"/>
      <c r="GV76" s="107"/>
      <c r="GW76" s="107"/>
      <c r="GX76" s="107"/>
      <c r="GY76" s="107"/>
      <c r="GZ76" s="107"/>
      <c r="HA76" s="107"/>
      <c r="HB76" s="107"/>
      <c r="HC76" s="107"/>
      <c r="HD76" s="107"/>
      <c r="HE76" s="107"/>
      <c r="HF76" s="107"/>
    </row>
    <row r="77" spans="1:214" ht="23.25" customHeight="1">
      <c r="A77" s="10"/>
      <c r="B77" s="10"/>
      <c r="C77" s="10"/>
      <c r="D77" s="17" t="s">
        <v>329</v>
      </c>
      <c r="E77" s="44">
        <f>SUM(E37,E22,E15,)</f>
        <v>8492509</v>
      </c>
      <c r="F77" s="44">
        <f>SUM(F37,F22,F15,)</f>
        <v>7900</v>
      </c>
      <c r="G77" s="44">
        <f>SUM(G37,G22,G15,)</f>
        <v>23700</v>
      </c>
      <c r="H77" s="44">
        <f aca="true" t="shared" si="28" ref="H77:N77">SUM(H37,H22,H15,H8,)</f>
        <v>8476709</v>
      </c>
      <c r="I77" s="44">
        <f t="shared" si="28"/>
        <v>98263</v>
      </c>
      <c r="J77" s="44">
        <f t="shared" si="28"/>
        <v>8574972</v>
      </c>
      <c r="K77" s="44">
        <f t="shared" si="28"/>
        <v>0</v>
      </c>
      <c r="L77" s="44">
        <f t="shared" si="28"/>
        <v>8574972</v>
      </c>
      <c r="M77" s="44">
        <f t="shared" si="28"/>
        <v>0</v>
      </c>
      <c r="N77" s="44">
        <f t="shared" si="28"/>
        <v>8574972</v>
      </c>
      <c r="O77" s="44">
        <f aca="true" t="shared" si="29" ref="O77:T77">SUM(O37,O22,O15,O8,)</f>
        <v>-203000</v>
      </c>
      <c r="P77" s="44">
        <f t="shared" si="29"/>
        <v>8371972</v>
      </c>
      <c r="Q77" s="44">
        <f t="shared" si="29"/>
        <v>-43356</v>
      </c>
      <c r="R77" s="44">
        <f t="shared" si="29"/>
        <v>8328616</v>
      </c>
      <c r="S77" s="44">
        <f t="shared" si="29"/>
        <v>-194933</v>
      </c>
      <c r="T77" s="44">
        <f t="shared" si="29"/>
        <v>8133683</v>
      </c>
      <c r="U77" s="44">
        <f aca="true" t="shared" si="30" ref="U77:Z77">SUM(U37,U22,U15,U8,)</f>
        <v>0</v>
      </c>
      <c r="V77" s="44">
        <f t="shared" si="30"/>
        <v>8133683</v>
      </c>
      <c r="W77" s="44">
        <f t="shared" si="30"/>
        <v>95263</v>
      </c>
      <c r="X77" s="44">
        <f t="shared" si="30"/>
        <v>8228946</v>
      </c>
      <c r="Y77" s="44">
        <f t="shared" si="30"/>
        <v>5941</v>
      </c>
      <c r="Z77" s="44">
        <f t="shared" si="30"/>
        <v>8234887</v>
      </c>
      <c r="AA77" s="44">
        <f>SUM(AA37,AA22,AA15,AA8,)</f>
        <v>0</v>
      </c>
      <c r="AB77" s="44">
        <f>SUM(AB37,AB22,AB15,AB8,)</f>
        <v>8234887</v>
      </c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N77" s="106"/>
      <c r="AO77" s="106"/>
      <c r="AP77" s="106"/>
      <c r="AQ77" s="106"/>
      <c r="AR77" s="106"/>
      <c r="AS77" s="106"/>
      <c r="AT77" s="106"/>
      <c r="AU77" s="106"/>
      <c r="AV77" s="106"/>
      <c r="AW77" s="106"/>
      <c r="AX77" s="106"/>
      <c r="AY77" s="106"/>
      <c r="AZ77" s="106"/>
      <c r="BA77" s="106"/>
      <c r="BB77" s="106"/>
      <c r="BC77" s="106"/>
      <c r="BD77" s="106"/>
      <c r="BE77" s="106"/>
      <c r="BF77" s="106"/>
      <c r="BG77" s="106"/>
      <c r="BH77" s="106"/>
      <c r="BI77" s="106"/>
      <c r="BJ77" s="106"/>
      <c r="BK77" s="106"/>
      <c r="BL77" s="106"/>
      <c r="BM77" s="106"/>
      <c r="BN77" s="106"/>
      <c r="BO77" s="106"/>
      <c r="BP77" s="106"/>
      <c r="BQ77" s="106"/>
      <c r="BR77" s="106"/>
      <c r="BS77" s="106"/>
      <c r="BT77" s="106"/>
      <c r="BU77" s="106"/>
      <c r="BV77" s="106"/>
      <c r="BW77" s="106"/>
      <c r="BX77" s="106"/>
      <c r="BY77" s="106"/>
      <c r="BZ77" s="106"/>
      <c r="CA77" s="106"/>
      <c r="CB77" s="106"/>
      <c r="CC77" s="106"/>
      <c r="CD77" s="106"/>
      <c r="CE77" s="106"/>
      <c r="CF77" s="106"/>
      <c r="CG77" s="106"/>
      <c r="CH77" s="106"/>
      <c r="CI77" s="106"/>
      <c r="CJ77" s="106"/>
      <c r="CK77" s="106"/>
      <c r="CL77" s="106"/>
      <c r="CM77" s="106"/>
      <c r="CN77" s="106"/>
      <c r="CO77" s="106"/>
      <c r="CP77" s="106"/>
      <c r="CQ77" s="106"/>
      <c r="CR77" s="106"/>
      <c r="CS77" s="106"/>
      <c r="CT77" s="106"/>
      <c r="CU77" s="106"/>
      <c r="CV77" s="106"/>
      <c r="CW77" s="106"/>
      <c r="CX77" s="106"/>
      <c r="CY77" s="106"/>
      <c r="CZ77" s="106"/>
      <c r="DA77" s="106"/>
      <c r="DB77" s="106"/>
      <c r="DC77" s="106"/>
      <c r="DD77" s="106"/>
      <c r="DE77" s="106"/>
      <c r="DF77" s="106"/>
      <c r="DG77" s="106"/>
      <c r="DH77" s="106"/>
      <c r="DI77" s="106"/>
      <c r="DJ77" s="106"/>
      <c r="DK77" s="106"/>
      <c r="DL77" s="106"/>
      <c r="DM77" s="106"/>
      <c r="DN77" s="106"/>
      <c r="DO77" s="106"/>
      <c r="DP77" s="106"/>
      <c r="DQ77" s="106"/>
      <c r="DR77" s="106"/>
      <c r="DS77" s="106"/>
      <c r="DT77" s="106"/>
      <c r="DU77" s="106"/>
      <c r="DV77" s="106"/>
      <c r="DW77" s="106"/>
      <c r="DX77" s="106"/>
      <c r="DY77" s="106"/>
      <c r="DZ77" s="106"/>
      <c r="EA77" s="106"/>
      <c r="EB77" s="106"/>
      <c r="EC77" s="106"/>
      <c r="ED77" s="106"/>
      <c r="EE77" s="106"/>
      <c r="EF77" s="106"/>
      <c r="EG77" s="106"/>
      <c r="EH77" s="106"/>
      <c r="EI77" s="106"/>
      <c r="EJ77" s="106"/>
      <c r="EK77" s="106"/>
      <c r="EL77" s="106"/>
      <c r="EM77" s="106"/>
      <c r="EN77" s="106"/>
      <c r="EO77" s="106"/>
      <c r="EP77" s="106"/>
      <c r="EQ77" s="106"/>
      <c r="ER77" s="106"/>
      <c r="ES77" s="106"/>
      <c r="ET77" s="106"/>
      <c r="EU77" s="106"/>
      <c r="EV77" s="106"/>
      <c r="EW77" s="106"/>
      <c r="EX77" s="106"/>
      <c r="EY77" s="106"/>
      <c r="EZ77" s="106"/>
      <c r="FA77" s="106"/>
      <c r="FB77" s="106"/>
      <c r="FC77" s="106"/>
      <c r="FD77" s="106"/>
      <c r="FE77" s="106"/>
      <c r="FF77" s="106"/>
      <c r="FG77" s="106"/>
      <c r="FH77" s="106"/>
      <c r="FI77" s="106"/>
      <c r="FJ77" s="106"/>
      <c r="FK77" s="106"/>
      <c r="FL77" s="106"/>
      <c r="FM77" s="106"/>
      <c r="FN77" s="106"/>
      <c r="FO77" s="106"/>
      <c r="FP77" s="106"/>
      <c r="FQ77" s="106"/>
      <c r="FR77" s="106"/>
      <c r="FS77" s="106"/>
      <c r="FT77" s="106"/>
      <c r="FU77" s="106"/>
      <c r="FV77" s="106"/>
      <c r="FW77" s="106"/>
      <c r="FX77" s="106"/>
      <c r="FY77" s="106"/>
      <c r="FZ77" s="106"/>
      <c r="GA77" s="106"/>
      <c r="GB77" s="106"/>
      <c r="GC77" s="106"/>
      <c r="GD77" s="106"/>
      <c r="GE77" s="106"/>
      <c r="GF77" s="106"/>
      <c r="GG77" s="106"/>
      <c r="GH77" s="106"/>
      <c r="GI77" s="106"/>
      <c r="GJ77" s="106"/>
      <c r="GK77" s="106"/>
      <c r="GL77" s="106"/>
      <c r="GM77" s="106"/>
      <c r="GN77" s="106"/>
      <c r="GO77" s="106"/>
      <c r="GP77" s="106"/>
      <c r="GQ77" s="106"/>
      <c r="GR77" s="106"/>
      <c r="GS77" s="106"/>
      <c r="GT77" s="106"/>
      <c r="GU77" s="106"/>
      <c r="GV77" s="106"/>
      <c r="GW77" s="106"/>
      <c r="GX77" s="106"/>
      <c r="GY77" s="106"/>
      <c r="GZ77" s="106"/>
      <c r="HA77" s="106"/>
      <c r="HB77" s="106"/>
      <c r="HC77" s="106"/>
      <c r="HD77" s="106"/>
      <c r="HE77" s="106"/>
      <c r="HF77" s="106"/>
    </row>
    <row r="79" spans="5:28" ht="12.75"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</row>
    <row r="80" spans="5:28" ht="12.75"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</row>
    <row r="81" spans="5:28" ht="12.75">
      <c r="E81" s="27"/>
      <c r="F81" s="27"/>
      <c r="G81" s="119">
        <f>SUM(F77-G77)</f>
        <v>-15800</v>
      </c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</row>
    <row r="82" spans="5:28" ht="12.75"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</row>
    <row r="83" spans="5:28" ht="12.75"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</row>
    <row r="84" spans="5:28" ht="12.75"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</row>
    <row r="85" spans="5:28" ht="12.75"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</row>
    <row r="86" spans="5:28" ht="12.75"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</row>
    <row r="87" spans="5:28" ht="12.75"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</row>
    <row r="88" spans="5:28" ht="12.75"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</row>
    <row r="89" spans="5:28" ht="12.75"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</row>
    <row r="90" spans="5:28" ht="12.75"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</row>
    <row r="91" spans="5:28" ht="12.75"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</row>
    <row r="92" spans="5:28" ht="12.75"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</row>
    <row r="93" spans="5:28" ht="12.75"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</row>
    <row r="94" spans="5:28" ht="12.75"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</row>
    <row r="95" spans="5:28" ht="12.75"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</row>
  </sheetData>
  <mergeCells count="1">
    <mergeCell ref="A6:AB6"/>
  </mergeCells>
  <printOptions horizontalCentered="1"/>
  <pageMargins left="0.5511811023622047" right="0.5118110236220472" top="0.7874015748031497" bottom="0.7874015748031497" header="0.5118110236220472" footer="0.31496062992125984"/>
  <pageSetup horizontalDpi="600" verticalDpi="600" orientation="portrait" paperSize="9" r:id="rId1"/>
  <headerFooter alignWithMargins="0">
    <oddFooter>&amp;C&amp;8Administracja rządowa - str.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X153"/>
  <sheetViews>
    <sheetView workbookViewId="0" topLeftCell="A125">
      <selection activeCell="Z8" sqref="Z8"/>
    </sheetView>
  </sheetViews>
  <sheetFormatPr defaultColWidth="9.00390625" defaultRowHeight="12.75"/>
  <cols>
    <col min="1" max="1" width="4.875" style="8" customWidth="1"/>
    <col min="2" max="2" width="7.25390625" style="8" bestFit="1" customWidth="1"/>
    <col min="3" max="3" width="5.625" style="8" customWidth="1"/>
    <col min="4" max="4" width="31.00390625" style="8" customWidth="1"/>
    <col min="5" max="5" width="11.25390625" style="0" hidden="1" customWidth="1"/>
    <col min="6" max="6" width="15.25390625" style="0" hidden="1" customWidth="1"/>
    <col min="7" max="7" width="12.25390625" style="0" hidden="1" customWidth="1"/>
    <col min="8" max="8" width="16.75390625" style="0" hidden="1" customWidth="1"/>
    <col min="9" max="9" width="17.875" style="0" hidden="1" customWidth="1"/>
    <col min="10" max="10" width="17.25390625" style="0" hidden="1" customWidth="1"/>
    <col min="11" max="11" width="17.375" style="0" hidden="1" customWidth="1"/>
    <col min="12" max="12" width="19.75390625" style="0" hidden="1" customWidth="1"/>
    <col min="13" max="13" width="17.125" style="0" hidden="1" customWidth="1"/>
    <col min="14" max="14" width="19.375" style="0" hidden="1" customWidth="1"/>
    <col min="15" max="15" width="14.875" style="0" hidden="1" customWidth="1"/>
    <col min="16" max="16" width="12.875" style="0" hidden="1" customWidth="1"/>
    <col min="17" max="17" width="12.75390625" style="0" hidden="1" customWidth="1"/>
    <col min="18" max="18" width="34.875" style="0" hidden="1" customWidth="1"/>
    <col min="19" max="19" width="10.375" style="0" hidden="1" customWidth="1"/>
    <col min="20" max="20" width="12.875" style="0" hidden="1" customWidth="1"/>
    <col min="21" max="21" width="12.75390625" style="0" hidden="1" customWidth="1"/>
    <col min="22" max="22" width="12.875" style="0" customWidth="1"/>
    <col min="23" max="23" width="12.75390625" style="0" customWidth="1"/>
    <col min="24" max="24" width="12.875" style="0" customWidth="1"/>
  </cols>
  <sheetData>
    <row r="1" spans="5:24" ht="12.75">
      <c r="E1" s="66"/>
      <c r="F1" s="66" t="s">
        <v>608</v>
      </c>
      <c r="G1" s="66"/>
      <c r="H1" s="98" t="s">
        <v>33</v>
      </c>
      <c r="I1" s="98"/>
      <c r="J1" s="98" t="s">
        <v>103</v>
      </c>
      <c r="K1" s="98"/>
      <c r="L1" s="98" t="s">
        <v>144</v>
      </c>
      <c r="M1" s="98"/>
      <c r="N1" s="98" t="s">
        <v>211</v>
      </c>
      <c r="O1" s="98"/>
      <c r="P1" s="98" t="s">
        <v>541</v>
      </c>
      <c r="Q1" s="98"/>
      <c r="R1" s="98" t="s">
        <v>491</v>
      </c>
      <c r="S1" s="98"/>
      <c r="T1" s="98" t="s">
        <v>481</v>
      </c>
      <c r="U1" s="98"/>
      <c r="V1" s="98" t="s">
        <v>64</v>
      </c>
      <c r="W1" s="98"/>
      <c r="X1" s="66"/>
    </row>
    <row r="2" spans="5:24" ht="12.75">
      <c r="E2" s="66" t="s">
        <v>504</v>
      </c>
      <c r="F2" s="98" t="s">
        <v>693</v>
      </c>
      <c r="G2" s="66"/>
      <c r="H2" s="98" t="s">
        <v>698</v>
      </c>
      <c r="I2" s="98"/>
      <c r="J2" s="98" t="s">
        <v>88</v>
      </c>
      <c r="K2" s="98"/>
      <c r="L2" s="98" t="s">
        <v>141</v>
      </c>
      <c r="M2" s="98"/>
      <c r="N2" s="98" t="s">
        <v>207</v>
      </c>
      <c r="O2" s="98"/>
      <c r="P2" s="98" t="s">
        <v>537</v>
      </c>
      <c r="Q2" s="98"/>
      <c r="R2" s="98" t="s">
        <v>490</v>
      </c>
      <c r="S2" s="98"/>
      <c r="T2" s="98" t="s">
        <v>564</v>
      </c>
      <c r="U2" s="98"/>
      <c r="V2" s="98" t="s">
        <v>65</v>
      </c>
      <c r="W2" s="98"/>
      <c r="X2" s="66"/>
    </row>
    <row r="3" spans="5:24" ht="12.75">
      <c r="E3" s="66" t="s">
        <v>503</v>
      </c>
      <c r="F3" s="98" t="s">
        <v>422</v>
      </c>
      <c r="G3" s="66"/>
      <c r="H3" s="98" t="s">
        <v>0</v>
      </c>
      <c r="I3" s="98"/>
      <c r="J3" s="98" t="s">
        <v>33</v>
      </c>
      <c r="K3" s="98"/>
      <c r="L3" s="98" t="s">
        <v>103</v>
      </c>
      <c r="M3" s="98"/>
      <c r="N3" s="98" t="s">
        <v>144</v>
      </c>
      <c r="O3" s="98"/>
      <c r="P3" s="98" t="s">
        <v>211</v>
      </c>
      <c r="Q3" s="98"/>
      <c r="R3" s="98" t="s">
        <v>541</v>
      </c>
      <c r="S3" s="98"/>
      <c r="T3" s="98" t="s">
        <v>491</v>
      </c>
      <c r="U3" s="98"/>
      <c r="V3" s="98" t="s">
        <v>481</v>
      </c>
      <c r="W3" s="98"/>
      <c r="X3" s="66"/>
    </row>
    <row r="4" spans="5:24" ht="12.75">
      <c r="E4" s="66"/>
      <c r="F4" s="98" t="s">
        <v>688</v>
      </c>
      <c r="G4" s="66"/>
      <c r="H4" s="98" t="s">
        <v>700</v>
      </c>
      <c r="I4" s="98"/>
      <c r="J4" s="98" t="s">
        <v>39</v>
      </c>
      <c r="K4" s="98"/>
      <c r="L4" s="98" t="s">
        <v>117</v>
      </c>
      <c r="M4" s="98"/>
      <c r="N4" s="98" t="s">
        <v>147</v>
      </c>
      <c r="O4" s="98"/>
      <c r="P4" s="98" t="s">
        <v>228</v>
      </c>
      <c r="Q4" s="98"/>
      <c r="R4" s="98" t="s">
        <v>723</v>
      </c>
      <c r="S4" s="98"/>
      <c r="T4" s="98" t="s">
        <v>628</v>
      </c>
      <c r="U4" s="98"/>
      <c r="V4" s="98" t="s">
        <v>240</v>
      </c>
      <c r="W4" s="98"/>
      <c r="X4" s="66"/>
    </row>
    <row r="5" spans="1:24" ht="15" customHeight="1">
      <c r="A5" s="327" t="s">
        <v>728</v>
      </c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  <c r="S5" s="327"/>
      <c r="T5" s="327"/>
      <c r="U5" s="327"/>
      <c r="V5" s="327"/>
      <c r="W5" s="327"/>
      <c r="X5" s="327"/>
    </row>
    <row r="6" spans="1:4" ht="12.75">
      <c r="A6" s="10"/>
      <c r="B6" s="10"/>
      <c r="C6" s="10"/>
      <c r="D6" s="37"/>
    </row>
    <row r="7" spans="1:24" s="8" customFormat="1" ht="24" customHeight="1">
      <c r="A7" s="177" t="s">
        <v>244</v>
      </c>
      <c r="B7" s="178" t="s">
        <v>245</v>
      </c>
      <c r="C7" s="179" t="s">
        <v>246</v>
      </c>
      <c r="D7" s="178" t="s">
        <v>247</v>
      </c>
      <c r="E7" s="145" t="s">
        <v>412</v>
      </c>
      <c r="F7" s="145" t="s">
        <v>501</v>
      </c>
      <c r="G7" s="145" t="s">
        <v>502</v>
      </c>
      <c r="H7" s="145" t="s">
        <v>717</v>
      </c>
      <c r="I7" s="145" t="s">
        <v>506</v>
      </c>
      <c r="J7" s="145" t="s">
        <v>717</v>
      </c>
      <c r="K7" s="145" t="s">
        <v>506</v>
      </c>
      <c r="L7" s="145" t="s">
        <v>717</v>
      </c>
      <c r="M7" s="145" t="s">
        <v>716</v>
      </c>
      <c r="N7" s="145" t="s">
        <v>717</v>
      </c>
      <c r="O7" s="145" t="s">
        <v>716</v>
      </c>
      <c r="P7" s="145" t="s">
        <v>717</v>
      </c>
      <c r="Q7" s="145" t="s">
        <v>716</v>
      </c>
      <c r="R7" s="145" t="s">
        <v>717</v>
      </c>
      <c r="S7" s="145" t="s">
        <v>716</v>
      </c>
      <c r="T7" s="145" t="s">
        <v>413</v>
      </c>
      <c r="U7" s="145" t="s">
        <v>716</v>
      </c>
      <c r="V7" s="145" t="s">
        <v>413</v>
      </c>
      <c r="W7" s="145" t="s">
        <v>716</v>
      </c>
      <c r="X7" s="145" t="s">
        <v>718</v>
      </c>
    </row>
    <row r="8" spans="1:24" s="7" customFormat="1" ht="24" customHeight="1">
      <c r="A8" s="33" t="s">
        <v>335</v>
      </c>
      <c r="B8" s="5"/>
      <c r="C8" s="23"/>
      <c r="D8" s="22" t="s">
        <v>336</v>
      </c>
      <c r="E8" s="42">
        <f>E15</f>
        <v>1907280</v>
      </c>
      <c r="F8" s="42">
        <f>F15</f>
        <v>40000</v>
      </c>
      <c r="G8" s="42">
        <f>G15</f>
        <v>840000</v>
      </c>
      <c r="H8" s="42">
        <f>SUM(H9,H15,H12)</f>
        <v>1107280</v>
      </c>
      <c r="I8" s="42">
        <f>SUM(I9,I15)</f>
        <v>-6000</v>
      </c>
      <c r="J8" s="42">
        <f>SUM(J9,J15)</f>
        <v>1101280</v>
      </c>
      <c r="K8" s="42">
        <f>SUM(K9,K15)</f>
        <v>0</v>
      </c>
      <c r="L8" s="42">
        <f>SUM(L9,L15)</f>
        <v>1101280</v>
      </c>
      <c r="M8" s="42">
        <f>SUM(M9,M15)</f>
        <v>-11310</v>
      </c>
      <c r="N8" s="42">
        <f aca="true" t="shared" si="0" ref="N8:T8">SUM(N9,N15,N12)</f>
        <v>1089970</v>
      </c>
      <c r="O8" s="42">
        <f t="shared" si="0"/>
        <v>1586800</v>
      </c>
      <c r="P8" s="42">
        <f t="shared" si="0"/>
        <v>2676770</v>
      </c>
      <c r="Q8" s="42">
        <f t="shared" si="0"/>
        <v>107492</v>
      </c>
      <c r="R8" s="42">
        <f t="shared" si="0"/>
        <v>2784262</v>
      </c>
      <c r="S8" s="42">
        <f t="shared" si="0"/>
        <v>65500</v>
      </c>
      <c r="T8" s="42">
        <f t="shared" si="0"/>
        <v>2849762</v>
      </c>
      <c r="U8" s="42">
        <f>SUM(U9,U15,U12)</f>
        <v>-635</v>
      </c>
      <c r="V8" s="42">
        <f>SUM(V9,V15,V12)</f>
        <v>2849127</v>
      </c>
      <c r="W8" s="42">
        <f>SUM(W9,W15,W12)</f>
        <v>-30000</v>
      </c>
      <c r="X8" s="42">
        <f>SUM(X9,X15,X12)</f>
        <v>2819127</v>
      </c>
    </row>
    <row r="9" spans="1:24" s="27" customFormat="1" ht="24" customHeight="1">
      <c r="A9" s="75"/>
      <c r="B9" s="58">
        <v>60013</v>
      </c>
      <c r="C9" s="84"/>
      <c r="D9" s="14" t="s">
        <v>42</v>
      </c>
      <c r="E9" s="64">
        <f>SUM(E10)</f>
        <v>0</v>
      </c>
      <c r="F9" s="64">
        <f aca="true" t="shared" si="1" ref="F9:H10">SUM(F10)</f>
        <v>0</v>
      </c>
      <c r="G9" s="64">
        <f t="shared" si="1"/>
        <v>0</v>
      </c>
      <c r="H9" s="64">
        <f t="shared" si="1"/>
        <v>0</v>
      </c>
      <c r="I9" s="64"/>
      <c r="J9" s="64">
        <f aca="true" t="shared" si="2" ref="J9:X10">SUM(J10)</f>
        <v>0</v>
      </c>
      <c r="K9" s="64">
        <f t="shared" si="2"/>
        <v>30000</v>
      </c>
      <c r="L9" s="64">
        <f t="shared" si="2"/>
        <v>30000</v>
      </c>
      <c r="M9" s="64">
        <f t="shared" si="2"/>
        <v>0</v>
      </c>
      <c r="N9" s="64">
        <f t="shared" si="2"/>
        <v>30000</v>
      </c>
      <c r="O9" s="64">
        <f t="shared" si="2"/>
        <v>0</v>
      </c>
      <c r="P9" s="64">
        <f t="shared" si="2"/>
        <v>30000</v>
      </c>
      <c r="Q9" s="64">
        <f t="shared" si="2"/>
        <v>0</v>
      </c>
      <c r="R9" s="64">
        <f t="shared" si="2"/>
        <v>30000</v>
      </c>
      <c r="S9" s="64">
        <f t="shared" si="2"/>
        <v>0</v>
      </c>
      <c r="T9" s="64">
        <f t="shared" si="2"/>
        <v>30000</v>
      </c>
      <c r="U9" s="64">
        <f t="shared" si="2"/>
        <v>0</v>
      </c>
      <c r="V9" s="64">
        <f t="shared" si="2"/>
        <v>30000</v>
      </c>
      <c r="W9" s="64">
        <f t="shared" si="2"/>
        <v>0</v>
      </c>
      <c r="X9" s="64">
        <f t="shared" si="2"/>
        <v>30000</v>
      </c>
    </row>
    <row r="10" spans="1:24" s="27" customFormat="1" ht="67.5">
      <c r="A10" s="75"/>
      <c r="B10" s="58"/>
      <c r="C10" s="84">
        <v>6300</v>
      </c>
      <c r="D10" s="40" t="s">
        <v>43</v>
      </c>
      <c r="E10" s="64">
        <f>SUM(E11)</f>
        <v>0</v>
      </c>
      <c r="F10" s="64">
        <f t="shared" si="1"/>
        <v>0</v>
      </c>
      <c r="G10" s="64">
        <f t="shared" si="1"/>
        <v>0</v>
      </c>
      <c r="H10" s="64">
        <f t="shared" si="1"/>
        <v>0</v>
      </c>
      <c r="I10" s="64"/>
      <c r="J10" s="64">
        <f t="shared" si="2"/>
        <v>0</v>
      </c>
      <c r="K10" s="64">
        <f t="shared" si="2"/>
        <v>30000</v>
      </c>
      <c r="L10" s="64">
        <f t="shared" si="2"/>
        <v>30000</v>
      </c>
      <c r="M10" s="64">
        <f t="shared" si="2"/>
        <v>0</v>
      </c>
      <c r="N10" s="64">
        <f aca="true" t="shared" si="3" ref="N10:X10">SUM(N11:N11)</f>
        <v>30000</v>
      </c>
      <c r="O10" s="64">
        <f t="shared" si="3"/>
        <v>0</v>
      </c>
      <c r="P10" s="64">
        <f t="shared" si="3"/>
        <v>30000</v>
      </c>
      <c r="Q10" s="64">
        <f t="shared" si="3"/>
        <v>0</v>
      </c>
      <c r="R10" s="64">
        <f t="shared" si="3"/>
        <v>30000</v>
      </c>
      <c r="S10" s="64">
        <f t="shared" si="3"/>
        <v>0</v>
      </c>
      <c r="T10" s="64">
        <f t="shared" si="3"/>
        <v>30000</v>
      </c>
      <c r="U10" s="64">
        <f t="shared" si="3"/>
        <v>0</v>
      </c>
      <c r="V10" s="64">
        <f t="shared" si="3"/>
        <v>30000</v>
      </c>
      <c r="W10" s="64">
        <f t="shared" si="3"/>
        <v>0</v>
      </c>
      <c r="X10" s="64">
        <f t="shared" si="3"/>
        <v>30000</v>
      </c>
    </row>
    <row r="11" spans="1:24" s="30" customFormat="1" ht="78.75">
      <c r="A11" s="54"/>
      <c r="B11" s="51"/>
      <c r="C11" s="52"/>
      <c r="D11" s="56" t="s">
        <v>56</v>
      </c>
      <c r="E11" s="170">
        <v>0</v>
      </c>
      <c r="F11" s="170">
        <v>0</v>
      </c>
      <c r="G11" s="170">
        <v>0</v>
      </c>
      <c r="H11" s="170">
        <f>SUM(E11+F11-G11)</f>
        <v>0</v>
      </c>
      <c r="I11" s="170"/>
      <c r="J11" s="170">
        <v>0</v>
      </c>
      <c r="K11" s="170">
        <v>30000</v>
      </c>
      <c r="L11" s="170">
        <f>SUM(J11:K11)</f>
        <v>30000</v>
      </c>
      <c r="M11" s="170">
        <v>0</v>
      </c>
      <c r="N11" s="170">
        <f>SUM(L11:M11)</f>
        <v>30000</v>
      </c>
      <c r="O11" s="170">
        <v>0</v>
      </c>
      <c r="P11" s="170">
        <f>SUM(N11:O11)</f>
        <v>30000</v>
      </c>
      <c r="Q11" s="170">
        <v>0</v>
      </c>
      <c r="R11" s="170">
        <f aca="true" t="shared" si="4" ref="R11:R43">SUM(P11:Q11)</f>
        <v>30000</v>
      </c>
      <c r="S11" s="170">
        <v>0</v>
      </c>
      <c r="T11" s="170">
        <f aca="true" t="shared" si="5" ref="T11:T43">SUM(R11:S11)</f>
        <v>30000</v>
      </c>
      <c r="U11" s="170">
        <v>0</v>
      </c>
      <c r="V11" s="170">
        <f aca="true" t="shared" si="6" ref="V11:V43">SUM(T11:U11)</f>
        <v>30000</v>
      </c>
      <c r="W11" s="170">
        <v>0</v>
      </c>
      <c r="X11" s="170">
        <f aca="true" t="shared" si="7" ref="X11:X43">SUM(V11:W11)</f>
        <v>30000</v>
      </c>
    </row>
    <row r="12" spans="1:24" s="27" customFormat="1" ht="21.75" customHeight="1">
      <c r="A12" s="75"/>
      <c r="B12" s="58">
        <v>60014</v>
      </c>
      <c r="C12" s="84"/>
      <c r="D12" s="14" t="s">
        <v>167</v>
      </c>
      <c r="E12" s="64">
        <f>SUM(E13)</f>
        <v>0</v>
      </c>
      <c r="F12" s="64">
        <f aca="true" t="shared" si="8" ref="F12:H13">SUM(F13)</f>
        <v>0</v>
      </c>
      <c r="G12" s="64">
        <f t="shared" si="8"/>
        <v>0</v>
      </c>
      <c r="H12" s="64">
        <f t="shared" si="8"/>
        <v>0</v>
      </c>
      <c r="I12" s="64"/>
      <c r="J12" s="64"/>
      <c r="K12" s="64"/>
      <c r="L12" s="64"/>
      <c r="M12" s="64"/>
      <c r="N12" s="64">
        <f>SUM(N13)</f>
        <v>0</v>
      </c>
      <c r="O12" s="64">
        <f>SUM(O13)</f>
        <v>210000</v>
      </c>
      <c r="P12" s="64">
        <f>SUM(N12:O12)</f>
        <v>210000</v>
      </c>
      <c r="Q12" s="64">
        <f>SUM(Q13)</f>
        <v>-210000</v>
      </c>
      <c r="R12" s="64">
        <f t="shared" si="4"/>
        <v>0</v>
      </c>
      <c r="S12" s="64">
        <f>SUM(S13)</f>
        <v>0</v>
      </c>
      <c r="T12" s="64">
        <f t="shared" si="5"/>
        <v>0</v>
      </c>
      <c r="U12" s="64">
        <f>SUM(U13)</f>
        <v>0</v>
      </c>
      <c r="V12" s="64">
        <f t="shared" si="6"/>
        <v>0</v>
      </c>
      <c r="W12" s="64">
        <f>SUM(W13)</f>
        <v>0</v>
      </c>
      <c r="X12" s="64">
        <f t="shared" si="7"/>
        <v>0</v>
      </c>
    </row>
    <row r="13" spans="1:24" s="27" customFormat="1" ht="26.25" customHeight="1">
      <c r="A13" s="75"/>
      <c r="B13" s="58"/>
      <c r="C13" s="84">
        <v>6800</v>
      </c>
      <c r="D13" s="14" t="s">
        <v>690</v>
      </c>
      <c r="E13" s="64">
        <f>SUM(E14)</f>
        <v>0</v>
      </c>
      <c r="F13" s="64">
        <f t="shared" si="8"/>
        <v>0</v>
      </c>
      <c r="G13" s="64">
        <f t="shared" si="8"/>
        <v>0</v>
      </c>
      <c r="H13" s="64">
        <f t="shared" si="8"/>
        <v>0</v>
      </c>
      <c r="I13" s="64"/>
      <c r="J13" s="64"/>
      <c r="K13" s="64"/>
      <c r="L13" s="64"/>
      <c r="M13" s="64"/>
      <c r="N13" s="64">
        <f>SUM(N14)</f>
        <v>0</v>
      </c>
      <c r="O13" s="64">
        <f>SUM(O14)</f>
        <v>210000</v>
      </c>
      <c r="P13" s="64">
        <f>SUM(N13:O13)</f>
        <v>210000</v>
      </c>
      <c r="Q13" s="64">
        <f>SUM(Q14)</f>
        <v>-210000</v>
      </c>
      <c r="R13" s="64">
        <f t="shared" si="4"/>
        <v>0</v>
      </c>
      <c r="S13" s="64">
        <f>SUM(S14)</f>
        <v>0</v>
      </c>
      <c r="T13" s="64">
        <f t="shared" si="5"/>
        <v>0</v>
      </c>
      <c r="U13" s="64">
        <f>SUM(U14)</f>
        <v>0</v>
      </c>
      <c r="V13" s="64">
        <f t="shared" si="6"/>
        <v>0</v>
      </c>
      <c r="W13" s="64">
        <f>SUM(W14)</f>
        <v>0</v>
      </c>
      <c r="X13" s="64">
        <f t="shared" si="7"/>
        <v>0</v>
      </c>
    </row>
    <row r="14" spans="1:24" s="30" customFormat="1" ht="45">
      <c r="A14" s="54"/>
      <c r="B14" s="51"/>
      <c r="C14" s="52"/>
      <c r="D14" s="56" t="s">
        <v>205</v>
      </c>
      <c r="E14" s="170">
        <v>0</v>
      </c>
      <c r="F14" s="170">
        <v>0</v>
      </c>
      <c r="G14" s="170">
        <v>0</v>
      </c>
      <c r="H14" s="170">
        <f>SUM(E14+F14-G14)</f>
        <v>0</v>
      </c>
      <c r="I14" s="170"/>
      <c r="J14" s="170"/>
      <c r="K14" s="170"/>
      <c r="L14" s="170"/>
      <c r="M14" s="170"/>
      <c r="N14" s="170">
        <v>0</v>
      </c>
      <c r="O14" s="170">
        <v>210000</v>
      </c>
      <c r="P14" s="170">
        <f>SUM(N14:O14)</f>
        <v>210000</v>
      </c>
      <c r="Q14" s="170">
        <v>-210000</v>
      </c>
      <c r="R14" s="170">
        <f t="shared" si="4"/>
        <v>0</v>
      </c>
      <c r="S14" s="170">
        <v>0</v>
      </c>
      <c r="T14" s="170">
        <f t="shared" si="5"/>
        <v>0</v>
      </c>
      <c r="U14" s="170">
        <v>0</v>
      </c>
      <c r="V14" s="170">
        <f t="shared" si="6"/>
        <v>0</v>
      </c>
      <c r="W14" s="170">
        <v>0</v>
      </c>
      <c r="X14" s="170">
        <f t="shared" si="7"/>
        <v>0</v>
      </c>
    </row>
    <row r="15" spans="1:24" s="27" customFormat="1" ht="24" customHeight="1">
      <c r="A15" s="75"/>
      <c r="B15" s="76" t="s">
        <v>337</v>
      </c>
      <c r="C15" s="84"/>
      <c r="D15" s="14" t="s">
        <v>338</v>
      </c>
      <c r="E15" s="64">
        <f>SUM(E16,E44,E47)</f>
        <v>1907280</v>
      </c>
      <c r="F15" s="64">
        <f>SUM(F16,F44,F47)</f>
        <v>40000</v>
      </c>
      <c r="G15" s="64">
        <f>SUM(G16,G44,G47)</f>
        <v>840000</v>
      </c>
      <c r="H15" s="64">
        <f>SUM(H16,H44,H47)</f>
        <v>1107280</v>
      </c>
      <c r="I15" s="64">
        <f>SUM(I16,I44,I47)</f>
        <v>-6000</v>
      </c>
      <c r="J15" s="64">
        <f>SUM(H15:I15)</f>
        <v>1101280</v>
      </c>
      <c r="K15" s="64">
        <f>SUM(K16,K44,K47)</f>
        <v>-30000</v>
      </c>
      <c r="L15" s="64">
        <f>SUM(J15:K15)</f>
        <v>1071280</v>
      </c>
      <c r="M15" s="64">
        <f>SUM(M16,M44,M47)</f>
        <v>-11310</v>
      </c>
      <c r="N15" s="64">
        <f>SUM(L15:M15)</f>
        <v>1059970</v>
      </c>
      <c r="O15" s="64">
        <f>SUM(O16,O44,O47)</f>
        <v>1376800</v>
      </c>
      <c r="P15" s="64">
        <f>SUM(N15:O15)</f>
        <v>2436770</v>
      </c>
      <c r="Q15" s="64">
        <f>SUM(Q16,Q44,Q47)</f>
        <v>317492</v>
      </c>
      <c r="R15" s="64">
        <f t="shared" si="4"/>
        <v>2754262</v>
      </c>
      <c r="S15" s="64">
        <f>SUM(S16,S44,S47)</f>
        <v>65500</v>
      </c>
      <c r="T15" s="64">
        <f t="shared" si="5"/>
        <v>2819762</v>
      </c>
      <c r="U15" s="64">
        <f>SUM(U16,U44,U47)</f>
        <v>-635</v>
      </c>
      <c r="V15" s="64">
        <f t="shared" si="6"/>
        <v>2819127</v>
      </c>
      <c r="W15" s="64">
        <f>SUM(W16,W44,W47)</f>
        <v>-30000</v>
      </c>
      <c r="X15" s="64">
        <f t="shared" si="7"/>
        <v>2789127</v>
      </c>
    </row>
    <row r="16" spans="1:24" s="27" customFormat="1" ht="24" customHeight="1">
      <c r="A16" s="82"/>
      <c r="B16" s="58"/>
      <c r="C16" s="84">
        <v>6050</v>
      </c>
      <c r="D16" s="14" t="s">
        <v>334</v>
      </c>
      <c r="E16" s="64">
        <f>SUM(E17:E43)</f>
        <v>1895630</v>
      </c>
      <c r="F16" s="64">
        <f>SUM(F17:F43)</f>
        <v>0</v>
      </c>
      <c r="G16" s="64">
        <f>SUM(G17:G43)</f>
        <v>840000</v>
      </c>
      <c r="H16" s="64">
        <f>SUM(H17:H43)</f>
        <v>1055630</v>
      </c>
      <c r="I16" s="64">
        <f>SUM(I17:I31)</f>
        <v>-6000</v>
      </c>
      <c r="J16" s="64">
        <f aca="true" t="shared" si="9" ref="J16:J99">SUM(H16:I16)</f>
        <v>1049630</v>
      </c>
      <c r="K16" s="64">
        <f>SUM(K17:K31)</f>
        <v>0</v>
      </c>
      <c r="L16" s="64">
        <f aca="true" t="shared" si="10" ref="L16:L93">SUM(J16:K16)</f>
        <v>1049630</v>
      </c>
      <c r="M16" s="64">
        <f>SUM(M17:M31)</f>
        <v>-11310</v>
      </c>
      <c r="N16" s="64">
        <f>SUM(L16:M16)</f>
        <v>1038320</v>
      </c>
      <c r="O16" s="64">
        <f>SUM(O17:O43)</f>
        <v>1365800</v>
      </c>
      <c r="P16" s="64">
        <f aca="true" t="shared" si="11" ref="P16:P93">SUM(N16:O16)</f>
        <v>2404120</v>
      </c>
      <c r="Q16" s="64">
        <f>SUM(Q17:Q43)</f>
        <v>316452</v>
      </c>
      <c r="R16" s="64">
        <f t="shared" si="4"/>
        <v>2720572</v>
      </c>
      <c r="S16" s="64">
        <f>SUM(S17:S43)</f>
        <v>62500</v>
      </c>
      <c r="T16" s="64">
        <f t="shared" si="5"/>
        <v>2783072</v>
      </c>
      <c r="U16" s="64">
        <f>SUM(U17:U43)</f>
        <v>-635</v>
      </c>
      <c r="V16" s="64">
        <f t="shared" si="6"/>
        <v>2782437</v>
      </c>
      <c r="W16" s="64">
        <f>SUM(W17:W43)</f>
        <v>-30000</v>
      </c>
      <c r="X16" s="64">
        <f t="shared" si="7"/>
        <v>2752437</v>
      </c>
    </row>
    <row r="17" spans="1:24" s="30" customFormat="1" ht="24" customHeight="1">
      <c r="A17" s="50"/>
      <c r="B17" s="51"/>
      <c r="C17" s="52"/>
      <c r="D17" s="56" t="s">
        <v>580</v>
      </c>
      <c r="E17" s="91">
        <v>150000</v>
      </c>
      <c r="F17" s="91">
        <v>0</v>
      </c>
      <c r="G17" s="91">
        <v>60000</v>
      </c>
      <c r="H17" s="170">
        <f aca="true" t="shared" si="12" ref="H17:H45">E17+F17-G17</f>
        <v>90000</v>
      </c>
      <c r="I17" s="91"/>
      <c r="J17" s="170">
        <f t="shared" si="9"/>
        <v>90000</v>
      </c>
      <c r="K17" s="91">
        <v>0</v>
      </c>
      <c r="L17" s="170">
        <f t="shared" si="10"/>
        <v>90000</v>
      </c>
      <c r="M17" s="91">
        <v>0</v>
      </c>
      <c r="N17" s="170">
        <f aca="true" t="shared" si="13" ref="N17:N93">SUM(L17:M17)</f>
        <v>90000</v>
      </c>
      <c r="O17" s="91">
        <v>0</v>
      </c>
      <c r="P17" s="170">
        <f t="shared" si="11"/>
        <v>90000</v>
      </c>
      <c r="Q17" s="91">
        <v>0</v>
      </c>
      <c r="R17" s="170">
        <f t="shared" si="4"/>
        <v>90000</v>
      </c>
      <c r="S17" s="91">
        <v>0</v>
      </c>
      <c r="T17" s="170">
        <f t="shared" si="5"/>
        <v>90000</v>
      </c>
      <c r="U17" s="91">
        <v>0</v>
      </c>
      <c r="V17" s="170">
        <f t="shared" si="6"/>
        <v>90000</v>
      </c>
      <c r="W17" s="91">
        <v>0</v>
      </c>
      <c r="X17" s="170">
        <f t="shared" si="7"/>
        <v>90000</v>
      </c>
    </row>
    <row r="18" spans="1:24" s="30" customFormat="1" ht="22.5">
      <c r="A18" s="50"/>
      <c r="B18" s="51"/>
      <c r="C18" s="52"/>
      <c r="D18" s="56" t="s">
        <v>697</v>
      </c>
      <c r="E18" s="91">
        <v>250000</v>
      </c>
      <c r="F18" s="91">
        <v>0</v>
      </c>
      <c r="G18" s="91">
        <v>100000</v>
      </c>
      <c r="H18" s="170">
        <f t="shared" si="12"/>
        <v>150000</v>
      </c>
      <c r="I18" s="91"/>
      <c r="J18" s="170">
        <f t="shared" si="9"/>
        <v>150000</v>
      </c>
      <c r="K18" s="91">
        <v>0</v>
      </c>
      <c r="L18" s="170">
        <f t="shared" si="10"/>
        <v>150000</v>
      </c>
      <c r="M18" s="91">
        <v>0</v>
      </c>
      <c r="N18" s="170">
        <f t="shared" si="13"/>
        <v>150000</v>
      </c>
      <c r="O18" s="91">
        <v>0</v>
      </c>
      <c r="P18" s="170">
        <f t="shared" si="11"/>
        <v>150000</v>
      </c>
      <c r="Q18" s="91">
        <v>0</v>
      </c>
      <c r="R18" s="170">
        <f t="shared" si="4"/>
        <v>150000</v>
      </c>
      <c r="S18" s="91">
        <v>0</v>
      </c>
      <c r="T18" s="170">
        <f t="shared" si="5"/>
        <v>150000</v>
      </c>
      <c r="U18" s="91">
        <v>0</v>
      </c>
      <c r="V18" s="170">
        <f t="shared" si="6"/>
        <v>150000</v>
      </c>
      <c r="W18" s="91">
        <v>0</v>
      </c>
      <c r="X18" s="170">
        <f t="shared" si="7"/>
        <v>150000</v>
      </c>
    </row>
    <row r="19" spans="1:24" s="30" customFormat="1" ht="24" customHeight="1">
      <c r="A19" s="50"/>
      <c r="B19" s="51"/>
      <c r="C19" s="52"/>
      <c r="D19" s="56" t="s">
        <v>581</v>
      </c>
      <c r="E19" s="91">
        <v>280000</v>
      </c>
      <c r="F19" s="91">
        <v>0</v>
      </c>
      <c r="G19" s="91"/>
      <c r="H19" s="170">
        <f t="shared" si="12"/>
        <v>280000</v>
      </c>
      <c r="I19" s="91"/>
      <c r="J19" s="170">
        <f t="shared" si="9"/>
        <v>280000</v>
      </c>
      <c r="K19" s="91">
        <v>0</v>
      </c>
      <c r="L19" s="170">
        <f t="shared" si="10"/>
        <v>280000</v>
      </c>
      <c r="M19" s="91">
        <v>0</v>
      </c>
      <c r="N19" s="170">
        <f t="shared" si="13"/>
        <v>280000</v>
      </c>
      <c r="O19" s="91">
        <v>0</v>
      </c>
      <c r="P19" s="170">
        <f t="shared" si="11"/>
        <v>280000</v>
      </c>
      <c r="Q19" s="91">
        <v>3440</v>
      </c>
      <c r="R19" s="170">
        <f t="shared" si="4"/>
        <v>283440</v>
      </c>
      <c r="S19" s="91">
        <v>0</v>
      </c>
      <c r="T19" s="170">
        <f t="shared" si="5"/>
        <v>283440</v>
      </c>
      <c r="U19" s="91">
        <v>0</v>
      </c>
      <c r="V19" s="170">
        <f t="shared" si="6"/>
        <v>283440</v>
      </c>
      <c r="W19" s="91">
        <v>0</v>
      </c>
      <c r="X19" s="170">
        <f t="shared" si="7"/>
        <v>283440</v>
      </c>
    </row>
    <row r="20" spans="1:24" s="30" customFormat="1" ht="22.5">
      <c r="A20" s="50"/>
      <c r="B20" s="51"/>
      <c r="C20" s="52"/>
      <c r="D20" s="56" t="s">
        <v>583</v>
      </c>
      <c r="E20" s="91">
        <v>90000</v>
      </c>
      <c r="F20" s="91">
        <v>0</v>
      </c>
      <c r="G20" s="91">
        <v>36000</v>
      </c>
      <c r="H20" s="170">
        <f t="shared" si="12"/>
        <v>54000</v>
      </c>
      <c r="I20" s="91"/>
      <c r="J20" s="170">
        <f t="shared" si="9"/>
        <v>54000</v>
      </c>
      <c r="K20" s="91">
        <v>0</v>
      </c>
      <c r="L20" s="170">
        <f t="shared" si="10"/>
        <v>54000</v>
      </c>
      <c r="M20" s="91">
        <v>0</v>
      </c>
      <c r="N20" s="170">
        <f t="shared" si="13"/>
        <v>54000</v>
      </c>
      <c r="O20" s="91">
        <v>0</v>
      </c>
      <c r="P20" s="170">
        <f t="shared" si="11"/>
        <v>54000</v>
      </c>
      <c r="Q20" s="91">
        <v>100000</v>
      </c>
      <c r="R20" s="170">
        <f t="shared" si="4"/>
        <v>154000</v>
      </c>
      <c r="S20" s="91">
        <v>43500</v>
      </c>
      <c r="T20" s="170">
        <f t="shared" si="5"/>
        <v>197500</v>
      </c>
      <c r="U20" s="91">
        <v>0</v>
      </c>
      <c r="V20" s="170">
        <f t="shared" si="6"/>
        <v>197500</v>
      </c>
      <c r="W20" s="91">
        <v>0</v>
      </c>
      <c r="X20" s="170">
        <f t="shared" si="7"/>
        <v>197500</v>
      </c>
    </row>
    <row r="21" spans="1:24" s="30" customFormat="1" ht="24" customHeight="1">
      <c r="A21" s="50"/>
      <c r="B21" s="51"/>
      <c r="C21" s="52"/>
      <c r="D21" s="56" t="s">
        <v>582</v>
      </c>
      <c r="E21" s="91">
        <v>190000</v>
      </c>
      <c r="F21" s="91">
        <v>0</v>
      </c>
      <c r="G21" s="91">
        <v>0</v>
      </c>
      <c r="H21" s="170">
        <f t="shared" si="12"/>
        <v>190000</v>
      </c>
      <c r="I21" s="91"/>
      <c r="J21" s="170">
        <f t="shared" si="9"/>
        <v>190000</v>
      </c>
      <c r="K21" s="91">
        <v>0</v>
      </c>
      <c r="L21" s="170">
        <f t="shared" si="10"/>
        <v>190000</v>
      </c>
      <c r="M21" s="91">
        <v>0</v>
      </c>
      <c r="N21" s="170">
        <f t="shared" si="13"/>
        <v>190000</v>
      </c>
      <c r="O21" s="91">
        <v>0</v>
      </c>
      <c r="P21" s="170">
        <f t="shared" si="11"/>
        <v>190000</v>
      </c>
      <c r="Q21" s="91">
        <v>97000</v>
      </c>
      <c r="R21" s="170">
        <f t="shared" si="4"/>
        <v>287000</v>
      </c>
      <c r="S21" s="91">
        <v>100000</v>
      </c>
      <c r="T21" s="170">
        <f t="shared" si="5"/>
        <v>387000</v>
      </c>
      <c r="U21" s="91">
        <v>0</v>
      </c>
      <c r="V21" s="170">
        <f t="shared" si="6"/>
        <v>387000</v>
      </c>
      <c r="W21" s="91">
        <v>0</v>
      </c>
      <c r="X21" s="170">
        <f t="shared" si="7"/>
        <v>387000</v>
      </c>
    </row>
    <row r="22" spans="1:24" s="30" customFormat="1" ht="24" customHeight="1">
      <c r="A22" s="50"/>
      <c r="B22" s="51"/>
      <c r="C22" s="52"/>
      <c r="D22" s="56" t="s">
        <v>584</v>
      </c>
      <c r="E22" s="91">
        <v>140000</v>
      </c>
      <c r="F22" s="91">
        <v>0</v>
      </c>
      <c r="G22" s="91">
        <v>54000</v>
      </c>
      <c r="H22" s="170">
        <f t="shared" si="12"/>
        <v>86000</v>
      </c>
      <c r="I22" s="91"/>
      <c r="J22" s="170">
        <f t="shared" si="9"/>
        <v>86000</v>
      </c>
      <c r="K22" s="91">
        <v>0</v>
      </c>
      <c r="L22" s="170">
        <f t="shared" si="10"/>
        <v>86000</v>
      </c>
      <c r="M22" s="91">
        <v>0</v>
      </c>
      <c r="N22" s="170">
        <f t="shared" si="13"/>
        <v>86000</v>
      </c>
      <c r="O22" s="91">
        <v>0</v>
      </c>
      <c r="P22" s="170">
        <f t="shared" si="11"/>
        <v>86000</v>
      </c>
      <c r="Q22" s="91">
        <v>-1480</v>
      </c>
      <c r="R22" s="170">
        <f t="shared" si="4"/>
        <v>84520</v>
      </c>
      <c r="S22" s="91">
        <v>0</v>
      </c>
      <c r="T22" s="170">
        <f t="shared" si="5"/>
        <v>84520</v>
      </c>
      <c r="U22" s="91">
        <v>0</v>
      </c>
      <c r="V22" s="170">
        <f t="shared" si="6"/>
        <v>84520</v>
      </c>
      <c r="W22" s="91">
        <v>0</v>
      </c>
      <c r="X22" s="170">
        <f t="shared" si="7"/>
        <v>84520</v>
      </c>
    </row>
    <row r="23" spans="1:24" s="30" customFormat="1" ht="24" customHeight="1" hidden="1">
      <c r="A23" s="50"/>
      <c r="B23" s="51"/>
      <c r="C23" s="52"/>
      <c r="D23" s="56" t="s">
        <v>585</v>
      </c>
      <c r="E23" s="91">
        <v>350000</v>
      </c>
      <c r="F23" s="91"/>
      <c r="G23" s="91">
        <v>350000</v>
      </c>
      <c r="H23" s="170">
        <f t="shared" si="12"/>
        <v>0</v>
      </c>
      <c r="I23" s="91"/>
      <c r="J23" s="170">
        <f t="shared" si="9"/>
        <v>0</v>
      </c>
      <c r="K23" s="91"/>
      <c r="L23" s="170">
        <f t="shared" si="10"/>
        <v>0</v>
      </c>
      <c r="M23" s="91"/>
      <c r="N23" s="170">
        <f t="shared" si="13"/>
        <v>0</v>
      </c>
      <c r="O23" s="91"/>
      <c r="P23" s="170">
        <f t="shared" si="11"/>
        <v>0</v>
      </c>
      <c r="Q23" s="91"/>
      <c r="R23" s="170">
        <f t="shared" si="4"/>
        <v>0</v>
      </c>
      <c r="S23" s="91"/>
      <c r="T23" s="170">
        <f t="shared" si="5"/>
        <v>0</v>
      </c>
      <c r="U23" s="91"/>
      <c r="V23" s="170">
        <f t="shared" si="6"/>
        <v>0</v>
      </c>
      <c r="W23" s="91"/>
      <c r="X23" s="170">
        <f t="shared" si="7"/>
        <v>0</v>
      </c>
    </row>
    <row r="24" spans="1:24" s="30" customFormat="1" ht="24" customHeight="1">
      <c r="A24" s="50"/>
      <c r="B24" s="51"/>
      <c r="C24" s="52"/>
      <c r="D24" s="56" t="s">
        <v>586</v>
      </c>
      <c r="E24" s="91">
        <v>350000</v>
      </c>
      <c r="F24" s="91">
        <v>0</v>
      </c>
      <c r="G24" s="91">
        <v>240000</v>
      </c>
      <c r="H24" s="170">
        <f t="shared" si="12"/>
        <v>110000</v>
      </c>
      <c r="I24" s="91"/>
      <c r="J24" s="170">
        <f t="shared" si="9"/>
        <v>110000</v>
      </c>
      <c r="K24" s="91">
        <v>0</v>
      </c>
      <c r="L24" s="170">
        <f t="shared" si="10"/>
        <v>110000</v>
      </c>
      <c r="M24" s="91">
        <v>0</v>
      </c>
      <c r="N24" s="170">
        <f t="shared" si="13"/>
        <v>110000</v>
      </c>
      <c r="O24" s="91">
        <v>0</v>
      </c>
      <c r="P24" s="170">
        <f t="shared" si="11"/>
        <v>110000</v>
      </c>
      <c r="Q24" s="91">
        <v>0</v>
      </c>
      <c r="R24" s="170">
        <f t="shared" si="4"/>
        <v>110000</v>
      </c>
      <c r="S24" s="91">
        <v>0</v>
      </c>
      <c r="T24" s="170">
        <f t="shared" si="5"/>
        <v>110000</v>
      </c>
      <c r="U24" s="91">
        <v>0</v>
      </c>
      <c r="V24" s="170">
        <f t="shared" si="6"/>
        <v>110000</v>
      </c>
      <c r="W24" s="91">
        <v>0</v>
      </c>
      <c r="X24" s="170">
        <f t="shared" si="7"/>
        <v>110000</v>
      </c>
    </row>
    <row r="25" spans="1:24" s="30" customFormat="1" ht="33.75">
      <c r="A25" s="50"/>
      <c r="B25" s="51"/>
      <c r="C25" s="52"/>
      <c r="D25" s="56" t="s">
        <v>588</v>
      </c>
      <c r="E25" s="91">
        <v>35000</v>
      </c>
      <c r="F25" s="91">
        <v>0</v>
      </c>
      <c r="G25" s="91">
        <v>0</v>
      </c>
      <c r="H25" s="170">
        <f t="shared" si="12"/>
        <v>35000</v>
      </c>
      <c r="I25" s="91"/>
      <c r="J25" s="170">
        <f t="shared" si="9"/>
        <v>35000</v>
      </c>
      <c r="K25" s="91">
        <v>0</v>
      </c>
      <c r="L25" s="170">
        <f t="shared" si="10"/>
        <v>35000</v>
      </c>
      <c r="M25" s="91">
        <v>0</v>
      </c>
      <c r="N25" s="170">
        <f t="shared" si="13"/>
        <v>35000</v>
      </c>
      <c r="O25" s="91">
        <v>0</v>
      </c>
      <c r="P25" s="170">
        <f t="shared" si="11"/>
        <v>35000</v>
      </c>
      <c r="Q25" s="91">
        <v>0</v>
      </c>
      <c r="R25" s="170">
        <f t="shared" si="4"/>
        <v>35000</v>
      </c>
      <c r="S25" s="91">
        <v>0</v>
      </c>
      <c r="T25" s="170">
        <f t="shared" si="5"/>
        <v>35000</v>
      </c>
      <c r="U25" s="91">
        <v>0</v>
      </c>
      <c r="V25" s="170">
        <f t="shared" si="6"/>
        <v>35000</v>
      </c>
      <c r="W25" s="91">
        <v>0</v>
      </c>
      <c r="X25" s="170">
        <f t="shared" si="7"/>
        <v>35000</v>
      </c>
    </row>
    <row r="26" spans="1:24" s="30" customFormat="1" ht="24" customHeight="1">
      <c r="A26" s="50"/>
      <c r="B26" s="51"/>
      <c r="C26" s="52"/>
      <c r="D26" s="56" t="s">
        <v>509</v>
      </c>
      <c r="E26" s="91">
        <v>6300</v>
      </c>
      <c r="F26" s="91">
        <v>0</v>
      </c>
      <c r="G26" s="91">
        <v>0</v>
      </c>
      <c r="H26" s="170">
        <f t="shared" si="12"/>
        <v>6300</v>
      </c>
      <c r="I26" s="91"/>
      <c r="J26" s="170">
        <f t="shared" si="9"/>
        <v>6300</v>
      </c>
      <c r="K26" s="91">
        <v>0</v>
      </c>
      <c r="L26" s="170">
        <f t="shared" si="10"/>
        <v>6300</v>
      </c>
      <c r="M26" s="91">
        <v>0</v>
      </c>
      <c r="N26" s="170">
        <f t="shared" si="13"/>
        <v>6300</v>
      </c>
      <c r="O26" s="91">
        <v>0</v>
      </c>
      <c r="P26" s="170">
        <f t="shared" si="11"/>
        <v>6300</v>
      </c>
      <c r="Q26" s="91">
        <v>1492</v>
      </c>
      <c r="R26" s="170">
        <f t="shared" si="4"/>
        <v>7792</v>
      </c>
      <c r="S26" s="91">
        <v>0</v>
      </c>
      <c r="T26" s="170">
        <f t="shared" si="5"/>
        <v>7792</v>
      </c>
      <c r="U26" s="91">
        <v>0</v>
      </c>
      <c r="V26" s="170">
        <f t="shared" si="6"/>
        <v>7792</v>
      </c>
      <c r="W26" s="91">
        <v>0</v>
      </c>
      <c r="X26" s="170">
        <f t="shared" si="7"/>
        <v>7792</v>
      </c>
    </row>
    <row r="27" spans="1:24" s="30" customFormat="1" ht="24" customHeight="1">
      <c r="A27" s="50"/>
      <c r="B27" s="51"/>
      <c r="C27" s="52"/>
      <c r="D27" s="53" t="s">
        <v>549</v>
      </c>
      <c r="E27" s="91">
        <v>21000</v>
      </c>
      <c r="F27" s="91">
        <v>0</v>
      </c>
      <c r="G27" s="91">
        <v>0</v>
      </c>
      <c r="H27" s="170">
        <f t="shared" si="12"/>
        <v>21000</v>
      </c>
      <c r="I27" s="91"/>
      <c r="J27" s="170">
        <f t="shared" si="9"/>
        <v>21000</v>
      </c>
      <c r="K27" s="91">
        <v>0</v>
      </c>
      <c r="L27" s="170">
        <f t="shared" si="10"/>
        <v>21000</v>
      </c>
      <c r="M27" s="91">
        <v>0</v>
      </c>
      <c r="N27" s="170">
        <f t="shared" si="13"/>
        <v>21000</v>
      </c>
      <c r="O27" s="91">
        <v>25000</v>
      </c>
      <c r="P27" s="170">
        <f t="shared" si="11"/>
        <v>46000</v>
      </c>
      <c r="Q27" s="91">
        <v>0</v>
      </c>
      <c r="R27" s="170">
        <f t="shared" si="4"/>
        <v>46000</v>
      </c>
      <c r="S27" s="91">
        <v>0</v>
      </c>
      <c r="T27" s="170">
        <f t="shared" si="5"/>
        <v>46000</v>
      </c>
      <c r="U27" s="91">
        <v>0</v>
      </c>
      <c r="V27" s="170">
        <f t="shared" si="6"/>
        <v>46000</v>
      </c>
      <c r="W27" s="91">
        <v>0</v>
      </c>
      <c r="X27" s="170">
        <f t="shared" si="7"/>
        <v>46000</v>
      </c>
    </row>
    <row r="28" spans="1:24" s="30" customFormat="1" ht="24" customHeight="1">
      <c r="A28" s="50"/>
      <c r="B28" s="51"/>
      <c r="C28" s="52"/>
      <c r="D28" s="53" t="s">
        <v>589</v>
      </c>
      <c r="E28" s="91">
        <v>8700</v>
      </c>
      <c r="F28" s="91">
        <v>0</v>
      </c>
      <c r="G28" s="91">
        <v>0</v>
      </c>
      <c r="H28" s="170">
        <f t="shared" si="12"/>
        <v>8700</v>
      </c>
      <c r="I28" s="91"/>
      <c r="J28" s="170">
        <f t="shared" si="9"/>
        <v>8700</v>
      </c>
      <c r="K28" s="91">
        <v>0</v>
      </c>
      <c r="L28" s="170">
        <f t="shared" si="10"/>
        <v>8700</v>
      </c>
      <c r="M28" s="91">
        <v>0</v>
      </c>
      <c r="N28" s="170">
        <f t="shared" si="13"/>
        <v>8700</v>
      </c>
      <c r="O28" s="91">
        <v>-200</v>
      </c>
      <c r="P28" s="170">
        <f t="shared" si="11"/>
        <v>8500</v>
      </c>
      <c r="Q28" s="91">
        <v>0</v>
      </c>
      <c r="R28" s="170">
        <f t="shared" si="4"/>
        <v>8500</v>
      </c>
      <c r="S28" s="91">
        <v>0</v>
      </c>
      <c r="T28" s="170">
        <f t="shared" si="5"/>
        <v>8500</v>
      </c>
      <c r="U28" s="91">
        <v>-500</v>
      </c>
      <c r="V28" s="170">
        <f t="shared" si="6"/>
        <v>8000</v>
      </c>
      <c r="W28" s="91">
        <v>0</v>
      </c>
      <c r="X28" s="170">
        <f t="shared" si="7"/>
        <v>8000</v>
      </c>
    </row>
    <row r="29" spans="1:24" s="30" customFormat="1" ht="24" customHeight="1">
      <c r="A29" s="50"/>
      <c r="B29" s="51"/>
      <c r="C29" s="52"/>
      <c r="D29" s="53" t="s">
        <v>590</v>
      </c>
      <c r="E29" s="91">
        <v>11820</v>
      </c>
      <c r="F29" s="91">
        <v>0</v>
      </c>
      <c r="G29" s="91">
        <v>0</v>
      </c>
      <c r="H29" s="170">
        <f t="shared" si="12"/>
        <v>11820</v>
      </c>
      <c r="I29" s="91"/>
      <c r="J29" s="170">
        <f t="shared" si="9"/>
        <v>11820</v>
      </c>
      <c r="K29" s="91">
        <v>0</v>
      </c>
      <c r="L29" s="170">
        <f t="shared" si="10"/>
        <v>11820</v>
      </c>
      <c r="M29" s="91">
        <v>-4500</v>
      </c>
      <c r="N29" s="170">
        <f t="shared" si="13"/>
        <v>7320</v>
      </c>
      <c r="O29" s="91">
        <v>0</v>
      </c>
      <c r="P29" s="170">
        <f t="shared" si="11"/>
        <v>7320</v>
      </c>
      <c r="Q29" s="91">
        <v>0</v>
      </c>
      <c r="R29" s="170">
        <f t="shared" si="4"/>
        <v>7320</v>
      </c>
      <c r="S29" s="91">
        <v>0</v>
      </c>
      <c r="T29" s="170">
        <f t="shared" si="5"/>
        <v>7320</v>
      </c>
      <c r="U29" s="91">
        <v>-135</v>
      </c>
      <c r="V29" s="170">
        <f t="shared" si="6"/>
        <v>7185</v>
      </c>
      <c r="W29" s="91">
        <v>0</v>
      </c>
      <c r="X29" s="170">
        <f t="shared" si="7"/>
        <v>7185</v>
      </c>
    </row>
    <row r="30" spans="1:24" s="30" customFormat="1" ht="24" customHeight="1" hidden="1">
      <c r="A30" s="50"/>
      <c r="B30" s="51"/>
      <c r="C30" s="52"/>
      <c r="D30" s="53" t="s">
        <v>591</v>
      </c>
      <c r="E30" s="91">
        <v>6000</v>
      </c>
      <c r="F30" s="91"/>
      <c r="G30" s="91"/>
      <c r="H30" s="170">
        <f t="shared" si="12"/>
        <v>6000</v>
      </c>
      <c r="I30" s="91">
        <v>-6000</v>
      </c>
      <c r="J30" s="170">
        <f t="shared" si="9"/>
        <v>0</v>
      </c>
      <c r="K30" s="91">
        <v>0</v>
      </c>
      <c r="L30" s="170">
        <f t="shared" si="10"/>
        <v>0</v>
      </c>
      <c r="M30" s="91">
        <v>0</v>
      </c>
      <c r="N30" s="170">
        <f t="shared" si="13"/>
        <v>0</v>
      </c>
      <c r="O30" s="91">
        <v>0</v>
      </c>
      <c r="P30" s="170">
        <f t="shared" si="11"/>
        <v>0</v>
      </c>
      <c r="Q30" s="91">
        <v>0</v>
      </c>
      <c r="R30" s="170">
        <f t="shared" si="4"/>
        <v>0</v>
      </c>
      <c r="S30" s="91">
        <v>0</v>
      </c>
      <c r="T30" s="170">
        <f t="shared" si="5"/>
        <v>0</v>
      </c>
      <c r="U30" s="91">
        <v>0</v>
      </c>
      <c r="V30" s="170">
        <f t="shared" si="6"/>
        <v>0</v>
      </c>
      <c r="W30" s="91">
        <v>0</v>
      </c>
      <c r="X30" s="170">
        <f t="shared" si="7"/>
        <v>0</v>
      </c>
    </row>
    <row r="31" spans="1:24" s="30" customFormat="1" ht="24" customHeight="1" hidden="1">
      <c r="A31" s="50"/>
      <c r="B31" s="51"/>
      <c r="C31" s="52"/>
      <c r="D31" s="53" t="s">
        <v>592</v>
      </c>
      <c r="E31" s="91">
        <v>6810</v>
      </c>
      <c r="F31" s="91"/>
      <c r="G31" s="91"/>
      <c r="H31" s="170">
        <f t="shared" si="12"/>
        <v>6810</v>
      </c>
      <c r="I31" s="91"/>
      <c r="J31" s="170">
        <f t="shared" si="9"/>
        <v>6810</v>
      </c>
      <c r="K31" s="91">
        <v>0</v>
      </c>
      <c r="L31" s="170">
        <f t="shared" si="10"/>
        <v>6810</v>
      </c>
      <c r="M31" s="91">
        <v>-6810</v>
      </c>
      <c r="N31" s="170">
        <f t="shared" si="13"/>
        <v>0</v>
      </c>
      <c r="O31" s="91">
        <v>0</v>
      </c>
      <c r="P31" s="170">
        <f t="shared" si="11"/>
        <v>0</v>
      </c>
      <c r="Q31" s="91">
        <v>0</v>
      </c>
      <c r="R31" s="170">
        <f t="shared" si="4"/>
        <v>0</v>
      </c>
      <c r="S31" s="91">
        <v>0</v>
      </c>
      <c r="T31" s="170">
        <f t="shared" si="5"/>
        <v>0</v>
      </c>
      <c r="U31" s="91">
        <v>0</v>
      </c>
      <c r="V31" s="170">
        <f t="shared" si="6"/>
        <v>0</v>
      </c>
      <c r="W31" s="91">
        <v>0</v>
      </c>
      <c r="X31" s="170">
        <f t="shared" si="7"/>
        <v>0</v>
      </c>
    </row>
    <row r="32" spans="1:24" s="30" customFormat="1" ht="21.75" customHeight="1">
      <c r="A32" s="50"/>
      <c r="B32" s="51"/>
      <c r="C32" s="52"/>
      <c r="D32" s="56" t="s">
        <v>199</v>
      </c>
      <c r="E32" s="91">
        <v>0</v>
      </c>
      <c r="F32" s="91">
        <v>0</v>
      </c>
      <c r="G32" s="91">
        <v>0</v>
      </c>
      <c r="H32" s="170">
        <f t="shared" si="12"/>
        <v>0</v>
      </c>
      <c r="I32" s="91"/>
      <c r="J32" s="170"/>
      <c r="K32" s="91"/>
      <c r="L32" s="170"/>
      <c r="M32" s="91"/>
      <c r="N32" s="170">
        <v>0</v>
      </c>
      <c r="O32" s="91">
        <v>80000</v>
      </c>
      <c r="P32" s="170">
        <f t="shared" si="11"/>
        <v>80000</v>
      </c>
      <c r="Q32" s="91">
        <v>0</v>
      </c>
      <c r="R32" s="170">
        <f t="shared" si="4"/>
        <v>80000</v>
      </c>
      <c r="S32" s="91">
        <v>0</v>
      </c>
      <c r="T32" s="170">
        <f t="shared" si="5"/>
        <v>80000</v>
      </c>
      <c r="U32" s="91">
        <v>0</v>
      </c>
      <c r="V32" s="170">
        <f t="shared" si="6"/>
        <v>80000</v>
      </c>
      <c r="W32" s="91">
        <v>0</v>
      </c>
      <c r="X32" s="170">
        <f t="shared" si="7"/>
        <v>80000</v>
      </c>
    </row>
    <row r="33" spans="1:24" s="30" customFormat="1" ht="33" customHeight="1">
      <c r="A33" s="50"/>
      <c r="B33" s="51"/>
      <c r="C33" s="52"/>
      <c r="D33" s="56" t="s">
        <v>229</v>
      </c>
      <c r="E33" s="91">
        <v>0</v>
      </c>
      <c r="F33" s="91">
        <v>0</v>
      </c>
      <c r="G33" s="91">
        <v>0</v>
      </c>
      <c r="H33" s="170">
        <f t="shared" si="12"/>
        <v>0</v>
      </c>
      <c r="I33" s="91"/>
      <c r="J33" s="170"/>
      <c r="K33" s="91"/>
      <c r="L33" s="170"/>
      <c r="M33" s="91"/>
      <c r="N33" s="170">
        <v>0</v>
      </c>
      <c r="O33" s="91">
        <v>20000</v>
      </c>
      <c r="P33" s="170">
        <f t="shared" si="11"/>
        <v>20000</v>
      </c>
      <c r="Q33" s="91">
        <v>0</v>
      </c>
      <c r="R33" s="170">
        <f t="shared" si="4"/>
        <v>20000</v>
      </c>
      <c r="S33" s="91">
        <v>0</v>
      </c>
      <c r="T33" s="170">
        <f t="shared" si="5"/>
        <v>20000</v>
      </c>
      <c r="U33" s="91">
        <v>0</v>
      </c>
      <c r="V33" s="170">
        <f t="shared" si="6"/>
        <v>20000</v>
      </c>
      <c r="W33" s="91">
        <v>0</v>
      </c>
      <c r="X33" s="170">
        <f t="shared" si="7"/>
        <v>20000</v>
      </c>
    </row>
    <row r="34" spans="1:24" s="30" customFormat="1" ht="34.5" customHeight="1">
      <c r="A34" s="50"/>
      <c r="B34" s="51"/>
      <c r="C34" s="52"/>
      <c r="D34" s="56" t="s">
        <v>224</v>
      </c>
      <c r="E34" s="91">
        <v>0</v>
      </c>
      <c r="F34" s="91">
        <v>0</v>
      </c>
      <c r="G34" s="91">
        <v>0</v>
      </c>
      <c r="H34" s="170">
        <f t="shared" si="12"/>
        <v>0</v>
      </c>
      <c r="I34" s="91"/>
      <c r="J34" s="170"/>
      <c r="K34" s="91"/>
      <c r="L34" s="170"/>
      <c r="M34" s="91"/>
      <c r="N34" s="170">
        <v>0</v>
      </c>
      <c r="O34" s="91">
        <v>55000</v>
      </c>
      <c r="P34" s="170">
        <f t="shared" si="11"/>
        <v>55000</v>
      </c>
      <c r="Q34" s="91">
        <v>0</v>
      </c>
      <c r="R34" s="170">
        <f t="shared" si="4"/>
        <v>55000</v>
      </c>
      <c r="S34" s="91">
        <v>-1000</v>
      </c>
      <c r="T34" s="170">
        <f t="shared" si="5"/>
        <v>54000</v>
      </c>
      <c r="U34" s="91">
        <v>0</v>
      </c>
      <c r="V34" s="170">
        <f t="shared" si="6"/>
        <v>54000</v>
      </c>
      <c r="W34" s="91">
        <v>0</v>
      </c>
      <c r="X34" s="170">
        <f t="shared" si="7"/>
        <v>54000</v>
      </c>
    </row>
    <row r="35" spans="1:24" s="30" customFormat="1" ht="24" customHeight="1">
      <c r="A35" s="50"/>
      <c r="B35" s="51"/>
      <c r="C35" s="52"/>
      <c r="D35" s="53" t="s">
        <v>197</v>
      </c>
      <c r="E35" s="91">
        <v>0</v>
      </c>
      <c r="F35" s="91">
        <v>0</v>
      </c>
      <c r="G35" s="91">
        <v>0</v>
      </c>
      <c r="H35" s="170">
        <f t="shared" si="12"/>
        <v>0</v>
      </c>
      <c r="I35" s="91"/>
      <c r="J35" s="170"/>
      <c r="K35" s="91"/>
      <c r="L35" s="170"/>
      <c r="M35" s="91"/>
      <c r="N35" s="170">
        <v>0</v>
      </c>
      <c r="O35" s="91">
        <v>180000</v>
      </c>
      <c r="P35" s="170">
        <f t="shared" si="11"/>
        <v>180000</v>
      </c>
      <c r="Q35" s="91">
        <f>30000+20000</f>
        <v>50000</v>
      </c>
      <c r="R35" s="170">
        <f t="shared" si="4"/>
        <v>230000</v>
      </c>
      <c r="S35" s="91">
        <v>0</v>
      </c>
      <c r="T35" s="170">
        <f t="shared" si="5"/>
        <v>230000</v>
      </c>
      <c r="U35" s="91">
        <v>0</v>
      </c>
      <c r="V35" s="170">
        <f t="shared" si="6"/>
        <v>230000</v>
      </c>
      <c r="W35" s="91">
        <v>0</v>
      </c>
      <c r="X35" s="170">
        <f t="shared" si="7"/>
        <v>230000</v>
      </c>
    </row>
    <row r="36" spans="1:24" s="30" customFormat="1" ht="21.75" customHeight="1">
      <c r="A36" s="50"/>
      <c r="B36" s="51"/>
      <c r="C36" s="52"/>
      <c r="D36" s="56" t="s">
        <v>200</v>
      </c>
      <c r="E36" s="91">
        <v>0</v>
      </c>
      <c r="F36" s="91">
        <v>0</v>
      </c>
      <c r="G36" s="91">
        <v>0</v>
      </c>
      <c r="H36" s="170">
        <f t="shared" si="12"/>
        <v>0</v>
      </c>
      <c r="I36" s="91"/>
      <c r="J36" s="170"/>
      <c r="K36" s="91"/>
      <c r="L36" s="170"/>
      <c r="M36" s="91"/>
      <c r="N36" s="170">
        <v>0</v>
      </c>
      <c r="O36" s="91">
        <v>160000</v>
      </c>
      <c r="P36" s="170">
        <f t="shared" si="11"/>
        <v>160000</v>
      </c>
      <c r="Q36" s="91">
        <v>0</v>
      </c>
      <c r="R36" s="170">
        <f t="shared" si="4"/>
        <v>160000</v>
      </c>
      <c r="S36" s="91">
        <v>-154500</v>
      </c>
      <c r="T36" s="170">
        <f t="shared" si="5"/>
        <v>5500</v>
      </c>
      <c r="U36" s="91">
        <v>0</v>
      </c>
      <c r="V36" s="170">
        <f t="shared" si="6"/>
        <v>5500</v>
      </c>
      <c r="W36" s="91">
        <v>0</v>
      </c>
      <c r="X36" s="170">
        <f t="shared" si="7"/>
        <v>5500</v>
      </c>
    </row>
    <row r="37" spans="1:24" s="30" customFormat="1" ht="33.75">
      <c r="A37" s="50"/>
      <c r="B37" s="51"/>
      <c r="C37" s="52"/>
      <c r="D37" s="56" t="s">
        <v>706</v>
      </c>
      <c r="E37" s="91">
        <v>0</v>
      </c>
      <c r="F37" s="91">
        <v>0</v>
      </c>
      <c r="G37" s="91">
        <v>0</v>
      </c>
      <c r="H37" s="170">
        <f t="shared" si="12"/>
        <v>0</v>
      </c>
      <c r="I37" s="91"/>
      <c r="J37" s="170"/>
      <c r="K37" s="91"/>
      <c r="L37" s="170"/>
      <c r="M37" s="91"/>
      <c r="N37" s="170">
        <v>0</v>
      </c>
      <c r="O37" s="91">
        <v>200000</v>
      </c>
      <c r="P37" s="170">
        <f t="shared" si="11"/>
        <v>200000</v>
      </c>
      <c r="Q37" s="91">
        <v>40000</v>
      </c>
      <c r="R37" s="170">
        <f t="shared" si="4"/>
        <v>240000</v>
      </c>
      <c r="S37" s="91">
        <v>50000</v>
      </c>
      <c r="T37" s="170">
        <f t="shared" si="5"/>
        <v>290000</v>
      </c>
      <c r="U37" s="91">
        <v>0</v>
      </c>
      <c r="V37" s="170">
        <f t="shared" si="6"/>
        <v>290000</v>
      </c>
      <c r="W37" s="91">
        <v>0</v>
      </c>
      <c r="X37" s="170">
        <f t="shared" si="7"/>
        <v>290000</v>
      </c>
    </row>
    <row r="38" spans="1:24" s="30" customFormat="1" ht="30" customHeight="1">
      <c r="A38" s="50"/>
      <c r="B38" s="51"/>
      <c r="C38" s="52"/>
      <c r="D38" s="56" t="s">
        <v>705</v>
      </c>
      <c r="E38" s="91">
        <v>0</v>
      </c>
      <c r="F38" s="91">
        <v>0</v>
      </c>
      <c r="G38" s="91">
        <v>0</v>
      </c>
      <c r="H38" s="170">
        <f t="shared" si="12"/>
        <v>0</v>
      </c>
      <c r="I38" s="91"/>
      <c r="J38" s="170"/>
      <c r="K38" s="91"/>
      <c r="L38" s="170"/>
      <c r="M38" s="91"/>
      <c r="N38" s="170">
        <v>0</v>
      </c>
      <c r="O38" s="91">
        <v>90000</v>
      </c>
      <c r="P38" s="170">
        <f t="shared" si="11"/>
        <v>90000</v>
      </c>
      <c r="Q38" s="91">
        <v>26000</v>
      </c>
      <c r="R38" s="170">
        <f t="shared" si="4"/>
        <v>116000</v>
      </c>
      <c r="S38" s="91">
        <v>24500</v>
      </c>
      <c r="T38" s="170">
        <f t="shared" si="5"/>
        <v>140500</v>
      </c>
      <c r="U38" s="91">
        <v>0</v>
      </c>
      <c r="V38" s="170">
        <f t="shared" si="6"/>
        <v>140500</v>
      </c>
      <c r="W38" s="91">
        <v>0</v>
      </c>
      <c r="X38" s="170">
        <f t="shared" si="7"/>
        <v>140500</v>
      </c>
    </row>
    <row r="39" spans="1:24" s="30" customFormat="1" ht="24" customHeight="1">
      <c r="A39" s="50"/>
      <c r="B39" s="51"/>
      <c r="C39" s="52"/>
      <c r="D39" s="53" t="s">
        <v>165</v>
      </c>
      <c r="E39" s="91">
        <v>0</v>
      </c>
      <c r="F39" s="91">
        <v>0</v>
      </c>
      <c r="G39" s="91">
        <v>0</v>
      </c>
      <c r="H39" s="170">
        <f t="shared" si="12"/>
        <v>0</v>
      </c>
      <c r="I39" s="91"/>
      <c r="J39" s="170"/>
      <c r="K39" s="91"/>
      <c r="L39" s="170"/>
      <c r="M39" s="91"/>
      <c r="N39" s="170">
        <v>0</v>
      </c>
      <c r="O39" s="91">
        <v>10000</v>
      </c>
      <c r="P39" s="170">
        <f t="shared" si="11"/>
        <v>10000</v>
      </c>
      <c r="Q39" s="91">
        <v>0</v>
      </c>
      <c r="R39" s="170">
        <f t="shared" si="4"/>
        <v>10000</v>
      </c>
      <c r="S39" s="91">
        <v>0</v>
      </c>
      <c r="T39" s="170">
        <f t="shared" si="5"/>
        <v>10000</v>
      </c>
      <c r="U39" s="91">
        <v>0</v>
      </c>
      <c r="V39" s="170">
        <f t="shared" si="6"/>
        <v>10000</v>
      </c>
      <c r="W39" s="91">
        <v>0</v>
      </c>
      <c r="X39" s="170">
        <f t="shared" si="7"/>
        <v>10000</v>
      </c>
    </row>
    <row r="40" spans="1:24" s="30" customFormat="1" ht="38.25" customHeight="1">
      <c r="A40" s="50"/>
      <c r="B40" s="51"/>
      <c r="C40" s="52"/>
      <c r="D40" s="56" t="s">
        <v>231</v>
      </c>
      <c r="E40" s="91">
        <v>0</v>
      </c>
      <c r="F40" s="91">
        <v>0</v>
      </c>
      <c r="G40" s="91">
        <v>0</v>
      </c>
      <c r="H40" s="170">
        <f t="shared" si="12"/>
        <v>0</v>
      </c>
      <c r="I40" s="91"/>
      <c r="J40" s="170"/>
      <c r="K40" s="91"/>
      <c r="L40" s="170"/>
      <c r="M40" s="91"/>
      <c r="N40" s="170">
        <v>0</v>
      </c>
      <c r="O40" s="91">
        <v>56000</v>
      </c>
      <c r="P40" s="170">
        <f t="shared" si="11"/>
        <v>56000</v>
      </c>
      <c r="Q40" s="91">
        <v>0</v>
      </c>
      <c r="R40" s="170">
        <f t="shared" si="4"/>
        <v>56000</v>
      </c>
      <c r="S40" s="91">
        <v>0</v>
      </c>
      <c r="T40" s="170">
        <f t="shared" si="5"/>
        <v>56000</v>
      </c>
      <c r="U40" s="91">
        <v>0</v>
      </c>
      <c r="V40" s="170">
        <f t="shared" si="6"/>
        <v>56000</v>
      </c>
      <c r="W40" s="91">
        <v>0</v>
      </c>
      <c r="X40" s="170">
        <f t="shared" si="7"/>
        <v>56000</v>
      </c>
    </row>
    <row r="41" spans="1:24" s="30" customFormat="1" ht="35.25" customHeight="1">
      <c r="A41" s="50"/>
      <c r="B41" s="51"/>
      <c r="C41" s="52"/>
      <c r="D41" s="56" t="s">
        <v>230</v>
      </c>
      <c r="E41" s="91">
        <v>0</v>
      </c>
      <c r="F41" s="91">
        <v>0</v>
      </c>
      <c r="G41" s="91">
        <v>0</v>
      </c>
      <c r="H41" s="170">
        <f t="shared" si="12"/>
        <v>0</v>
      </c>
      <c r="I41" s="91"/>
      <c r="J41" s="170"/>
      <c r="K41" s="91"/>
      <c r="L41" s="170"/>
      <c r="M41" s="91"/>
      <c r="N41" s="170">
        <v>0</v>
      </c>
      <c r="O41" s="91">
        <v>350000</v>
      </c>
      <c r="P41" s="170">
        <f t="shared" si="11"/>
        <v>350000</v>
      </c>
      <c r="Q41" s="91">
        <v>0</v>
      </c>
      <c r="R41" s="170">
        <f t="shared" si="4"/>
        <v>350000</v>
      </c>
      <c r="S41" s="91">
        <v>0</v>
      </c>
      <c r="T41" s="170">
        <f t="shared" si="5"/>
        <v>350000</v>
      </c>
      <c r="U41" s="91">
        <v>0</v>
      </c>
      <c r="V41" s="170">
        <f t="shared" si="6"/>
        <v>350000</v>
      </c>
      <c r="W41" s="91">
        <v>0</v>
      </c>
      <c r="X41" s="170">
        <f t="shared" si="7"/>
        <v>350000</v>
      </c>
    </row>
    <row r="42" spans="1:24" s="30" customFormat="1" ht="30" customHeight="1">
      <c r="A42" s="50"/>
      <c r="B42" s="51"/>
      <c r="C42" s="52"/>
      <c r="D42" s="56" t="s">
        <v>198</v>
      </c>
      <c r="E42" s="91">
        <v>0</v>
      </c>
      <c r="F42" s="91">
        <v>0</v>
      </c>
      <c r="G42" s="91">
        <v>0</v>
      </c>
      <c r="H42" s="170">
        <f t="shared" si="12"/>
        <v>0</v>
      </c>
      <c r="I42" s="91"/>
      <c r="J42" s="170"/>
      <c r="K42" s="91"/>
      <c r="L42" s="170"/>
      <c r="M42" s="91"/>
      <c r="N42" s="170">
        <v>0</v>
      </c>
      <c r="O42" s="91">
        <v>30000</v>
      </c>
      <c r="P42" s="170">
        <f t="shared" si="11"/>
        <v>30000</v>
      </c>
      <c r="Q42" s="91">
        <v>0</v>
      </c>
      <c r="R42" s="170">
        <f t="shared" si="4"/>
        <v>30000</v>
      </c>
      <c r="S42" s="91">
        <v>0</v>
      </c>
      <c r="T42" s="170">
        <f t="shared" si="5"/>
        <v>30000</v>
      </c>
      <c r="U42" s="91">
        <v>0</v>
      </c>
      <c r="V42" s="170">
        <f t="shared" si="6"/>
        <v>30000</v>
      </c>
      <c r="W42" s="91">
        <v>-30000</v>
      </c>
      <c r="X42" s="170">
        <f t="shared" si="7"/>
        <v>0</v>
      </c>
    </row>
    <row r="43" spans="1:24" s="30" customFormat="1" ht="42.75" customHeight="1">
      <c r="A43" s="50"/>
      <c r="B43" s="51"/>
      <c r="C43" s="52"/>
      <c r="D43" s="56" t="s">
        <v>233</v>
      </c>
      <c r="E43" s="91">
        <v>0</v>
      </c>
      <c r="F43" s="91">
        <v>0</v>
      </c>
      <c r="G43" s="91">
        <v>0</v>
      </c>
      <c r="H43" s="170">
        <f t="shared" si="12"/>
        <v>0</v>
      </c>
      <c r="I43" s="91"/>
      <c r="J43" s="170"/>
      <c r="K43" s="91"/>
      <c r="L43" s="170"/>
      <c r="M43" s="91"/>
      <c r="N43" s="170">
        <v>0</v>
      </c>
      <c r="O43" s="91">
        <v>110000</v>
      </c>
      <c r="P43" s="170">
        <f t="shared" si="11"/>
        <v>110000</v>
      </c>
      <c r="Q43" s="91">
        <v>0</v>
      </c>
      <c r="R43" s="170">
        <f t="shared" si="4"/>
        <v>110000</v>
      </c>
      <c r="S43" s="91">
        <v>0</v>
      </c>
      <c r="T43" s="170">
        <f t="shared" si="5"/>
        <v>110000</v>
      </c>
      <c r="U43" s="91">
        <v>0</v>
      </c>
      <c r="V43" s="170">
        <f t="shared" si="6"/>
        <v>110000</v>
      </c>
      <c r="W43" s="91">
        <v>0</v>
      </c>
      <c r="X43" s="170">
        <f t="shared" si="7"/>
        <v>110000</v>
      </c>
    </row>
    <row r="44" spans="1:24" s="27" customFormat="1" ht="22.5">
      <c r="A44" s="82"/>
      <c r="B44" s="58"/>
      <c r="C44" s="84">
        <v>6060</v>
      </c>
      <c r="D44" s="14" t="s">
        <v>358</v>
      </c>
      <c r="E44" s="89">
        <f>SUM(E45)</f>
        <v>11650</v>
      </c>
      <c r="F44" s="89">
        <f>SUM(F45)</f>
        <v>0</v>
      </c>
      <c r="G44" s="89">
        <f>SUM(G45)</f>
        <v>0</v>
      </c>
      <c r="H44" s="64">
        <f t="shared" si="12"/>
        <v>11650</v>
      </c>
      <c r="I44" s="89">
        <f>SUM(I45)</f>
        <v>0</v>
      </c>
      <c r="J44" s="64">
        <f t="shared" si="9"/>
        <v>11650</v>
      </c>
      <c r="K44" s="89">
        <f>SUM(K45)</f>
        <v>0</v>
      </c>
      <c r="L44" s="64">
        <f t="shared" si="10"/>
        <v>11650</v>
      </c>
      <c r="M44" s="89">
        <f>SUM(M45)</f>
        <v>0</v>
      </c>
      <c r="N44" s="64">
        <f t="shared" si="13"/>
        <v>11650</v>
      </c>
      <c r="O44" s="89">
        <f aca="true" t="shared" si="14" ref="O44:T44">SUM(O45:O46)</f>
        <v>11000</v>
      </c>
      <c r="P44" s="89">
        <f t="shared" si="14"/>
        <v>22650</v>
      </c>
      <c r="Q44" s="89">
        <f t="shared" si="14"/>
        <v>1040</v>
      </c>
      <c r="R44" s="89">
        <f t="shared" si="14"/>
        <v>23690</v>
      </c>
      <c r="S44" s="89">
        <f t="shared" si="14"/>
        <v>3000</v>
      </c>
      <c r="T44" s="89">
        <f t="shared" si="14"/>
        <v>26690</v>
      </c>
      <c r="U44" s="89">
        <f>SUM(U45:U46)</f>
        <v>0</v>
      </c>
      <c r="V44" s="89">
        <f>SUM(V45:V46)</f>
        <v>26690</v>
      </c>
      <c r="W44" s="89">
        <f>SUM(W45:W46)</f>
        <v>0</v>
      </c>
      <c r="X44" s="89">
        <f>SUM(X45:X46)</f>
        <v>26690</v>
      </c>
    </row>
    <row r="45" spans="1:24" s="30" customFormat="1" ht="22.5">
      <c r="A45" s="50"/>
      <c r="B45" s="51"/>
      <c r="C45" s="52"/>
      <c r="D45" s="56" t="s">
        <v>587</v>
      </c>
      <c r="E45" s="91">
        <v>11650</v>
      </c>
      <c r="F45" s="91"/>
      <c r="G45" s="91"/>
      <c r="H45" s="170">
        <f t="shared" si="12"/>
        <v>11650</v>
      </c>
      <c r="I45" s="91"/>
      <c r="J45" s="170">
        <f t="shared" si="9"/>
        <v>11650</v>
      </c>
      <c r="K45" s="91">
        <v>0</v>
      </c>
      <c r="L45" s="170">
        <f t="shared" si="10"/>
        <v>11650</v>
      </c>
      <c r="M45" s="91">
        <v>0</v>
      </c>
      <c r="N45" s="170">
        <f t="shared" si="13"/>
        <v>11650</v>
      </c>
      <c r="O45" s="91">
        <v>0</v>
      </c>
      <c r="P45" s="170">
        <f t="shared" si="11"/>
        <v>11650</v>
      </c>
      <c r="Q45" s="91">
        <v>1040</v>
      </c>
      <c r="R45" s="170">
        <f>SUM(P45:Q45)</f>
        <v>12690</v>
      </c>
      <c r="S45" s="91">
        <v>0</v>
      </c>
      <c r="T45" s="170">
        <f>SUM(R45:S45)</f>
        <v>12690</v>
      </c>
      <c r="U45" s="91">
        <v>0</v>
      </c>
      <c r="V45" s="170">
        <f>SUM(T45:U45)</f>
        <v>12690</v>
      </c>
      <c r="W45" s="91">
        <v>0</v>
      </c>
      <c r="X45" s="170">
        <f>SUM(V45:W45)</f>
        <v>12690</v>
      </c>
    </row>
    <row r="46" spans="1:24" s="30" customFormat="1" ht="22.5">
      <c r="A46" s="50"/>
      <c r="B46" s="51"/>
      <c r="C46" s="52"/>
      <c r="D46" s="56" t="s">
        <v>164</v>
      </c>
      <c r="E46" s="91"/>
      <c r="F46" s="91"/>
      <c r="G46" s="91"/>
      <c r="H46" s="170"/>
      <c r="I46" s="91"/>
      <c r="J46" s="170"/>
      <c r="K46" s="91"/>
      <c r="L46" s="170"/>
      <c r="M46" s="91"/>
      <c r="N46" s="170">
        <v>0</v>
      </c>
      <c r="O46" s="91">
        <v>11000</v>
      </c>
      <c r="P46" s="170">
        <f t="shared" si="11"/>
        <v>11000</v>
      </c>
      <c r="Q46" s="91">
        <v>0</v>
      </c>
      <c r="R46" s="170">
        <f>SUM(P46:Q46)</f>
        <v>11000</v>
      </c>
      <c r="S46" s="91">
        <v>3000</v>
      </c>
      <c r="T46" s="170">
        <f>SUM(R46:S46)</f>
        <v>14000</v>
      </c>
      <c r="U46" s="91">
        <v>0</v>
      </c>
      <c r="V46" s="170">
        <f>SUM(T46:U46)</f>
        <v>14000</v>
      </c>
      <c r="W46" s="91">
        <v>0</v>
      </c>
      <c r="X46" s="170">
        <f>SUM(V46:W46)</f>
        <v>14000</v>
      </c>
    </row>
    <row r="47" spans="1:24" s="30" customFormat="1" ht="24" customHeight="1">
      <c r="A47" s="50"/>
      <c r="B47" s="51"/>
      <c r="C47" s="84">
        <v>6800</v>
      </c>
      <c r="D47" s="14" t="s">
        <v>690</v>
      </c>
      <c r="E47" s="89">
        <f>SUM(E48)</f>
        <v>0</v>
      </c>
      <c r="F47" s="89">
        <f>SUM(F48)</f>
        <v>40000</v>
      </c>
      <c r="G47" s="89">
        <f>SUM(G48)</f>
        <v>0</v>
      </c>
      <c r="H47" s="89">
        <f>SUM(H48)</f>
        <v>40000</v>
      </c>
      <c r="I47" s="89">
        <f>SUM(I48)</f>
        <v>0</v>
      </c>
      <c r="J47" s="64">
        <f t="shared" si="9"/>
        <v>40000</v>
      </c>
      <c r="K47" s="89">
        <f>SUM(K48)</f>
        <v>-30000</v>
      </c>
      <c r="L47" s="64">
        <f t="shared" si="10"/>
        <v>10000</v>
      </c>
      <c r="M47" s="89">
        <f>SUM(M48)</f>
        <v>0</v>
      </c>
      <c r="N47" s="64">
        <f t="shared" si="13"/>
        <v>10000</v>
      </c>
      <c r="O47" s="89">
        <f aca="true" t="shared" si="15" ref="O47:X47">SUM(O48:O48)</f>
        <v>0</v>
      </c>
      <c r="P47" s="89">
        <f t="shared" si="15"/>
        <v>10000</v>
      </c>
      <c r="Q47" s="89">
        <f t="shared" si="15"/>
        <v>0</v>
      </c>
      <c r="R47" s="89">
        <f t="shared" si="15"/>
        <v>10000</v>
      </c>
      <c r="S47" s="89">
        <f t="shared" si="15"/>
        <v>0</v>
      </c>
      <c r="T47" s="89">
        <f t="shared" si="15"/>
        <v>10000</v>
      </c>
      <c r="U47" s="89">
        <f t="shared" si="15"/>
        <v>0</v>
      </c>
      <c r="V47" s="89">
        <f t="shared" si="15"/>
        <v>10000</v>
      </c>
      <c r="W47" s="89">
        <f t="shared" si="15"/>
        <v>0</v>
      </c>
      <c r="X47" s="89">
        <f t="shared" si="15"/>
        <v>10000</v>
      </c>
    </row>
    <row r="48" spans="1:24" s="30" customFormat="1" ht="33.75">
      <c r="A48" s="50"/>
      <c r="B48" s="51"/>
      <c r="C48" s="52"/>
      <c r="D48" s="56" t="s">
        <v>696</v>
      </c>
      <c r="E48" s="91">
        <v>0</v>
      </c>
      <c r="F48" s="91">
        <v>40000</v>
      </c>
      <c r="G48" s="91"/>
      <c r="H48" s="170">
        <f>E48+F48-G48</f>
        <v>40000</v>
      </c>
      <c r="I48" s="91"/>
      <c r="J48" s="170">
        <f t="shared" si="9"/>
        <v>40000</v>
      </c>
      <c r="K48" s="91">
        <v>-30000</v>
      </c>
      <c r="L48" s="170">
        <f t="shared" si="10"/>
        <v>10000</v>
      </c>
      <c r="M48" s="91">
        <v>0</v>
      </c>
      <c r="N48" s="170">
        <f t="shared" si="13"/>
        <v>10000</v>
      </c>
      <c r="O48" s="91">
        <v>0</v>
      </c>
      <c r="P48" s="170">
        <f t="shared" si="11"/>
        <v>10000</v>
      </c>
      <c r="Q48" s="91">
        <v>0</v>
      </c>
      <c r="R48" s="170">
        <f aca="true" t="shared" si="16" ref="R48:R59">SUM(P48:Q48)</f>
        <v>10000</v>
      </c>
      <c r="S48" s="91">
        <v>0</v>
      </c>
      <c r="T48" s="170">
        <f aca="true" t="shared" si="17" ref="T48:T59">SUM(R48:S48)</f>
        <v>10000</v>
      </c>
      <c r="U48" s="91">
        <v>0</v>
      </c>
      <c r="V48" s="170">
        <f aca="true" t="shared" si="18" ref="V48:V59">SUM(T48:U48)</f>
        <v>10000</v>
      </c>
      <c r="W48" s="91">
        <v>0</v>
      </c>
      <c r="X48" s="170">
        <f aca="true" t="shared" si="19" ref="X48:X59">SUM(V48:W48)</f>
        <v>10000</v>
      </c>
    </row>
    <row r="49" spans="1:24" s="11" customFormat="1" ht="24" customHeight="1">
      <c r="A49" s="33" t="s">
        <v>261</v>
      </c>
      <c r="B49" s="5"/>
      <c r="C49" s="23"/>
      <c r="D49" s="22" t="s">
        <v>262</v>
      </c>
      <c r="E49" s="18">
        <f>SUM(E50,E53,)</f>
        <v>550000</v>
      </c>
      <c r="F49" s="18">
        <f>SUM(F50,F53,)</f>
        <v>0</v>
      </c>
      <c r="G49" s="18">
        <f>SUM(G50,G53,)</f>
        <v>100000</v>
      </c>
      <c r="H49" s="18">
        <f>SUM(H50,H53,)</f>
        <v>450000</v>
      </c>
      <c r="I49" s="18">
        <f>SUM(I50,I53,)</f>
        <v>0</v>
      </c>
      <c r="J49" s="42">
        <f t="shared" si="9"/>
        <v>450000</v>
      </c>
      <c r="K49" s="18">
        <f>SUM(K50,K53,)</f>
        <v>0</v>
      </c>
      <c r="L49" s="42">
        <f t="shared" si="10"/>
        <v>450000</v>
      </c>
      <c r="M49" s="18">
        <f>SUM(M50,M53,)</f>
        <v>0</v>
      </c>
      <c r="N49" s="42">
        <f t="shared" si="13"/>
        <v>450000</v>
      </c>
      <c r="O49" s="18">
        <f>SUM(O50,O53,)</f>
        <v>108023</v>
      </c>
      <c r="P49" s="42">
        <f t="shared" si="11"/>
        <v>558023</v>
      </c>
      <c r="Q49" s="18">
        <f>SUM(Q50,Q53,)</f>
        <v>91000</v>
      </c>
      <c r="R49" s="42">
        <f t="shared" si="16"/>
        <v>649023</v>
      </c>
      <c r="S49" s="18">
        <f>SUM(S50,S53,)</f>
        <v>0</v>
      </c>
      <c r="T49" s="42">
        <f t="shared" si="17"/>
        <v>649023</v>
      </c>
      <c r="U49" s="18">
        <f>SUM(U50,U53,)</f>
        <v>0</v>
      </c>
      <c r="V49" s="42">
        <f t="shared" si="18"/>
        <v>649023</v>
      </c>
      <c r="W49" s="18">
        <f>SUM(W50,W53,)</f>
        <v>0</v>
      </c>
      <c r="X49" s="42">
        <f t="shared" si="19"/>
        <v>649023</v>
      </c>
    </row>
    <row r="50" spans="1:24" s="27" customFormat="1" ht="24" customHeight="1">
      <c r="A50" s="75"/>
      <c r="B50" s="58">
        <v>70021</v>
      </c>
      <c r="C50" s="77"/>
      <c r="D50" s="40" t="s">
        <v>462</v>
      </c>
      <c r="E50" s="89">
        <f aca="true" t="shared" si="20" ref="E50:G51">SUM(E51)</f>
        <v>300000</v>
      </c>
      <c r="F50" s="89">
        <f t="shared" si="20"/>
        <v>0</v>
      </c>
      <c r="G50" s="89">
        <f t="shared" si="20"/>
        <v>0</v>
      </c>
      <c r="H50" s="64">
        <f aca="true" t="shared" si="21" ref="H50:H55">E50+F50-G50</f>
        <v>300000</v>
      </c>
      <c r="I50" s="89">
        <f>SUM(I51)</f>
        <v>0</v>
      </c>
      <c r="J50" s="64">
        <f t="shared" si="9"/>
        <v>300000</v>
      </c>
      <c r="K50" s="89">
        <f>SUM(K51)</f>
        <v>0</v>
      </c>
      <c r="L50" s="64">
        <f t="shared" si="10"/>
        <v>300000</v>
      </c>
      <c r="M50" s="89">
        <f>SUM(M51)</f>
        <v>0</v>
      </c>
      <c r="N50" s="64">
        <f t="shared" si="13"/>
        <v>300000</v>
      </c>
      <c r="O50" s="89">
        <f>SUM(O51)</f>
        <v>0</v>
      </c>
      <c r="P50" s="64">
        <f t="shared" si="11"/>
        <v>300000</v>
      </c>
      <c r="Q50" s="89">
        <f>SUM(Q51)</f>
        <v>0</v>
      </c>
      <c r="R50" s="64">
        <f t="shared" si="16"/>
        <v>300000</v>
      </c>
      <c r="S50" s="89">
        <f>SUM(S51)</f>
        <v>0</v>
      </c>
      <c r="T50" s="64">
        <f t="shared" si="17"/>
        <v>300000</v>
      </c>
      <c r="U50" s="89">
        <f>SUM(U51)</f>
        <v>0</v>
      </c>
      <c r="V50" s="64">
        <f t="shared" si="18"/>
        <v>300000</v>
      </c>
      <c r="W50" s="89">
        <f>SUM(W51)</f>
        <v>0</v>
      </c>
      <c r="X50" s="64">
        <f t="shared" si="19"/>
        <v>300000</v>
      </c>
    </row>
    <row r="51" spans="1:24" s="27" customFormat="1" ht="67.5">
      <c r="A51" s="75"/>
      <c r="B51" s="58"/>
      <c r="C51" s="77">
        <v>6010</v>
      </c>
      <c r="D51" s="40" t="s">
        <v>576</v>
      </c>
      <c r="E51" s="89">
        <f t="shared" si="20"/>
        <v>300000</v>
      </c>
      <c r="F51" s="89">
        <f t="shared" si="20"/>
        <v>0</v>
      </c>
      <c r="G51" s="89">
        <f t="shared" si="20"/>
        <v>0</v>
      </c>
      <c r="H51" s="64">
        <f t="shared" si="21"/>
        <v>300000</v>
      </c>
      <c r="I51" s="89">
        <f>SUM(I52)</f>
        <v>0</v>
      </c>
      <c r="J51" s="64">
        <f t="shared" si="9"/>
        <v>300000</v>
      </c>
      <c r="K51" s="89">
        <f>SUM(K52)</f>
        <v>0</v>
      </c>
      <c r="L51" s="64">
        <f t="shared" si="10"/>
        <v>300000</v>
      </c>
      <c r="M51" s="89">
        <f>SUM(M52)</f>
        <v>0</v>
      </c>
      <c r="N51" s="64">
        <f t="shared" si="13"/>
        <v>300000</v>
      </c>
      <c r="O51" s="89">
        <f>SUM(O52)</f>
        <v>0</v>
      </c>
      <c r="P51" s="64">
        <f t="shared" si="11"/>
        <v>300000</v>
      </c>
      <c r="Q51" s="89">
        <f>SUM(Q52)</f>
        <v>0</v>
      </c>
      <c r="R51" s="64">
        <f t="shared" si="16"/>
        <v>300000</v>
      </c>
      <c r="S51" s="89">
        <f>SUM(S52)</f>
        <v>0</v>
      </c>
      <c r="T51" s="64">
        <f t="shared" si="17"/>
        <v>300000</v>
      </c>
      <c r="U51" s="89">
        <f>SUM(U52)</f>
        <v>0</v>
      </c>
      <c r="V51" s="64">
        <f t="shared" si="18"/>
        <v>300000</v>
      </c>
      <c r="W51" s="89">
        <f>SUM(W52)</f>
        <v>0</v>
      </c>
      <c r="X51" s="64">
        <f t="shared" si="19"/>
        <v>300000</v>
      </c>
    </row>
    <row r="52" spans="1:24" s="30" customFormat="1" ht="33.75">
      <c r="A52" s="54"/>
      <c r="B52" s="51"/>
      <c r="C52" s="100"/>
      <c r="D52" s="56" t="s">
        <v>689</v>
      </c>
      <c r="E52" s="57">
        <v>300000</v>
      </c>
      <c r="F52" s="57"/>
      <c r="G52" s="57"/>
      <c r="H52" s="170">
        <f t="shared" si="21"/>
        <v>300000</v>
      </c>
      <c r="I52" s="57"/>
      <c r="J52" s="64">
        <f t="shared" si="9"/>
        <v>300000</v>
      </c>
      <c r="K52" s="57">
        <v>0</v>
      </c>
      <c r="L52" s="64">
        <f t="shared" si="10"/>
        <v>300000</v>
      </c>
      <c r="M52" s="57">
        <v>0</v>
      </c>
      <c r="N52" s="64">
        <f t="shared" si="13"/>
        <v>300000</v>
      </c>
      <c r="O52" s="57">
        <v>0</v>
      </c>
      <c r="P52" s="64">
        <f t="shared" si="11"/>
        <v>300000</v>
      </c>
      <c r="Q52" s="57">
        <v>0</v>
      </c>
      <c r="R52" s="64">
        <f t="shared" si="16"/>
        <v>300000</v>
      </c>
      <c r="S52" s="57">
        <v>0</v>
      </c>
      <c r="T52" s="64">
        <f t="shared" si="17"/>
        <v>300000</v>
      </c>
      <c r="U52" s="57">
        <v>0</v>
      </c>
      <c r="V52" s="64">
        <f t="shared" si="18"/>
        <v>300000</v>
      </c>
      <c r="W52" s="57">
        <v>0</v>
      </c>
      <c r="X52" s="64">
        <f t="shared" si="19"/>
        <v>300000</v>
      </c>
    </row>
    <row r="53" spans="1:24" s="27" customFormat="1" ht="21.75" customHeight="1">
      <c r="A53" s="75"/>
      <c r="B53" s="76">
        <v>70095</v>
      </c>
      <c r="C53" s="84"/>
      <c r="D53" s="14" t="s">
        <v>250</v>
      </c>
      <c r="E53" s="89">
        <f>E54</f>
        <v>250000</v>
      </c>
      <c r="F53" s="89">
        <f>F54</f>
        <v>0</v>
      </c>
      <c r="G53" s="89">
        <f>G54</f>
        <v>100000</v>
      </c>
      <c r="H53" s="64">
        <f t="shared" si="21"/>
        <v>150000</v>
      </c>
      <c r="I53" s="89">
        <f>I54</f>
        <v>0</v>
      </c>
      <c r="J53" s="64">
        <f t="shared" si="9"/>
        <v>150000</v>
      </c>
      <c r="K53" s="89">
        <f>K54</f>
        <v>0</v>
      </c>
      <c r="L53" s="64">
        <f t="shared" si="10"/>
        <v>150000</v>
      </c>
      <c r="M53" s="89">
        <f>M54</f>
        <v>0</v>
      </c>
      <c r="N53" s="64">
        <f t="shared" si="13"/>
        <v>150000</v>
      </c>
      <c r="O53" s="89">
        <f>O54</f>
        <v>108023</v>
      </c>
      <c r="P53" s="64">
        <f t="shared" si="11"/>
        <v>258023</v>
      </c>
      <c r="Q53" s="89">
        <f>Q54</f>
        <v>91000</v>
      </c>
      <c r="R53" s="64">
        <f t="shared" si="16"/>
        <v>349023</v>
      </c>
      <c r="S53" s="89">
        <f>S54</f>
        <v>0</v>
      </c>
      <c r="T53" s="64">
        <f t="shared" si="17"/>
        <v>349023</v>
      </c>
      <c r="U53" s="89">
        <f>U54</f>
        <v>0</v>
      </c>
      <c r="V53" s="64">
        <f t="shared" si="18"/>
        <v>349023</v>
      </c>
      <c r="W53" s="89">
        <f>W54</f>
        <v>0</v>
      </c>
      <c r="X53" s="64">
        <f t="shared" si="19"/>
        <v>349023</v>
      </c>
    </row>
    <row r="54" spans="1:24" s="27" customFormat="1" ht="24" customHeight="1">
      <c r="A54" s="75"/>
      <c r="B54" s="76"/>
      <c r="C54" s="77">
        <v>6050</v>
      </c>
      <c r="D54" s="14" t="s">
        <v>334</v>
      </c>
      <c r="E54" s="87">
        <f>SUM(E55)</f>
        <v>250000</v>
      </c>
      <c r="F54" s="87">
        <f>SUM(F55)</f>
        <v>0</v>
      </c>
      <c r="G54" s="87">
        <f>SUM(G55)</f>
        <v>100000</v>
      </c>
      <c r="H54" s="64">
        <f t="shared" si="21"/>
        <v>150000</v>
      </c>
      <c r="I54" s="87">
        <f>SUM(I55)</f>
        <v>0</v>
      </c>
      <c r="J54" s="64">
        <f t="shared" si="9"/>
        <v>150000</v>
      </c>
      <c r="K54" s="87">
        <f>SUM(K55)</f>
        <v>0</v>
      </c>
      <c r="L54" s="64">
        <f t="shared" si="10"/>
        <v>150000</v>
      </c>
      <c r="M54" s="87">
        <f>SUM(M55)</f>
        <v>0</v>
      </c>
      <c r="N54" s="64">
        <f t="shared" si="13"/>
        <v>150000</v>
      </c>
      <c r="O54" s="87">
        <f>SUM(O55)</f>
        <v>108023</v>
      </c>
      <c r="P54" s="64">
        <f t="shared" si="11"/>
        <v>258023</v>
      </c>
      <c r="Q54" s="87">
        <f>SUM(Q55)</f>
        <v>91000</v>
      </c>
      <c r="R54" s="64">
        <f t="shared" si="16"/>
        <v>349023</v>
      </c>
      <c r="S54" s="87">
        <f>SUM(S55)</f>
        <v>0</v>
      </c>
      <c r="T54" s="64">
        <f t="shared" si="17"/>
        <v>349023</v>
      </c>
      <c r="U54" s="87">
        <f>SUM(U55)</f>
        <v>0</v>
      </c>
      <c r="V54" s="64">
        <f t="shared" si="18"/>
        <v>349023</v>
      </c>
      <c r="W54" s="87">
        <f>SUM(W55)</f>
        <v>0</v>
      </c>
      <c r="X54" s="64">
        <f t="shared" si="19"/>
        <v>349023</v>
      </c>
    </row>
    <row r="55" spans="1:24" s="27" customFormat="1" ht="24" customHeight="1">
      <c r="A55" s="54"/>
      <c r="B55" s="51"/>
      <c r="C55" s="55"/>
      <c r="D55" s="56" t="s">
        <v>418</v>
      </c>
      <c r="E55" s="91">
        <v>250000</v>
      </c>
      <c r="F55" s="91"/>
      <c r="G55" s="91">
        <v>100000</v>
      </c>
      <c r="H55" s="170">
        <f t="shared" si="21"/>
        <v>150000</v>
      </c>
      <c r="I55" s="91"/>
      <c r="J55" s="170">
        <f t="shared" si="9"/>
        <v>150000</v>
      </c>
      <c r="K55" s="91">
        <v>0</v>
      </c>
      <c r="L55" s="170">
        <f t="shared" si="10"/>
        <v>150000</v>
      </c>
      <c r="M55" s="91">
        <v>0</v>
      </c>
      <c r="N55" s="170">
        <f t="shared" si="13"/>
        <v>150000</v>
      </c>
      <c r="O55" s="91">
        <f>103000+5023</f>
        <v>108023</v>
      </c>
      <c r="P55" s="170">
        <f t="shared" si="11"/>
        <v>258023</v>
      </c>
      <c r="Q55" s="91">
        <v>91000</v>
      </c>
      <c r="R55" s="170">
        <f t="shared" si="16"/>
        <v>349023</v>
      </c>
      <c r="S55" s="91">
        <v>0</v>
      </c>
      <c r="T55" s="170">
        <f t="shared" si="17"/>
        <v>349023</v>
      </c>
      <c r="U55" s="91">
        <v>0</v>
      </c>
      <c r="V55" s="170">
        <f t="shared" si="18"/>
        <v>349023</v>
      </c>
      <c r="W55" s="91">
        <v>0</v>
      </c>
      <c r="X55" s="170">
        <f t="shared" si="19"/>
        <v>349023</v>
      </c>
    </row>
    <row r="56" spans="1:24" s="43" customFormat="1" ht="22.5" customHeight="1">
      <c r="A56" s="33">
        <v>750</v>
      </c>
      <c r="B56" s="5"/>
      <c r="C56" s="13"/>
      <c r="D56" s="22" t="s">
        <v>344</v>
      </c>
      <c r="E56" s="44">
        <f>E57</f>
        <v>51800</v>
      </c>
      <c r="F56" s="44">
        <f>F57</f>
        <v>0</v>
      </c>
      <c r="G56" s="44">
        <f>G57</f>
        <v>0</v>
      </c>
      <c r="H56" s="44">
        <f>H57</f>
        <v>51800</v>
      </c>
      <c r="I56" s="44">
        <f>I57</f>
        <v>0</v>
      </c>
      <c r="J56" s="42">
        <f t="shared" si="9"/>
        <v>51800</v>
      </c>
      <c r="K56" s="44">
        <f>K57</f>
        <v>0</v>
      </c>
      <c r="L56" s="42">
        <f t="shared" si="10"/>
        <v>51800</v>
      </c>
      <c r="M56" s="44">
        <f>M57</f>
        <v>0</v>
      </c>
      <c r="N56" s="42">
        <f t="shared" si="13"/>
        <v>51800</v>
      </c>
      <c r="O56" s="44">
        <f>O57</f>
        <v>0</v>
      </c>
      <c r="P56" s="42">
        <f t="shared" si="11"/>
        <v>51800</v>
      </c>
      <c r="Q56" s="44">
        <f>Q57</f>
        <v>0</v>
      </c>
      <c r="R56" s="42">
        <f t="shared" si="16"/>
        <v>51800</v>
      </c>
      <c r="S56" s="44">
        <f>S57</f>
        <v>0</v>
      </c>
      <c r="T56" s="42">
        <f t="shared" si="17"/>
        <v>51800</v>
      </c>
      <c r="U56" s="44">
        <f>U57</f>
        <v>0</v>
      </c>
      <c r="V56" s="42">
        <f t="shared" si="18"/>
        <v>51800</v>
      </c>
      <c r="W56" s="44">
        <f>W57</f>
        <v>0</v>
      </c>
      <c r="X56" s="42">
        <f t="shared" si="19"/>
        <v>51800</v>
      </c>
    </row>
    <row r="57" spans="1:24" s="27" customFormat="1" ht="25.5" customHeight="1">
      <c r="A57" s="75"/>
      <c r="B57" s="86" t="s">
        <v>272</v>
      </c>
      <c r="C57" s="88"/>
      <c r="D57" s="40" t="s">
        <v>273</v>
      </c>
      <c r="E57" s="89">
        <f>E58</f>
        <v>51800</v>
      </c>
      <c r="F57" s="89">
        <f>F58</f>
        <v>0</v>
      </c>
      <c r="G57" s="89">
        <f>G58</f>
        <v>0</v>
      </c>
      <c r="H57" s="64">
        <f>E57+F57-G57</f>
        <v>51800</v>
      </c>
      <c r="I57" s="89">
        <f>I58</f>
        <v>0</v>
      </c>
      <c r="J57" s="64">
        <f t="shared" si="9"/>
        <v>51800</v>
      </c>
      <c r="K57" s="89">
        <f>K58</f>
        <v>0</v>
      </c>
      <c r="L57" s="64">
        <f t="shared" si="10"/>
        <v>51800</v>
      </c>
      <c r="M57" s="89">
        <f>M58</f>
        <v>0</v>
      </c>
      <c r="N57" s="64">
        <f t="shared" si="13"/>
        <v>51800</v>
      </c>
      <c r="O57" s="89">
        <f>O58</f>
        <v>0</v>
      </c>
      <c r="P57" s="64">
        <f t="shared" si="11"/>
        <v>51800</v>
      </c>
      <c r="Q57" s="89">
        <f>Q58</f>
        <v>0</v>
      </c>
      <c r="R57" s="64">
        <f t="shared" si="16"/>
        <v>51800</v>
      </c>
      <c r="S57" s="89">
        <f>S58</f>
        <v>0</v>
      </c>
      <c r="T57" s="64">
        <f t="shared" si="17"/>
        <v>51800</v>
      </c>
      <c r="U57" s="89">
        <f>U58</f>
        <v>0</v>
      </c>
      <c r="V57" s="64">
        <f t="shared" si="18"/>
        <v>51800</v>
      </c>
      <c r="W57" s="89">
        <f>W58</f>
        <v>0</v>
      </c>
      <c r="X57" s="64">
        <f t="shared" si="19"/>
        <v>51800</v>
      </c>
    </row>
    <row r="58" spans="1:24" s="27" customFormat="1" ht="23.25" customHeight="1">
      <c r="A58" s="75"/>
      <c r="B58" s="58"/>
      <c r="C58" s="78">
        <v>6060</v>
      </c>
      <c r="D58" s="14" t="s">
        <v>358</v>
      </c>
      <c r="E58" s="89">
        <f>SUM(E59)</f>
        <v>51800</v>
      </c>
      <c r="F58" s="89">
        <f>SUM(F59)</f>
        <v>0</v>
      </c>
      <c r="G58" s="89">
        <f>SUM(G59)</f>
        <v>0</v>
      </c>
      <c r="H58" s="64">
        <f>E58+F58-G58</f>
        <v>51800</v>
      </c>
      <c r="I58" s="89">
        <f>SUM(I59)</f>
        <v>0</v>
      </c>
      <c r="J58" s="64">
        <f t="shared" si="9"/>
        <v>51800</v>
      </c>
      <c r="K58" s="89">
        <f>SUM(K59)</f>
        <v>0</v>
      </c>
      <c r="L58" s="64">
        <f t="shared" si="10"/>
        <v>51800</v>
      </c>
      <c r="M58" s="89">
        <f>SUM(M59)</f>
        <v>0</v>
      </c>
      <c r="N58" s="64">
        <f t="shared" si="13"/>
        <v>51800</v>
      </c>
      <c r="O58" s="89">
        <f>SUM(O59)</f>
        <v>0</v>
      </c>
      <c r="P58" s="64">
        <f t="shared" si="11"/>
        <v>51800</v>
      </c>
      <c r="Q58" s="89">
        <f>SUM(Q59)</f>
        <v>0</v>
      </c>
      <c r="R58" s="64">
        <f t="shared" si="16"/>
        <v>51800</v>
      </c>
      <c r="S58" s="89">
        <f>SUM(S59)</f>
        <v>0</v>
      </c>
      <c r="T58" s="64">
        <f t="shared" si="17"/>
        <v>51800</v>
      </c>
      <c r="U58" s="89">
        <f>SUM(U59)</f>
        <v>0</v>
      </c>
      <c r="V58" s="64">
        <f t="shared" si="18"/>
        <v>51800</v>
      </c>
      <c r="W58" s="89">
        <f>SUM(W59)</f>
        <v>0</v>
      </c>
      <c r="X58" s="64">
        <f t="shared" si="19"/>
        <v>51800</v>
      </c>
    </row>
    <row r="59" spans="1:24" s="30" customFormat="1" ht="24" customHeight="1">
      <c r="A59" s="54"/>
      <c r="B59" s="51"/>
      <c r="C59" s="55"/>
      <c r="D59" s="56" t="s">
        <v>593</v>
      </c>
      <c r="E59" s="91">
        <v>51800</v>
      </c>
      <c r="F59" s="91"/>
      <c r="G59" s="91"/>
      <c r="H59" s="170">
        <f>E59+F59-G59</f>
        <v>51800</v>
      </c>
      <c r="I59" s="91"/>
      <c r="J59" s="170">
        <f t="shared" si="9"/>
        <v>51800</v>
      </c>
      <c r="K59" s="91">
        <v>0</v>
      </c>
      <c r="L59" s="170">
        <f t="shared" si="10"/>
        <v>51800</v>
      </c>
      <c r="M59" s="91">
        <v>0</v>
      </c>
      <c r="N59" s="170">
        <f t="shared" si="13"/>
        <v>51800</v>
      </c>
      <c r="O59" s="91">
        <v>0</v>
      </c>
      <c r="P59" s="170">
        <f t="shared" si="11"/>
        <v>51800</v>
      </c>
      <c r="Q59" s="91">
        <v>0</v>
      </c>
      <c r="R59" s="170">
        <f t="shared" si="16"/>
        <v>51800</v>
      </c>
      <c r="S59" s="91">
        <v>0</v>
      </c>
      <c r="T59" s="170">
        <f t="shared" si="17"/>
        <v>51800</v>
      </c>
      <c r="U59" s="91">
        <v>0</v>
      </c>
      <c r="V59" s="170">
        <f t="shared" si="18"/>
        <v>51800</v>
      </c>
      <c r="W59" s="91">
        <v>0</v>
      </c>
      <c r="X59" s="170">
        <f t="shared" si="19"/>
        <v>51800</v>
      </c>
    </row>
    <row r="60" spans="1:24" s="43" customFormat="1" ht="26.25" customHeight="1">
      <c r="A60" s="33">
        <v>754</v>
      </c>
      <c r="B60" s="5"/>
      <c r="C60" s="13"/>
      <c r="D60" s="22" t="s">
        <v>277</v>
      </c>
      <c r="E60" s="44">
        <f>SUM(E66)</f>
        <v>68170</v>
      </c>
      <c r="F60" s="44">
        <f>SUM(F66)</f>
        <v>0</v>
      </c>
      <c r="G60" s="44">
        <f>SUM(G66)</f>
        <v>0</v>
      </c>
      <c r="H60" s="44">
        <f>SUM(H66)</f>
        <v>68170</v>
      </c>
      <c r="I60" s="44">
        <f>SUM(I66)</f>
        <v>0</v>
      </c>
      <c r="J60" s="42">
        <f t="shared" si="9"/>
        <v>68170</v>
      </c>
      <c r="K60" s="44">
        <f>SUM(K66)</f>
        <v>0</v>
      </c>
      <c r="L60" s="42">
        <f t="shared" si="10"/>
        <v>68170</v>
      </c>
      <c r="M60" s="44">
        <f>SUM(M66)</f>
        <v>0</v>
      </c>
      <c r="N60" s="42">
        <f aca="true" t="shared" si="22" ref="N60:T60">SUM(N61,N66)</f>
        <v>68170</v>
      </c>
      <c r="O60" s="42">
        <f t="shared" si="22"/>
        <v>25000</v>
      </c>
      <c r="P60" s="42">
        <f t="shared" si="22"/>
        <v>93170</v>
      </c>
      <c r="Q60" s="42">
        <f t="shared" si="22"/>
        <v>0</v>
      </c>
      <c r="R60" s="42">
        <f t="shared" si="22"/>
        <v>93170</v>
      </c>
      <c r="S60" s="42">
        <f t="shared" si="22"/>
        <v>9000</v>
      </c>
      <c r="T60" s="42">
        <f t="shared" si="22"/>
        <v>102170</v>
      </c>
      <c r="U60" s="42">
        <f>SUM(U61,U66)</f>
        <v>0</v>
      </c>
      <c r="V60" s="42">
        <f>SUM(V61,V66)</f>
        <v>102170</v>
      </c>
      <c r="W60" s="42">
        <f>SUM(W61,W66)</f>
        <v>-5500</v>
      </c>
      <c r="X60" s="42">
        <f>SUM(X61,X66)</f>
        <v>96670</v>
      </c>
    </row>
    <row r="61" spans="1:24" s="27" customFormat="1" ht="26.25" customHeight="1">
      <c r="A61" s="75"/>
      <c r="B61" s="58">
        <v>75411</v>
      </c>
      <c r="C61" s="78"/>
      <c r="D61" s="14" t="s">
        <v>214</v>
      </c>
      <c r="E61" s="89">
        <f>SUM(E62,E64,)</f>
        <v>0</v>
      </c>
      <c r="F61" s="89">
        <f aca="true" t="shared" si="23" ref="F61:R61">SUM(F62,F64,)</f>
        <v>0</v>
      </c>
      <c r="G61" s="89">
        <f t="shared" si="23"/>
        <v>0</v>
      </c>
      <c r="H61" s="89">
        <f t="shared" si="23"/>
        <v>0</v>
      </c>
      <c r="I61" s="89">
        <f t="shared" si="23"/>
        <v>0</v>
      </c>
      <c r="J61" s="89">
        <f t="shared" si="23"/>
        <v>0</v>
      </c>
      <c r="K61" s="89">
        <f t="shared" si="23"/>
        <v>0</v>
      </c>
      <c r="L61" s="89">
        <f t="shared" si="23"/>
        <v>0</v>
      </c>
      <c r="M61" s="89">
        <f t="shared" si="23"/>
        <v>0</v>
      </c>
      <c r="N61" s="89">
        <f t="shared" si="23"/>
        <v>0</v>
      </c>
      <c r="O61" s="89">
        <f t="shared" si="23"/>
        <v>25000</v>
      </c>
      <c r="P61" s="89">
        <f t="shared" si="23"/>
        <v>25000</v>
      </c>
      <c r="Q61" s="89">
        <f t="shared" si="23"/>
        <v>0</v>
      </c>
      <c r="R61" s="89">
        <f t="shared" si="23"/>
        <v>25000</v>
      </c>
      <c r="S61" s="89">
        <f aca="true" t="shared" si="24" ref="S61:X61">SUM(S62,S64,)</f>
        <v>0</v>
      </c>
      <c r="T61" s="89">
        <f t="shared" si="24"/>
        <v>25000</v>
      </c>
      <c r="U61" s="89">
        <f t="shared" si="24"/>
        <v>0</v>
      </c>
      <c r="V61" s="89">
        <f t="shared" si="24"/>
        <v>25000</v>
      </c>
      <c r="W61" s="89">
        <f t="shared" si="24"/>
        <v>0</v>
      </c>
      <c r="X61" s="89">
        <f t="shared" si="24"/>
        <v>25000</v>
      </c>
    </row>
    <row r="62" spans="1:24" s="27" customFormat="1" ht="56.25">
      <c r="A62" s="75"/>
      <c r="B62" s="58"/>
      <c r="C62" s="78">
        <v>6220</v>
      </c>
      <c r="D62" s="14" t="s">
        <v>215</v>
      </c>
      <c r="E62" s="89">
        <f>SUM(E63)</f>
        <v>0</v>
      </c>
      <c r="F62" s="89"/>
      <c r="G62" s="89"/>
      <c r="H62" s="89"/>
      <c r="I62" s="89"/>
      <c r="J62" s="64"/>
      <c r="K62" s="89"/>
      <c r="L62" s="64"/>
      <c r="M62" s="89"/>
      <c r="N62" s="64">
        <f aca="true" t="shared" si="25" ref="N62:X62">SUM(N63)</f>
        <v>0</v>
      </c>
      <c r="O62" s="64">
        <f t="shared" si="25"/>
        <v>25000</v>
      </c>
      <c r="P62" s="64">
        <f t="shared" si="25"/>
        <v>25000</v>
      </c>
      <c r="Q62" s="64">
        <f t="shared" si="25"/>
        <v>-25000</v>
      </c>
      <c r="R62" s="64">
        <f t="shared" si="25"/>
        <v>0</v>
      </c>
      <c r="S62" s="64">
        <f t="shared" si="25"/>
        <v>0</v>
      </c>
      <c r="T62" s="64">
        <f t="shared" si="25"/>
        <v>0</v>
      </c>
      <c r="U62" s="64">
        <f t="shared" si="25"/>
        <v>0</v>
      </c>
      <c r="V62" s="64">
        <f t="shared" si="25"/>
        <v>0</v>
      </c>
      <c r="W62" s="64">
        <f t="shared" si="25"/>
        <v>0</v>
      </c>
      <c r="X62" s="64">
        <f t="shared" si="25"/>
        <v>0</v>
      </c>
    </row>
    <row r="63" spans="1:24" s="30" customFormat="1" ht="56.25">
      <c r="A63" s="54"/>
      <c r="B63" s="51"/>
      <c r="C63" s="55"/>
      <c r="D63" s="214" t="s">
        <v>220</v>
      </c>
      <c r="E63" s="215"/>
      <c r="F63" s="215"/>
      <c r="G63" s="215"/>
      <c r="H63" s="215"/>
      <c r="I63" s="215"/>
      <c r="J63" s="211"/>
      <c r="K63" s="215"/>
      <c r="L63" s="211"/>
      <c r="M63" s="215"/>
      <c r="N63" s="211">
        <v>0</v>
      </c>
      <c r="O63" s="215">
        <v>25000</v>
      </c>
      <c r="P63" s="170">
        <f>SUM(N63:O63)</f>
        <v>25000</v>
      </c>
      <c r="Q63" s="215">
        <v>-25000</v>
      </c>
      <c r="R63" s="170">
        <f>SUM(P63:Q63)</f>
        <v>0</v>
      </c>
      <c r="S63" s="215">
        <v>0</v>
      </c>
      <c r="T63" s="170">
        <f>SUM(R63:S63)</f>
        <v>0</v>
      </c>
      <c r="U63" s="215">
        <v>0</v>
      </c>
      <c r="V63" s="170">
        <f>SUM(T63:U63)</f>
        <v>0</v>
      </c>
      <c r="W63" s="215">
        <v>0</v>
      </c>
      <c r="X63" s="170">
        <f>SUM(V63:W63)</f>
        <v>0</v>
      </c>
    </row>
    <row r="64" spans="1:24" s="27" customFormat="1" ht="56.25">
      <c r="A64" s="75"/>
      <c r="B64" s="58"/>
      <c r="C64" s="78">
        <v>6620</v>
      </c>
      <c r="D64" s="40" t="s">
        <v>109</v>
      </c>
      <c r="E64" s="252">
        <f>SUM(E65)</f>
        <v>0</v>
      </c>
      <c r="F64" s="252"/>
      <c r="G64" s="252"/>
      <c r="H64" s="252"/>
      <c r="I64" s="252"/>
      <c r="J64" s="232"/>
      <c r="K64" s="252"/>
      <c r="L64" s="232"/>
      <c r="M64" s="252"/>
      <c r="N64" s="232"/>
      <c r="O64" s="252"/>
      <c r="P64" s="64">
        <f aca="true" t="shared" si="26" ref="P64:X64">SUM(P65)</f>
        <v>0</v>
      </c>
      <c r="Q64" s="64">
        <f t="shared" si="26"/>
        <v>25000</v>
      </c>
      <c r="R64" s="64">
        <f t="shared" si="26"/>
        <v>25000</v>
      </c>
      <c r="S64" s="64">
        <f t="shared" si="26"/>
        <v>0</v>
      </c>
      <c r="T64" s="64">
        <f t="shared" si="26"/>
        <v>25000</v>
      </c>
      <c r="U64" s="64">
        <f t="shared" si="26"/>
        <v>0</v>
      </c>
      <c r="V64" s="64">
        <f t="shared" si="26"/>
        <v>25000</v>
      </c>
      <c r="W64" s="64">
        <f t="shared" si="26"/>
        <v>0</v>
      </c>
      <c r="X64" s="64">
        <f t="shared" si="26"/>
        <v>25000</v>
      </c>
    </row>
    <row r="65" spans="1:24" s="30" customFormat="1" ht="50.25" customHeight="1">
      <c r="A65" s="54"/>
      <c r="B65" s="51"/>
      <c r="C65" s="55"/>
      <c r="D65" s="214" t="s">
        <v>220</v>
      </c>
      <c r="E65" s="215"/>
      <c r="F65" s="215"/>
      <c r="G65" s="215"/>
      <c r="H65" s="215"/>
      <c r="I65" s="215"/>
      <c r="J65" s="211"/>
      <c r="K65" s="215"/>
      <c r="L65" s="211"/>
      <c r="M65" s="215"/>
      <c r="N65" s="211"/>
      <c r="O65" s="215"/>
      <c r="P65" s="170">
        <v>0</v>
      </c>
      <c r="Q65" s="215">
        <v>25000</v>
      </c>
      <c r="R65" s="170">
        <f>SUM(P65:Q65)</f>
        <v>25000</v>
      </c>
      <c r="S65" s="215">
        <v>0</v>
      </c>
      <c r="T65" s="170">
        <f>SUM(R65:S65)</f>
        <v>25000</v>
      </c>
      <c r="U65" s="215">
        <v>0</v>
      </c>
      <c r="V65" s="170">
        <f>SUM(T65:U65)</f>
        <v>25000</v>
      </c>
      <c r="W65" s="215">
        <v>0</v>
      </c>
      <c r="X65" s="170">
        <f>SUM(V65:W65)</f>
        <v>25000</v>
      </c>
    </row>
    <row r="66" spans="1:24" s="27" customFormat="1" ht="26.25" customHeight="1">
      <c r="A66" s="75"/>
      <c r="B66" s="58">
        <v>75412</v>
      </c>
      <c r="C66" s="78"/>
      <c r="D66" s="14" t="s">
        <v>363</v>
      </c>
      <c r="E66" s="89">
        <f>E67</f>
        <v>68170</v>
      </c>
      <c r="F66" s="89">
        <f>F67</f>
        <v>0</v>
      </c>
      <c r="G66" s="89">
        <f>G67</f>
        <v>0</v>
      </c>
      <c r="H66" s="64">
        <f>E66+F66-G66</f>
        <v>68170</v>
      </c>
      <c r="I66" s="89">
        <f>I67</f>
        <v>0</v>
      </c>
      <c r="J66" s="64">
        <f t="shared" si="9"/>
        <v>68170</v>
      </c>
      <c r="K66" s="89">
        <f>K67</f>
        <v>0</v>
      </c>
      <c r="L66" s="64">
        <f t="shared" si="10"/>
        <v>68170</v>
      </c>
      <c r="M66" s="89">
        <f>M67</f>
        <v>0</v>
      </c>
      <c r="N66" s="64">
        <f t="shared" si="13"/>
        <v>68170</v>
      </c>
      <c r="O66" s="89">
        <f>O67</f>
        <v>0</v>
      </c>
      <c r="P66" s="64">
        <f t="shared" si="11"/>
        <v>68170</v>
      </c>
      <c r="Q66" s="89">
        <f>Q67</f>
        <v>0</v>
      </c>
      <c r="R66" s="64">
        <f>SUM(P66:Q66)</f>
        <v>68170</v>
      </c>
      <c r="S66" s="89">
        <f>S67</f>
        <v>9000</v>
      </c>
      <c r="T66" s="64">
        <f>SUM(R66:S66)</f>
        <v>77170</v>
      </c>
      <c r="U66" s="89">
        <f>U67</f>
        <v>0</v>
      </c>
      <c r="V66" s="64">
        <f>SUM(T66:U66)</f>
        <v>77170</v>
      </c>
      <c r="W66" s="89">
        <f>W67</f>
        <v>-5500</v>
      </c>
      <c r="X66" s="64">
        <f>SUM(V66:W66)</f>
        <v>71670</v>
      </c>
    </row>
    <row r="67" spans="1:24" s="27" customFormat="1" ht="26.25" customHeight="1">
      <c r="A67" s="54"/>
      <c r="B67" s="51"/>
      <c r="C67" s="78">
        <v>6050</v>
      </c>
      <c r="D67" s="14" t="s">
        <v>334</v>
      </c>
      <c r="E67" s="89">
        <f>SUM(E68)</f>
        <v>68170</v>
      </c>
      <c r="F67" s="89">
        <f>SUM(F68)</f>
        <v>0</v>
      </c>
      <c r="G67" s="89">
        <f>SUM(G68)</f>
        <v>0</v>
      </c>
      <c r="H67" s="64">
        <f>E67+F67-G67</f>
        <v>68170</v>
      </c>
      <c r="I67" s="89">
        <f>SUM(I68)</f>
        <v>0</v>
      </c>
      <c r="J67" s="64">
        <f t="shared" si="9"/>
        <v>68170</v>
      </c>
      <c r="K67" s="89">
        <f>SUM(K68)</f>
        <v>0</v>
      </c>
      <c r="L67" s="64">
        <f t="shared" si="10"/>
        <v>68170</v>
      </c>
      <c r="M67" s="89">
        <f>SUM(M68)</f>
        <v>0</v>
      </c>
      <c r="N67" s="64">
        <f aca="true" t="shared" si="27" ref="N67:T67">SUM(N68:N69)</f>
        <v>68170</v>
      </c>
      <c r="O67" s="64">
        <f t="shared" si="27"/>
        <v>0</v>
      </c>
      <c r="P67" s="64">
        <f t="shared" si="27"/>
        <v>68170</v>
      </c>
      <c r="Q67" s="64">
        <f t="shared" si="27"/>
        <v>0</v>
      </c>
      <c r="R67" s="64">
        <f t="shared" si="27"/>
        <v>68170</v>
      </c>
      <c r="S67" s="64">
        <f t="shared" si="27"/>
        <v>9000</v>
      </c>
      <c r="T67" s="64">
        <f t="shared" si="27"/>
        <v>77170</v>
      </c>
      <c r="U67" s="64">
        <f>SUM(U68:U69)</f>
        <v>0</v>
      </c>
      <c r="V67" s="64">
        <f>SUM(V68:V69)</f>
        <v>77170</v>
      </c>
      <c r="W67" s="64">
        <f>SUM(W68:W69)</f>
        <v>-5500</v>
      </c>
      <c r="X67" s="64">
        <f>SUM(X68:X69)</f>
        <v>71670</v>
      </c>
    </row>
    <row r="68" spans="1:24" s="27" customFormat="1" ht="24" customHeight="1">
      <c r="A68" s="54"/>
      <c r="B68" s="51"/>
      <c r="C68" s="55"/>
      <c r="D68" s="56" t="s">
        <v>528</v>
      </c>
      <c r="E68" s="91">
        <v>68170</v>
      </c>
      <c r="F68" s="91"/>
      <c r="G68" s="91"/>
      <c r="H68" s="170">
        <f>E68+F68-G68</f>
        <v>68170</v>
      </c>
      <c r="I68" s="91"/>
      <c r="J68" s="170">
        <f t="shared" si="9"/>
        <v>68170</v>
      </c>
      <c r="K68" s="91">
        <v>0</v>
      </c>
      <c r="L68" s="170">
        <f t="shared" si="10"/>
        <v>68170</v>
      </c>
      <c r="M68" s="91">
        <v>0</v>
      </c>
      <c r="N68" s="170">
        <f t="shared" si="13"/>
        <v>68170</v>
      </c>
      <c r="O68" s="91">
        <v>-31213</v>
      </c>
      <c r="P68" s="170">
        <f t="shared" si="11"/>
        <v>36957</v>
      </c>
      <c r="Q68" s="91">
        <v>0</v>
      </c>
      <c r="R68" s="170">
        <f aca="true" t="shared" si="28" ref="R68:R93">SUM(P68:Q68)</f>
        <v>36957</v>
      </c>
      <c r="S68" s="91">
        <v>0</v>
      </c>
      <c r="T68" s="170">
        <f aca="true" t="shared" si="29" ref="T68:T93">SUM(R68:S68)</f>
        <v>36957</v>
      </c>
      <c r="U68" s="91">
        <v>0</v>
      </c>
      <c r="V68" s="170">
        <f aca="true" t="shared" si="30" ref="V68:V93">SUM(T68:U68)</f>
        <v>36957</v>
      </c>
      <c r="W68" s="91">
        <v>0</v>
      </c>
      <c r="X68" s="170">
        <f aca="true" t="shared" si="31" ref="X68:X93">SUM(V68:W68)</f>
        <v>36957</v>
      </c>
    </row>
    <row r="69" spans="1:24" s="27" customFormat="1" ht="24" customHeight="1">
      <c r="A69" s="54"/>
      <c r="B69" s="51"/>
      <c r="C69" s="55"/>
      <c r="D69" s="56" t="s">
        <v>235</v>
      </c>
      <c r="E69" s="91"/>
      <c r="F69" s="91"/>
      <c r="G69" s="91"/>
      <c r="H69" s="170"/>
      <c r="I69" s="91"/>
      <c r="J69" s="170"/>
      <c r="K69" s="91"/>
      <c r="L69" s="170"/>
      <c r="M69" s="91"/>
      <c r="N69" s="170">
        <v>0</v>
      </c>
      <c r="O69" s="91">
        <v>31213</v>
      </c>
      <c r="P69" s="170">
        <f t="shared" si="11"/>
        <v>31213</v>
      </c>
      <c r="Q69" s="91">
        <v>0</v>
      </c>
      <c r="R69" s="170">
        <f t="shared" si="28"/>
        <v>31213</v>
      </c>
      <c r="S69" s="91">
        <v>9000</v>
      </c>
      <c r="T69" s="170">
        <f t="shared" si="29"/>
        <v>40213</v>
      </c>
      <c r="U69" s="91">
        <v>0</v>
      </c>
      <c r="V69" s="170">
        <f t="shared" si="30"/>
        <v>40213</v>
      </c>
      <c r="W69" s="91">
        <v>-5500</v>
      </c>
      <c r="X69" s="170">
        <f t="shared" si="31"/>
        <v>34713</v>
      </c>
    </row>
    <row r="70" spans="1:24" s="43" customFormat="1" ht="21.75" customHeight="1">
      <c r="A70" s="33">
        <v>801</v>
      </c>
      <c r="B70" s="5"/>
      <c r="C70" s="13"/>
      <c r="D70" s="22" t="s">
        <v>374</v>
      </c>
      <c r="E70" s="18">
        <f>SUM(E71,E76)</f>
        <v>144060</v>
      </c>
      <c r="F70" s="18">
        <f>SUM(F71,F76)</f>
        <v>150000</v>
      </c>
      <c r="G70" s="18">
        <f>SUM(G71,G76)</f>
        <v>0</v>
      </c>
      <c r="H70" s="18">
        <f>SUM(H71,H76)</f>
        <v>294060</v>
      </c>
      <c r="I70" s="18">
        <f>SUM(I71,I76)</f>
        <v>-150000</v>
      </c>
      <c r="J70" s="42">
        <f t="shared" si="9"/>
        <v>144060</v>
      </c>
      <c r="K70" s="18">
        <f>SUM(K71,K76)</f>
        <v>0</v>
      </c>
      <c r="L70" s="42">
        <f t="shared" si="10"/>
        <v>144060</v>
      </c>
      <c r="M70" s="18">
        <f>SUM(M71,M76)</f>
        <v>-8500</v>
      </c>
      <c r="N70" s="42">
        <f t="shared" si="13"/>
        <v>135560</v>
      </c>
      <c r="O70" s="18">
        <f>SUM(O71,O76)</f>
        <v>-10560</v>
      </c>
      <c r="P70" s="42">
        <f t="shared" si="11"/>
        <v>125000</v>
      </c>
      <c r="Q70" s="18">
        <f>SUM(Q71,Q76)</f>
        <v>-20000</v>
      </c>
      <c r="R70" s="42">
        <f t="shared" si="28"/>
        <v>105000</v>
      </c>
      <c r="S70" s="18">
        <f>SUM(S71,S76)</f>
        <v>0</v>
      </c>
      <c r="T70" s="42">
        <f t="shared" si="29"/>
        <v>105000</v>
      </c>
      <c r="U70" s="18">
        <f>SUM(U71,U76)</f>
        <v>-1340</v>
      </c>
      <c r="V70" s="42">
        <f t="shared" si="30"/>
        <v>103660</v>
      </c>
      <c r="W70" s="18">
        <f>SUM(W71,W76)</f>
        <v>0</v>
      </c>
      <c r="X70" s="42">
        <f t="shared" si="31"/>
        <v>103660</v>
      </c>
    </row>
    <row r="71" spans="1:24" s="27" customFormat="1" ht="21.75" customHeight="1">
      <c r="A71" s="75"/>
      <c r="B71" s="58">
        <v>80101</v>
      </c>
      <c r="C71" s="78"/>
      <c r="D71" s="14" t="s">
        <v>310</v>
      </c>
      <c r="E71" s="87">
        <f>SUM(E74,E72)</f>
        <v>34560</v>
      </c>
      <c r="F71" s="87">
        <f>SUM(F74,F72)</f>
        <v>150000</v>
      </c>
      <c r="G71" s="87">
        <f>SUM(G74,G72)</f>
        <v>0</v>
      </c>
      <c r="H71" s="87">
        <f>SUM(H74,H72)</f>
        <v>184560</v>
      </c>
      <c r="I71" s="87">
        <f>SUM(I74,I72)</f>
        <v>-150000</v>
      </c>
      <c r="J71" s="64">
        <f t="shared" si="9"/>
        <v>34560</v>
      </c>
      <c r="K71" s="87">
        <f>SUM(K74,K72)</f>
        <v>0</v>
      </c>
      <c r="L71" s="64">
        <f t="shared" si="10"/>
        <v>34560</v>
      </c>
      <c r="M71" s="87">
        <f>SUM(M74,M72)</f>
        <v>-8500</v>
      </c>
      <c r="N71" s="64">
        <f t="shared" si="13"/>
        <v>26060</v>
      </c>
      <c r="O71" s="87">
        <f>SUM(O74,O72)</f>
        <v>-10560</v>
      </c>
      <c r="P71" s="64">
        <f t="shared" si="11"/>
        <v>15500</v>
      </c>
      <c r="Q71" s="87">
        <f>SUM(Q74,Q72)</f>
        <v>-10500</v>
      </c>
      <c r="R71" s="64">
        <f t="shared" si="28"/>
        <v>5000</v>
      </c>
      <c r="S71" s="87">
        <f>SUM(S74,S72)</f>
        <v>0</v>
      </c>
      <c r="T71" s="64">
        <f t="shared" si="29"/>
        <v>5000</v>
      </c>
      <c r="U71" s="87">
        <f>SUM(U74,U72)</f>
        <v>-1340</v>
      </c>
      <c r="V71" s="64">
        <f t="shared" si="30"/>
        <v>3660</v>
      </c>
      <c r="W71" s="87">
        <f>SUM(W74,W72)</f>
        <v>0</v>
      </c>
      <c r="X71" s="64">
        <f t="shared" si="31"/>
        <v>3660</v>
      </c>
    </row>
    <row r="72" spans="1:24" s="27" customFormat="1" ht="27.75" customHeight="1" hidden="1">
      <c r="A72" s="75"/>
      <c r="B72" s="58"/>
      <c r="C72" s="78">
        <v>6050</v>
      </c>
      <c r="D72" s="14" t="s">
        <v>334</v>
      </c>
      <c r="E72" s="87">
        <f>SUM(E73)</f>
        <v>0</v>
      </c>
      <c r="F72" s="87">
        <f>SUM(F73)</f>
        <v>150000</v>
      </c>
      <c r="G72" s="87">
        <f>SUM(G73)</f>
        <v>0</v>
      </c>
      <c r="H72" s="64">
        <f>E72+F72-G72</f>
        <v>150000</v>
      </c>
      <c r="I72" s="87">
        <f>SUM(I73)</f>
        <v>-150000</v>
      </c>
      <c r="J72" s="64">
        <f t="shared" si="9"/>
        <v>0</v>
      </c>
      <c r="K72" s="87">
        <f>SUM(K73)</f>
        <v>0</v>
      </c>
      <c r="L72" s="64">
        <f t="shared" si="10"/>
        <v>0</v>
      </c>
      <c r="M72" s="87">
        <f>SUM(M73)</f>
        <v>0</v>
      </c>
      <c r="N72" s="64">
        <f t="shared" si="13"/>
        <v>0</v>
      </c>
      <c r="O72" s="87">
        <f>SUM(O73)</f>
        <v>0</v>
      </c>
      <c r="P72" s="64">
        <f t="shared" si="11"/>
        <v>0</v>
      </c>
      <c r="Q72" s="87">
        <f>SUM(Q73)</f>
        <v>0</v>
      </c>
      <c r="R72" s="64">
        <f t="shared" si="28"/>
        <v>0</v>
      </c>
      <c r="S72" s="87">
        <f>SUM(S73)</f>
        <v>0</v>
      </c>
      <c r="T72" s="64">
        <f t="shared" si="29"/>
        <v>0</v>
      </c>
      <c r="U72" s="87">
        <f>SUM(U73)</f>
        <v>0</v>
      </c>
      <c r="V72" s="64">
        <f t="shared" si="30"/>
        <v>0</v>
      </c>
      <c r="W72" s="87">
        <f>SUM(W73)</f>
        <v>0</v>
      </c>
      <c r="X72" s="64">
        <f t="shared" si="31"/>
        <v>0</v>
      </c>
    </row>
    <row r="73" spans="1:24" s="30" customFormat="1" ht="27" customHeight="1" hidden="1">
      <c r="A73" s="54"/>
      <c r="B73" s="51"/>
      <c r="C73" s="55"/>
      <c r="D73" s="56" t="s">
        <v>691</v>
      </c>
      <c r="E73" s="57">
        <v>0</v>
      </c>
      <c r="F73" s="57">
        <v>150000</v>
      </c>
      <c r="G73" s="57"/>
      <c r="H73" s="170">
        <f>E73+F73-G73</f>
        <v>150000</v>
      </c>
      <c r="I73" s="57">
        <v>-150000</v>
      </c>
      <c r="J73" s="170">
        <f t="shared" si="9"/>
        <v>0</v>
      </c>
      <c r="K73" s="57">
        <v>0</v>
      </c>
      <c r="L73" s="170">
        <f t="shared" si="10"/>
        <v>0</v>
      </c>
      <c r="M73" s="57">
        <v>0</v>
      </c>
      <c r="N73" s="170">
        <f t="shared" si="13"/>
        <v>0</v>
      </c>
      <c r="O73" s="57">
        <v>0</v>
      </c>
      <c r="P73" s="170">
        <f t="shared" si="11"/>
        <v>0</v>
      </c>
      <c r="Q73" s="57">
        <v>0</v>
      </c>
      <c r="R73" s="170">
        <f t="shared" si="28"/>
        <v>0</v>
      </c>
      <c r="S73" s="57">
        <v>0</v>
      </c>
      <c r="T73" s="170">
        <f t="shared" si="29"/>
        <v>0</v>
      </c>
      <c r="U73" s="57">
        <v>0</v>
      </c>
      <c r="V73" s="170">
        <f t="shared" si="30"/>
        <v>0</v>
      </c>
      <c r="W73" s="57">
        <v>0</v>
      </c>
      <c r="X73" s="170">
        <f t="shared" si="31"/>
        <v>0</v>
      </c>
    </row>
    <row r="74" spans="1:24" s="27" customFormat="1" ht="28.5" customHeight="1">
      <c r="A74" s="75"/>
      <c r="B74" s="58"/>
      <c r="C74" s="78">
        <v>6060</v>
      </c>
      <c r="D74" s="14" t="s">
        <v>358</v>
      </c>
      <c r="E74" s="87">
        <f>SUM(E75)</f>
        <v>34560</v>
      </c>
      <c r="F74" s="87">
        <f>SUM(F75)</f>
        <v>0</v>
      </c>
      <c r="G74" s="87">
        <f>SUM(G75)</f>
        <v>0</v>
      </c>
      <c r="H74" s="64">
        <f>E74+F74-G74</f>
        <v>34560</v>
      </c>
      <c r="I74" s="87">
        <f>SUM(I75)</f>
        <v>0</v>
      </c>
      <c r="J74" s="64">
        <f t="shared" si="9"/>
        <v>34560</v>
      </c>
      <c r="K74" s="87">
        <f>SUM(K75)</f>
        <v>0</v>
      </c>
      <c r="L74" s="64">
        <f t="shared" si="10"/>
        <v>34560</v>
      </c>
      <c r="M74" s="87">
        <f>SUM(M75)</f>
        <v>-8500</v>
      </c>
      <c r="N74" s="64">
        <f t="shared" si="13"/>
        <v>26060</v>
      </c>
      <c r="O74" s="87">
        <f>SUM(O75)</f>
        <v>-10560</v>
      </c>
      <c r="P74" s="64">
        <f t="shared" si="11"/>
        <v>15500</v>
      </c>
      <c r="Q74" s="87">
        <f>SUM(Q75)</f>
        <v>-10500</v>
      </c>
      <c r="R74" s="64">
        <f t="shared" si="28"/>
        <v>5000</v>
      </c>
      <c r="S74" s="87">
        <f>SUM(S75)</f>
        <v>0</v>
      </c>
      <c r="T74" s="64">
        <f t="shared" si="29"/>
        <v>5000</v>
      </c>
      <c r="U74" s="87">
        <f>SUM(U75)</f>
        <v>-1340</v>
      </c>
      <c r="V74" s="64">
        <f t="shared" si="30"/>
        <v>3660</v>
      </c>
      <c r="W74" s="87">
        <f>SUM(W75)</f>
        <v>0</v>
      </c>
      <c r="X74" s="64">
        <f t="shared" si="31"/>
        <v>3660</v>
      </c>
    </row>
    <row r="75" spans="1:24" s="30" customFormat="1" ht="27.75" customHeight="1">
      <c r="A75" s="54"/>
      <c r="B75" s="51"/>
      <c r="C75" s="55"/>
      <c r="D75" s="56" t="s">
        <v>594</v>
      </c>
      <c r="E75" s="57">
        <v>34560</v>
      </c>
      <c r="F75" s="57"/>
      <c r="G75" s="57"/>
      <c r="H75" s="170">
        <f>E75+F75-G75</f>
        <v>34560</v>
      </c>
      <c r="I75" s="57"/>
      <c r="J75" s="64">
        <f t="shared" si="9"/>
        <v>34560</v>
      </c>
      <c r="K75" s="57">
        <v>0</v>
      </c>
      <c r="L75" s="64">
        <f t="shared" si="10"/>
        <v>34560</v>
      </c>
      <c r="M75" s="57">
        <v>-8500</v>
      </c>
      <c r="N75" s="64">
        <f t="shared" si="13"/>
        <v>26060</v>
      </c>
      <c r="O75" s="57">
        <v>-10560</v>
      </c>
      <c r="P75" s="64">
        <f t="shared" si="11"/>
        <v>15500</v>
      </c>
      <c r="Q75" s="57">
        <v>-10500</v>
      </c>
      <c r="R75" s="64">
        <f t="shared" si="28"/>
        <v>5000</v>
      </c>
      <c r="S75" s="57">
        <v>0</v>
      </c>
      <c r="T75" s="64">
        <f t="shared" si="29"/>
        <v>5000</v>
      </c>
      <c r="U75" s="57">
        <v>-1340</v>
      </c>
      <c r="V75" s="64">
        <f t="shared" si="30"/>
        <v>3660</v>
      </c>
      <c r="W75" s="57">
        <v>0</v>
      </c>
      <c r="X75" s="64">
        <f t="shared" si="31"/>
        <v>3660</v>
      </c>
    </row>
    <row r="76" spans="1:24" s="27" customFormat="1" ht="24" customHeight="1">
      <c r="A76" s="75"/>
      <c r="B76" s="58">
        <v>80110</v>
      </c>
      <c r="C76" s="78"/>
      <c r="D76" s="14" t="s">
        <v>311</v>
      </c>
      <c r="E76" s="87">
        <f>SUM(E77,E79)</f>
        <v>109500</v>
      </c>
      <c r="F76" s="87">
        <f>SUM(F77,F79)</f>
        <v>0</v>
      </c>
      <c r="G76" s="87">
        <f>SUM(G77,G79)</f>
        <v>0</v>
      </c>
      <c r="H76" s="87">
        <f>SUM(H77,H79)</f>
        <v>109500</v>
      </c>
      <c r="I76" s="87">
        <f>SUM(I77,I79)</f>
        <v>0</v>
      </c>
      <c r="J76" s="64">
        <f t="shared" si="9"/>
        <v>109500</v>
      </c>
      <c r="K76" s="87">
        <f>SUM(K77,K79)</f>
        <v>0</v>
      </c>
      <c r="L76" s="64">
        <f t="shared" si="10"/>
        <v>109500</v>
      </c>
      <c r="M76" s="87">
        <f>SUM(M77,M79)</f>
        <v>0</v>
      </c>
      <c r="N76" s="64">
        <f t="shared" si="13"/>
        <v>109500</v>
      </c>
      <c r="O76" s="87">
        <f>SUM(O77,O79)</f>
        <v>0</v>
      </c>
      <c r="P76" s="64">
        <f t="shared" si="11"/>
        <v>109500</v>
      </c>
      <c r="Q76" s="87">
        <f>SUM(Q77,Q79)</f>
        <v>-9500</v>
      </c>
      <c r="R76" s="64">
        <f t="shared" si="28"/>
        <v>100000</v>
      </c>
      <c r="S76" s="87">
        <f>SUM(S77,S79)</f>
        <v>0</v>
      </c>
      <c r="T76" s="64">
        <f t="shared" si="29"/>
        <v>100000</v>
      </c>
      <c r="U76" s="87">
        <f>SUM(U77,U79)</f>
        <v>0</v>
      </c>
      <c r="V76" s="64">
        <f t="shared" si="30"/>
        <v>100000</v>
      </c>
      <c r="W76" s="87">
        <f>SUM(W77,W79)</f>
        <v>0</v>
      </c>
      <c r="X76" s="64">
        <f t="shared" si="31"/>
        <v>100000</v>
      </c>
    </row>
    <row r="77" spans="1:24" s="27" customFormat="1" ht="24.75" customHeight="1">
      <c r="A77" s="75"/>
      <c r="B77" s="58"/>
      <c r="C77" s="78">
        <v>6050</v>
      </c>
      <c r="D77" s="14" t="s">
        <v>334</v>
      </c>
      <c r="E77" s="87">
        <f>SUM(E78)</f>
        <v>100000</v>
      </c>
      <c r="F77" s="87">
        <f>SUM(F78)</f>
        <v>0</v>
      </c>
      <c r="G77" s="87">
        <f>SUM(G78)</f>
        <v>0</v>
      </c>
      <c r="H77" s="64">
        <f>E77+F77-G77</f>
        <v>100000</v>
      </c>
      <c r="I77" s="87">
        <f>SUM(I78)</f>
        <v>0</v>
      </c>
      <c r="J77" s="64">
        <f t="shared" si="9"/>
        <v>100000</v>
      </c>
      <c r="K77" s="87">
        <f>SUM(K78)</f>
        <v>0</v>
      </c>
      <c r="L77" s="64">
        <f t="shared" si="10"/>
        <v>100000</v>
      </c>
      <c r="M77" s="87">
        <f>SUM(M78)</f>
        <v>0</v>
      </c>
      <c r="N77" s="64">
        <f t="shared" si="13"/>
        <v>100000</v>
      </c>
      <c r="O77" s="87">
        <f>SUM(O78)</f>
        <v>0</v>
      </c>
      <c r="P77" s="64">
        <f t="shared" si="11"/>
        <v>100000</v>
      </c>
      <c r="Q77" s="87">
        <f>SUM(Q78)</f>
        <v>0</v>
      </c>
      <c r="R77" s="64">
        <f t="shared" si="28"/>
        <v>100000</v>
      </c>
      <c r="S77" s="87">
        <f>SUM(S78)</f>
        <v>0</v>
      </c>
      <c r="T77" s="64">
        <f t="shared" si="29"/>
        <v>100000</v>
      </c>
      <c r="U77" s="87">
        <f>SUM(U78)</f>
        <v>0</v>
      </c>
      <c r="V77" s="64">
        <f t="shared" si="30"/>
        <v>100000</v>
      </c>
      <c r="W77" s="87">
        <f>SUM(W78)</f>
        <v>0</v>
      </c>
      <c r="X77" s="64">
        <f t="shared" si="31"/>
        <v>100000</v>
      </c>
    </row>
    <row r="78" spans="1:24" s="30" customFormat="1" ht="30.75" customHeight="1">
      <c r="A78" s="54"/>
      <c r="B78" s="51"/>
      <c r="C78" s="55"/>
      <c r="D78" s="56" t="s">
        <v>607</v>
      </c>
      <c r="E78" s="57">
        <v>100000</v>
      </c>
      <c r="F78" s="57"/>
      <c r="G78" s="57"/>
      <c r="H78" s="170">
        <f>E78+F78-G78</f>
        <v>100000</v>
      </c>
      <c r="I78" s="57"/>
      <c r="J78" s="170">
        <f t="shared" si="9"/>
        <v>100000</v>
      </c>
      <c r="K78" s="57">
        <v>0</v>
      </c>
      <c r="L78" s="170">
        <f t="shared" si="10"/>
        <v>100000</v>
      </c>
      <c r="M78" s="57">
        <v>0</v>
      </c>
      <c r="N78" s="170">
        <f t="shared" si="13"/>
        <v>100000</v>
      </c>
      <c r="O78" s="57">
        <v>0</v>
      </c>
      <c r="P78" s="170">
        <f t="shared" si="11"/>
        <v>100000</v>
      </c>
      <c r="Q78" s="57">
        <v>0</v>
      </c>
      <c r="R78" s="170">
        <f t="shared" si="28"/>
        <v>100000</v>
      </c>
      <c r="S78" s="57">
        <v>0</v>
      </c>
      <c r="T78" s="170">
        <f t="shared" si="29"/>
        <v>100000</v>
      </c>
      <c r="U78" s="57">
        <v>0</v>
      </c>
      <c r="V78" s="170">
        <f t="shared" si="30"/>
        <v>100000</v>
      </c>
      <c r="W78" s="57">
        <v>0</v>
      </c>
      <c r="X78" s="170">
        <f t="shared" si="31"/>
        <v>100000</v>
      </c>
    </row>
    <row r="79" spans="1:24" s="27" customFormat="1" ht="26.25" customHeight="1">
      <c r="A79" s="75"/>
      <c r="B79" s="58"/>
      <c r="C79" s="78">
        <v>6060</v>
      </c>
      <c r="D79" s="14" t="s">
        <v>358</v>
      </c>
      <c r="E79" s="87">
        <f>SUM(E80)</f>
        <v>9500</v>
      </c>
      <c r="F79" s="87">
        <f>SUM(F80)</f>
        <v>0</v>
      </c>
      <c r="G79" s="87">
        <f>SUM(G80)</f>
        <v>0</v>
      </c>
      <c r="H79" s="64">
        <f>E79+F79-G79</f>
        <v>9500</v>
      </c>
      <c r="I79" s="87">
        <f>SUM(I80)</f>
        <v>0</v>
      </c>
      <c r="J79" s="64">
        <f t="shared" si="9"/>
        <v>9500</v>
      </c>
      <c r="K79" s="87">
        <f>SUM(K80)</f>
        <v>0</v>
      </c>
      <c r="L79" s="64">
        <f t="shared" si="10"/>
        <v>9500</v>
      </c>
      <c r="M79" s="87">
        <f>SUM(M80)</f>
        <v>0</v>
      </c>
      <c r="N79" s="64">
        <f t="shared" si="13"/>
        <v>9500</v>
      </c>
      <c r="O79" s="87">
        <f>SUM(O80)</f>
        <v>0</v>
      </c>
      <c r="P79" s="64">
        <f t="shared" si="11"/>
        <v>9500</v>
      </c>
      <c r="Q79" s="87">
        <f>SUM(Q80)</f>
        <v>-9500</v>
      </c>
      <c r="R79" s="64">
        <f t="shared" si="28"/>
        <v>0</v>
      </c>
      <c r="S79" s="87">
        <f>SUM(S80)</f>
        <v>0</v>
      </c>
      <c r="T79" s="64">
        <f t="shared" si="29"/>
        <v>0</v>
      </c>
      <c r="U79" s="87">
        <f>SUM(U80)</f>
        <v>0</v>
      </c>
      <c r="V79" s="64">
        <f t="shared" si="30"/>
        <v>0</v>
      </c>
      <c r="W79" s="87">
        <f>SUM(W80)</f>
        <v>0</v>
      </c>
      <c r="X79" s="64">
        <f t="shared" si="31"/>
        <v>0</v>
      </c>
    </row>
    <row r="80" spans="1:24" s="30" customFormat="1" ht="24" customHeight="1">
      <c r="A80" s="54"/>
      <c r="B80" s="51"/>
      <c r="C80" s="55"/>
      <c r="D80" s="56" t="s">
        <v>594</v>
      </c>
      <c r="E80" s="91">
        <v>9500</v>
      </c>
      <c r="F80" s="91"/>
      <c r="G80" s="91"/>
      <c r="H80" s="170">
        <f>E80+F80-G80</f>
        <v>9500</v>
      </c>
      <c r="I80" s="91"/>
      <c r="J80" s="170">
        <f t="shared" si="9"/>
        <v>9500</v>
      </c>
      <c r="K80" s="91">
        <v>0</v>
      </c>
      <c r="L80" s="170">
        <f t="shared" si="10"/>
        <v>9500</v>
      </c>
      <c r="M80" s="91">
        <v>0</v>
      </c>
      <c r="N80" s="170">
        <f t="shared" si="13"/>
        <v>9500</v>
      </c>
      <c r="O80" s="91">
        <v>0</v>
      </c>
      <c r="P80" s="170">
        <f t="shared" si="11"/>
        <v>9500</v>
      </c>
      <c r="Q80" s="91">
        <v>-9500</v>
      </c>
      <c r="R80" s="170">
        <f t="shared" si="28"/>
        <v>0</v>
      </c>
      <c r="S80" s="91">
        <v>0</v>
      </c>
      <c r="T80" s="170">
        <f t="shared" si="29"/>
        <v>0</v>
      </c>
      <c r="U80" s="91">
        <v>0</v>
      </c>
      <c r="V80" s="170">
        <f t="shared" si="30"/>
        <v>0</v>
      </c>
      <c r="W80" s="91">
        <v>0</v>
      </c>
      <c r="X80" s="170">
        <f t="shared" si="31"/>
        <v>0</v>
      </c>
    </row>
    <row r="81" spans="1:24" s="43" customFormat="1" ht="24" customHeight="1">
      <c r="A81" s="33">
        <v>851</v>
      </c>
      <c r="B81" s="5"/>
      <c r="C81" s="13"/>
      <c r="D81" s="22" t="s">
        <v>312</v>
      </c>
      <c r="E81" s="44">
        <f>SUM(E82)</f>
        <v>20000</v>
      </c>
      <c r="F81" s="44">
        <f>SUM(F82)</f>
        <v>0</v>
      </c>
      <c r="G81" s="44">
        <f>SUM(G82)</f>
        <v>0</v>
      </c>
      <c r="H81" s="44">
        <f>SUM(H82)</f>
        <v>20000</v>
      </c>
      <c r="I81" s="44">
        <f>SUM(I82)</f>
        <v>0</v>
      </c>
      <c r="J81" s="42">
        <f t="shared" si="9"/>
        <v>20000</v>
      </c>
      <c r="K81" s="44">
        <f>SUM(K82)</f>
        <v>0</v>
      </c>
      <c r="L81" s="42">
        <f t="shared" si="10"/>
        <v>20000</v>
      </c>
      <c r="M81" s="44">
        <f>SUM(M82)</f>
        <v>0</v>
      </c>
      <c r="N81" s="42">
        <f t="shared" si="13"/>
        <v>20000</v>
      </c>
      <c r="O81" s="44">
        <f>SUM(O82)</f>
        <v>0</v>
      </c>
      <c r="P81" s="42">
        <f t="shared" si="11"/>
        <v>20000</v>
      </c>
      <c r="Q81" s="44">
        <f>SUM(Q82)</f>
        <v>0</v>
      </c>
      <c r="R81" s="42">
        <f t="shared" si="28"/>
        <v>20000</v>
      </c>
      <c r="S81" s="44">
        <f>SUM(S82)</f>
        <v>0</v>
      </c>
      <c r="T81" s="42">
        <f t="shared" si="29"/>
        <v>20000</v>
      </c>
      <c r="U81" s="44">
        <f>SUM(U82)</f>
        <v>0</v>
      </c>
      <c r="V81" s="42">
        <f t="shared" si="30"/>
        <v>20000</v>
      </c>
      <c r="W81" s="44">
        <f>SUM(W82)</f>
        <v>0</v>
      </c>
      <c r="X81" s="42">
        <f t="shared" si="31"/>
        <v>20000</v>
      </c>
    </row>
    <row r="82" spans="1:24" s="27" customFormat="1" ht="24" customHeight="1">
      <c r="A82" s="75"/>
      <c r="B82" s="58">
        <v>85153</v>
      </c>
      <c r="C82" s="78"/>
      <c r="D82" s="14" t="s">
        <v>559</v>
      </c>
      <c r="E82" s="89">
        <f aca="true" t="shared" si="32" ref="E82:G83">SUM(E83)</f>
        <v>20000</v>
      </c>
      <c r="F82" s="89">
        <f t="shared" si="32"/>
        <v>0</v>
      </c>
      <c r="G82" s="89">
        <f t="shared" si="32"/>
        <v>0</v>
      </c>
      <c r="H82" s="64">
        <f>E82+F82-G82</f>
        <v>20000</v>
      </c>
      <c r="I82" s="89">
        <f>SUM(I83)</f>
        <v>0</v>
      </c>
      <c r="J82" s="64">
        <f t="shared" si="9"/>
        <v>20000</v>
      </c>
      <c r="K82" s="89">
        <f>SUM(K83)</f>
        <v>0</v>
      </c>
      <c r="L82" s="64">
        <f t="shared" si="10"/>
        <v>20000</v>
      </c>
      <c r="M82" s="89">
        <f>SUM(M83)</f>
        <v>0</v>
      </c>
      <c r="N82" s="64">
        <f t="shared" si="13"/>
        <v>20000</v>
      </c>
      <c r="O82" s="89">
        <f>SUM(O83)</f>
        <v>0</v>
      </c>
      <c r="P82" s="64">
        <f t="shared" si="11"/>
        <v>20000</v>
      </c>
      <c r="Q82" s="89">
        <f>SUM(Q83)</f>
        <v>0</v>
      </c>
      <c r="R82" s="64">
        <f t="shared" si="28"/>
        <v>20000</v>
      </c>
      <c r="S82" s="89">
        <f>SUM(S83)</f>
        <v>0</v>
      </c>
      <c r="T82" s="64">
        <f t="shared" si="29"/>
        <v>20000</v>
      </c>
      <c r="U82" s="89">
        <f>SUM(U83)</f>
        <v>0</v>
      </c>
      <c r="V82" s="64">
        <f t="shared" si="30"/>
        <v>20000</v>
      </c>
      <c r="W82" s="89">
        <f>SUM(W83)</f>
        <v>0</v>
      </c>
      <c r="X82" s="64">
        <f t="shared" si="31"/>
        <v>20000</v>
      </c>
    </row>
    <row r="83" spans="1:24" s="43" customFormat="1" ht="24" customHeight="1">
      <c r="A83" s="33"/>
      <c r="B83" s="5"/>
      <c r="C83" s="78">
        <v>6060</v>
      </c>
      <c r="D83" s="14" t="s">
        <v>358</v>
      </c>
      <c r="E83" s="89">
        <f t="shared" si="32"/>
        <v>20000</v>
      </c>
      <c r="F83" s="89">
        <f t="shared" si="32"/>
        <v>0</v>
      </c>
      <c r="G83" s="89">
        <f t="shared" si="32"/>
        <v>0</v>
      </c>
      <c r="H83" s="64">
        <f>E83+F83-G83</f>
        <v>20000</v>
      </c>
      <c r="I83" s="89">
        <f>SUM(I84)</f>
        <v>0</v>
      </c>
      <c r="J83" s="64">
        <f t="shared" si="9"/>
        <v>20000</v>
      </c>
      <c r="K83" s="89">
        <f>SUM(K84)</f>
        <v>0</v>
      </c>
      <c r="L83" s="64">
        <f t="shared" si="10"/>
        <v>20000</v>
      </c>
      <c r="M83" s="89">
        <f>SUM(M84)</f>
        <v>0</v>
      </c>
      <c r="N83" s="64">
        <f t="shared" si="13"/>
        <v>20000</v>
      </c>
      <c r="O83" s="89">
        <f>SUM(O84)</f>
        <v>0</v>
      </c>
      <c r="P83" s="64">
        <f t="shared" si="11"/>
        <v>20000</v>
      </c>
      <c r="Q83" s="89">
        <f>SUM(Q84)</f>
        <v>0</v>
      </c>
      <c r="R83" s="64">
        <f t="shared" si="28"/>
        <v>20000</v>
      </c>
      <c r="S83" s="89">
        <f>SUM(S84)</f>
        <v>0</v>
      </c>
      <c r="T83" s="64">
        <f t="shared" si="29"/>
        <v>20000</v>
      </c>
      <c r="U83" s="89">
        <f>SUM(U84)</f>
        <v>0</v>
      </c>
      <c r="V83" s="64">
        <f t="shared" si="30"/>
        <v>20000</v>
      </c>
      <c r="W83" s="89">
        <f>SUM(W84)</f>
        <v>0</v>
      </c>
      <c r="X83" s="64">
        <f t="shared" si="31"/>
        <v>20000</v>
      </c>
    </row>
    <row r="84" spans="1:24" s="43" customFormat="1" ht="24" customHeight="1">
      <c r="A84" s="33"/>
      <c r="B84" s="5"/>
      <c r="C84" s="78"/>
      <c r="D84" s="56" t="s">
        <v>487</v>
      </c>
      <c r="E84" s="91">
        <v>20000</v>
      </c>
      <c r="F84" s="91"/>
      <c r="G84" s="91"/>
      <c r="H84" s="170">
        <f>E84+F84-G84</f>
        <v>20000</v>
      </c>
      <c r="I84" s="91"/>
      <c r="J84" s="170">
        <f t="shared" si="9"/>
        <v>20000</v>
      </c>
      <c r="K84" s="91"/>
      <c r="L84" s="170">
        <f t="shared" si="10"/>
        <v>20000</v>
      </c>
      <c r="M84" s="91">
        <v>0</v>
      </c>
      <c r="N84" s="170">
        <f t="shared" si="13"/>
        <v>20000</v>
      </c>
      <c r="O84" s="91">
        <v>0</v>
      </c>
      <c r="P84" s="170">
        <f t="shared" si="11"/>
        <v>20000</v>
      </c>
      <c r="Q84" s="91">
        <v>0</v>
      </c>
      <c r="R84" s="170">
        <f t="shared" si="28"/>
        <v>20000</v>
      </c>
      <c r="S84" s="91">
        <v>0</v>
      </c>
      <c r="T84" s="170">
        <f t="shared" si="29"/>
        <v>20000</v>
      </c>
      <c r="U84" s="91">
        <v>0</v>
      </c>
      <c r="V84" s="170">
        <f t="shared" si="30"/>
        <v>20000</v>
      </c>
      <c r="W84" s="91">
        <v>0</v>
      </c>
      <c r="X84" s="170">
        <f t="shared" si="31"/>
        <v>20000</v>
      </c>
    </row>
    <row r="85" spans="1:24" s="43" customFormat="1" ht="30" customHeight="1">
      <c r="A85" s="33">
        <v>852</v>
      </c>
      <c r="B85" s="5"/>
      <c r="C85" s="13"/>
      <c r="D85" s="22" t="s">
        <v>470</v>
      </c>
      <c r="E85" s="44">
        <f>SUM(E86)</f>
        <v>18550</v>
      </c>
      <c r="F85" s="44">
        <f>SUM(F86)</f>
        <v>0</v>
      </c>
      <c r="G85" s="44">
        <f>SUM(G86)</f>
        <v>0</v>
      </c>
      <c r="H85" s="44">
        <f>SUM(H86)</f>
        <v>18550</v>
      </c>
      <c r="I85" s="44">
        <f>SUM(I86)</f>
        <v>0</v>
      </c>
      <c r="J85" s="42">
        <f t="shared" si="9"/>
        <v>18550</v>
      </c>
      <c r="K85" s="44">
        <f>SUM(K86)</f>
        <v>0</v>
      </c>
      <c r="L85" s="42">
        <f t="shared" si="10"/>
        <v>18550</v>
      </c>
      <c r="M85" s="44">
        <f>SUM(M86)</f>
        <v>0</v>
      </c>
      <c r="N85" s="42">
        <f t="shared" si="13"/>
        <v>18550</v>
      </c>
      <c r="O85" s="44">
        <f>SUM(O86)</f>
        <v>0</v>
      </c>
      <c r="P85" s="42">
        <f t="shared" si="11"/>
        <v>18550</v>
      </c>
      <c r="Q85" s="44">
        <f>SUM(Q86)</f>
        <v>0</v>
      </c>
      <c r="R85" s="42">
        <f t="shared" si="28"/>
        <v>18550</v>
      </c>
      <c r="S85" s="44">
        <f>SUM(S86)</f>
        <v>0</v>
      </c>
      <c r="T85" s="42">
        <f t="shared" si="29"/>
        <v>18550</v>
      </c>
      <c r="U85" s="44">
        <f>SUM(U86)</f>
        <v>-2678</v>
      </c>
      <c r="V85" s="42">
        <f t="shared" si="30"/>
        <v>15872</v>
      </c>
      <c r="W85" s="44">
        <f>SUM(W86)</f>
        <v>0</v>
      </c>
      <c r="X85" s="42">
        <f t="shared" si="31"/>
        <v>15872</v>
      </c>
    </row>
    <row r="86" spans="1:24" s="27" customFormat="1" ht="28.5" customHeight="1">
      <c r="A86" s="75"/>
      <c r="B86" s="58">
        <v>85219</v>
      </c>
      <c r="C86" s="78"/>
      <c r="D86" s="14" t="s">
        <v>319</v>
      </c>
      <c r="E86" s="89">
        <f aca="true" t="shared" si="33" ref="E86:G87">SUM(E87)</f>
        <v>18550</v>
      </c>
      <c r="F86" s="89">
        <f t="shared" si="33"/>
        <v>0</v>
      </c>
      <c r="G86" s="89">
        <f t="shared" si="33"/>
        <v>0</v>
      </c>
      <c r="H86" s="64">
        <f>E86+F86-G86</f>
        <v>18550</v>
      </c>
      <c r="I86" s="89">
        <f>SUM(I87)</f>
        <v>0</v>
      </c>
      <c r="J86" s="64">
        <f t="shared" si="9"/>
        <v>18550</v>
      </c>
      <c r="K86" s="89">
        <f>SUM(K87)</f>
        <v>0</v>
      </c>
      <c r="L86" s="64">
        <f t="shared" si="10"/>
        <v>18550</v>
      </c>
      <c r="M86" s="89">
        <f>SUM(M87)</f>
        <v>0</v>
      </c>
      <c r="N86" s="64">
        <f t="shared" si="13"/>
        <v>18550</v>
      </c>
      <c r="O86" s="89">
        <f>SUM(O87)</f>
        <v>0</v>
      </c>
      <c r="P86" s="64">
        <f t="shared" si="11"/>
        <v>18550</v>
      </c>
      <c r="Q86" s="89">
        <f>SUM(Q87)</f>
        <v>0</v>
      </c>
      <c r="R86" s="64">
        <f t="shared" si="28"/>
        <v>18550</v>
      </c>
      <c r="S86" s="89">
        <f>SUM(S87)</f>
        <v>0</v>
      </c>
      <c r="T86" s="64">
        <f t="shared" si="29"/>
        <v>18550</v>
      </c>
      <c r="U86" s="89">
        <f>SUM(U87)</f>
        <v>-2678</v>
      </c>
      <c r="V86" s="64">
        <f t="shared" si="30"/>
        <v>15872</v>
      </c>
      <c r="W86" s="89">
        <f>SUM(W87)</f>
        <v>0</v>
      </c>
      <c r="X86" s="64">
        <f t="shared" si="31"/>
        <v>15872</v>
      </c>
    </row>
    <row r="87" spans="1:24" s="27" customFormat="1" ht="24.75" customHeight="1">
      <c r="A87" s="75"/>
      <c r="B87" s="58"/>
      <c r="C87" s="78">
        <v>6060</v>
      </c>
      <c r="D87" s="14" t="s">
        <v>358</v>
      </c>
      <c r="E87" s="89">
        <f t="shared" si="33"/>
        <v>18550</v>
      </c>
      <c r="F87" s="89">
        <f t="shared" si="33"/>
        <v>0</v>
      </c>
      <c r="G87" s="89">
        <f t="shared" si="33"/>
        <v>0</v>
      </c>
      <c r="H87" s="64">
        <f>E87+F87-G87</f>
        <v>18550</v>
      </c>
      <c r="I87" s="89">
        <f>SUM(I88)</f>
        <v>0</v>
      </c>
      <c r="J87" s="64">
        <f t="shared" si="9"/>
        <v>18550</v>
      </c>
      <c r="K87" s="89">
        <f>SUM(K88)</f>
        <v>0</v>
      </c>
      <c r="L87" s="64">
        <f t="shared" si="10"/>
        <v>18550</v>
      </c>
      <c r="M87" s="89">
        <f>SUM(M88)</f>
        <v>0</v>
      </c>
      <c r="N87" s="64">
        <f t="shared" si="13"/>
        <v>18550</v>
      </c>
      <c r="O87" s="89">
        <f>SUM(O88)</f>
        <v>0</v>
      </c>
      <c r="P87" s="64">
        <f t="shared" si="11"/>
        <v>18550</v>
      </c>
      <c r="Q87" s="89">
        <f>SUM(Q88)</f>
        <v>0</v>
      </c>
      <c r="R87" s="64">
        <f t="shared" si="28"/>
        <v>18550</v>
      </c>
      <c r="S87" s="89">
        <f>SUM(S88)</f>
        <v>0</v>
      </c>
      <c r="T87" s="64">
        <f t="shared" si="29"/>
        <v>18550</v>
      </c>
      <c r="U87" s="89">
        <f>SUM(U88)</f>
        <v>-2678</v>
      </c>
      <c r="V87" s="64">
        <f t="shared" si="30"/>
        <v>15872</v>
      </c>
      <c r="W87" s="89">
        <f>SUM(W88)</f>
        <v>0</v>
      </c>
      <c r="X87" s="64">
        <f t="shared" si="31"/>
        <v>15872</v>
      </c>
    </row>
    <row r="88" spans="1:24" s="30" customFormat="1" ht="27" customHeight="1">
      <c r="A88" s="54"/>
      <c r="B88" s="51"/>
      <c r="C88" s="55"/>
      <c r="D88" s="56" t="s">
        <v>594</v>
      </c>
      <c r="E88" s="91">
        <v>18550</v>
      </c>
      <c r="F88" s="91"/>
      <c r="G88" s="91"/>
      <c r="H88" s="170">
        <f>E88+F88-G88</f>
        <v>18550</v>
      </c>
      <c r="I88" s="91"/>
      <c r="J88" s="170">
        <f t="shared" si="9"/>
        <v>18550</v>
      </c>
      <c r="K88" s="91">
        <v>0</v>
      </c>
      <c r="L88" s="170">
        <f t="shared" si="10"/>
        <v>18550</v>
      </c>
      <c r="M88" s="91">
        <v>0</v>
      </c>
      <c r="N88" s="170">
        <f t="shared" si="13"/>
        <v>18550</v>
      </c>
      <c r="O88" s="91">
        <v>0</v>
      </c>
      <c r="P88" s="170">
        <f t="shared" si="11"/>
        <v>18550</v>
      </c>
      <c r="Q88" s="91">
        <v>0</v>
      </c>
      <c r="R88" s="170">
        <f t="shared" si="28"/>
        <v>18550</v>
      </c>
      <c r="S88" s="91">
        <v>0</v>
      </c>
      <c r="T88" s="170">
        <f t="shared" si="29"/>
        <v>18550</v>
      </c>
      <c r="U88" s="91">
        <f>-2539-139</f>
        <v>-2678</v>
      </c>
      <c r="V88" s="170">
        <f t="shared" si="30"/>
        <v>15872</v>
      </c>
      <c r="W88" s="91">
        <v>0</v>
      </c>
      <c r="X88" s="170">
        <f t="shared" si="31"/>
        <v>15872</v>
      </c>
    </row>
    <row r="89" spans="1:24" s="43" customFormat="1" ht="24.75" customHeight="1">
      <c r="A89" s="33">
        <v>854</v>
      </c>
      <c r="B89" s="5"/>
      <c r="C89" s="13"/>
      <c r="D89" s="22" t="s">
        <v>320</v>
      </c>
      <c r="E89" s="44">
        <f>SUM(E90)</f>
        <v>100000</v>
      </c>
      <c r="F89" s="44">
        <f>SUM(F90)</f>
        <v>0</v>
      </c>
      <c r="G89" s="44">
        <f>SUM(G90)</f>
        <v>70000</v>
      </c>
      <c r="H89" s="44">
        <f>SUM(H90)</f>
        <v>30000</v>
      </c>
      <c r="I89" s="44">
        <f>SUM(I90)</f>
        <v>0</v>
      </c>
      <c r="J89" s="42">
        <f t="shared" si="9"/>
        <v>30000</v>
      </c>
      <c r="K89" s="44">
        <f>SUM(K90)</f>
        <v>0</v>
      </c>
      <c r="L89" s="42">
        <f t="shared" si="10"/>
        <v>30000</v>
      </c>
      <c r="M89" s="44">
        <f>SUM(M90)</f>
        <v>0</v>
      </c>
      <c r="N89" s="42">
        <f t="shared" si="13"/>
        <v>30000</v>
      </c>
      <c r="O89" s="44">
        <f>SUM(O90)</f>
        <v>71000</v>
      </c>
      <c r="P89" s="42">
        <f t="shared" si="11"/>
        <v>101000</v>
      </c>
      <c r="Q89" s="44">
        <f>SUM(Q90)</f>
        <v>15000</v>
      </c>
      <c r="R89" s="42">
        <f t="shared" si="28"/>
        <v>116000</v>
      </c>
      <c r="S89" s="44">
        <f>SUM(S90)</f>
        <v>2000</v>
      </c>
      <c r="T89" s="42">
        <f t="shared" si="29"/>
        <v>118000</v>
      </c>
      <c r="U89" s="44">
        <f>SUM(U90)</f>
        <v>0</v>
      </c>
      <c r="V89" s="42">
        <f t="shared" si="30"/>
        <v>118000</v>
      </c>
      <c r="W89" s="44">
        <f>SUM(W90)</f>
        <v>-6000</v>
      </c>
      <c r="X89" s="42">
        <f t="shared" si="31"/>
        <v>112000</v>
      </c>
    </row>
    <row r="90" spans="1:24" s="27" customFormat="1" ht="41.25" customHeight="1">
      <c r="A90" s="75"/>
      <c r="B90" s="58">
        <v>85412</v>
      </c>
      <c r="C90" s="78"/>
      <c r="D90" s="40" t="s">
        <v>435</v>
      </c>
      <c r="E90" s="89">
        <f aca="true" t="shared" si="34" ref="E90:G91">SUM(E91)</f>
        <v>100000</v>
      </c>
      <c r="F90" s="89">
        <f t="shared" si="34"/>
        <v>0</v>
      </c>
      <c r="G90" s="89">
        <f t="shared" si="34"/>
        <v>70000</v>
      </c>
      <c r="H90" s="64">
        <f>E90+F90-G90</f>
        <v>30000</v>
      </c>
      <c r="I90" s="89">
        <f>SUM(I91)</f>
        <v>0</v>
      </c>
      <c r="J90" s="64">
        <f t="shared" si="9"/>
        <v>30000</v>
      </c>
      <c r="K90" s="89">
        <f>SUM(K91)</f>
        <v>0</v>
      </c>
      <c r="L90" s="64">
        <f t="shared" si="10"/>
        <v>30000</v>
      </c>
      <c r="M90" s="89">
        <f>SUM(M91)</f>
        <v>0</v>
      </c>
      <c r="N90" s="64">
        <f t="shared" si="13"/>
        <v>30000</v>
      </c>
      <c r="O90" s="89">
        <f>SUM(O91)</f>
        <v>71000</v>
      </c>
      <c r="P90" s="64">
        <f t="shared" si="11"/>
        <v>101000</v>
      </c>
      <c r="Q90" s="89">
        <f>SUM(Q91)</f>
        <v>15000</v>
      </c>
      <c r="R90" s="64">
        <f t="shared" si="28"/>
        <v>116000</v>
      </c>
      <c r="S90" s="89">
        <f>SUM(S91)</f>
        <v>2000</v>
      </c>
      <c r="T90" s="64">
        <f t="shared" si="29"/>
        <v>118000</v>
      </c>
      <c r="U90" s="89">
        <f>SUM(U91)</f>
        <v>0</v>
      </c>
      <c r="V90" s="64">
        <f t="shared" si="30"/>
        <v>118000</v>
      </c>
      <c r="W90" s="89">
        <f>SUM(W91)</f>
        <v>-6000</v>
      </c>
      <c r="X90" s="64">
        <f t="shared" si="31"/>
        <v>112000</v>
      </c>
    </row>
    <row r="91" spans="1:24" s="27" customFormat="1" ht="24.75" customHeight="1">
      <c r="A91" s="75"/>
      <c r="B91" s="58"/>
      <c r="C91" s="78">
        <v>6050</v>
      </c>
      <c r="D91" s="14" t="s">
        <v>334</v>
      </c>
      <c r="E91" s="89">
        <f t="shared" si="34"/>
        <v>100000</v>
      </c>
      <c r="F91" s="89">
        <f t="shared" si="34"/>
        <v>0</v>
      </c>
      <c r="G91" s="89">
        <f t="shared" si="34"/>
        <v>70000</v>
      </c>
      <c r="H91" s="64">
        <f>E91+F91-G91</f>
        <v>30000</v>
      </c>
      <c r="I91" s="89">
        <f>SUM(I92)</f>
        <v>0</v>
      </c>
      <c r="J91" s="64">
        <f t="shared" si="9"/>
        <v>30000</v>
      </c>
      <c r="K91" s="89">
        <f>SUM(K92)</f>
        <v>0</v>
      </c>
      <c r="L91" s="64">
        <f t="shared" si="10"/>
        <v>30000</v>
      </c>
      <c r="M91" s="89">
        <f>SUM(M92)</f>
        <v>0</v>
      </c>
      <c r="N91" s="64">
        <f t="shared" si="13"/>
        <v>30000</v>
      </c>
      <c r="O91" s="89">
        <f>SUM(O92)</f>
        <v>71000</v>
      </c>
      <c r="P91" s="64">
        <f t="shared" si="11"/>
        <v>101000</v>
      </c>
      <c r="Q91" s="89">
        <f>SUM(Q92)</f>
        <v>15000</v>
      </c>
      <c r="R91" s="64">
        <f t="shared" si="28"/>
        <v>116000</v>
      </c>
      <c r="S91" s="89">
        <f>SUM(S92)</f>
        <v>2000</v>
      </c>
      <c r="T91" s="64">
        <f t="shared" si="29"/>
        <v>118000</v>
      </c>
      <c r="U91" s="89">
        <f>SUM(U92)</f>
        <v>0</v>
      </c>
      <c r="V91" s="64">
        <f t="shared" si="30"/>
        <v>118000</v>
      </c>
      <c r="W91" s="89">
        <f>SUM(W92)</f>
        <v>-6000</v>
      </c>
      <c r="X91" s="64">
        <f t="shared" si="31"/>
        <v>112000</v>
      </c>
    </row>
    <row r="92" spans="1:24" s="30" customFormat="1" ht="18.75" customHeight="1">
      <c r="A92" s="54"/>
      <c r="B92" s="51"/>
      <c r="C92" s="55"/>
      <c r="D92" s="56" t="s">
        <v>595</v>
      </c>
      <c r="E92" s="91">
        <v>100000</v>
      </c>
      <c r="F92" s="91"/>
      <c r="G92" s="91">
        <v>70000</v>
      </c>
      <c r="H92" s="170">
        <f>E92+F92-G92</f>
        <v>30000</v>
      </c>
      <c r="I92" s="91"/>
      <c r="J92" s="170">
        <f t="shared" si="9"/>
        <v>30000</v>
      </c>
      <c r="K92" s="91">
        <v>0</v>
      </c>
      <c r="L92" s="170">
        <f t="shared" si="10"/>
        <v>30000</v>
      </c>
      <c r="M92" s="91">
        <v>0</v>
      </c>
      <c r="N92" s="211">
        <f t="shared" si="13"/>
        <v>30000</v>
      </c>
      <c r="O92" s="215">
        <f>11000+60000</f>
        <v>71000</v>
      </c>
      <c r="P92" s="211">
        <f t="shared" si="11"/>
        <v>101000</v>
      </c>
      <c r="Q92" s="215">
        <v>15000</v>
      </c>
      <c r="R92" s="211">
        <f t="shared" si="28"/>
        <v>116000</v>
      </c>
      <c r="S92" s="215">
        <v>2000</v>
      </c>
      <c r="T92" s="211">
        <f t="shared" si="29"/>
        <v>118000</v>
      </c>
      <c r="U92" s="215">
        <v>0</v>
      </c>
      <c r="V92" s="211">
        <f t="shared" si="30"/>
        <v>118000</v>
      </c>
      <c r="W92" s="215">
        <v>-6000</v>
      </c>
      <c r="X92" s="211">
        <f t="shared" si="31"/>
        <v>112000</v>
      </c>
    </row>
    <row r="93" spans="1:24" s="43" customFormat="1" ht="31.5" customHeight="1">
      <c r="A93" s="33" t="s">
        <v>392</v>
      </c>
      <c r="B93" s="5"/>
      <c r="C93" s="23"/>
      <c r="D93" s="22" t="s">
        <v>322</v>
      </c>
      <c r="E93" s="18">
        <f>SUM(E94,E111)</f>
        <v>415400</v>
      </c>
      <c r="F93" s="18">
        <f>SUM(F94,F111)</f>
        <v>260000</v>
      </c>
      <c r="G93" s="18">
        <f>SUM(G94,G111)</f>
        <v>260000</v>
      </c>
      <c r="H93" s="18">
        <f>SUM(H94,H111)</f>
        <v>415400</v>
      </c>
      <c r="I93" s="18">
        <f>SUM(I94,I111)</f>
        <v>250000</v>
      </c>
      <c r="J93" s="42">
        <f t="shared" si="9"/>
        <v>665400</v>
      </c>
      <c r="K93" s="18">
        <f>SUM(K94,K111)</f>
        <v>505115</v>
      </c>
      <c r="L93" s="42">
        <f t="shared" si="10"/>
        <v>1170515</v>
      </c>
      <c r="M93" s="18">
        <f>SUM(M94,M111)</f>
        <v>14057</v>
      </c>
      <c r="N93" s="42">
        <f t="shared" si="13"/>
        <v>1184572</v>
      </c>
      <c r="O93" s="18">
        <f>SUM(O94,O111)</f>
        <v>873078</v>
      </c>
      <c r="P93" s="42">
        <f t="shared" si="11"/>
        <v>2057650</v>
      </c>
      <c r="Q93" s="18">
        <f>SUM(Q94,Q111)</f>
        <v>4000</v>
      </c>
      <c r="R93" s="42">
        <f t="shared" si="28"/>
        <v>2061650</v>
      </c>
      <c r="S93" s="18">
        <f>SUM(S94,S111)</f>
        <v>-237000</v>
      </c>
      <c r="T93" s="42">
        <f t="shared" si="29"/>
        <v>1824650</v>
      </c>
      <c r="U93" s="18">
        <f>SUM(U94,U111)</f>
        <v>-3500</v>
      </c>
      <c r="V93" s="42">
        <f t="shared" si="30"/>
        <v>1821150</v>
      </c>
      <c r="W93" s="18">
        <f>SUM(W94,W111)</f>
        <v>-116500</v>
      </c>
      <c r="X93" s="42">
        <f t="shared" si="31"/>
        <v>1704650</v>
      </c>
    </row>
    <row r="94" spans="1:24" s="27" customFormat="1" ht="27" customHeight="1">
      <c r="A94" s="75"/>
      <c r="B94" s="76" t="s">
        <v>393</v>
      </c>
      <c r="C94" s="84"/>
      <c r="D94" s="14" t="s">
        <v>323</v>
      </c>
      <c r="E94" s="87">
        <f>SUM(E97)</f>
        <v>260000</v>
      </c>
      <c r="F94" s="87">
        <f>SUM(F97)</f>
        <v>260000</v>
      </c>
      <c r="G94" s="87">
        <f>SUM(G97)</f>
        <v>260000</v>
      </c>
      <c r="H94" s="64">
        <f>E94+F94-G94</f>
        <v>260000</v>
      </c>
      <c r="I94" s="87">
        <f>SUM(I97)</f>
        <v>250000</v>
      </c>
      <c r="J94" s="64">
        <f aca="true" t="shared" si="35" ref="J94:P94">SUM(J95,J97,)</f>
        <v>510000</v>
      </c>
      <c r="K94" s="64">
        <f t="shared" si="35"/>
        <v>505115</v>
      </c>
      <c r="L94" s="64">
        <f t="shared" si="35"/>
        <v>1015115</v>
      </c>
      <c r="M94" s="64">
        <f t="shared" si="35"/>
        <v>57</v>
      </c>
      <c r="N94" s="64">
        <f t="shared" si="35"/>
        <v>1015172</v>
      </c>
      <c r="O94" s="64">
        <f t="shared" si="35"/>
        <v>797078</v>
      </c>
      <c r="P94" s="64">
        <f t="shared" si="35"/>
        <v>1812250</v>
      </c>
      <c r="Q94" s="64">
        <f aca="true" t="shared" si="36" ref="Q94:V94">SUM(Q95,Q97,)</f>
        <v>34000</v>
      </c>
      <c r="R94" s="64">
        <f t="shared" si="36"/>
        <v>1846250</v>
      </c>
      <c r="S94" s="64">
        <f t="shared" si="36"/>
        <v>-228000</v>
      </c>
      <c r="T94" s="64">
        <f t="shared" si="36"/>
        <v>1618250</v>
      </c>
      <c r="U94" s="64">
        <f t="shared" si="36"/>
        <v>-3500</v>
      </c>
      <c r="V94" s="64">
        <f t="shared" si="36"/>
        <v>1614750</v>
      </c>
      <c r="W94" s="64">
        <f>SUM(W95,W97,)</f>
        <v>-84000</v>
      </c>
      <c r="X94" s="64">
        <f>SUM(X95,X97,)</f>
        <v>1530750</v>
      </c>
    </row>
    <row r="95" spans="1:24" s="27" customFormat="1" ht="67.5">
      <c r="A95" s="75"/>
      <c r="B95" s="76"/>
      <c r="C95" s="84">
        <v>6010</v>
      </c>
      <c r="D95" s="40" t="s">
        <v>576</v>
      </c>
      <c r="E95" s="87"/>
      <c r="F95" s="87"/>
      <c r="G95" s="87"/>
      <c r="H95" s="64"/>
      <c r="I95" s="87"/>
      <c r="J95" s="64">
        <f aca="true" t="shared" si="37" ref="J95:X95">SUM(J96)</f>
        <v>0</v>
      </c>
      <c r="K95" s="64">
        <f t="shared" si="37"/>
        <v>115</v>
      </c>
      <c r="L95" s="64">
        <f t="shared" si="37"/>
        <v>115</v>
      </c>
      <c r="M95" s="64">
        <f t="shared" si="37"/>
        <v>57</v>
      </c>
      <c r="N95" s="64">
        <f t="shared" si="37"/>
        <v>172</v>
      </c>
      <c r="O95" s="64">
        <f t="shared" si="37"/>
        <v>578</v>
      </c>
      <c r="P95" s="64">
        <f t="shared" si="37"/>
        <v>750</v>
      </c>
      <c r="Q95" s="64">
        <f t="shared" si="37"/>
        <v>0</v>
      </c>
      <c r="R95" s="64">
        <f t="shared" si="37"/>
        <v>750</v>
      </c>
      <c r="S95" s="64">
        <f t="shared" si="37"/>
        <v>0</v>
      </c>
      <c r="T95" s="64">
        <f t="shared" si="37"/>
        <v>750</v>
      </c>
      <c r="U95" s="64">
        <f t="shared" si="37"/>
        <v>0</v>
      </c>
      <c r="V95" s="64">
        <f t="shared" si="37"/>
        <v>750</v>
      </c>
      <c r="W95" s="64">
        <f t="shared" si="37"/>
        <v>0</v>
      </c>
      <c r="X95" s="64">
        <f t="shared" si="37"/>
        <v>750</v>
      </c>
    </row>
    <row r="96" spans="1:24" s="27" customFormat="1" ht="27" customHeight="1">
      <c r="A96" s="75"/>
      <c r="B96" s="76"/>
      <c r="C96" s="84"/>
      <c r="D96" s="14" t="s">
        <v>59</v>
      </c>
      <c r="E96" s="87"/>
      <c r="F96" s="87"/>
      <c r="G96" s="87"/>
      <c r="H96" s="64"/>
      <c r="I96" s="87"/>
      <c r="J96" s="64">
        <v>0</v>
      </c>
      <c r="K96" s="87">
        <v>115</v>
      </c>
      <c r="L96" s="170">
        <f>SUM(J96:K96)</f>
        <v>115</v>
      </c>
      <c r="M96" s="57">
        <v>57</v>
      </c>
      <c r="N96" s="170">
        <f>SUM(L96:M96)</f>
        <v>172</v>
      </c>
      <c r="O96" s="57">
        <v>578</v>
      </c>
      <c r="P96" s="170">
        <f>SUM(N96:O96)</f>
        <v>750</v>
      </c>
      <c r="Q96" s="57">
        <v>0</v>
      </c>
      <c r="R96" s="170">
        <f>SUM(P96:Q96)</f>
        <v>750</v>
      </c>
      <c r="S96" s="57">
        <v>0</v>
      </c>
      <c r="T96" s="170">
        <f>SUM(R96:S96)</f>
        <v>750</v>
      </c>
      <c r="U96" s="57">
        <v>0</v>
      </c>
      <c r="V96" s="170">
        <f>SUM(T96:U96)</f>
        <v>750</v>
      </c>
      <c r="W96" s="57">
        <v>0</v>
      </c>
      <c r="X96" s="170">
        <f>SUM(V96:W96)</f>
        <v>750</v>
      </c>
    </row>
    <row r="97" spans="1:24" s="27" customFormat="1" ht="27.75" customHeight="1">
      <c r="A97" s="75"/>
      <c r="B97" s="76"/>
      <c r="C97" s="77">
        <v>6050</v>
      </c>
      <c r="D97" s="14" t="s">
        <v>334</v>
      </c>
      <c r="E97" s="89">
        <f>SUM(E98:E99)</f>
        <v>260000</v>
      </c>
      <c r="F97" s="89">
        <f>SUM(F98:F99)</f>
        <v>260000</v>
      </c>
      <c r="G97" s="89">
        <f>SUM(G98:G99)</f>
        <v>260000</v>
      </c>
      <c r="H97" s="64">
        <f>SUM(H98:H100)</f>
        <v>260000</v>
      </c>
      <c r="I97" s="64">
        <f>SUM(I98:I100)</f>
        <v>250000</v>
      </c>
      <c r="J97" s="64">
        <f>SUM(J98:J102)</f>
        <v>510000</v>
      </c>
      <c r="K97" s="64">
        <f>SUM(K98:K102)</f>
        <v>505000</v>
      </c>
      <c r="L97" s="64">
        <f>SUM(L98:L102)</f>
        <v>1015000</v>
      </c>
      <c r="M97" s="64">
        <f>SUM(M98:M102)</f>
        <v>0</v>
      </c>
      <c r="N97" s="64">
        <f aca="true" t="shared" si="38" ref="N97:T97">SUM(N98:N110)</f>
        <v>1015000</v>
      </c>
      <c r="O97" s="64">
        <f t="shared" si="38"/>
        <v>796500</v>
      </c>
      <c r="P97" s="64">
        <f t="shared" si="38"/>
        <v>1811500</v>
      </c>
      <c r="Q97" s="64">
        <f t="shared" si="38"/>
        <v>34000</v>
      </c>
      <c r="R97" s="64">
        <f t="shared" si="38"/>
        <v>1845500</v>
      </c>
      <c r="S97" s="64">
        <f t="shared" si="38"/>
        <v>-228000</v>
      </c>
      <c r="T97" s="64">
        <f t="shared" si="38"/>
        <v>1617500</v>
      </c>
      <c r="U97" s="64">
        <f>SUM(U98:U110)</f>
        <v>-3500</v>
      </c>
      <c r="V97" s="64">
        <f>SUM(V98:V110)</f>
        <v>1614000</v>
      </c>
      <c r="W97" s="64">
        <f>SUM(W98:W110)</f>
        <v>-84000</v>
      </c>
      <c r="X97" s="64">
        <f>SUM(X98:X110)</f>
        <v>1530000</v>
      </c>
    </row>
    <row r="98" spans="1:24" s="30" customFormat="1" ht="24" customHeight="1">
      <c r="A98" s="54"/>
      <c r="B98" s="94"/>
      <c r="C98" s="100"/>
      <c r="D98" s="59" t="s">
        <v>596</v>
      </c>
      <c r="E98" s="91">
        <v>110000</v>
      </c>
      <c r="F98" s="91">
        <v>150000</v>
      </c>
      <c r="G98" s="91">
        <v>110000</v>
      </c>
      <c r="H98" s="64">
        <f>E98+F98-G98</f>
        <v>150000</v>
      </c>
      <c r="I98" s="91"/>
      <c r="J98" s="170">
        <f t="shared" si="9"/>
        <v>150000</v>
      </c>
      <c r="K98" s="91">
        <v>0</v>
      </c>
      <c r="L98" s="170">
        <f>SUM(J98:K98)</f>
        <v>150000</v>
      </c>
      <c r="M98" s="91">
        <v>0</v>
      </c>
      <c r="N98" s="170">
        <f>SUM(L98:M98)</f>
        <v>150000</v>
      </c>
      <c r="O98" s="91">
        <v>0</v>
      </c>
      <c r="P98" s="170">
        <f aca="true" t="shared" si="39" ref="P98:P111">SUM(N98:O98)</f>
        <v>150000</v>
      </c>
      <c r="Q98" s="91">
        <v>31000</v>
      </c>
      <c r="R98" s="170">
        <f aca="true" t="shared" si="40" ref="R98:R111">SUM(P98:Q98)</f>
        <v>181000</v>
      </c>
      <c r="S98" s="91">
        <v>-2000</v>
      </c>
      <c r="T98" s="170">
        <f aca="true" t="shared" si="41" ref="T98:T111">SUM(R98:S98)</f>
        <v>179000</v>
      </c>
      <c r="U98" s="91">
        <v>0</v>
      </c>
      <c r="V98" s="170">
        <f aca="true" t="shared" si="42" ref="V98:V111">SUM(T98:U98)</f>
        <v>179000</v>
      </c>
      <c r="W98" s="91">
        <v>0</v>
      </c>
      <c r="X98" s="170">
        <f aca="true" t="shared" si="43" ref="X98:X111">SUM(V98:W98)</f>
        <v>179000</v>
      </c>
    </row>
    <row r="99" spans="1:24" s="30" customFormat="1" ht="24" customHeight="1">
      <c r="A99" s="54"/>
      <c r="B99" s="94"/>
      <c r="C99" s="100"/>
      <c r="D99" s="59" t="s">
        <v>597</v>
      </c>
      <c r="E99" s="91">
        <v>150000</v>
      </c>
      <c r="F99" s="91">
        <v>110000</v>
      </c>
      <c r="G99" s="91">
        <v>150000</v>
      </c>
      <c r="H99" s="64">
        <f>E99+F99-G99</f>
        <v>110000</v>
      </c>
      <c r="I99" s="91"/>
      <c r="J99" s="170">
        <f t="shared" si="9"/>
        <v>110000</v>
      </c>
      <c r="K99" s="91">
        <v>0</v>
      </c>
      <c r="L99" s="170">
        <f>SUM(J99:K99)</f>
        <v>110000</v>
      </c>
      <c r="M99" s="91">
        <v>0</v>
      </c>
      <c r="N99" s="170">
        <f>SUM(L99:M99)</f>
        <v>110000</v>
      </c>
      <c r="O99" s="91">
        <v>0</v>
      </c>
      <c r="P99" s="170">
        <f t="shared" si="39"/>
        <v>110000</v>
      </c>
      <c r="Q99" s="91">
        <v>190000</v>
      </c>
      <c r="R99" s="170">
        <f t="shared" si="40"/>
        <v>300000</v>
      </c>
      <c r="S99" s="91">
        <v>-130000</v>
      </c>
      <c r="T99" s="170">
        <f t="shared" si="41"/>
        <v>170000</v>
      </c>
      <c r="U99" s="91">
        <v>0</v>
      </c>
      <c r="V99" s="170">
        <f t="shared" si="42"/>
        <v>170000</v>
      </c>
      <c r="W99" s="91">
        <v>0</v>
      </c>
      <c r="X99" s="170">
        <f t="shared" si="43"/>
        <v>170000</v>
      </c>
    </row>
    <row r="100" spans="1:24" s="30" customFormat="1" ht="67.5">
      <c r="A100" s="54"/>
      <c r="B100" s="94"/>
      <c r="C100" s="100"/>
      <c r="D100" s="59" t="s">
        <v>32</v>
      </c>
      <c r="E100" s="91"/>
      <c r="F100" s="91"/>
      <c r="G100" s="91"/>
      <c r="H100" s="64">
        <v>0</v>
      </c>
      <c r="I100" s="91">
        <v>250000</v>
      </c>
      <c r="J100" s="170">
        <f>SUM(H100:I100)</f>
        <v>250000</v>
      </c>
      <c r="K100" s="91">
        <v>0</v>
      </c>
      <c r="L100" s="170">
        <f>SUM(J100:K100)</f>
        <v>250000</v>
      </c>
      <c r="M100" s="91">
        <v>0</v>
      </c>
      <c r="N100" s="170">
        <f>SUM(L100:M100)</f>
        <v>250000</v>
      </c>
      <c r="O100" s="91">
        <v>0</v>
      </c>
      <c r="P100" s="170">
        <f t="shared" si="39"/>
        <v>250000</v>
      </c>
      <c r="Q100" s="91">
        <v>0</v>
      </c>
      <c r="R100" s="170">
        <f t="shared" si="40"/>
        <v>250000</v>
      </c>
      <c r="S100" s="91">
        <v>0</v>
      </c>
      <c r="T100" s="170">
        <f t="shared" si="41"/>
        <v>250000</v>
      </c>
      <c r="U100" s="91">
        <v>0</v>
      </c>
      <c r="V100" s="170">
        <f t="shared" si="42"/>
        <v>250000</v>
      </c>
      <c r="W100" s="91">
        <v>-84000</v>
      </c>
      <c r="X100" s="170">
        <f t="shared" si="43"/>
        <v>166000</v>
      </c>
    </row>
    <row r="101" spans="1:24" s="30" customFormat="1" ht="33.75">
      <c r="A101" s="54"/>
      <c r="B101" s="94"/>
      <c r="C101" s="100"/>
      <c r="D101" s="59" t="s">
        <v>89</v>
      </c>
      <c r="E101" s="91"/>
      <c r="F101" s="91"/>
      <c r="G101" s="91"/>
      <c r="H101" s="64"/>
      <c r="I101" s="91"/>
      <c r="J101" s="170">
        <v>0</v>
      </c>
      <c r="K101" s="91">
        <v>5000</v>
      </c>
      <c r="L101" s="170">
        <f>SUM(J101:K101)</f>
        <v>5000</v>
      </c>
      <c r="M101" s="91">
        <v>0</v>
      </c>
      <c r="N101" s="170">
        <f>SUM(L101:M101)</f>
        <v>5000</v>
      </c>
      <c r="O101" s="91">
        <v>0</v>
      </c>
      <c r="P101" s="170">
        <f t="shared" si="39"/>
        <v>5000</v>
      </c>
      <c r="Q101" s="91">
        <v>0</v>
      </c>
      <c r="R101" s="170">
        <f t="shared" si="40"/>
        <v>5000</v>
      </c>
      <c r="S101" s="91">
        <v>0</v>
      </c>
      <c r="T101" s="170">
        <f t="shared" si="41"/>
        <v>5000</v>
      </c>
      <c r="U101" s="91">
        <v>-3500</v>
      </c>
      <c r="V101" s="170">
        <f t="shared" si="42"/>
        <v>1500</v>
      </c>
      <c r="W101" s="91">
        <v>0</v>
      </c>
      <c r="X101" s="170">
        <f t="shared" si="43"/>
        <v>1500</v>
      </c>
    </row>
    <row r="102" spans="1:24" s="30" customFormat="1" ht="33.75">
      <c r="A102" s="54"/>
      <c r="B102" s="94"/>
      <c r="C102" s="100"/>
      <c r="D102" s="59" t="s">
        <v>104</v>
      </c>
      <c r="E102" s="57"/>
      <c r="F102" s="57"/>
      <c r="G102" s="57"/>
      <c r="H102" s="64"/>
      <c r="I102" s="57"/>
      <c r="J102" s="170">
        <v>0</v>
      </c>
      <c r="K102" s="57">
        <v>500000</v>
      </c>
      <c r="L102" s="170">
        <f>SUM(J102:K102)</f>
        <v>500000</v>
      </c>
      <c r="M102" s="57">
        <v>0</v>
      </c>
      <c r="N102" s="170">
        <f>SUM(L102:M102)</f>
        <v>500000</v>
      </c>
      <c r="O102" s="57">
        <v>0</v>
      </c>
      <c r="P102" s="170">
        <f t="shared" si="39"/>
        <v>500000</v>
      </c>
      <c r="Q102" s="57">
        <v>0</v>
      </c>
      <c r="R102" s="170">
        <f t="shared" si="40"/>
        <v>500000</v>
      </c>
      <c r="S102" s="57">
        <f>-450000+450000</f>
        <v>0</v>
      </c>
      <c r="T102" s="170">
        <f t="shared" si="41"/>
        <v>500000</v>
      </c>
      <c r="U102" s="57">
        <f>-450000+450000</f>
        <v>0</v>
      </c>
      <c r="V102" s="170">
        <f t="shared" si="42"/>
        <v>500000</v>
      </c>
      <c r="W102" s="57">
        <v>0</v>
      </c>
      <c r="X102" s="170">
        <f t="shared" si="43"/>
        <v>500000</v>
      </c>
    </row>
    <row r="103" spans="1:24" s="30" customFormat="1" ht="38.25" customHeight="1">
      <c r="A103" s="54"/>
      <c r="B103" s="94"/>
      <c r="C103" s="100"/>
      <c r="D103" s="59" t="s">
        <v>201</v>
      </c>
      <c r="E103" s="57"/>
      <c r="F103" s="57"/>
      <c r="G103" s="57"/>
      <c r="H103" s="64"/>
      <c r="I103" s="57"/>
      <c r="J103" s="170"/>
      <c r="K103" s="57"/>
      <c r="L103" s="170"/>
      <c r="M103" s="57"/>
      <c r="N103" s="170">
        <v>0</v>
      </c>
      <c r="O103" s="57">
        <v>75000</v>
      </c>
      <c r="P103" s="170">
        <f t="shared" si="39"/>
        <v>75000</v>
      </c>
      <c r="Q103" s="57">
        <v>86000</v>
      </c>
      <c r="R103" s="170">
        <f t="shared" si="40"/>
        <v>161000</v>
      </c>
      <c r="S103" s="57">
        <v>-60000</v>
      </c>
      <c r="T103" s="170">
        <f t="shared" si="41"/>
        <v>101000</v>
      </c>
      <c r="U103" s="57">
        <v>0</v>
      </c>
      <c r="V103" s="170">
        <f t="shared" si="42"/>
        <v>101000</v>
      </c>
      <c r="W103" s="57">
        <v>0</v>
      </c>
      <c r="X103" s="170">
        <f t="shared" si="43"/>
        <v>101000</v>
      </c>
    </row>
    <row r="104" spans="1:24" s="30" customFormat="1" ht="22.5">
      <c r="A104" s="54"/>
      <c r="B104" s="94"/>
      <c r="C104" s="100"/>
      <c r="D104" s="59" t="s">
        <v>170</v>
      </c>
      <c r="E104" s="57"/>
      <c r="F104" s="57"/>
      <c r="G104" s="57"/>
      <c r="H104" s="64"/>
      <c r="I104" s="57"/>
      <c r="J104" s="170"/>
      <c r="K104" s="57"/>
      <c r="L104" s="170"/>
      <c r="M104" s="57"/>
      <c r="N104" s="170">
        <v>0</v>
      </c>
      <c r="O104" s="57">
        <v>22000</v>
      </c>
      <c r="P104" s="170">
        <f t="shared" si="39"/>
        <v>22000</v>
      </c>
      <c r="Q104" s="57">
        <v>15000</v>
      </c>
      <c r="R104" s="170">
        <f t="shared" si="40"/>
        <v>37000</v>
      </c>
      <c r="S104" s="57">
        <v>0</v>
      </c>
      <c r="T104" s="170">
        <f t="shared" si="41"/>
        <v>37000</v>
      </c>
      <c r="U104" s="57">
        <v>0</v>
      </c>
      <c r="V104" s="170">
        <f t="shared" si="42"/>
        <v>37000</v>
      </c>
      <c r="W104" s="57">
        <v>0</v>
      </c>
      <c r="X104" s="170">
        <f t="shared" si="43"/>
        <v>37000</v>
      </c>
    </row>
    <row r="105" spans="1:24" s="30" customFormat="1" ht="22.5">
      <c r="A105" s="54"/>
      <c r="B105" s="94"/>
      <c r="C105" s="100"/>
      <c r="D105" s="59" t="s">
        <v>202</v>
      </c>
      <c r="E105" s="57"/>
      <c r="F105" s="57"/>
      <c r="G105" s="57"/>
      <c r="H105" s="64"/>
      <c r="I105" s="57"/>
      <c r="J105" s="170"/>
      <c r="K105" s="57"/>
      <c r="L105" s="170"/>
      <c r="M105" s="57"/>
      <c r="N105" s="170">
        <v>0</v>
      </c>
      <c r="O105" s="57">
        <v>95000</v>
      </c>
      <c r="P105" s="170">
        <f t="shared" si="39"/>
        <v>95000</v>
      </c>
      <c r="Q105" s="57">
        <v>-13000</v>
      </c>
      <c r="R105" s="170">
        <f t="shared" si="40"/>
        <v>82000</v>
      </c>
      <c r="S105" s="57">
        <v>0</v>
      </c>
      <c r="T105" s="170">
        <f t="shared" si="41"/>
        <v>82000</v>
      </c>
      <c r="U105" s="57">
        <v>0</v>
      </c>
      <c r="V105" s="170">
        <f t="shared" si="42"/>
        <v>82000</v>
      </c>
      <c r="W105" s="57">
        <v>0</v>
      </c>
      <c r="X105" s="170">
        <f t="shared" si="43"/>
        <v>82000</v>
      </c>
    </row>
    <row r="106" spans="1:24" s="30" customFormat="1" ht="23.25" customHeight="1">
      <c r="A106" s="54"/>
      <c r="B106" s="94"/>
      <c r="C106" s="100"/>
      <c r="D106" s="59" t="s">
        <v>203</v>
      </c>
      <c r="E106" s="57"/>
      <c r="F106" s="57"/>
      <c r="G106" s="57"/>
      <c r="H106" s="64"/>
      <c r="I106" s="57"/>
      <c r="J106" s="170"/>
      <c r="K106" s="57"/>
      <c r="L106" s="170"/>
      <c r="M106" s="57"/>
      <c r="N106" s="170">
        <v>0</v>
      </c>
      <c r="O106" s="57">
        <v>15000</v>
      </c>
      <c r="P106" s="170">
        <f t="shared" si="39"/>
        <v>15000</v>
      </c>
      <c r="Q106" s="57">
        <v>29000</v>
      </c>
      <c r="R106" s="170">
        <f t="shared" si="40"/>
        <v>44000</v>
      </c>
      <c r="S106" s="57">
        <v>0</v>
      </c>
      <c r="T106" s="170">
        <f t="shared" si="41"/>
        <v>44000</v>
      </c>
      <c r="U106" s="57">
        <v>0</v>
      </c>
      <c r="V106" s="170">
        <f t="shared" si="42"/>
        <v>44000</v>
      </c>
      <c r="W106" s="57">
        <v>0</v>
      </c>
      <c r="X106" s="170">
        <f t="shared" si="43"/>
        <v>44000</v>
      </c>
    </row>
    <row r="107" spans="1:24" s="30" customFormat="1" ht="24.75" customHeight="1">
      <c r="A107" s="54"/>
      <c r="B107" s="94"/>
      <c r="C107" s="100"/>
      <c r="D107" s="59" t="s">
        <v>171</v>
      </c>
      <c r="E107" s="57"/>
      <c r="F107" s="57"/>
      <c r="G107" s="57"/>
      <c r="H107" s="64"/>
      <c r="I107" s="57"/>
      <c r="J107" s="170"/>
      <c r="K107" s="57"/>
      <c r="L107" s="170"/>
      <c r="M107" s="57"/>
      <c r="N107" s="170">
        <v>0</v>
      </c>
      <c r="O107" s="57">
        <v>21000</v>
      </c>
      <c r="P107" s="170">
        <f t="shared" si="39"/>
        <v>21000</v>
      </c>
      <c r="Q107" s="57">
        <v>46000</v>
      </c>
      <c r="R107" s="170">
        <f t="shared" si="40"/>
        <v>67000</v>
      </c>
      <c r="S107" s="57">
        <v>-35000</v>
      </c>
      <c r="T107" s="170">
        <f t="shared" si="41"/>
        <v>32000</v>
      </c>
      <c r="U107" s="57">
        <v>0</v>
      </c>
      <c r="V107" s="170">
        <f t="shared" si="42"/>
        <v>32000</v>
      </c>
      <c r="W107" s="57">
        <v>0</v>
      </c>
      <c r="X107" s="170">
        <f t="shared" si="43"/>
        <v>32000</v>
      </c>
    </row>
    <row r="108" spans="1:24" s="30" customFormat="1" ht="24.75" customHeight="1">
      <c r="A108" s="54"/>
      <c r="B108" s="94"/>
      <c r="C108" s="100"/>
      <c r="D108" s="59" t="s">
        <v>234</v>
      </c>
      <c r="E108" s="57"/>
      <c r="F108" s="57"/>
      <c r="G108" s="57"/>
      <c r="H108" s="64"/>
      <c r="I108" s="57"/>
      <c r="J108" s="170"/>
      <c r="K108" s="57"/>
      <c r="L108" s="170"/>
      <c r="M108" s="57"/>
      <c r="N108" s="170">
        <v>0</v>
      </c>
      <c r="O108" s="216">
        <v>418500</v>
      </c>
      <c r="P108" s="170">
        <f t="shared" si="39"/>
        <v>418500</v>
      </c>
      <c r="Q108" s="216">
        <v>-418500</v>
      </c>
      <c r="R108" s="170">
        <f t="shared" si="40"/>
        <v>0</v>
      </c>
      <c r="S108" s="216">
        <v>0</v>
      </c>
      <c r="T108" s="170">
        <f t="shared" si="41"/>
        <v>0</v>
      </c>
      <c r="U108" s="216">
        <v>0</v>
      </c>
      <c r="V108" s="170">
        <f t="shared" si="42"/>
        <v>0</v>
      </c>
      <c r="W108" s="216">
        <v>0</v>
      </c>
      <c r="X108" s="170">
        <f t="shared" si="43"/>
        <v>0</v>
      </c>
    </row>
    <row r="109" spans="1:24" s="30" customFormat="1" ht="24.75" customHeight="1">
      <c r="A109" s="54"/>
      <c r="B109" s="94"/>
      <c r="C109" s="100"/>
      <c r="D109" s="59" t="s">
        <v>241</v>
      </c>
      <c r="E109" s="57"/>
      <c r="F109" s="57"/>
      <c r="G109" s="57"/>
      <c r="H109" s="64"/>
      <c r="I109" s="57"/>
      <c r="J109" s="170"/>
      <c r="K109" s="57"/>
      <c r="L109" s="170"/>
      <c r="M109" s="57"/>
      <c r="N109" s="170">
        <v>0</v>
      </c>
      <c r="O109" s="216">
        <v>40000</v>
      </c>
      <c r="P109" s="170">
        <f t="shared" si="39"/>
        <v>40000</v>
      </c>
      <c r="Q109" s="216">
        <v>0</v>
      </c>
      <c r="R109" s="170">
        <f t="shared" si="40"/>
        <v>40000</v>
      </c>
      <c r="S109" s="216">
        <v>0</v>
      </c>
      <c r="T109" s="170">
        <f t="shared" si="41"/>
        <v>40000</v>
      </c>
      <c r="U109" s="216">
        <v>0</v>
      </c>
      <c r="V109" s="170">
        <f t="shared" si="42"/>
        <v>40000</v>
      </c>
      <c r="W109" s="216">
        <v>0</v>
      </c>
      <c r="X109" s="170">
        <f t="shared" si="43"/>
        <v>40000</v>
      </c>
    </row>
    <row r="110" spans="1:24" s="30" customFormat="1" ht="24.75" customHeight="1">
      <c r="A110" s="54"/>
      <c r="B110" s="94"/>
      <c r="C110" s="100"/>
      <c r="D110" s="59" t="s">
        <v>172</v>
      </c>
      <c r="E110" s="57"/>
      <c r="F110" s="57"/>
      <c r="G110" s="57"/>
      <c r="H110" s="64"/>
      <c r="I110" s="57"/>
      <c r="J110" s="170"/>
      <c r="K110" s="57"/>
      <c r="L110" s="170"/>
      <c r="M110" s="57"/>
      <c r="N110" s="170">
        <v>0</v>
      </c>
      <c r="O110" s="57">
        <v>110000</v>
      </c>
      <c r="P110" s="170">
        <f t="shared" si="39"/>
        <v>110000</v>
      </c>
      <c r="Q110" s="57">
        <v>68500</v>
      </c>
      <c r="R110" s="170">
        <f t="shared" si="40"/>
        <v>178500</v>
      </c>
      <c r="S110" s="57">
        <v>-1000</v>
      </c>
      <c r="T110" s="170">
        <f t="shared" si="41"/>
        <v>177500</v>
      </c>
      <c r="U110" s="57">
        <v>0</v>
      </c>
      <c r="V110" s="170">
        <f t="shared" si="42"/>
        <v>177500</v>
      </c>
      <c r="W110" s="57">
        <v>0</v>
      </c>
      <c r="X110" s="170">
        <f t="shared" si="43"/>
        <v>177500</v>
      </c>
    </row>
    <row r="111" spans="1:24" s="27" customFormat="1" ht="24" customHeight="1">
      <c r="A111" s="75"/>
      <c r="B111" s="76" t="s">
        <v>402</v>
      </c>
      <c r="C111" s="84"/>
      <c r="D111" s="14" t="s">
        <v>403</v>
      </c>
      <c r="E111" s="87">
        <f>SUM(E112:E112)</f>
        <v>155400</v>
      </c>
      <c r="F111" s="87">
        <f>SUM(F112:F112)</f>
        <v>0</v>
      </c>
      <c r="G111" s="87">
        <f>SUM(G112:G112)</f>
        <v>0</v>
      </c>
      <c r="H111" s="64">
        <f aca="true" t="shared" si="44" ref="H111:H118">E111+F111-G111</f>
        <v>155400</v>
      </c>
      <c r="I111" s="87">
        <f>SUM(I112:I112)</f>
        <v>0</v>
      </c>
      <c r="J111" s="64">
        <f aca="true" t="shared" si="45" ref="J111:J138">SUM(H111:I111)</f>
        <v>155400</v>
      </c>
      <c r="K111" s="87">
        <f>SUM(K112:K112)</f>
        <v>0</v>
      </c>
      <c r="L111" s="64">
        <f aca="true" t="shared" si="46" ref="L111:L138">SUM(J111:K111)</f>
        <v>155400</v>
      </c>
      <c r="M111" s="87">
        <f>SUM(M112:M112)</f>
        <v>14000</v>
      </c>
      <c r="N111" s="64">
        <f>SUM(L111:M111)</f>
        <v>169400</v>
      </c>
      <c r="O111" s="87">
        <f>SUM(O112:O112)</f>
        <v>76000</v>
      </c>
      <c r="P111" s="64">
        <f t="shared" si="39"/>
        <v>245400</v>
      </c>
      <c r="Q111" s="87">
        <f>SUM(Q112:Q112)</f>
        <v>-30000</v>
      </c>
      <c r="R111" s="64">
        <f t="shared" si="40"/>
        <v>215400</v>
      </c>
      <c r="S111" s="87">
        <f>SUM(S112:S112)</f>
        <v>-9000</v>
      </c>
      <c r="T111" s="64">
        <f t="shared" si="41"/>
        <v>206400</v>
      </c>
      <c r="U111" s="87">
        <f>SUM(U112:U112)</f>
        <v>0</v>
      </c>
      <c r="V111" s="64">
        <f t="shared" si="42"/>
        <v>206400</v>
      </c>
      <c r="W111" s="87">
        <f>SUM(W112:W112)</f>
        <v>-32500</v>
      </c>
      <c r="X111" s="64">
        <f t="shared" si="43"/>
        <v>173900</v>
      </c>
    </row>
    <row r="112" spans="1:24" s="27" customFormat="1" ht="25.5" customHeight="1">
      <c r="A112" s="75"/>
      <c r="B112" s="58"/>
      <c r="C112" s="77">
        <v>6050</v>
      </c>
      <c r="D112" s="14" t="s">
        <v>334</v>
      </c>
      <c r="E112" s="87">
        <f>SUM(E113:E118)</f>
        <v>155400</v>
      </c>
      <c r="F112" s="87">
        <f>SUM(F113:F118)</f>
        <v>0</v>
      </c>
      <c r="G112" s="87">
        <f>SUM(G113:G118)</f>
        <v>0</v>
      </c>
      <c r="H112" s="64">
        <f t="shared" si="44"/>
        <v>155400</v>
      </c>
      <c r="I112" s="87">
        <f>SUM(I113:I118)</f>
        <v>0</v>
      </c>
      <c r="J112" s="64">
        <f>SUM(J113:J118)</f>
        <v>155400</v>
      </c>
      <c r="K112" s="64">
        <f>SUM(K113:K118)</f>
        <v>0</v>
      </c>
      <c r="L112" s="64">
        <f>SUM(L113:L119)</f>
        <v>155400</v>
      </c>
      <c r="M112" s="64">
        <f>SUM(M113:M119)</f>
        <v>14000</v>
      </c>
      <c r="N112" s="64">
        <f aca="true" t="shared" si="47" ref="N112:T112">SUM(N113:N122)</f>
        <v>169400</v>
      </c>
      <c r="O112" s="64">
        <f t="shared" si="47"/>
        <v>76000</v>
      </c>
      <c r="P112" s="64">
        <f t="shared" si="47"/>
        <v>245400</v>
      </c>
      <c r="Q112" s="64">
        <f t="shared" si="47"/>
        <v>-30000</v>
      </c>
      <c r="R112" s="64">
        <f t="shared" si="47"/>
        <v>215400</v>
      </c>
      <c r="S112" s="64">
        <f t="shared" si="47"/>
        <v>-9000</v>
      </c>
      <c r="T112" s="64">
        <f t="shared" si="47"/>
        <v>206400</v>
      </c>
      <c r="U112" s="64">
        <f>SUM(U113:U122)</f>
        <v>0</v>
      </c>
      <c r="V112" s="64">
        <f>SUM(V113:V122)</f>
        <v>206400</v>
      </c>
      <c r="W112" s="64">
        <f>SUM(W113:W122)</f>
        <v>-32500</v>
      </c>
      <c r="X112" s="64">
        <f>SUM(X113:X122)</f>
        <v>173900</v>
      </c>
    </row>
    <row r="113" spans="1:24" s="30" customFormat="1" ht="24" customHeight="1">
      <c r="A113" s="54"/>
      <c r="B113" s="51"/>
      <c r="C113" s="100"/>
      <c r="D113" s="56" t="s">
        <v>599</v>
      </c>
      <c r="E113" s="57">
        <v>85000</v>
      </c>
      <c r="F113" s="57"/>
      <c r="G113" s="57"/>
      <c r="H113" s="170">
        <f t="shared" si="44"/>
        <v>85000</v>
      </c>
      <c r="I113" s="57"/>
      <c r="J113" s="170">
        <f t="shared" si="45"/>
        <v>85000</v>
      </c>
      <c r="K113" s="57"/>
      <c r="L113" s="170">
        <f t="shared" si="46"/>
        <v>85000</v>
      </c>
      <c r="M113" s="57">
        <v>0</v>
      </c>
      <c r="N113" s="170">
        <f aca="true" t="shared" si="48" ref="N113:N138">SUM(L113:M113)</f>
        <v>85000</v>
      </c>
      <c r="O113" s="57">
        <v>0</v>
      </c>
      <c r="P113" s="170">
        <f aca="true" t="shared" si="49" ref="P113:P138">SUM(N113:O113)</f>
        <v>85000</v>
      </c>
      <c r="Q113" s="57">
        <v>0</v>
      </c>
      <c r="R113" s="170">
        <f aca="true" t="shared" si="50" ref="R113:R138">SUM(P113:Q113)</f>
        <v>85000</v>
      </c>
      <c r="S113" s="57">
        <v>-9000</v>
      </c>
      <c r="T113" s="170">
        <f aca="true" t="shared" si="51" ref="T113:T133">SUM(R113:S113)</f>
        <v>76000</v>
      </c>
      <c r="U113" s="57">
        <v>0</v>
      </c>
      <c r="V113" s="170">
        <f aca="true" t="shared" si="52" ref="V113:V133">SUM(T113:U113)</f>
        <v>76000</v>
      </c>
      <c r="W113" s="57">
        <v>0</v>
      </c>
      <c r="X113" s="170">
        <f aca="true" t="shared" si="53" ref="X113:X133">SUM(V113:W113)</f>
        <v>76000</v>
      </c>
    </row>
    <row r="114" spans="1:24" s="30" customFormat="1" ht="39.75" customHeight="1">
      <c r="A114" s="54"/>
      <c r="B114" s="51"/>
      <c r="C114" s="100"/>
      <c r="D114" s="56" t="s">
        <v>692</v>
      </c>
      <c r="E114" s="57">
        <f>20000+4000</f>
        <v>24000</v>
      </c>
      <c r="F114" s="57"/>
      <c r="G114" s="57"/>
      <c r="H114" s="170">
        <f t="shared" si="44"/>
        <v>24000</v>
      </c>
      <c r="I114" s="57"/>
      <c r="J114" s="170">
        <f t="shared" si="45"/>
        <v>24000</v>
      </c>
      <c r="K114" s="57">
        <v>0</v>
      </c>
      <c r="L114" s="170">
        <f t="shared" si="46"/>
        <v>24000</v>
      </c>
      <c r="M114" s="57">
        <v>0</v>
      </c>
      <c r="N114" s="170">
        <f t="shared" si="48"/>
        <v>24000</v>
      </c>
      <c r="O114" s="57">
        <v>0</v>
      </c>
      <c r="P114" s="170">
        <f t="shared" si="49"/>
        <v>24000</v>
      </c>
      <c r="Q114" s="57">
        <v>0</v>
      </c>
      <c r="R114" s="170">
        <f t="shared" si="50"/>
        <v>24000</v>
      </c>
      <c r="S114" s="57">
        <v>-6500</v>
      </c>
      <c r="T114" s="170">
        <f t="shared" si="51"/>
        <v>17500</v>
      </c>
      <c r="U114" s="57">
        <v>0</v>
      </c>
      <c r="V114" s="170">
        <f t="shared" si="52"/>
        <v>17500</v>
      </c>
      <c r="W114" s="57">
        <v>0</v>
      </c>
      <c r="X114" s="170">
        <f t="shared" si="53"/>
        <v>17500</v>
      </c>
    </row>
    <row r="115" spans="1:24" s="30" customFormat="1" ht="20.25" customHeight="1">
      <c r="A115" s="54"/>
      <c r="B115" s="51"/>
      <c r="C115" s="100"/>
      <c r="D115" s="56" t="s">
        <v>600</v>
      </c>
      <c r="E115" s="57">
        <v>15000</v>
      </c>
      <c r="F115" s="57"/>
      <c r="G115" s="57"/>
      <c r="H115" s="170">
        <f t="shared" si="44"/>
        <v>15000</v>
      </c>
      <c r="I115" s="57"/>
      <c r="J115" s="170">
        <f t="shared" si="45"/>
        <v>15000</v>
      </c>
      <c r="K115" s="57">
        <v>0</v>
      </c>
      <c r="L115" s="170">
        <f t="shared" si="46"/>
        <v>15000</v>
      </c>
      <c r="M115" s="57">
        <v>0</v>
      </c>
      <c r="N115" s="170">
        <f t="shared" si="48"/>
        <v>15000</v>
      </c>
      <c r="O115" s="57">
        <v>0</v>
      </c>
      <c r="P115" s="170">
        <f t="shared" si="49"/>
        <v>15000</v>
      </c>
      <c r="Q115" s="57">
        <v>0</v>
      </c>
      <c r="R115" s="170">
        <f t="shared" si="50"/>
        <v>15000</v>
      </c>
      <c r="S115" s="57">
        <v>0</v>
      </c>
      <c r="T115" s="170">
        <f t="shared" si="51"/>
        <v>15000</v>
      </c>
      <c r="U115" s="57">
        <v>0</v>
      </c>
      <c r="V115" s="170">
        <f t="shared" si="52"/>
        <v>15000</v>
      </c>
      <c r="W115" s="57">
        <v>0</v>
      </c>
      <c r="X115" s="170">
        <f t="shared" si="53"/>
        <v>15000</v>
      </c>
    </row>
    <row r="116" spans="1:24" s="30" customFormat="1" ht="23.25" customHeight="1">
      <c r="A116" s="54"/>
      <c r="B116" s="51"/>
      <c r="C116" s="100"/>
      <c r="D116" s="56" t="s">
        <v>601</v>
      </c>
      <c r="E116" s="91">
        <v>1400</v>
      </c>
      <c r="F116" s="91"/>
      <c r="G116" s="91"/>
      <c r="H116" s="170">
        <f t="shared" si="44"/>
        <v>1400</v>
      </c>
      <c r="I116" s="91"/>
      <c r="J116" s="170">
        <f t="shared" si="45"/>
        <v>1400</v>
      </c>
      <c r="K116" s="91">
        <v>0</v>
      </c>
      <c r="L116" s="170">
        <f t="shared" si="46"/>
        <v>1400</v>
      </c>
      <c r="M116" s="91">
        <v>0</v>
      </c>
      <c r="N116" s="170">
        <f t="shared" si="48"/>
        <v>1400</v>
      </c>
      <c r="O116" s="215">
        <v>7000</v>
      </c>
      <c r="P116" s="170">
        <f t="shared" si="49"/>
        <v>8400</v>
      </c>
      <c r="Q116" s="215">
        <v>0</v>
      </c>
      <c r="R116" s="170">
        <f t="shared" si="50"/>
        <v>8400</v>
      </c>
      <c r="S116" s="215">
        <v>6500</v>
      </c>
      <c r="T116" s="170">
        <f t="shared" si="51"/>
        <v>14900</v>
      </c>
      <c r="U116" s="215">
        <v>0</v>
      </c>
      <c r="V116" s="170">
        <f t="shared" si="52"/>
        <v>14900</v>
      </c>
      <c r="W116" s="215">
        <v>0</v>
      </c>
      <c r="X116" s="170">
        <f t="shared" si="53"/>
        <v>14900</v>
      </c>
    </row>
    <row r="117" spans="1:24" s="30" customFormat="1" ht="19.5" customHeight="1">
      <c r="A117" s="54"/>
      <c r="B117" s="51"/>
      <c r="C117" s="55"/>
      <c r="D117" s="56" t="s">
        <v>602</v>
      </c>
      <c r="E117" s="91">
        <v>10000</v>
      </c>
      <c r="F117" s="91"/>
      <c r="G117" s="91"/>
      <c r="H117" s="170">
        <f t="shared" si="44"/>
        <v>10000</v>
      </c>
      <c r="I117" s="91"/>
      <c r="J117" s="170">
        <f t="shared" si="45"/>
        <v>10000</v>
      </c>
      <c r="K117" s="91">
        <v>0</v>
      </c>
      <c r="L117" s="170">
        <f t="shared" si="46"/>
        <v>10000</v>
      </c>
      <c r="M117" s="91">
        <v>0</v>
      </c>
      <c r="N117" s="170">
        <f t="shared" si="48"/>
        <v>10000</v>
      </c>
      <c r="O117" s="91">
        <v>0</v>
      </c>
      <c r="P117" s="170">
        <f t="shared" si="49"/>
        <v>10000</v>
      </c>
      <c r="Q117" s="91">
        <v>0</v>
      </c>
      <c r="R117" s="170">
        <f t="shared" si="50"/>
        <v>10000</v>
      </c>
      <c r="S117" s="91">
        <v>0</v>
      </c>
      <c r="T117" s="170">
        <f t="shared" si="51"/>
        <v>10000</v>
      </c>
      <c r="U117" s="91">
        <v>0</v>
      </c>
      <c r="V117" s="170">
        <f t="shared" si="52"/>
        <v>10000</v>
      </c>
      <c r="W117" s="91">
        <v>0</v>
      </c>
      <c r="X117" s="170">
        <f t="shared" si="53"/>
        <v>10000</v>
      </c>
    </row>
    <row r="118" spans="1:24" s="30" customFormat="1" ht="21.75" customHeight="1">
      <c r="A118" s="54"/>
      <c r="B118" s="51"/>
      <c r="C118" s="55"/>
      <c r="D118" s="56" t="s">
        <v>603</v>
      </c>
      <c r="E118" s="91">
        <v>20000</v>
      </c>
      <c r="F118" s="91"/>
      <c r="G118" s="91"/>
      <c r="H118" s="170">
        <f t="shared" si="44"/>
        <v>20000</v>
      </c>
      <c r="I118" s="91"/>
      <c r="J118" s="170">
        <f t="shared" si="45"/>
        <v>20000</v>
      </c>
      <c r="K118" s="91">
        <v>0</v>
      </c>
      <c r="L118" s="170">
        <f t="shared" si="46"/>
        <v>20000</v>
      </c>
      <c r="M118" s="91">
        <v>0</v>
      </c>
      <c r="N118" s="170">
        <f t="shared" si="48"/>
        <v>20000</v>
      </c>
      <c r="O118" s="91">
        <v>0</v>
      </c>
      <c r="P118" s="170">
        <f t="shared" si="49"/>
        <v>20000</v>
      </c>
      <c r="Q118" s="91">
        <v>0</v>
      </c>
      <c r="R118" s="170">
        <f t="shared" si="50"/>
        <v>20000</v>
      </c>
      <c r="S118" s="91">
        <f>-17000+17000</f>
        <v>0</v>
      </c>
      <c r="T118" s="170">
        <f t="shared" si="51"/>
        <v>20000</v>
      </c>
      <c r="U118" s="91">
        <f>-17000+17000</f>
        <v>0</v>
      </c>
      <c r="V118" s="170">
        <f t="shared" si="52"/>
        <v>20000</v>
      </c>
      <c r="W118" s="91">
        <f>-17000+17000</f>
        <v>0</v>
      </c>
      <c r="X118" s="170">
        <f t="shared" si="53"/>
        <v>20000</v>
      </c>
    </row>
    <row r="119" spans="1:24" s="30" customFormat="1" ht="38.25" customHeight="1">
      <c r="A119" s="54"/>
      <c r="B119" s="51"/>
      <c r="C119" s="55"/>
      <c r="D119" s="56" t="s">
        <v>243</v>
      </c>
      <c r="E119" s="91"/>
      <c r="F119" s="91"/>
      <c r="G119" s="91"/>
      <c r="H119" s="170"/>
      <c r="I119" s="91"/>
      <c r="J119" s="170"/>
      <c r="K119" s="91"/>
      <c r="L119" s="170">
        <v>0</v>
      </c>
      <c r="M119" s="91">
        <v>14000</v>
      </c>
      <c r="N119" s="170">
        <f t="shared" si="48"/>
        <v>14000</v>
      </c>
      <c r="O119" s="91">
        <v>0</v>
      </c>
      <c r="P119" s="170">
        <f t="shared" si="49"/>
        <v>14000</v>
      </c>
      <c r="Q119" s="91">
        <v>0</v>
      </c>
      <c r="R119" s="170">
        <f t="shared" si="50"/>
        <v>14000</v>
      </c>
      <c r="S119" s="91">
        <v>0</v>
      </c>
      <c r="T119" s="170">
        <f t="shared" si="51"/>
        <v>14000</v>
      </c>
      <c r="U119" s="91">
        <v>0</v>
      </c>
      <c r="V119" s="170">
        <f t="shared" si="52"/>
        <v>14000</v>
      </c>
      <c r="W119" s="91">
        <v>0</v>
      </c>
      <c r="X119" s="170">
        <f t="shared" si="53"/>
        <v>14000</v>
      </c>
    </row>
    <row r="120" spans="1:24" s="30" customFormat="1" ht="24" customHeight="1">
      <c r="A120" s="54"/>
      <c r="B120" s="51"/>
      <c r="C120" s="55"/>
      <c r="D120" s="56" t="s">
        <v>193</v>
      </c>
      <c r="E120" s="91"/>
      <c r="F120" s="91"/>
      <c r="G120" s="91"/>
      <c r="H120" s="170"/>
      <c r="I120" s="91"/>
      <c r="J120" s="170"/>
      <c r="K120" s="91"/>
      <c r="L120" s="170"/>
      <c r="M120" s="91"/>
      <c r="N120" s="170">
        <v>0</v>
      </c>
      <c r="O120" s="91">
        <v>14000</v>
      </c>
      <c r="P120" s="170">
        <f t="shared" si="49"/>
        <v>14000</v>
      </c>
      <c r="Q120" s="91">
        <v>0</v>
      </c>
      <c r="R120" s="170">
        <f t="shared" si="50"/>
        <v>14000</v>
      </c>
      <c r="S120" s="91">
        <f>-11000+11000</f>
        <v>0</v>
      </c>
      <c r="T120" s="170">
        <f t="shared" si="51"/>
        <v>14000</v>
      </c>
      <c r="U120" s="91">
        <f>-11000+11000</f>
        <v>0</v>
      </c>
      <c r="V120" s="170">
        <f t="shared" si="52"/>
        <v>14000</v>
      </c>
      <c r="W120" s="91">
        <v>-11000</v>
      </c>
      <c r="X120" s="170">
        <f t="shared" si="53"/>
        <v>3000</v>
      </c>
    </row>
    <row r="121" spans="1:24" s="30" customFormat="1" ht="22.5" customHeight="1">
      <c r="A121" s="54"/>
      <c r="B121" s="51"/>
      <c r="C121" s="55"/>
      <c r="D121" s="56" t="s">
        <v>194</v>
      </c>
      <c r="E121" s="91"/>
      <c r="F121" s="91"/>
      <c r="G121" s="91"/>
      <c r="H121" s="170"/>
      <c r="I121" s="91"/>
      <c r="J121" s="170"/>
      <c r="K121" s="91"/>
      <c r="L121" s="170"/>
      <c r="M121" s="91"/>
      <c r="N121" s="170">
        <v>0</v>
      </c>
      <c r="O121" s="91">
        <v>25000</v>
      </c>
      <c r="P121" s="170">
        <f t="shared" si="49"/>
        <v>25000</v>
      </c>
      <c r="Q121" s="91">
        <v>0</v>
      </c>
      <c r="R121" s="170">
        <f t="shared" si="50"/>
        <v>25000</v>
      </c>
      <c r="S121" s="91">
        <v>0</v>
      </c>
      <c r="T121" s="170">
        <f t="shared" si="51"/>
        <v>25000</v>
      </c>
      <c r="U121" s="91">
        <v>0</v>
      </c>
      <c r="V121" s="170">
        <f t="shared" si="52"/>
        <v>25000</v>
      </c>
      <c r="W121" s="91">
        <v>-21500</v>
      </c>
      <c r="X121" s="170">
        <f t="shared" si="53"/>
        <v>3500</v>
      </c>
    </row>
    <row r="122" spans="1:24" s="30" customFormat="1" ht="24" customHeight="1">
      <c r="A122" s="54"/>
      <c r="B122" s="51"/>
      <c r="C122" s="55"/>
      <c r="D122" s="56" t="s">
        <v>195</v>
      </c>
      <c r="E122" s="91"/>
      <c r="F122" s="91"/>
      <c r="G122" s="91"/>
      <c r="H122" s="170"/>
      <c r="I122" s="91"/>
      <c r="J122" s="170"/>
      <c r="K122" s="91"/>
      <c r="L122" s="170"/>
      <c r="M122" s="91"/>
      <c r="N122" s="170">
        <v>0</v>
      </c>
      <c r="O122" s="91">
        <v>30000</v>
      </c>
      <c r="P122" s="170">
        <f t="shared" si="49"/>
        <v>30000</v>
      </c>
      <c r="Q122" s="91">
        <v>-30000</v>
      </c>
      <c r="R122" s="170">
        <f t="shared" si="50"/>
        <v>0</v>
      </c>
      <c r="S122" s="91">
        <v>0</v>
      </c>
      <c r="T122" s="170">
        <f t="shared" si="51"/>
        <v>0</v>
      </c>
      <c r="U122" s="91">
        <v>0</v>
      </c>
      <c r="V122" s="170">
        <f t="shared" si="52"/>
        <v>0</v>
      </c>
      <c r="W122" s="91">
        <v>0</v>
      </c>
      <c r="X122" s="170">
        <f t="shared" si="53"/>
        <v>0</v>
      </c>
    </row>
    <row r="123" spans="1:24" s="30" customFormat="1" ht="24" customHeight="1">
      <c r="A123" s="33">
        <v>921</v>
      </c>
      <c r="B123" s="5"/>
      <c r="C123" s="23"/>
      <c r="D123" s="22" t="s">
        <v>406</v>
      </c>
      <c r="E123" s="18">
        <f>SUM(E124)</f>
        <v>4980</v>
      </c>
      <c r="F123" s="18">
        <f>SUM(F124)</f>
        <v>0</v>
      </c>
      <c r="G123" s="18">
        <f>SUM(G124)</f>
        <v>0</v>
      </c>
      <c r="H123" s="18">
        <f>SUM(H124)</f>
        <v>4980</v>
      </c>
      <c r="I123" s="18">
        <f>SUM(I124)</f>
        <v>0</v>
      </c>
      <c r="J123" s="42">
        <f t="shared" si="45"/>
        <v>4980</v>
      </c>
      <c r="K123" s="18">
        <f>SUM(K124)</f>
        <v>0</v>
      </c>
      <c r="L123" s="42">
        <f t="shared" si="46"/>
        <v>4980</v>
      </c>
      <c r="M123" s="18">
        <f>SUM(M124)</f>
        <v>0</v>
      </c>
      <c r="N123" s="42">
        <f t="shared" si="48"/>
        <v>4980</v>
      </c>
      <c r="O123" s="18">
        <f>SUM(O124)</f>
        <v>0</v>
      </c>
      <c r="P123" s="42">
        <f t="shared" si="49"/>
        <v>4980</v>
      </c>
      <c r="Q123" s="18">
        <f>SUM(Q124)</f>
        <v>0</v>
      </c>
      <c r="R123" s="42">
        <f t="shared" si="50"/>
        <v>4980</v>
      </c>
      <c r="S123" s="18">
        <f>SUM(S124)</f>
        <v>0</v>
      </c>
      <c r="T123" s="42">
        <f t="shared" si="51"/>
        <v>4980</v>
      </c>
      <c r="U123" s="18">
        <f>SUM(U124)</f>
        <v>0</v>
      </c>
      <c r="V123" s="42">
        <f t="shared" si="52"/>
        <v>4980</v>
      </c>
      <c r="W123" s="18">
        <f>SUM(W124)</f>
        <v>3000</v>
      </c>
      <c r="X123" s="42">
        <f t="shared" si="53"/>
        <v>7980</v>
      </c>
    </row>
    <row r="124" spans="1:24" s="30" customFormat="1" ht="24" customHeight="1">
      <c r="A124" s="75"/>
      <c r="B124" s="76">
        <v>92109</v>
      </c>
      <c r="C124" s="84"/>
      <c r="D124" s="40" t="s">
        <v>428</v>
      </c>
      <c r="E124" s="87">
        <f>SUM(E127)</f>
        <v>4980</v>
      </c>
      <c r="F124" s="87">
        <f>SUM(F127)</f>
        <v>0</v>
      </c>
      <c r="G124" s="87">
        <f>SUM(G127)</f>
        <v>0</v>
      </c>
      <c r="H124" s="64">
        <f>E124+F124-G124</f>
        <v>4980</v>
      </c>
      <c r="I124" s="87">
        <f>SUM(I127)</f>
        <v>0</v>
      </c>
      <c r="J124" s="64">
        <f t="shared" si="45"/>
        <v>4980</v>
      </c>
      <c r="K124" s="87">
        <f>SUM(K127)</f>
        <v>0</v>
      </c>
      <c r="L124" s="64">
        <f t="shared" si="46"/>
        <v>4980</v>
      </c>
      <c r="M124" s="87">
        <f>SUM(M127)</f>
        <v>0</v>
      </c>
      <c r="N124" s="64">
        <f t="shared" si="48"/>
        <v>4980</v>
      </c>
      <c r="O124" s="87">
        <f>SUM(O127)</f>
        <v>0</v>
      </c>
      <c r="P124" s="64">
        <f t="shared" si="49"/>
        <v>4980</v>
      </c>
      <c r="Q124" s="87">
        <f>SUM(Q127)</f>
        <v>0</v>
      </c>
      <c r="R124" s="64">
        <f t="shared" si="50"/>
        <v>4980</v>
      </c>
      <c r="S124" s="87">
        <f>SUM(S127)</f>
        <v>0</v>
      </c>
      <c r="T124" s="64">
        <f t="shared" si="51"/>
        <v>4980</v>
      </c>
      <c r="U124" s="87">
        <f>SUM(U127)</f>
        <v>0</v>
      </c>
      <c r="V124" s="64">
        <f t="shared" si="52"/>
        <v>4980</v>
      </c>
      <c r="W124" s="87">
        <f>SUM(W127,W125)</f>
        <v>3000</v>
      </c>
      <c r="X124" s="87">
        <f>SUM(X127,X125)</f>
        <v>7980</v>
      </c>
    </row>
    <row r="125" spans="1:24" s="30" customFormat="1" ht="24" customHeight="1">
      <c r="A125" s="75"/>
      <c r="B125" s="76"/>
      <c r="C125" s="84">
        <v>6050</v>
      </c>
      <c r="D125" s="14" t="s">
        <v>334</v>
      </c>
      <c r="E125" s="87"/>
      <c r="F125" s="87"/>
      <c r="G125" s="87"/>
      <c r="H125" s="64"/>
      <c r="I125" s="87"/>
      <c r="J125" s="64"/>
      <c r="K125" s="87"/>
      <c r="L125" s="64"/>
      <c r="M125" s="87"/>
      <c r="N125" s="64"/>
      <c r="O125" s="87"/>
      <c r="P125" s="64"/>
      <c r="Q125" s="87"/>
      <c r="R125" s="64"/>
      <c r="S125" s="87"/>
      <c r="T125" s="64"/>
      <c r="U125" s="87"/>
      <c r="V125" s="64">
        <f>SUM(V126)</f>
        <v>0</v>
      </c>
      <c r="W125" s="64">
        <f>SUM(W126)</f>
        <v>3000</v>
      </c>
      <c r="X125" s="64">
        <f>SUM(X126)</f>
        <v>3000</v>
      </c>
    </row>
    <row r="126" spans="1:24" s="30" customFormat="1" ht="24" customHeight="1">
      <c r="A126" s="54"/>
      <c r="B126" s="94"/>
      <c r="C126" s="52"/>
      <c r="D126" s="268" t="s">
        <v>135</v>
      </c>
      <c r="E126" s="57"/>
      <c r="F126" s="57"/>
      <c r="G126" s="57"/>
      <c r="H126" s="170"/>
      <c r="I126" s="57"/>
      <c r="J126" s="170"/>
      <c r="K126" s="57"/>
      <c r="L126" s="170"/>
      <c r="M126" s="57"/>
      <c r="N126" s="170"/>
      <c r="O126" s="57"/>
      <c r="P126" s="170"/>
      <c r="Q126" s="57"/>
      <c r="R126" s="170"/>
      <c r="S126" s="57"/>
      <c r="T126" s="170"/>
      <c r="U126" s="57"/>
      <c r="V126" s="170">
        <v>0</v>
      </c>
      <c r="W126" s="57">
        <v>3000</v>
      </c>
      <c r="X126" s="170">
        <f>SUM(V126:W126)</f>
        <v>3000</v>
      </c>
    </row>
    <row r="127" spans="1:24" s="30" customFormat="1" ht="24" customHeight="1">
      <c r="A127" s="75"/>
      <c r="B127" s="76"/>
      <c r="C127" s="77">
        <v>6060</v>
      </c>
      <c r="D127" s="14" t="s">
        <v>358</v>
      </c>
      <c r="E127" s="89">
        <f>SUM(E128)</f>
        <v>4980</v>
      </c>
      <c r="F127" s="89">
        <f>SUM(F128)</f>
        <v>0</v>
      </c>
      <c r="G127" s="89">
        <f>SUM(G128)</f>
        <v>0</v>
      </c>
      <c r="H127" s="64">
        <f>E127+F127-G127</f>
        <v>4980</v>
      </c>
      <c r="I127" s="89">
        <f>SUM(I128)</f>
        <v>0</v>
      </c>
      <c r="J127" s="64">
        <f t="shared" si="45"/>
        <v>4980</v>
      </c>
      <c r="K127" s="89">
        <f>SUM(K128)</f>
        <v>0</v>
      </c>
      <c r="L127" s="64">
        <f t="shared" si="46"/>
        <v>4980</v>
      </c>
      <c r="M127" s="89">
        <f>SUM(M128)</f>
        <v>0</v>
      </c>
      <c r="N127" s="64">
        <f t="shared" si="48"/>
        <v>4980</v>
      </c>
      <c r="O127" s="89">
        <f>SUM(O128)</f>
        <v>0</v>
      </c>
      <c r="P127" s="64">
        <f t="shared" si="49"/>
        <v>4980</v>
      </c>
      <c r="Q127" s="89">
        <f>SUM(Q128)</f>
        <v>0</v>
      </c>
      <c r="R127" s="64">
        <f t="shared" si="50"/>
        <v>4980</v>
      </c>
      <c r="S127" s="89">
        <f>SUM(S128)</f>
        <v>0</v>
      </c>
      <c r="T127" s="64">
        <f t="shared" si="51"/>
        <v>4980</v>
      </c>
      <c r="U127" s="89">
        <f>SUM(U128)</f>
        <v>0</v>
      </c>
      <c r="V127" s="64">
        <f t="shared" si="52"/>
        <v>4980</v>
      </c>
      <c r="W127" s="89">
        <f>SUM(W128)</f>
        <v>0</v>
      </c>
      <c r="X127" s="64">
        <f t="shared" si="53"/>
        <v>4980</v>
      </c>
    </row>
    <row r="128" spans="1:24" s="30" customFormat="1" ht="26.25" customHeight="1">
      <c r="A128" s="54"/>
      <c r="B128" s="94"/>
      <c r="C128" s="100"/>
      <c r="D128" s="59" t="s">
        <v>605</v>
      </c>
      <c r="E128" s="91">
        <v>4980</v>
      </c>
      <c r="F128" s="91"/>
      <c r="G128" s="91"/>
      <c r="H128" s="170">
        <f>E128+F128-G128</f>
        <v>4980</v>
      </c>
      <c r="I128" s="91"/>
      <c r="J128" s="170">
        <f t="shared" si="45"/>
        <v>4980</v>
      </c>
      <c r="K128" s="91"/>
      <c r="L128" s="170">
        <f t="shared" si="46"/>
        <v>4980</v>
      </c>
      <c r="M128" s="91">
        <v>0</v>
      </c>
      <c r="N128" s="170">
        <f t="shared" si="48"/>
        <v>4980</v>
      </c>
      <c r="O128" s="91">
        <v>0</v>
      </c>
      <c r="P128" s="170">
        <f t="shared" si="49"/>
        <v>4980</v>
      </c>
      <c r="Q128" s="91">
        <v>0</v>
      </c>
      <c r="R128" s="170">
        <f t="shared" si="50"/>
        <v>4980</v>
      </c>
      <c r="S128" s="91">
        <v>0</v>
      </c>
      <c r="T128" s="170">
        <f t="shared" si="51"/>
        <v>4980</v>
      </c>
      <c r="U128" s="91">
        <v>0</v>
      </c>
      <c r="V128" s="170">
        <f t="shared" si="52"/>
        <v>4980</v>
      </c>
      <c r="W128" s="91">
        <v>0</v>
      </c>
      <c r="X128" s="170">
        <f t="shared" si="53"/>
        <v>4980</v>
      </c>
    </row>
    <row r="129" spans="1:24" s="30" customFormat="1" ht="21" customHeight="1">
      <c r="A129" s="33">
        <v>926</v>
      </c>
      <c r="B129" s="5"/>
      <c r="C129" s="23"/>
      <c r="D129" s="22" t="s">
        <v>327</v>
      </c>
      <c r="E129" s="18">
        <f>SUM(E130,E133)</f>
        <v>300000</v>
      </c>
      <c r="F129" s="18">
        <f>SUM(F130,F133)</f>
        <v>0</v>
      </c>
      <c r="G129" s="18">
        <f>SUM(G130,G133)</f>
        <v>200000</v>
      </c>
      <c r="H129" s="18">
        <f>SUM(H130,H133,)</f>
        <v>100000</v>
      </c>
      <c r="I129" s="18">
        <f>SUM(I130,I133)</f>
        <v>435000</v>
      </c>
      <c r="J129" s="42">
        <f t="shared" si="45"/>
        <v>535000</v>
      </c>
      <c r="K129" s="18">
        <f>SUM(K130,K133)</f>
        <v>11000</v>
      </c>
      <c r="L129" s="42">
        <f t="shared" si="46"/>
        <v>546000</v>
      </c>
      <c r="M129" s="18">
        <f>SUM(M130,M133)</f>
        <v>0</v>
      </c>
      <c r="N129" s="42">
        <f t="shared" si="48"/>
        <v>546000</v>
      </c>
      <c r="O129" s="18">
        <f>SUM(O130,O133)</f>
        <v>-89260</v>
      </c>
      <c r="P129" s="42">
        <f t="shared" si="49"/>
        <v>456740</v>
      </c>
      <c r="Q129" s="18">
        <f>SUM(Q130,Q133)</f>
        <v>6060</v>
      </c>
      <c r="R129" s="42">
        <f t="shared" si="50"/>
        <v>462800</v>
      </c>
      <c r="S129" s="18">
        <f>SUM(S130,S133)</f>
        <v>0</v>
      </c>
      <c r="T129" s="42">
        <f t="shared" si="51"/>
        <v>462800</v>
      </c>
      <c r="U129" s="18">
        <f>SUM(U130,U133)</f>
        <v>0</v>
      </c>
      <c r="V129" s="42">
        <f t="shared" si="52"/>
        <v>462800</v>
      </c>
      <c r="W129" s="18">
        <f>SUM(W130,W133)</f>
        <v>0</v>
      </c>
      <c r="X129" s="42">
        <f t="shared" si="53"/>
        <v>462800</v>
      </c>
    </row>
    <row r="130" spans="1:24" s="30" customFormat="1" ht="21" customHeight="1">
      <c r="A130" s="75"/>
      <c r="B130" s="76">
        <v>92601</v>
      </c>
      <c r="C130" s="84"/>
      <c r="D130" s="14" t="s">
        <v>579</v>
      </c>
      <c r="E130" s="87">
        <f>SUM(E131)</f>
        <v>100000</v>
      </c>
      <c r="F130" s="87">
        <f>SUM(F131)</f>
        <v>0</v>
      </c>
      <c r="G130" s="87">
        <f>SUM(G131)</f>
        <v>0</v>
      </c>
      <c r="H130" s="64">
        <f>E130+F130-G130</f>
        <v>100000</v>
      </c>
      <c r="I130" s="87">
        <f>SUM(I131)</f>
        <v>0</v>
      </c>
      <c r="J130" s="64">
        <f t="shared" si="45"/>
        <v>100000</v>
      </c>
      <c r="K130" s="87">
        <f>SUM(K131)</f>
        <v>0</v>
      </c>
      <c r="L130" s="64">
        <f t="shared" si="46"/>
        <v>100000</v>
      </c>
      <c r="M130" s="87">
        <f>SUM(M131)</f>
        <v>0</v>
      </c>
      <c r="N130" s="64">
        <f t="shared" si="48"/>
        <v>100000</v>
      </c>
      <c r="O130" s="87">
        <f>SUM(O131)</f>
        <v>0</v>
      </c>
      <c r="P130" s="64">
        <f t="shared" si="49"/>
        <v>100000</v>
      </c>
      <c r="Q130" s="87">
        <f>SUM(Q131)</f>
        <v>0</v>
      </c>
      <c r="R130" s="64">
        <f t="shared" si="50"/>
        <v>100000</v>
      </c>
      <c r="S130" s="87">
        <f>SUM(S131)</f>
        <v>0</v>
      </c>
      <c r="T130" s="64">
        <f t="shared" si="51"/>
        <v>100000</v>
      </c>
      <c r="U130" s="87">
        <f>SUM(U131)</f>
        <v>0</v>
      </c>
      <c r="V130" s="64">
        <f t="shared" si="52"/>
        <v>100000</v>
      </c>
      <c r="W130" s="87">
        <f>SUM(W131)</f>
        <v>0</v>
      </c>
      <c r="X130" s="64">
        <f t="shared" si="53"/>
        <v>100000</v>
      </c>
    </row>
    <row r="131" spans="1:24" s="30" customFormat="1" ht="24" customHeight="1">
      <c r="A131" s="75"/>
      <c r="B131" s="76"/>
      <c r="C131" s="77">
        <v>6050</v>
      </c>
      <c r="D131" s="14" t="s">
        <v>334</v>
      </c>
      <c r="E131" s="89">
        <f>SUM(E132:E132)</f>
        <v>100000</v>
      </c>
      <c r="F131" s="89">
        <f>SUM(F132:F132)</f>
        <v>0</v>
      </c>
      <c r="G131" s="89">
        <f>SUM(G132:G132)</f>
        <v>0</v>
      </c>
      <c r="H131" s="64">
        <f>E131+F131-G131</f>
        <v>100000</v>
      </c>
      <c r="I131" s="89">
        <f>SUM(I132:I132)</f>
        <v>0</v>
      </c>
      <c r="J131" s="64">
        <f t="shared" si="45"/>
        <v>100000</v>
      </c>
      <c r="K131" s="89">
        <f>SUM(K132:K132)</f>
        <v>0</v>
      </c>
      <c r="L131" s="64">
        <f t="shared" si="46"/>
        <v>100000</v>
      </c>
      <c r="M131" s="89">
        <f>SUM(M132:M132)</f>
        <v>0</v>
      </c>
      <c r="N131" s="64">
        <f t="shared" si="48"/>
        <v>100000</v>
      </c>
      <c r="O131" s="89">
        <f>SUM(O132:O132)</f>
        <v>0</v>
      </c>
      <c r="P131" s="64">
        <f t="shared" si="49"/>
        <v>100000</v>
      </c>
      <c r="Q131" s="89">
        <f>SUM(Q132:Q132)</f>
        <v>0</v>
      </c>
      <c r="R131" s="64">
        <f t="shared" si="50"/>
        <v>100000</v>
      </c>
      <c r="S131" s="89">
        <f>SUM(S132:S132)</f>
        <v>0</v>
      </c>
      <c r="T131" s="64">
        <f t="shared" si="51"/>
        <v>100000</v>
      </c>
      <c r="U131" s="89">
        <f>SUM(U132:U132)</f>
        <v>0</v>
      </c>
      <c r="V131" s="64">
        <f t="shared" si="52"/>
        <v>100000</v>
      </c>
      <c r="W131" s="89">
        <f>SUM(W132:W132)</f>
        <v>0</v>
      </c>
      <c r="X131" s="64">
        <f t="shared" si="53"/>
        <v>100000</v>
      </c>
    </row>
    <row r="132" spans="1:24" s="135" customFormat="1" ht="21.75" customHeight="1">
      <c r="A132" s="54"/>
      <c r="B132" s="94"/>
      <c r="C132" s="100"/>
      <c r="D132" s="59" t="s">
        <v>606</v>
      </c>
      <c r="E132" s="57">
        <v>100000</v>
      </c>
      <c r="F132" s="57"/>
      <c r="G132" s="57"/>
      <c r="H132" s="170">
        <f>E132+F132-G132</f>
        <v>100000</v>
      </c>
      <c r="I132" s="57"/>
      <c r="J132" s="170">
        <f t="shared" si="45"/>
        <v>100000</v>
      </c>
      <c r="K132" s="57">
        <v>0</v>
      </c>
      <c r="L132" s="170">
        <f t="shared" si="46"/>
        <v>100000</v>
      </c>
      <c r="M132" s="57">
        <v>0</v>
      </c>
      <c r="N132" s="170">
        <f t="shared" si="48"/>
        <v>100000</v>
      </c>
      <c r="O132" s="57">
        <v>0</v>
      </c>
      <c r="P132" s="170">
        <f t="shared" si="49"/>
        <v>100000</v>
      </c>
      <c r="Q132" s="57">
        <v>0</v>
      </c>
      <c r="R132" s="170">
        <f t="shared" si="50"/>
        <v>100000</v>
      </c>
      <c r="S132" s="57">
        <v>0</v>
      </c>
      <c r="T132" s="170">
        <f t="shared" si="51"/>
        <v>100000</v>
      </c>
      <c r="U132" s="57">
        <v>0</v>
      </c>
      <c r="V132" s="170">
        <f t="shared" si="52"/>
        <v>100000</v>
      </c>
      <c r="W132" s="57">
        <v>0</v>
      </c>
      <c r="X132" s="170">
        <f t="shared" si="53"/>
        <v>100000</v>
      </c>
    </row>
    <row r="133" spans="1:24" s="27" customFormat="1" ht="29.25" customHeight="1">
      <c r="A133" s="76"/>
      <c r="B133" s="76">
        <v>92605</v>
      </c>
      <c r="C133" s="76"/>
      <c r="D133" s="131" t="s">
        <v>328</v>
      </c>
      <c r="E133" s="132">
        <f>SUM(E134)</f>
        <v>200000</v>
      </c>
      <c r="F133" s="132">
        <f>SUM(F134)</f>
        <v>0</v>
      </c>
      <c r="G133" s="132">
        <f>SUM(G134)</f>
        <v>200000</v>
      </c>
      <c r="H133" s="132">
        <f>SUM(H134)</f>
        <v>0</v>
      </c>
      <c r="I133" s="132">
        <f>SUM(I134)</f>
        <v>435000</v>
      </c>
      <c r="J133" s="64">
        <f t="shared" si="45"/>
        <v>435000</v>
      </c>
      <c r="K133" s="132">
        <f>SUM(K134)</f>
        <v>11000</v>
      </c>
      <c r="L133" s="64">
        <f t="shared" si="46"/>
        <v>446000</v>
      </c>
      <c r="M133" s="132">
        <f>SUM(M134)</f>
        <v>0</v>
      </c>
      <c r="N133" s="64">
        <f t="shared" si="48"/>
        <v>446000</v>
      </c>
      <c r="O133" s="132">
        <f>SUM(O134)</f>
        <v>-89260</v>
      </c>
      <c r="P133" s="64">
        <f t="shared" si="49"/>
        <v>356740</v>
      </c>
      <c r="Q133" s="132">
        <f>SUM(Q134)</f>
        <v>6060</v>
      </c>
      <c r="R133" s="64">
        <f t="shared" si="50"/>
        <v>362800</v>
      </c>
      <c r="S133" s="132">
        <f>SUM(S134)</f>
        <v>0</v>
      </c>
      <c r="T133" s="64">
        <f t="shared" si="51"/>
        <v>362800</v>
      </c>
      <c r="U133" s="132">
        <f>SUM(U134)</f>
        <v>0</v>
      </c>
      <c r="V133" s="64">
        <f t="shared" si="52"/>
        <v>362800</v>
      </c>
      <c r="W133" s="132">
        <f>SUM(W134)</f>
        <v>0</v>
      </c>
      <c r="X133" s="64">
        <f t="shared" si="53"/>
        <v>362800</v>
      </c>
    </row>
    <row r="134" spans="1:24" s="27" customFormat="1" ht="29.25" customHeight="1">
      <c r="A134" s="76"/>
      <c r="B134" s="76"/>
      <c r="C134" s="76">
        <v>6050</v>
      </c>
      <c r="D134" s="14" t="s">
        <v>334</v>
      </c>
      <c r="E134" s="132">
        <f>SUM(E135)</f>
        <v>200000</v>
      </c>
      <c r="F134" s="132">
        <f>SUM(F135)</f>
        <v>0</v>
      </c>
      <c r="G134" s="132">
        <f>SUM(G135)</f>
        <v>200000</v>
      </c>
      <c r="H134" s="132">
        <f>SUM(H135:H136)</f>
        <v>0</v>
      </c>
      <c r="I134" s="132">
        <f>SUM(I135:I136)</f>
        <v>435000</v>
      </c>
      <c r="J134" s="64">
        <f t="shared" si="45"/>
        <v>435000</v>
      </c>
      <c r="K134" s="132">
        <f>SUM(K135:K136)</f>
        <v>11000</v>
      </c>
      <c r="L134" s="64">
        <f t="shared" si="46"/>
        <v>446000</v>
      </c>
      <c r="M134" s="132">
        <f>SUM(M135:M136)</f>
        <v>0</v>
      </c>
      <c r="N134" s="64">
        <f t="shared" si="48"/>
        <v>446000</v>
      </c>
      <c r="O134" s="132">
        <f>SUM(O135:O136)</f>
        <v>-89260</v>
      </c>
      <c r="P134" s="64">
        <f aca="true" t="shared" si="54" ref="P134:V134">SUM(P135:P137)</f>
        <v>356740</v>
      </c>
      <c r="Q134" s="64">
        <f t="shared" si="54"/>
        <v>6060</v>
      </c>
      <c r="R134" s="64">
        <f t="shared" si="54"/>
        <v>362800</v>
      </c>
      <c r="S134" s="64">
        <f t="shared" si="54"/>
        <v>0</v>
      </c>
      <c r="T134" s="64">
        <f t="shared" si="54"/>
        <v>362800</v>
      </c>
      <c r="U134" s="64">
        <f t="shared" si="54"/>
        <v>0</v>
      </c>
      <c r="V134" s="64">
        <f t="shared" si="54"/>
        <v>362800</v>
      </c>
      <c r="W134" s="64">
        <f>SUM(W135:W137)</f>
        <v>0</v>
      </c>
      <c r="X134" s="64">
        <f>SUM(X135:X137)</f>
        <v>362800</v>
      </c>
    </row>
    <row r="135" spans="1:24" s="30" customFormat="1" ht="27.75" customHeight="1">
      <c r="A135" s="94"/>
      <c r="B135" s="94"/>
      <c r="C135" s="94"/>
      <c r="D135" s="133" t="s">
        <v>18</v>
      </c>
      <c r="E135" s="134">
        <v>200000</v>
      </c>
      <c r="F135" s="134"/>
      <c r="G135" s="134">
        <v>200000</v>
      </c>
      <c r="H135" s="170">
        <f>E135+F135-G135</f>
        <v>0</v>
      </c>
      <c r="I135" s="134">
        <v>260000</v>
      </c>
      <c r="J135" s="170">
        <f t="shared" si="45"/>
        <v>260000</v>
      </c>
      <c r="K135" s="134">
        <v>0</v>
      </c>
      <c r="L135" s="170">
        <f t="shared" si="46"/>
        <v>260000</v>
      </c>
      <c r="M135" s="134">
        <v>0</v>
      </c>
      <c r="N135" s="170">
        <f t="shared" si="48"/>
        <v>260000</v>
      </c>
      <c r="O135" s="134">
        <v>-239260</v>
      </c>
      <c r="P135" s="170">
        <f t="shared" si="49"/>
        <v>20740</v>
      </c>
      <c r="Q135" s="134">
        <v>0</v>
      </c>
      <c r="R135" s="170">
        <f t="shared" si="50"/>
        <v>20740</v>
      </c>
      <c r="S135" s="134">
        <v>0</v>
      </c>
      <c r="T135" s="170">
        <f>SUM(R135:S135)</f>
        <v>20740</v>
      </c>
      <c r="U135" s="134">
        <v>0</v>
      </c>
      <c r="V135" s="170">
        <f>SUM(T135:U135)</f>
        <v>20740</v>
      </c>
      <c r="W135" s="134">
        <v>0</v>
      </c>
      <c r="X135" s="170">
        <f>SUM(V135:W135)</f>
        <v>20740</v>
      </c>
    </row>
    <row r="136" spans="1:24" s="30" customFormat="1" ht="29.25" customHeight="1">
      <c r="A136" s="94"/>
      <c r="B136" s="94"/>
      <c r="C136" s="94"/>
      <c r="D136" s="133" t="s">
        <v>17</v>
      </c>
      <c r="E136" s="134"/>
      <c r="F136" s="134"/>
      <c r="G136" s="134"/>
      <c r="H136" s="174">
        <v>0</v>
      </c>
      <c r="I136" s="134">
        <v>175000</v>
      </c>
      <c r="J136" s="170">
        <f t="shared" si="45"/>
        <v>175000</v>
      </c>
      <c r="K136" s="202">
        <v>11000</v>
      </c>
      <c r="L136" s="170">
        <f t="shared" si="46"/>
        <v>186000</v>
      </c>
      <c r="M136" s="202">
        <v>0</v>
      </c>
      <c r="N136" s="170">
        <f t="shared" si="48"/>
        <v>186000</v>
      </c>
      <c r="O136" s="217">
        <v>150000</v>
      </c>
      <c r="P136" s="170">
        <f t="shared" si="49"/>
        <v>336000</v>
      </c>
      <c r="Q136" s="217">
        <v>0</v>
      </c>
      <c r="R136" s="170">
        <f t="shared" si="50"/>
        <v>336000</v>
      </c>
      <c r="S136" s="217">
        <f>253000-253000</f>
        <v>0</v>
      </c>
      <c r="T136" s="170">
        <f>SUM(R136:S136)</f>
        <v>336000</v>
      </c>
      <c r="U136" s="217">
        <f>253000-253000</f>
        <v>0</v>
      </c>
      <c r="V136" s="170">
        <f>SUM(T136:U136)</f>
        <v>336000</v>
      </c>
      <c r="W136" s="217">
        <v>0</v>
      </c>
      <c r="X136" s="170">
        <f>SUM(V136:W136)</f>
        <v>336000</v>
      </c>
    </row>
    <row r="137" spans="1:24" s="30" customFormat="1" ht="21.75" customHeight="1">
      <c r="A137" s="94"/>
      <c r="B137" s="94"/>
      <c r="C137" s="94"/>
      <c r="D137" s="133" t="s">
        <v>232</v>
      </c>
      <c r="E137" s="134"/>
      <c r="F137" s="134"/>
      <c r="G137" s="134"/>
      <c r="H137" s="174"/>
      <c r="I137" s="134"/>
      <c r="J137" s="170"/>
      <c r="K137" s="202"/>
      <c r="L137" s="170"/>
      <c r="M137" s="202"/>
      <c r="N137" s="170"/>
      <c r="O137" s="217"/>
      <c r="P137" s="170">
        <v>0</v>
      </c>
      <c r="Q137" s="217">
        <v>6060</v>
      </c>
      <c r="R137" s="170">
        <f t="shared" si="50"/>
        <v>6060</v>
      </c>
      <c r="S137" s="217">
        <v>0</v>
      </c>
      <c r="T137" s="170">
        <f>SUM(R137:S137)</f>
        <v>6060</v>
      </c>
      <c r="U137" s="217">
        <v>0</v>
      </c>
      <c r="V137" s="170">
        <f>SUM(T137:U137)</f>
        <v>6060</v>
      </c>
      <c r="W137" s="217">
        <v>0</v>
      </c>
      <c r="X137" s="170">
        <f>SUM(V137:W137)</f>
        <v>6060</v>
      </c>
    </row>
    <row r="138" spans="1:24" s="8" customFormat="1" ht="23.25" customHeight="1">
      <c r="A138" s="10"/>
      <c r="B138" s="10"/>
      <c r="C138" s="10"/>
      <c r="D138" s="108" t="s">
        <v>329</v>
      </c>
      <c r="E138" s="62">
        <f>SUM(E129,E123,E93,E89,E85,E81,E70,E60,E56,E49,E8,)</f>
        <v>3580240</v>
      </c>
      <c r="F138" s="62">
        <f>SUM(F129,F123,F93,F89,F85,F81,F70,F60,F56,F49,F8,)</f>
        <v>450000</v>
      </c>
      <c r="G138" s="62">
        <f>SUM(G129,G123,G93,G89,G85,G81,G70,G60,G56,G49,G8,)</f>
        <v>1470000</v>
      </c>
      <c r="H138" s="62">
        <f>SUM(H129,H123,H93,H89,H85,H81,H70,H60,H56,H49,H8,)</f>
        <v>2560240</v>
      </c>
      <c r="I138" s="62">
        <f>SUM(I129,I123,I93,I89,I85,I81,I70,I60,I56,I49,I8,)</f>
        <v>529000</v>
      </c>
      <c r="J138" s="42">
        <f t="shared" si="45"/>
        <v>3089240</v>
      </c>
      <c r="K138" s="62">
        <f>SUM(K129,K123,K93,K89,K85,K81,K70,K60,K56,K49,K8,)</f>
        <v>516115</v>
      </c>
      <c r="L138" s="42">
        <f t="shared" si="46"/>
        <v>3605355</v>
      </c>
      <c r="M138" s="62">
        <f>SUM(M129,M123,M93,M89,M85,M81,M70,M60,M56,M49,M8,)</f>
        <v>-5753</v>
      </c>
      <c r="N138" s="42">
        <f t="shared" si="48"/>
        <v>3599602</v>
      </c>
      <c r="O138" s="62">
        <f>SUM(O129,O123,O93,O89,O85,O81,O70,O60,O56,O49,O8,)</f>
        <v>2564081</v>
      </c>
      <c r="P138" s="42">
        <f t="shared" si="49"/>
        <v>6163683</v>
      </c>
      <c r="Q138" s="62">
        <f>SUM(Q129,Q123,Q93,Q89,Q85,Q81,Q70,Q60,Q56,Q49,Q8,)</f>
        <v>203552</v>
      </c>
      <c r="R138" s="42">
        <f t="shared" si="50"/>
        <v>6367235</v>
      </c>
      <c r="S138" s="62">
        <f>SUM(S129,S123,S93,S89,S85,S81,S70,S60,S56,S49,S8,)</f>
        <v>-160500</v>
      </c>
      <c r="T138" s="42">
        <f>SUM(R138:S138)</f>
        <v>6206735</v>
      </c>
      <c r="U138" s="62">
        <f>SUM(U129,U123,U93,U89,U85,U81,U70,U60,U56,U49,U8,)</f>
        <v>-8153</v>
      </c>
      <c r="V138" s="42">
        <f>SUM(T138:U138)</f>
        <v>6198582</v>
      </c>
      <c r="W138" s="62">
        <f>SUM(W129,W123,W93,W89,W85,W81,W70,W60,W56,W49,W8,)</f>
        <v>-155000</v>
      </c>
      <c r="X138" s="42">
        <f>SUM(V138:W138)</f>
        <v>6043582</v>
      </c>
    </row>
    <row r="140" spans="15:17" ht="12.75">
      <c r="O140">
        <v>-25000</v>
      </c>
      <c r="Q140">
        <v>0</v>
      </c>
    </row>
    <row r="141" spans="5:24" ht="12.75"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>
        <f>SUM(O138:O140)</f>
        <v>2539081</v>
      </c>
      <c r="P141" s="60"/>
      <c r="Q141" s="60">
        <f>SUM(Q138:Q140)</f>
        <v>203552</v>
      </c>
      <c r="R141" s="60"/>
      <c r="S141" s="60"/>
      <c r="T141" s="60"/>
      <c r="U141" s="60"/>
      <c r="V141" s="60"/>
      <c r="W141" s="60"/>
      <c r="X141" s="60"/>
    </row>
    <row r="142" spans="7:17" ht="12.75">
      <c r="G142" s="60">
        <f>SUM(F138-G138)</f>
        <v>-1020000</v>
      </c>
      <c r="Q142">
        <v>0</v>
      </c>
    </row>
    <row r="143" spans="11:23" ht="12.75">
      <c r="K143" s="60">
        <v>30000</v>
      </c>
      <c r="M143" s="60">
        <v>57</v>
      </c>
      <c r="N143" t="s">
        <v>46</v>
      </c>
      <c r="O143" s="60"/>
      <c r="Q143" s="60"/>
      <c r="S143" s="60"/>
      <c r="U143" s="60"/>
      <c r="W143" s="60"/>
    </row>
    <row r="144" spans="11:23" ht="12.75">
      <c r="K144" s="60">
        <v>-30000</v>
      </c>
      <c r="M144" s="60">
        <v>-6810</v>
      </c>
      <c r="N144" t="s">
        <v>128</v>
      </c>
      <c r="O144" s="60"/>
      <c r="Q144" s="60"/>
      <c r="S144" s="60"/>
      <c r="U144" s="60"/>
      <c r="W144" s="60"/>
    </row>
    <row r="145" spans="11:23" ht="12.75">
      <c r="K145" s="60">
        <v>115</v>
      </c>
      <c r="M145" s="60">
        <v>-4500</v>
      </c>
      <c r="N145" t="s">
        <v>129</v>
      </c>
      <c r="O145" s="60"/>
      <c r="Q145" s="60"/>
      <c r="S145" s="60"/>
      <c r="U145" s="60"/>
      <c r="W145" s="60"/>
    </row>
    <row r="146" spans="11:23" ht="12.75">
      <c r="K146" s="60"/>
      <c r="M146" s="60">
        <v>-8500</v>
      </c>
      <c r="N146" t="s">
        <v>138</v>
      </c>
      <c r="O146" s="60"/>
      <c r="Q146" s="60"/>
      <c r="S146" s="60"/>
      <c r="U146" s="60"/>
      <c r="W146" s="60"/>
    </row>
    <row r="147" spans="11:23" ht="12.75">
      <c r="K147" s="60">
        <v>11000</v>
      </c>
      <c r="M147" s="203">
        <f>SUM(M143:M145)</f>
        <v>-11253</v>
      </c>
      <c r="O147" s="203"/>
      <c r="Q147" s="203"/>
      <c r="S147" s="203"/>
      <c r="U147" s="203"/>
      <c r="W147" s="203"/>
    </row>
    <row r="148" spans="11:23" ht="12.75">
      <c r="K148" s="60">
        <v>5000</v>
      </c>
      <c r="M148" s="60"/>
      <c r="O148" s="60"/>
      <c r="Q148" s="60"/>
      <c r="S148" s="60"/>
      <c r="U148" s="60"/>
      <c r="W148" s="60"/>
    </row>
    <row r="149" spans="11:23" ht="12.75">
      <c r="K149" s="60">
        <v>500000</v>
      </c>
      <c r="M149" s="60"/>
      <c r="O149" s="60"/>
      <c r="Q149" s="60"/>
      <c r="S149" s="60"/>
      <c r="U149" s="60"/>
      <c r="W149" s="60"/>
    </row>
    <row r="150" spans="11:23" ht="12.75">
      <c r="K150" s="203">
        <f>SUM(K143:K149)</f>
        <v>516115</v>
      </c>
      <c r="M150" s="203"/>
      <c r="O150" s="203"/>
      <c r="Q150" s="203"/>
      <c r="S150" s="203"/>
      <c r="U150" s="203"/>
      <c r="W150" s="203"/>
    </row>
    <row r="152" spans="5:24" ht="12.75">
      <c r="E152" t="s">
        <v>530</v>
      </c>
      <c r="F152" t="s">
        <v>530</v>
      </c>
      <c r="G152" t="s">
        <v>530</v>
      </c>
      <c r="H152" t="s">
        <v>530</v>
      </c>
      <c r="I152" t="s">
        <v>530</v>
      </c>
      <c r="J152" t="s">
        <v>530</v>
      </c>
      <c r="K152" t="s">
        <v>530</v>
      </c>
      <c r="L152" t="s">
        <v>530</v>
      </c>
      <c r="M152" t="s">
        <v>530</v>
      </c>
      <c r="N152" t="s">
        <v>530</v>
      </c>
      <c r="O152" t="s">
        <v>530</v>
      </c>
      <c r="P152" t="s">
        <v>530</v>
      </c>
      <c r="Q152" t="s">
        <v>530</v>
      </c>
      <c r="R152" t="s">
        <v>530</v>
      </c>
      <c r="S152" t="s">
        <v>530</v>
      </c>
      <c r="T152" t="s">
        <v>530</v>
      </c>
      <c r="U152" t="s">
        <v>530</v>
      </c>
      <c r="V152" t="s">
        <v>530</v>
      </c>
      <c r="W152" t="s">
        <v>530</v>
      </c>
      <c r="X152" t="s">
        <v>530</v>
      </c>
    </row>
    <row r="153" spans="5:24" ht="12.75">
      <c r="E153" t="s">
        <v>531</v>
      </c>
      <c r="F153" t="s">
        <v>531</v>
      </c>
      <c r="G153" t="s">
        <v>531</v>
      </c>
      <c r="H153" t="s">
        <v>531</v>
      </c>
      <c r="I153" t="s">
        <v>531</v>
      </c>
      <c r="J153" t="s">
        <v>531</v>
      </c>
      <c r="K153" t="s">
        <v>531</v>
      </c>
      <c r="L153" t="s">
        <v>531</v>
      </c>
      <c r="M153" t="s">
        <v>531</v>
      </c>
      <c r="N153" t="s">
        <v>531</v>
      </c>
      <c r="O153" t="s">
        <v>531</v>
      </c>
      <c r="P153" t="s">
        <v>531</v>
      </c>
      <c r="Q153" t="s">
        <v>531</v>
      </c>
      <c r="R153" t="s">
        <v>531</v>
      </c>
      <c r="S153" t="s">
        <v>531</v>
      </c>
      <c r="T153" t="s">
        <v>531</v>
      </c>
      <c r="U153" t="s">
        <v>531</v>
      </c>
      <c r="V153" t="s">
        <v>531</v>
      </c>
      <c r="W153" t="s">
        <v>531</v>
      </c>
      <c r="X153" t="s">
        <v>531</v>
      </c>
    </row>
  </sheetData>
  <mergeCells count="1">
    <mergeCell ref="A5:X5"/>
  </mergeCells>
  <printOptions horizontalCentered="1"/>
  <pageMargins left="0.57" right="0.43" top="0.7874015748031497" bottom="0.7874015748031497" header="0.5118110236220472" footer="0.31496062992125984"/>
  <pageSetup horizontalDpi="600" verticalDpi="600" orientation="portrait" paperSize="9" r:id="rId1"/>
  <headerFooter alignWithMargins="0">
    <oddFooter>&amp;C&amp;8Wydatki majątkowe - str.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9">
      <selection activeCell="A1" sqref="A1:L28"/>
    </sheetView>
  </sheetViews>
  <sheetFormatPr defaultColWidth="9.00390625" defaultRowHeight="12.75"/>
  <cols>
    <col min="1" max="1" width="5.125" style="8" customWidth="1"/>
    <col min="2" max="2" width="7.625" style="8" customWidth="1"/>
    <col min="3" max="3" width="4.375" style="8" bestFit="1" customWidth="1"/>
    <col min="4" max="4" width="23.625" style="8" customWidth="1"/>
    <col min="5" max="5" width="8.875" style="8" hidden="1" customWidth="1"/>
    <col min="6" max="6" width="11.00390625" style="60" hidden="1" customWidth="1"/>
    <col min="7" max="7" width="11.625" style="60" hidden="1" customWidth="1"/>
    <col min="8" max="8" width="29.75390625" style="0" hidden="1" customWidth="1"/>
    <col min="9" max="9" width="8.875" style="60" hidden="1" customWidth="1"/>
    <col min="10" max="10" width="11.875" style="0" customWidth="1"/>
    <col min="11" max="11" width="12.125" style="60" customWidth="1"/>
    <col min="12" max="12" width="11.875" style="0" customWidth="1"/>
  </cols>
  <sheetData>
    <row r="1" spans="5:12" ht="12.75">
      <c r="E1" s="66"/>
      <c r="F1" s="66" t="s">
        <v>550</v>
      </c>
      <c r="G1" s="66"/>
      <c r="H1" s="98" t="s">
        <v>34</v>
      </c>
      <c r="I1" s="98"/>
      <c r="J1" s="98" t="s">
        <v>67</v>
      </c>
      <c r="K1" s="98"/>
      <c r="L1" s="66"/>
    </row>
    <row r="2" spans="5:12" ht="12.75">
      <c r="E2" s="66"/>
      <c r="F2" s="66" t="s">
        <v>693</v>
      </c>
      <c r="G2" s="66"/>
      <c r="H2" s="98" t="s">
        <v>698</v>
      </c>
      <c r="I2" s="98"/>
      <c r="J2" s="98" t="s">
        <v>65</v>
      </c>
      <c r="K2" s="98"/>
      <c r="L2" s="66"/>
    </row>
    <row r="3" spans="5:12" ht="12.75">
      <c r="E3" s="66"/>
      <c r="F3" s="66" t="s">
        <v>422</v>
      </c>
      <c r="G3" s="66"/>
      <c r="H3" s="98" t="s">
        <v>719</v>
      </c>
      <c r="I3" s="98"/>
      <c r="J3" s="98" t="s">
        <v>34</v>
      </c>
      <c r="K3" s="98"/>
      <c r="L3" s="66"/>
    </row>
    <row r="4" spans="5:12" ht="12.75">
      <c r="E4" s="66"/>
      <c r="F4" s="66" t="s">
        <v>688</v>
      </c>
      <c r="G4" s="66"/>
      <c r="H4" s="98" t="s">
        <v>700</v>
      </c>
      <c r="I4" s="98"/>
      <c r="J4" s="98" t="s">
        <v>39</v>
      </c>
      <c r="K4" s="98"/>
      <c r="L4" s="66"/>
    </row>
    <row r="6" spans="1:12" ht="58.5" customHeight="1">
      <c r="A6" s="328" t="s">
        <v>713</v>
      </c>
      <c r="B6" s="328"/>
      <c r="C6" s="328"/>
      <c r="D6" s="328"/>
      <c r="E6" s="328"/>
      <c r="F6" s="328"/>
      <c r="G6" s="328"/>
      <c r="H6" s="328"/>
      <c r="I6" s="328"/>
      <c r="J6" s="328"/>
      <c r="K6" s="328"/>
      <c r="L6" s="328"/>
    </row>
    <row r="7" spans="1:5" ht="12.75">
      <c r="A7" s="32"/>
      <c r="B7" s="32"/>
      <c r="C7" s="32"/>
      <c r="D7" s="45"/>
      <c r="E7" s="46"/>
    </row>
    <row r="8" spans="1:12" s="8" customFormat="1" ht="24.75" customHeight="1">
      <c r="A8" s="147" t="s">
        <v>244</v>
      </c>
      <c r="B8" s="147" t="s">
        <v>245</v>
      </c>
      <c r="C8" s="147" t="s">
        <v>246</v>
      </c>
      <c r="D8" s="147" t="s">
        <v>3</v>
      </c>
      <c r="E8" s="175" t="s">
        <v>412</v>
      </c>
      <c r="F8" s="176" t="s">
        <v>501</v>
      </c>
      <c r="G8" s="176" t="s">
        <v>502</v>
      </c>
      <c r="H8" s="145" t="s">
        <v>720</v>
      </c>
      <c r="I8" s="176" t="s">
        <v>506</v>
      </c>
      <c r="J8" s="145" t="s">
        <v>413</v>
      </c>
      <c r="K8" s="176" t="s">
        <v>506</v>
      </c>
      <c r="L8" s="145" t="s">
        <v>512</v>
      </c>
    </row>
    <row r="9" spans="1:12" s="8" customFormat="1" ht="24.75" customHeight="1">
      <c r="A9" s="2">
        <v>801</v>
      </c>
      <c r="B9" s="2"/>
      <c r="C9" s="2"/>
      <c r="D9" s="130" t="s">
        <v>374</v>
      </c>
      <c r="E9" s="128">
        <f>SUM(E10)</f>
        <v>2940</v>
      </c>
      <c r="F9" s="128">
        <f>SUM(F10)</f>
        <v>0</v>
      </c>
      <c r="G9" s="128">
        <f>SUM(G10)</f>
        <v>0</v>
      </c>
      <c r="H9" s="128">
        <f>SUM(H10,H15)</f>
        <v>2940</v>
      </c>
      <c r="I9" s="128">
        <f>SUM(I10,I15)</f>
        <v>1600</v>
      </c>
      <c r="J9" s="128">
        <f>SUM(H9:I9)</f>
        <v>4540</v>
      </c>
      <c r="K9" s="128">
        <f>SUM(K10,K15)</f>
        <v>0</v>
      </c>
      <c r="L9" s="128">
        <f>SUM(J9:K9)</f>
        <v>4540</v>
      </c>
    </row>
    <row r="10" spans="1:12" s="27" customFormat="1" ht="24.75" customHeight="1">
      <c r="A10" s="63"/>
      <c r="B10" s="63">
        <v>80101</v>
      </c>
      <c r="C10" s="63"/>
      <c r="D10" s="61" t="s">
        <v>310</v>
      </c>
      <c r="E10" s="171">
        <f>SUM(E11:E13)</f>
        <v>2940</v>
      </c>
      <c r="F10" s="171">
        <f>SUM(F11:F13)</f>
        <v>0</v>
      </c>
      <c r="G10" s="171">
        <f>SUM(G11:G13)</f>
        <v>0</v>
      </c>
      <c r="H10" s="171">
        <f>SUM(H11:H14)</f>
        <v>2940</v>
      </c>
      <c r="I10" s="171">
        <f>SUM(I11:I14)</f>
        <v>1000</v>
      </c>
      <c r="J10" s="171">
        <f aca="true" t="shared" si="0" ref="J10:J28">SUM(H10:I10)</f>
        <v>3940</v>
      </c>
      <c r="K10" s="171">
        <f>SUM(K11:K14)</f>
        <v>0</v>
      </c>
      <c r="L10" s="171">
        <f aca="true" t="shared" si="1" ref="L10:L28">SUM(J10:K10)</f>
        <v>3940</v>
      </c>
    </row>
    <row r="11" spans="1:12" s="8" customFormat="1" ht="24.75" customHeight="1">
      <c r="A11" s="120"/>
      <c r="B11" s="120"/>
      <c r="C11" s="88">
        <v>4010</v>
      </c>
      <c r="D11" s="40" t="s">
        <v>345</v>
      </c>
      <c r="E11" s="129">
        <v>2452</v>
      </c>
      <c r="F11" s="127"/>
      <c r="G11" s="127"/>
      <c r="H11" s="171">
        <f>E11+F11-G11</f>
        <v>2452</v>
      </c>
      <c r="I11" s="21">
        <v>0</v>
      </c>
      <c r="J11" s="171">
        <f t="shared" si="0"/>
        <v>2452</v>
      </c>
      <c r="K11" s="21">
        <v>0</v>
      </c>
      <c r="L11" s="171">
        <f t="shared" si="1"/>
        <v>2452</v>
      </c>
    </row>
    <row r="12" spans="1:12" s="8" customFormat="1" ht="24.75" customHeight="1">
      <c r="A12" s="120"/>
      <c r="B12" s="120"/>
      <c r="C12" s="88">
        <v>4110</v>
      </c>
      <c r="D12" s="40" t="s">
        <v>347</v>
      </c>
      <c r="E12" s="129">
        <v>428</v>
      </c>
      <c r="F12" s="127"/>
      <c r="G12" s="127"/>
      <c r="H12" s="171">
        <f>E12+F12-G12</f>
        <v>428</v>
      </c>
      <c r="I12" s="21">
        <v>0</v>
      </c>
      <c r="J12" s="171">
        <f t="shared" si="0"/>
        <v>428</v>
      </c>
      <c r="K12" s="21">
        <v>0</v>
      </c>
      <c r="L12" s="171">
        <f t="shared" si="1"/>
        <v>428</v>
      </c>
    </row>
    <row r="13" spans="1:12" s="8" customFormat="1" ht="24.75" customHeight="1">
      <c r="A13" s="120"/>
      <c r="B13" s="120"/>
      <c r="C13" s="88">
        <v>4120</v>
      </c>
      <c r="D13" s="40" t="s">
        <v>348</v>
      </c>
      <c r="E13" s="129">
        <v>60</v>
      </c>
      <c r="F13" s="127"/>
      <c r="G13" s="127"/>
      <c r="H13" s="171">
        <f>E13+F13-G13</f>
        <v>60</v>
      </c>
      <c r="I13" s="21">
        <v>0</v>
      </c>
      <c r="J13" s="171">
        <f t="shared" si="0"/>
        <v>60</v>
      </c>
      <c r="K13" s="21">
        <v>0</v>
      </c>
      <c r="L13" s="171">
        <f t="shared" si="1"/>
        <v>60</v>
      </c>
    </row>
    <row r="14" spans="1:12" s="8" customFormat="1" ht="24.75" customHeight="1">
      <c r="A14" s="120"/>
      <c r="B14" s="120"/>
      <c r="C14" s="88">
        <v>4210</v>
      </c>
      <c r="D14" s="40" t="s">
        <v>354</v>
      </c>
      <c r="E14" s="129"/>
      <c r="F14" s="127"/>
      <c r="G14" s="127"/>
      <c r="H14" s="171">
        <v>0</v>
      </c>
      <c r="I14" s="89">
        <f>800+200</f>
        <v>1000</v>
      </c>
      <c r="J14" s="171">
        <f t="shared" si="0"/>
        <v>1000</v>
      </c>
      <c r="K14" s="89">
        <v>0</v>
      </c>
      <c r="L14" s="171">
        <f t="shared" si="1"/>
        <v>1000</v>
      </c>
    </row>
    <row r="15" spans="1:12" s="8" customFormat="1" ht="24.75" customHeight="1">
      <c r="A15" s="120"/>
      <c r="B15" s="120">
        <v>80110</v>
      </c>
      <c r="C15" s="88"/>
      <c r="D15" s="40" t="s">
        <v>311</v>
      </c>
      <c r="E15" s="129"/>
      <c r="F15" s="127"/>
      <c r="G15" s="127"/>
      <c r="H15" s="171">
        <f>SUM(H16)</f>
        <v>0</v>
      </c>
      <c r="I15" s="171">
        <f>SUM(I16)</f>
        <v>600</v>
      </c>
      <c r="J15" s="171">
        <f t="shared" si="0"/>
        <v>600</v>
      </c>
      <c r="K15" s="171">
        <f>SUM(K16)</f>
        <v>0</v>
      </c>
      <c r="L15" s="171">
        <f t="shared" si="1"/>
        <v>600</v>
      </c>
    </row>
    <row r="16" spans="1:12" s="8" customFormat="1" ht="24.75" customHeight="1">
      <c r="A16" s="120"/>
      <c r="B16" s="120"/>
      <c r="C16" s="88">
        <v>4210</v>
      </c>
      <c r="D16" s="40" t="s">
        <v>354</v>
      </c>
      <c r="E16" s="129"/>
      <c r="F16" s="127"/>
      <c r="G16" s="127"/>
      <c r="H16" s="171">
        <v>0</v>
      </c>
      <c r="I16" s="89">
        <v>600</v>
      </c>
      <c r="J16" s="171">
        <f t="shared" si="0"/>
        <v>600</v>
      </c>
      <c r="K16" s="89">
        <v>0</v>
      </c>
      <c r="L16" s="171">
        <f t="shared" si="1"/>
        <v>600</v>
      </c>
    </row>
    <row r="17" spans="1:12" s="7" customFormat="1" ht="28.5" customHeight="1">
      <c r="A17" s="36" t="s">
        <v>324</v>
      </c>
      <c r="B17" s="5"/>
      <c r="C17" s="5"/>
      <c r="D17" s="22" t="s">
        <v>330</v>
      </c>
      <c r="E17" s="18">
        <f>E20</f>
        <v>45000</v>
      </c>
      <c r="F17" s="18">
        <f>F20</f>
        <v>900</v>
      </c>
      <c r="G17" s="18">
        <f>G20</f>
        <v>0</v>
      </c>
      <c r="H17" s="128">
        <f>SUM(H18,H20,H22,)</f>
        <v>45900</v>
      </c>
      <c r="I17" s="128">
        <f>SUM(I18,I20,I22,)</f>
        <v>11500</v>
      </c>
      <c r="J17" s="128">
        <f t="shared" si="0"/>
        <v>57400</v>
      </c>
      <c r="K17" s="128">
        <f>SUM(K18,K20,K22,)</f>
        <v>0</v>
      </c>
      <c r="L17" s="128">
        <f t="shared" si="1"/>
        <v>57400</v>
      </c>
    </row>
    <row r="18" spans="1:12" s="27" customFormat="1" ht="28.5" customHeight="1">
      <c r="A18" s="76"/>
      <c r="B18" s="58">
        <v>92109</v>
      </c>
      <c r="C18" s="58"/>
      <c r="D18" s="14" t="s">
        <v>428</v>
      </c>
      <c r="E18" s="87"/>
      <c r="F18" s="87"/>
      <c r="G18" s="87"/>
      <c r="H18" s="171">
        <f>SUM(H19)</f>
        <v>0</v>
      </c>
      <c r="I18" s="171">
        <f>SUM(I19)</f>
        <v>9500</v>
      </c>
      <c r="J18" s="171">
        <f t="shared" si="0"/>
        <v>9500</v>
      </c>
      <c r="K18" s="171">
        <f>SUM(K19)</f>
        <v>0</v>
      </c>
      <c r="L18" s="171">
        <f t="shared" si="1"/>
        <v>9500</v>
      </c>
    </row>
    <row r="19" spans="1:12" s="27" customFormat="1" ht="28.5" customHeight="1">
      <c r="A19" s="76"/>
      <c r="B19" s="58"/>
      <c r="C19" s="58">
        <v>2480</v>
      </c>
      <c r="D19" s="14" t="s">
        <v>408</v>
      </c>
      <c r="E19" s="87"/>
      <c r="F19" s="87"/>
      <c r="G19" s="87"/>
      <c r="H19" s="171">
        <v>0</v>
      </c>
      <c r="I19" s="87">
        <v>9500</v>
      </c>
      <c r="J19" s="171">
        <f t="shared" si="0"/>
        <v>9500</v>
      </c>
      <c r="K19" s="87">
        <v>0</v>
      </c>
      <c r="L19" s="171">
        <f t="shared" si="1"/>
        <v>9500</v>
      </c>
    </row>
    <row r="20" spans="1:12" s="27" customFormat="1" ht="24.75" customHeight="1">
      <c r="A20" s="76"/>
      <c r="B20" s="76" t="s">
        <v>325</v>
      </c>
      <c r="C20" s="58"/>
      <c r="D20" s="14" t="s">
        <v>326</v>
      </c>
      <c r="E20" s="87">
        <f>E21</f>
        <v>45000</v>
      </c>
      <c r="F20" s="87">
        <f>F21</f>
        <v>900</v>
      </c>
      <c r="G20" s="87">
        <f>G21</f>
        <v>0</v>
      </c>
      <c r="H20" s="171">
        <f>E20+F20-G20</f>
        <v>45900</v>
      </c>
      <c r="I20" s="87">
        <f>I21</f>
        <v>0</v>
      </c>
      <c r="J20" s="171">
        <f t="shared" si="0"/>
        <v>45900</v>
      </c>
      <c r="K20" s="87">
        <f>K21</f>
        <v>0</v>
      </c>
      <c r="L20" s="171">
        <f t="shared" si="1"/>
        <v>45900</v>
      </c>
    </row>
    <row r="21" spans="1:12" s="27" customFormat="1" ht="28.5" customHeight="1">
      <c r="A21" s="76"/>
      <c r="B21" s="76"/>
      <c r="C21" s="58">
        <v>2480</v>
      </c>
      <c r="D21" s="14" t="s">
        <v>408</v>
      </c>
      <c r="E21" s="87">
        <v>45000</v>
      </c>
      <c r="F21" s="89">
        <v>900</v>
      </c>
      <c r="G21" s="89"/>
      <c r="H21" s="171">
        <f>E21+F21-G21</f>
        <v>45900</v>
      </c>
      <c r="I21" s="89">
        <v>0</v>
      </c>
      <c r="J21" s="171">
        <f t="shared" si="0"/>
        <v>45900</v>
      </c>
      <c r="K21" s="89">
        <v>0</v>
      </c>
      <c r="L21" s="171">
        <f t="shared" si="1"/>
        <v>45900</v>
      </c>
    </row>
    <row r="22" spans="1:12" s="27" customFormat="1" ht="28.5" customHeight="1">
      <c r="A22" s="76"/>
      <c r="B22" s="76">
        <v>92118</v>
      </c>
      <c r="C22" s="58"/>
      <c r="D22" s="14" t="s">
        <v>410</v>
      </c>
      <c r="E22" s="87"/>
      <c r="F22" s="89"/>
      <c r="G22" s="89"/>
      <c r="H22" s="171">
        <f>SUM(H23)</f>
        <v>0</v>
      </c>
      <c r="I22" s="171">
        <f>SUM(I23)</f>
        <v>2000</v>
      </c>
      <c r="J22" s="171">
        <f t="shared" si="0"/>
        <v>2000</v>
      </c>
      <c r="K22" s="171">
        <f>SUM(K23)</f>
        <v>0</v>
      </c>
      <c r="L22" s="171">
        <f t="shared" si="1"/>
        <v>2000</v>
      </c>
    </row>
    <row r="23" spans="1:12" s="27" customFormat="1" ht="28.5" customHeight="1">
      <c r="A23" s="76"/>
      <c r="B23" s="76"/>
      <c r="C23" s="58">
        <v>2480</v>
      </c>
      <c r="D23" s="14" t="s">
        <v>408</v>
      </c>
      <c r="E23" s="87"/>
      <c r="F23" s="89"/>
      <c r="G23" s="89"/>
      <c r="H23" s="171">
        <v>0</v>
      </c>
      <c r="I23" s="89">
        <v>2000</v>
      </c>
      <c r="J23" s="171">
        <f t="shared" si="0"/>
        <v>2000</v>
      </c>
      <c r="K23" s="89">
        <v>0</v>
      </c>
      <c r="L23" s="171">
        <f t="shared" si="1"/>
        <v>2000</v>
      </c>
    </row>
    <row r="24" spans="1:12" s="43" customFormat="1" ht="28.5" customHeight="1">
      <c r="A24" s="36">
        <v>926</v>
      </c>
      <c r="B24" s="36"/>
      <c r="C24" s="5"/>
      <c r="D24" s="39" t="s">
        <v>327</v>
      </c>
      <c r="E24" s="18"/>
      <c r="F24" s="44"/>
      <c r="G24" s="44"/>
      <c r="H24" s="128">
        <f>SUM(H25)</f>
        <v>0</v>
      </c>
      <c r="I24" s="128">
        <f>SUM(I25)</f>
        <v>600</v>
      </c>
      <c r="J24" s="128">
        <f t="shared" si="0"/>
        <v>600</v>
      </c>
      <c r="K24" s="128">
        <f>SUM(K25)</f>
        <v>0</v>
      </c>
      <c r="L24" s="128">
        <f t="shared" si="1"/>
        <v>600</v>
      </c>
    </row>
    <row r="25" spans="1:12" s="27" customFormat="1" ht="28.5" customHeight="1">
      <c r="A25" s="76"/>
      <c r="B25" s="76">
        <v>92605</v>
      </c>
      <c r="C25" s="58"/>
      <c r="D25" s="14" t="s">
        <v>328</v>
      </c>
      <c r="E25" s="87"/>
      <c r="F25" s="89"/>
      <c r="G25" s="89"/>
      <c r="H25" s="171">
        <f>SUM(H26)</f>
        <v>0</v>
      </c>
      <c r="I25" s="171">
        <f>SUM(I26)</f>
        <v>600</v>
      </c>
      <c r="J25" s="171">
        <f>SUM(J26:J27)</f>
        <v>600</v>
      </c>
      <c r="K25" s="171">
        <f>SUM(K26:K27)</f>
        <v>0</v>
      </c>
      <c r="L25" s="171">
        <f>SUM(L26:L27)</f>
        <v>600</v>
      </c>
    </row>
    <row r="26" spans="1:12" s="27" customFormat="1" ht="28.5" customHeight="1">
      <c r="A26" s="76"/>
      <c r="B26" s="76"/>
      <c r="C26" s="58">
        <v>4210</v>
      </c>
      <c r="D26" s="40" t="s">
        <v>354</v>
      </c>
      <c r="E26" s="87"/>
      <c r="F26" s="89"/>
      <c r="G26" s="89"/>
      <c r="H26" s="171">
        <v>0</v>
      </c>
      <c r="I26" s="89">
        <f>600</f>
        <v>600</v>
      </c>
      <c r="J26" s="171">
        <f t="shared" si="0"/>
        <v>600</v>
      </c>
      <c r="K26" s="89">
        <v>-600</v>
      </c>
      <c r="L26" s="171">
        <f t="shared" si="1"/>
        <v>0</v>
      </c>
    </row>
    <row r="27" spans="1:12" s="27" customFormat="1" ht="28.5" customHeight="1">
      <c r="A27" s="76"/>
      <c r="B27" s="76"/>
      <c r="C27" s="58">
        <v>4300</v>
      </c>
      <c r="D27" s="40" t="s">
        <v>340</v>
      </c>
      <c r="E27" s="87"/>
      <c r="F27" s="89"/>
      <c r="G27" s="89"/>
      <c r="H27" s="171"/>
      <c r="I27" s="89"/>
      <c r="J27" s="171">
        <v>0</v>
      </c>
      <c r="K27" s="89">
        <v>600</v>
      </c>
      <c r="L27" s="171">
        <f t="shared" si="1"/>
        <v>600</v>
      </c>
    </row>
    <row r="28" spans="1:12" s="7" customFormat="1" ht="24.75" customHeight="1">
      <c r="A28" s="19"/>
      <c r="B28" s="19"/>
      <c r="C28" s="19"/>
      <c r="D28" s="5" t="s">
        <v>329</v>
      </c>
      <c r="E28" s="18">
        <f>SUM(E9,E17)</f>
        <v>47940</v>
      </c>
      <c r="F28" s="18">
        <f>F17</f>
        <v>900</v>
      </c>
      <c r="G28" s="18">
        <f>G17</f>
        <v>0</v>
      </c>
      <c r="H28" s="128">
        <f>SUM(H24,H17,H9,)</f>
        <v>48840</v>
      </c>
      <c r="I28" s="128">
        <f>SUM(I24,I17,I9,)</f>
        <v>13700</v>
      </c>
      <c r="J28" s="128">
        <f t="shared" si="0"/>
        <v>62540</v>
      </c>
      <c r="K28" s="128">
        <f>SUM(K24,K17,K9,)</f>
        <v>0</v>
      </c>
      <c r="L28" s="128">
        <f t="shared" si="1"/>
        <v>62540</v>
      </c>
    </row>
    <row r="31" ht="12.75">
      <c r="E31" s="29"/>
    </row>
    <row r="32" ht="12.75">
      <c r="E32" s="29"/>
    </row>
    <row r="33" ht="12.75">
      <c r="E33" s="41"/>
    </row>
    <row r="34" ht="12.75">
      <c r="E34" s="29"/>
    </row>
    <row r="35" ht="12.75">
      <c r="E35" s="29"/>
    </row>
  </sheetData>
  <mergeCells count="1">
    <mergeCell ref="A6:L6"/>
  </mergeCells>
  <printOptions horizontalCentered="1"/>
  <pageMargins left="0.57" right="0.7874015748031497" top="0.7874015748031497" bottom="0.7874015748031497" header="0.5118110236220472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66"/>
  <sheetViews>
    <sheetView workbookViewId="0" topLeftCell="A47">
      <selection activeCell="A1" sqref="A1:S66"/>
    </sheetView>
  </sheetViews>
  <sheetFormatPr defaultColWidth="9.00390625" defaultRowHeight="12.75"/>
  <cols>
    <col min="1" max="1" width="5.375" style="8" customWidth="1"/>
    <col min="2" max="2" width="7.375" style="8" customWidth="1"/>
    <col min="3" max="3" width="4.375" style="8" bestFit="1" customWidth="1"/>
    <col min="4" max="4" width="36.125" style="8" customWidth="1"/>
    <col min="5" max="5" width="34.875" style="0" hidden="1" customWidth="1"/>
    <col min="6" max="6" width="8.375" style="0" hidden="1" customWidth="1"/>
    <col min="7" max="7" width="34.875" style="0" hidden="1" customWidth="1"/>
    <col min="8" max="8" width="8.375" style="0" hidden="1" customWidth="1"/>
    <col min="9" max="9" width="34.875" style="0" hidden="1" customWidth="1"/>
    <col min="10" max="10" width="8.375" style="0" hidden="1" customWidth="1"/>
    <col min="11" max="11" width="34.875" style="0" hidden="1" customWidth="1"/>
    <col min="12" max="12" width="6.875" style="0" hidden="1" customWidth="1"/>
    <col min="13" max="13" width="0.12890625" style="0" hidden="1" customWidth="1"/>
    <col min="14" max="14" width="9.375" style="0" hidden="1" customWidth="1"/>
    <col min="15" max="15" width="38.75390625" style="0" hidden="1" customWidth="1"/>
    <col min="16" max="16" width="8.875" style="0" hidden="1" customWidth="1"/>
    <col min="17" max="17" width="13.625" style="0" customWidth="1"/>
    <col min="18" max="18" width="12.125" style="0" customWidth="1"/>
    <col min="19" max="19" width="13.625" style="0" customWidth="1"/>
  </cols>
  <sheetData>
    <row r="1" spans="5:19" ht="12.75">
      <c r="E1" s="98" t="s">
        <v>35</v>
      </c>
      <c r="F1" s="98"/>
      <c r="G1" s="98" t="s">
        <v>97</v>
      </c>
      <c r="H1" s="98"/>
      <c r="I1" s="98" t="s">
        <v>212</v>
      </c>
      <c r="J1" s="98"/>
      <c r="K1" s="98" t="s">
        <v>175</v>
      </c>
      <c r="L1" s="98"/>
      <c r="M1" s="98" t="s">
        <v>497</v>
      </c>
      <c r="N1" s="98"/>
      <c r="O1" s="98" t="s">
        <v>482</v>
      </c>
      <c r="P1" s="98"/>
      <c r="Q1" s="98" t="s">
        <v>66</v>
      </c>
      <c r="R1" s="98"/>
      <c r="S1" s="66"/>
    </row>
    <row r="2" spans="5:19" ht="12.75">
      <c r="E2" s="98" t="s">
        <v>698</v>
      </c>
      <c r="F2" s="98"/>
      <c r="G2" s="98" t="s">
        <v>88</v>
      </c>
      <c r="H2" s="98"/>
      <c r="I2" s="98" t="s">
        <v>207</v>
      </c>
      <c r="J2" s="98"/>
      <c r="K2" s="98" t="s">
        <v>537</v>
      </c>
      <c r="L2" s="98"/>
      <c r="M2" s="98" t="s">
        <v>490</v>
      </c>
      <c r="N2" s="98"/>
      <c r="O2" s="98" t="s">
        <v>564</v>
      </c>
      <c r="P2" s="98"/>
      <c r="Q2" s="98" t="s">
        <v>65</v>
      </c>
      <c r="R2" s="98"/>
      <c r="S2" s="66"/>
    </row>
    <row r="3" spans="5:19" ht="12.75">
      <c r="E3" s="98" t="s">
        <v>20</v>
      </c>
      <c r="F3" s="98"/>
      <c r="G3" s="98" t="s">
        <v>35</v>
      </c>
      <c r="H3" s="98"/>
      <c r="I3" s="98" t="s">
        <v>97</v>
      </c>
      <c r="J3" s="98"/>
      <c r="K3" s="98" t="s">
        <v>212</v>
      </c>
      <c r="L3" s="98"/>
      <c r="M3" s="98" t="s">
        <v>175</v>
      </c>
      <c r="N3" s="98"/>
      <c r="O3" s="98" t="s">
        <v>497</v>
      </c>
      <c r="P3" s="98"/>
      <c r="Q3" s="98" t="s">
        <v>482</v>
      </c>
      <c r="R3" s="98"/>
      <c r="S3" s="66"/>
    </row>
    <row r="4" spans="5:19" ht="12.75">
      <c r="E4" s="98" t="s">
        <v>700</v>
      </c>
      <c r="F4" s="98"/>
      <c r="G4" s="98" t="s">
        <v>39</v>
      </c>
      <c r="H4" s="98"/>
      <c r="I4" s="98" t="s">
        <v>118</v>
      </c>
      <c r="J4" s="98"/>
      <c r="K4" s="98" t="s">
        <v>155</v>
      </c>
      <c r="L4" s="98"/>
      <c r="M4" s="98" t="s">
        <v>723</v>
      </c>
      <c r="N4" s="98"/>
      <c r="O4" s="98" t="s">
        <v>628</v>
      </c>
      <c r="P4" s="98"/>
      <c r="Q4" s="98" t="s">
        <v>236</v>
      </c>
      <c r="R4" s="98"/>
      <c r="S4" s="66"/>
    </row>
    <row r="5" spans="1:4" ht="66.75" customHeight="1">
      <c r="A5" s="330" t="s">
        <v>1</v>
      </c>
      <c r="B5" s="330"/>
      <c r="C5" s="330"/>
      <c r="D5" s="330"/>
    </row>
    <row r="6" spans="1:4" ht="14.25" customHeight="1">
      <c r="A6" s="109"/>
      <c r="B6" s="109"/>
      <c r="C6" s="109"/>
      <c r="D6" s="109"/>
    </row>
    <row r="7" spans="1:4" ht="32.25" customHeight="1">
      <c r="A7" s="331" t="s">
        <v>554</v>
      </c>
      <c r="B7" s="331"/>
      <c r="C7" s="331"/>
      <c r="D7" s="331"/>
    </row>
    <row r="8" spans="1:19" s="110" customFormat="1" ht="24.75" customHeight="1">
      <c r="A8" s="2" t="s">
        <v>244</v>
      </c>
      <c r="B8" s="2" t="s">
        <v>245</v>
      </c>
      <c r="C8" s="2" t="s">
        <v>246</v>
      </c>
      <c r="D8" s="2" t="s">
        <v>247</v>
      </c>
      <c r="E8" s="99" t="s">
        <v>717</v>
      </c>
      <c r="F8" s="99" t="s">
        <v>506</v>
      </c>
      <c r="G8" s="99" t="s">
        <v>60</v>
      </c>
      <c r="H8" s="99" t="s">
        <v>506</v>
      </c>
      <c r="I8" s="99" t="s">
        <v>149</v>
      </c>
      <c r="J8" s="99" t="s">
        <v>716</v>
      </c>
      <c r="K8" s="99" t="s">
        <v>154</v>
      </c>
      <c r="L8" s="99" t="s">
        <v>716</v>
      </c>
      <c r="M8" s="99" t="s">
        <v>60</v>
      </c>
      <c r="N8" s="99" t="s">
        <v>716</v>
      </c>
      <c r="O8" s="99" t="s">
        <v>413</v>
      </c>
      <c r="P8" s="99" t="s">
        <v>716</v>
      </c>
      <c r="Q8" s="99" t="s">
        <v>413</v>
      </c>
      <c r="R8" s="99" t="s">
        <v>716</v>
      </c>
      <c r="S8" s="99" t="s">
        <v>150</v>
      </c>
    </row>
    <row r="9" spans="1:19" s="28" customFormat="1" ht="36">
      <c r="A9" s="2">
        <v>756</v>
      </c>
      <c r="B9" s="2"/>
      <c r="C9" s="2"/>
      <c r="D9" s="48" t="s">
        <v>282</v>
      </c>
      <c r="E9" s="35">
        <f>SUM(E10)</f>
        <v>290000</v>
      </c>
      <c r="F9" s="35">
        <f>SUM(F10)</f>
        <v>0</v>
      </c>
      <c r="G9" s="35">
        <f>SUM(E9:F9)</f>
        <v>290000</v>
      </c>
      <c r="H9" s="35">
        <f>SUM(H10)</f>
        <v>0</v>
      </c>
      <c r="I9" s="35">
        <f>SUM(G9:H9)</f>
        <v>290000</v>
      </c>
      <c r="J9" s="35">
        <f>SUM(J10)</f>
        <v>0</v>
      </c>
      <c r="K9" s="35">
        <f>SUM(I9:J9)</f>
        <v>290000</v>
      </c>
      <c r="L9" s="35">
        <f>SUM(L10)</f>
        <v>0</v>
      </c>
      <c r="M9" s="35">
        <f>SUM(K9:L9)</f>
        <v>290000</v>
      </c>
      <c r="N9" s="35">
        <f>SUM(N10)</f>
        <v>0</v>
      </c>
      <c r="O9" s="35">
        <f>SUM(M9:N9)</f>
        <v>290000</v>
      </c>
      <c r="P9" s="35">
        <f>SUM(P10)</f>
        <v>25710</v>
      </c>
      <c r="Q9" s="35">
        <f>SUM(O9:P9)</f>
        <v>315710</v>
      </c>
      <c r="R9" s="35">
        <f>SUM(R10)</f>
        <v>0</v>
      </c>
      <c r="S9" s="35">
        <f>SUM(Q9:R9)</f>
        <v>315710</v>
      </c>
    </row>
    <row r="10" spans="1:19" s="114" customFormat="1" ht="33.75">
      <c r="A10" s="63"/>
      <c r="B10" s="58">
        <v>75618</v>
      </c>
      <c r="C10" s="63"/>
      <c r="D10" s="49" t="s">
        <v>420</v>
      </c>
      <c r="E10" s="103">
        <f>SUM(E11)</f>
        <v>290000</v>
      </c>
      <c r="F10" s="103">
        <f>SUM(F11)</f>
        <v>0</v>
      </c>
      <c r="G10" s="103">
        <f>SUM(E10:F10)</f>
        <v>290000</v>
      </c>
      <c r="H10" s="103">
        <f>SUM(H11)</f>
        <v>0</v>
      </c>
      <c r="I10" s="103">
        <f>SUM(G10:H10)</f>
        <v>290000</v>
      </c>
      <c r="J10" s="103">
        <f>SUM(J11)</f>
        <v>0</v>
      </c>
      <c r="K10" s="103">
        <f>SUM(I10:J10)</f>
        <v>290000</v>
      </c>
      <c r="L10" s="103">
        <f>SUM(L11)</f>
        <v>0</v>
      </c>
      <c r="M10" s="103">
        <f>SUM(K10:L10)</f>
        <v>290000</v>
      </c>
      <c r="N10" s="103">
        <f>SUM(N11)</f>
        <v>0</v>
      </c>
      <c r="O10" s="103">
        <f>SUM(M10:N10)</f>
        <v>290000</v>
      </c>
      <c r="P10" s="103">
        <f>SUM(P11)</f>
        <v>25710</v>
      </c>
      <c r="Q10" s="103">
        <f>SUM(O10:P10)</f>
        <v>315710</v>
      </c>
      <c r="R10" s="103">
        <f>SUM(R11)</f>
        <v>0</v>
      </c>
      <c r="S10" s="103">
        <f>SUM(Q10:R10)</f>
        <v>315710</v>
      </c>
    </row>
    <row r="11" spans="1:19" s="114" customFormat="1" ht="28.5" customHeight="1">
      <c r="A11" s="63"/>
      <c r="B11" s="63"/>
      <c r="C11" s="115" t="s">
        <v>459</v>
      </c>
      <c r="D11" s="49" t="s">
        <v>314</v>
      </c>
      <c r="E11" s="103">
        <v>290000</v>
      </c>
      <c r="F11" s="103">
        <v>0</v>
      </c>
      <c r="G11" s="103">
        <f>SUM(E11:F11)</f>
        <v>290000</v>
      </c>
      <c r="H11" s="103">
        <v>0</v>
      </c>
      <c r="I11" s="103">
        <f>SUM(G11:H11)</f>
        <v>290000</v>
      </c>
      <c r="J11" s="103">
        <v>0</v>
      </c>
      <c r="K11" s="103">
        <f>SUM(I11:J11)</f>
        <v>290000</v>
      </c>
      <c r="L11" s="103">
        <v>0</v>
      </c>
      <c r="M11" s="103">
        <f>SUM(K11:L11)</f>
        <v>290000</v>
      </c>
      <c r="N11" s="103">
        <v>0</v>
      </c>
      <c r="O11" s="103">
        <f>SUM(M11:N11)</f>
        <v>290000</v>
      </c>
      <c r="P11" s="103">
        <v>25710</v>
      </c>
      <c r="Q11" s="103">
        <f>SUM(O11:P11)</f>
        <v>315710</v>
      </c>
      <c r="R11" s="103">
        <v>0</v>
      </c>
      <c r="S11" s="103">
        <f>SUM(Q11:R11)</f>
        <v>315710</v>
      </c>
    </row>
    <row r="12" spans="1:19" s="1" customFormat="1" ht="21" customHeight="1">
      <c r="A12" s="47"/>
      <c r="B12" s="47"/>
      <c r="C12" s="47"/>
      <c r="D12" s="2" t="s">
        <v>329</v>
      </c>
      <c r="E12" s="35">
        <f>SUM(E9)</f>
        <v>290000</v>
      </c>
      <c r="F12" s="35">
        <f>SUM(F9)</f>
        <v>0</v>
      </c>
      <c r="G12" s="35">
        <f>SUM(E12:F12)</f>
        <v>290000</v>
      </c>
      <c r="H12" s="35">
        <f>SUM(H9)</f>
        <v>0</v>
      </c>
      <c r="I12" s="35">
        <f>SUM(G12:H12)</f>
        <v>290000</v>
      </c>
      <c r="J12" s="35">
        <f>SUM(J9)</f>
        <v>0</v>
      </c>
      <c r="K12" s="35">
        <f>SUM(I12:J12)</f>
        <v>290000</v>
      </c>
      <c r="L12" s="35">
        <f>SUM(L9)</f>
        <v>0</v>
      </c>
      <c r="M12" s="35">
        <f>SUM(K12:L12)</f>
        <v>290000</v>
      </c>
      <c r="N12" s="35">
        <f>SUM(N9)</f>
        <v>0</v>
      </c>
      <c r="O12" s="35">
        <f>SUM(M12:N12)</f>
        <v>290000</v>
      </c>
      <c r="P12" s="35">
        <f>SUM(P9)</f>
        <v>25710</v>
      </c>
      <c r="Q12" s="35">
        <f>SUM(O12:P12)</f>
        <v>315710</v>
      </c>
      <c r="R12" s="35">
        <f>SUM(R9)</f>
        <v>0</v>
      </c>
      <c r="S12" s="35">
        <f>SUM(Q12:R12)</f>
        <v>315710</v>
      </c>
    </row>
    <row r="13" spans="1:19" s="1" customFormat="1" ht="22.5" customHeight="1">
      <c r="A13" s="111"/>
      <c r="B13" s="111"/>
      <c r="C13" s="111"/>
      <c r="D13" s="112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</row>
    <row r="14" spans="1:4" ht="44.25" customHeight="1">
      <c r="A14" s="329" t="s">
        <v>555</v>
      </c>
      <c r="B14" s="329"/>
      <c r="C14" s="329"/>
      <c r="D14" s="329"/>
    </row>
    <row r="15" spans="1:19" s="117" customFormat="1" ht="23.25" customHeight="1">
      <c r="A15" s="2" t="s">
        <v>244</v>
      </c>
      <c r="B15" s="2" t="s">
        <v>245</v>
      </c>
      <c r="C15" s="2" t="s">
        <v>246</v>
      </c>
      <c r="D15" s="2" t="s">
        <v>247</v>
      </c>
      <c r="E15" s="99" t="s">
        <v>717</v>
      </c>
      <c r="F15" s="99" t="s">
        <v>716</v>
      </c>
      <c r="G15" s="99" t="s">
        <v>717</v>
      </c>
      <c r="H15" s="99" t="s">
        <v>716</v>
      </c>
      <c r="I15" s="99" t="s">
        <v>149</v>
      </c>
      <c r="J15" s="99" t="s">
        <v>716</v>
      </c>
      <c r="K15" s="99" t="s">
        <v>150</v>
      </c>
      <c r="L15" s="99" t="s">
        <v>716</v>
      </c>
      <c r="M15" s="99" t="s">
        <v>150</v>
      </c>
      <c r="N15" s="99" t="s">
        <v>716</v>
      </c>
      <c r="O15" s="99" t="s">
        <v>412</v>
      </c>
      <c r="P15" s="99" t="s">
        <v>716</v>
      </c>
      <c r="Q15" s="99" t="s">
        <v>413</v>
      </c>
      <c r="R15" s="99" t="s">
        <v>716</v>
      </c>
      <c r="S15" s="99" t="s">
        <v>150</v>
      </c>
    </row>
    <row r="16" spans="1:19" s="117" customFormat="1" ht="23.25" customHeight="1">
      <c r="A16" s="2">
        <v>750</v>
      </c>
      <c r="B16" s="2"/>
      <c r="C16" s="2"/>
      <c r="D16" s="130" t="s">
        <v>270</v>
      </c>
      <c r="E16" s="99"/>
      <c r="F16" s="99"/>
      <c r="G16" s="99"/>
      <c r="H16" s="99"/>
      <c r="I16" s="208">
        <f aca="true" t="shared" si="0" ref="I16:S16">SUM(I17)</f>
        <v>0</v>
      </c>
      <c r="J16" s="128">
        <f t="shared" si="0"/>
        <v>3542</v>
      </c>
      <c r="K16" s="128">
        <f t="shared" si="0"/>
        <v>3542</v>
      </c>
      <c r="L16" s="128">
        <f t="shared" si="0"/>
        <v>0</v>
      </c>
      <c r="M16" s="128">
        <f t="shared" si="0"/>
        <v>3542</v>
      </c>
      <c r="N16" s="128">
        <f t="shared" si="0"/>
        <v>0</v>
      </c>
      <c r="O16" s="128">
        <f t="shared" si="0"/>
        <v>3542</v>
      </c>
      <c r="P16" s="128">
        <f t="shared" si="0"/>
        <v>0</v>
      </c>
      <c r="Q16" s="128">
        <f t="shared" si="0"/>
        <v>3542</v>
      </c>
      <c r="R16" s="128">
        <f t="shared" si="0"/>
        <v>0</v>
      </c>
      <c r="S16" s="128">
        <f t="shared" si="0"/>
        <v>3542</v>
      </c>
    </row>
    <row r="17" spans="1:19" s="207" customFormat="1" ht="23.25" customHeight="1">
      <c r="A17" s="63"/>
      <c r="B17" s="63">
        <v>75023</v>
      </c>
      <c r="C17" s="63"/>
      <c r="D17" s="40" t="s">
        <v>273</v>
      </c>
      <c r="E17" s="205"/>
      <c r="F17" s="205"/>
      <c r="G17" s="205"/>
      <c r="H17" s="205"/>
      <c r="I17" s="209">
        <f aca="true" t="shared" si="1" ref="I17:S17">SUM(I18:I18)</f>
        <v>0</v>
      </c>
      <c r="J17" s="171">
        <f t="shared" si="1"/>
        <v>3542</v>
      </c>
      <c r="K17" s="171">
        <f t="shared" si="1"/>
        <v>3542</v>
      </c>
      <c r="L17" s="171">
        <f t="shared" si="1"/>
        <v>0</v>
      </c>
      <c r="M17" s="171">
        <f t="shared" si="1"/>
        <v>3542</v>
      </c>
      <c r="N17" s="171">
        <f t="shared" si="1"/>
        <v>0</v>
      </c>
      <c r="O17" s="171">
        <f t="shared" si="1"/>
        <v>3542</v>
      </c>
      <c r="P17" s="171">
        <f t="shared" si="1"/>
        <v>0</v>
      </c>
      <c r="Q17" s="171">
        <f t="shared" si="1"/>
        <v>3542</v>
      </c>
      <c r="R17" s="171">
        <f t="shared" si="1"/>
        <v>0</v>
      </c>
      <c r="S17" s="171">
        <f t="shared" si="1"/>
        <v>3542</v>
      </c>
    </row>
    <row r="18" spans="1:19" s="207" customFormat="1" ht="23.25" customHeight="1">
      <c r="A18" s="63"/>
      <c r="B18" s="63"/>
      <c r="C18" s="63">
        <v>4010</v>
      </c>
      <c r="D18" s="40" t="s">
        <v>345</v>
      </c>
      <c r="E18" s="205"/>
      <c r="F18" s="205"/>
      <c r="G18" s="205"/>
      <c r="H18" s="205"/>
      <c r="I18" s="209">
        <v>0</v>
      </c>
      <c r="J18" s="171">
        <v>3542</v>
      </c>
      <c r="K18" s="171">
        <f>SUM(I18:J18)</f>
        <v>3542</v>
      </c>
      <c r="L18" s="171">
        <v>0</v>
      </c>
      <c r="M18" s="171">
        <f>SUM(K18:L18)</f>
        <v>3542</v>
      </c>
      <c r="N18" s="171">
        <v>0</v>
      </c>
      <c r="O18" s="171">
        <f>SUM(M18:N18)</f>
        <v>3542</v>
      </c>
      <c r="P18" s="171">
        <v>0</v>
      </c>
      <c r="Q18" s="171">
        <f>SUM(O18:P18)</f>
        <v>3542</v>
      </c>
      <c r="R18" s="171">
        <v>0</v>
      </c>
      <c r="S18" s="171">
        <f>SUM(Q18:R18)</f>
        <v>3542</v>
      </c>
    </row>
    <row r="19" spans="1:19" s="121" customFormat="1" ht="23.25" customHeight="1">
      <c r="A19" s="2">
        <v>851</v>
      </c>
      <c r="B19" s="2"/>
      <c r="C19" s="2"/>
      <c r="D19" s="122" t="s">
        <v>551</v>
      </c>
      <c r="E19" s="123">
        <f>E22+E20</f>
        <v>118720</v>
      </c>
      <c r="F19" s="123">
        <f>F22+F20</f>
        <v>0</v>
      </c>
      <c r="G19" s="123">
        <f>SUM(E19:F19)</f>
        <v>118720</v>
      </c>
      <c r="H19" s="123">
        <f>H22+H20</f>
        <v>0</v>
      </c>
      <c r="I19" s="123">
        <f>SUM(G19:H19)</f>
        <v>118720</v>
      </c>
      <c r="J19" s="123">
        <f>J22+J20</f>
        <v>0</v>
      </c>
      <c r="K19" s="123">
        <f>SUM(I19:J19)</f>
        <v>118720</v>
      </c>
      <c r="L19" s="123">
        <f>L22+L20</f>
        <v>0</v>
      </c>
      <c r="M19" s="123">
        <f>SUM(K19:L19)</f>
        <v>118720</v>
      </c>
      <c r="N19" s="123">
        <f>N22+N20</f>
        <v>16650</v>
      </c>
      <c r="O19" s="123">
        <f>SUM(M19:N19)</f>
        <v>135370</v>
      </c>
      <c r="P19" s="123">
        <f>P22+P20</f>
        <v>0</v>
      </c>
      <c r="Q19" s="123">
        <f>SUM(O19:P19)</f>
        <v>135370</v>
      </c>
      <c r="R19" s="123">
        <f>R22+R20</f>
        <v>0</v>
      </c>
      <c r="S19" s="123">
        <f>SUM(Q19:R19)</f>
        <v>135370</v>
      </c>
    </row>
    <row r="20" spans="1:19" s="121" customFormat="1" ht="23.25" customHeight="1">
      <c r="A20" s="2"/>
      <c r="B20" s="63">
        <v>85153</v>
      </c>
      <c r="C20" s="2"/>
      <c r="D20" s="61" t="s">
        <v>560</v>
      </c>
      <c r="E20" s="125">
        <f>SUM(E21:E21)</f>
        <v>20000</v>
      </c>
      <c r="F20" s="125">
        <f>SUM(F21:F21)</f>
        <v>0</v>
      </c>
      <c r="G20" s="173">
        <f aca="true" t="shared" si="2" ref="G20:G66">SUM(E20:F20)</f>
        <v>20000</v>
      </c>
      <c r="H20" s="125">
        <f>SUM(H21:H21)</f>
        <v>0</v>
      </c>
      <c r="I20" s="173">
        <f aca="true" t="shared" si="3" ref="I20:I66">SUM(G20:H20)</f>
        <v>20000</v>
      </c>
      <c r="J20" s="125">
        <f>SUM(J21:J21)</f>
        <v>0</v>
      </c>
      <c r="K20" s="173">
        <f>SUM(I20:J20)</f>
        <v>20000</v>
      </c>
      <c r="L20" s="125">
        <f>SUM(L21:L21)</f>
        <v>0</v>
      </c>
      <c r="M20" s="173">
        <f>SUM(K20:L20)</f>
        <v>20000</v>
      </c>
      <c r="N20" s="125">
        <f>SUM(N21:N21)</f>
        <v>0</v>
      </c>
      <c r="O20" s="173">
        <f>SUM(M20:N20)</f>
        <v>20000</v>
      </c>
      <c r="P20" s="125">
        <f>SUM(P21:P21)</f>
        <v>0</v>
      </c>
      <c r="Q20" s="173">
        <f>SUM(O20:P20)</f>
        <v>20000</v>
      </c>
      <c r="R20" s="125">
        <f>SUM(R21:R21)</f>
        <v>0</v>
      </c>
      <c r="S20" s="173">
        <f>SUM(Q20:R20)</f>
        <v>20000</v>
      </c>
    </row>
    <row r="21" spans="1:19" s="121" customFormat="1" ht="23.25" customHeight="1">
      <c r="A21" s="2"/>
      <c r="B21" s="2"/>
      <c r="C21" s="58">
        <v>6060</v>
      </c>
      <c r="D21" s="40" t="s">
        <v>358</v>
      </c>
      <c r="E21" s="173">
        <v>20000</v>
      </c>
      <c r="F21" s="125">
        <v>0</v>
      </c>
      <c r="G21" s="173">
        <f t="shared" si="2"/>
        <v>20000</v>
      </c>
      <c r="H21" s="125">
        <v>0</v>
      </c>
      <c r="I21" s="173">
        <f t="shared" si="3"/>
        <v>20000</v>
      </c>
      <c r="J21" s="125">
        <v>0</v>
      </c>
      <c r="K21" s="173">
        <f>SUM(I21:J21)</f>
        <v>20000</v>
      </c>
      <c r="L21" s="125">
        <v>0</v>
      </c>
      <c r="M21" s="173">
        <f>SUM(K21:L21)</f>
        <v>20000</v>
      </c>
      <c r="N21" s="125">
        <v>0</v>
      </c>
      <c r="O21" s="173">
        <f>SUM(M21:N21)</f>
        <v>20000</v>
      </c>
      <c r="P21" s="125">
        <v>0</v>
      </c>
      <c r="Q21" s="173">
        <f>SUM(O21:P21)</f>
        <v>20000</v>
      </c>
      <c r="R21" s="125">
        <v>0</v>
      </c>
      <c r="S21" s="173">
        <f>SUM(Q21:R21)</f>
        <v>20000</v>
      </c>
    </row>
    <row r="22" spans="1:19" s="27" customFormat="1" ht="21.75" customHeight="1">
      <c r="A22" s="76"/>
      <c r="B22" s="76" t="s">
        <v>383</v>
      </c>
      <c r="C22" s="58"/>
      <c r="D22" s="14" t="s">
        <v>313</v>
      </c>
      <c r="E22" s="87">
        <f>SUM(E23:E31)</f>
        <v>98720</v>
      </c>
      <c r="F22" s="87">
        <f>SUM(F23:F31)</f>
        <v>0</v>
      </c>
      <c r="G22" s="173">
        <f aca="true" t="shared" si="4" ref="G22:M22">SUM(G23:G34)</f>
        <v>98720</v>
      </c>
      <c r="H22" s="173">
        <f t="shared" si="4"/>
        <v>0</v>
      </c>
      <c r="I22" s="173">
        <f t="shared" si="4"/>
        <v>98720</v>
      </c>
      <c r="J22" s="173">
        <f t="shared" si="4"/>
        <v>0</v>
      </c>
      <c r="K22" s="173">
        <f t="shared" si="4"/>
        <v>98720</v>
      </c>
      <c r="L22" s="173">
        <f t="shared" si="4"/>
        <v>0</v>
      </c>
      <c r="M22" s="173">
        <f t="shared" si="4"/>
        <v>98720</v>
      </c>
      <c r="N22" s="173">
        <f aca="true" t="shared" si="5" ref="N22:S22">SUM(N23:N34)</f>
        <v>16650</v>
      </c>
      <c r="O22" s="173">
        <f t="shared" si="5"/>
        <v>115370</v>
      </c>
      <c r="P22" s="173">
        <f t="shared" si="5"/>
        <v>0</v>
      </c>
      <c r="Q22" s="173">
        <f t="shared" si="5"/>
        <v>115370</v>
      </c>
      <c r="R22" s="173">
        <f t="shared" si="5"/>
        <v>0</v>
      </c>
      <c r="S22" s="173">
        <f t="shared" si="5"/>
        <v>115370</v>
      </c>
    </row>
    <row r="23" spans="1:19" s="27" customFormat="1" ht="26.25" customHeight="1">
      <c r="A23" s="76"/>
      <c r="B23" s="76"/>
      <c r="C23" s="58">
        <v>2630</v>
      </c>
      <c r="D23" s="14" t="s">
        <v>575</v>
      </c>
      <c r="E23" s="87">
        <f>10000+16000+40000</f>
        <v>66000</v>
      </c>
      <c r="F23" s="87">
        <v>-47100</v>
      </c>
      <c r="G23" s="173">
        <f t="shared" si="2"/>
        <v>18900</v>
      </c>
      <c r="H23" s="87">
        <v>-18900</v>
      </c>
      <c r="I23" s="173">
        <f t="shared" si="3"/>
        <v>0</v>
      </c>
      <c r="J23" s="87">
        <v>0</v>
      </c>
      <c r="K23" s="173">
        <f aca="true" t="shared" si="6" ref="K23:K31">SUM(I23:J23)</f>
        <v>0</v>
      </c>
      <c r="L23" s="87">
        <v>0</v>
      </c>
      <c r="M23" s="173">
        <f aca="true" t="shared" si="7" ref="M23:M31">SUM(K23:L23)</f>
        <v>0</v>
      </c>
      <c r="N23" s="87">
        <v>0</v>
      </c>
      <c r="O23" s="173">
        <f aca="true" t="shared" si="8" ref="O23:O31">SUM(M23:N23)</f>
        <v>0</v>
      </c>
      <c r="P23" s="87">
        <v>0</v>
      </c>
      <c r="Q23" s="173">
        <f aca="true" t="shared" si="9" ref="Q23:Q31">SUM(O23:P23)</f>
        <v>0</v>
      </c>
      <c r="R23" s="87">
        <v>0</v>
      </c>
      <c r="S23" s="173">
        <f aca="true" t="shared" si="10" ref="S23:S31">SUM(Q23:R23)</f>
        <v>0</v>
      </c>
    </row>
    <row r="24" spans="1:19" s="27" customFormat="1" ht="37.5" customHeight="1">
      <c r="A24" s="76"/>
      <c r="B24" s="76"/>
      <c r="C24" s="58">
        <v>2710</v>
      </c>
      <c r="D24" s="40" t="s">
        <v>61</v>
      </c>
      <c r="E24" s="87"/>
      <c r="F24" s="87"/>
      <c r="G24" s="173">
        <v>0</v>
      </c>
      <c r="H24" s="87">
        <v>11551</v>
      </c>
      <c r="I24" s="173">
        <f t="shared" si="3"/>
        <v>11551</v>
      </c>
      <c r="J24" s="87">
        <v>0</v>
      </c>
      <c r="K24" s="173">
        <f t="shared" si="6"/>
        <v>11551</v>
      </c>
      <c r="L24" s="87">
        <v>0</v>
      </c>
      <c r="M24" s="173">
        <f t="shared" si="7"/>
        <v>11551</v>
      </c>
      <c r="N24" s="87">
        <v>0</v>
      </c>
      <c r="O24" s="173">
        <f t="shared" si="8"/>
        <v>11551</v>
      </c>
      <c r="P24" s="87">
        <v>0</v>
      </c>
      <c r="Q24" s="173">
        <f t="shared" si="9"/>
        <v>11551</v>
      </c>
      <c r="R24" s="87">
        <v>0</v>
      </c>
      <c r="S24" s="173">
        <f t="shared" si="10"/>
        <v>11551</v>
      </c>
    </row>
    <row r="25" spans="1:19" s="27" customFormat="1" ht="33.75">
      <c r="A25" s="76"/>
      <c r="B25" s="76"/>
      <c r="C25" s="88">
        <v>2820</v>
      </c>
      <c r="D25" s="40" t="s">
        <v>712</v>
      </c>
      <c r="E25" s="87">
        <v>0</v>
      </c>
      <c r="F25" s="87">
        <v>7953</v>
      </c>
      <c r="G25" s="173">
        <f t="shared" si="2"/>
        <v>7953</v>
      </c>
      <c r="H25" s="87">
        <v>0</v>
      </c>
      <c r="I25" s="173">
        <f t="shared" si="3"/>
        <v>7953</v>
      </c>
      <c r="J25" s="87">
        <v>0</v>
      </c>
      <c r="K25" s="173">
        <f t="shared" si="6"/>
        <v>7953</v>
      </c>
      <c r="L25" s="87">
        <v>0</v>
      </c>
      <c r="M25" s="173">
        <f t="shared" si="7"/>
        <v>7953</v>
      </c>
      <c r="N25" s="87">
        <v>0</v>
      </c>
      <c r="O25" s="173">
        <f t="shared" si="8"/>
        <v>7953</v>
      </c>
      <c r="P25" s="87">
        <v>0</v>
      </c>
      <c r="Q25" s="173">
        <f t="shared" si="9"/>
        <v>7953</v>
      </c>
      <c r="R25" s="87">
        <v>0</v>
      </c>
      <c r="S25" s="173">
        <f t="shared" si="10"/>
        <v>7953</v>
      </c>
    </row>
    <row r="26" spans="1:19" s="27" customFormat="1" ht="45">
      <c r="A26" s="76"/>
      <c r="B26" s="76"/>
      <c r="C26" s="88">
        <v>2830</v>
      </c>
      <c r="D26" s="40" t="s">
        <v>711</v>
      </c>
      <c r="E26" s="87">
        <v>0</v>
      </c>
      <c r="F26" s="87">
        <f>31147+8000</f>
        <v>39147</v>
      </c>
      <c r="G26" s="173">
        <f t="shared" si="2"/>
        <v>39147</v>
      </c>
      <c r="H26" s="87">
        <v>0</v>
      </c>
      <c r="I26" s="173">
        <f t="shared" si="3"/>
        <v>39147</v>
      </c>
      <c r="J26" s="87">
        <v>0</v>
      </c>
      <c r="K26" s="173">
        <f t="shared" si="6"/>
        <v>39147</v>
      </c>
      <c r="L26" s="87">
        <v>0</v>
      </c>
      <c r="M26" s="173">
        <f t="shared" si="7"/>
        <v>39147</v>
      </c>
      <c r="N26" s="87">
        <v>0</v>
      </c>
      <c r="O26" s="173">
        <f t="shared" si="8"/>
        <v>39147</v>
      </c>
      <c r="P26" s="87">
        <v>0</v>
      </c>
      <c r="Q26" s="173">
        <f t="shared" si="9"/>
        <v>39147</v>
      </c>
      <c r="R26" s="87">
        <v>0</v>
      </c>
      <c r="S26" s="173">
        <f t="shared" si="10"/>
        <v>39147</v>
      </c>
    </row>
    <row r="27" spans="1:19" s="27" customFormat="1" ht="21.75" customHeight="1">
      <c r="A27" s="76"/>
      <c r="B27" s="76"/>
      <c r="C27" s="88">
        <v>4110</v>
      </c>
      <c r="D27" s="40" t="s">
        <v>347</v>
      </c>
      <c r="E27" s="87"/>
      <c r="F27" s="87"/>
      <c r="G27" s="173">
        <v>0</v>
      </c>
      <c r="H27" s="87">
        <v>338</v>
      </c>
      <c r="I27" s="173">
        <f t="shared" si="3"/>
        <v>338</v>
      </c>
      <c r="J27" s="87">
        <v>0</v>
      </c>
      <c r="K27" s="173">
        <f t="shared" si="6"/>
        <v>338</v>
      </c>
      <c r="L27" s="87">
        <v>0</v>
      </c>
      <c r="M27" s="173">
        <f t="shared" si="7"/>
        <v>338</v>
      </c>
      <c r="N27" s="87">
        <v>0</v>
      </c>
      <c r="O27" s="173">
        <f t="shared" si="8"/>
        <v>338</v>
      </c>
      <c r="P27" s="87">
        <v>0</v>
      </c>
      <c r="Q27" s="173">
        <f t="shared" si="9"/>
        <v>338</v>
      </c>
      <c r="R27" s="87">
        <v>0</v>
      </c>
      <c r="S27" s="173">
        <f t="shared" si="10"/>
        <v>338</v>
      </c>
    </row>
    <row r="28" spans="1:19" s="27" customFormat="1" ht="21.75" customHeight="1">
      <c r="A28" s="76"/>
      <c r="B28" s="58"/>
      <c r="C28" s="58">
        <v>4170</v>
      </c>
      <c r="D28" s="14" t="s">
        <v>475</v>
      </c>
      <c r="E28" s="89">
        <v>16000</v>
      </c>
      <c r="F28" s="89">
        <v>0</v>
      </c>
      <c r="G28" s="173">
        <f t="shared" si="2"/>
        <v>16000</v>
      </c>
      <c r="H28" s="89">
        <v>5616</v>
      </c>
      <c r="I28" s="173">
        <f t="shared" si="3"/>
        <v>21616</v>
      </c>
      <c r="J28" s="89">
        <v>0</v>
      </c>
      <c r="K28" s="173">
        <f t="shared" si="6"/>
        <v>21616</v>
      </c>
      <c r="L28" s="89">
        <v>0</v>
      </c>
      <c r="M28" s="173">
        <f t="shared" si="7"/>
        <v>21616</v>
      </c>
      <c r="N28" s="89">
        <v>0</v>
      </c>
      <c r="O28" s="173">
        <f t="shared" si="8"/>
        <v>21616</v>
      </c>
      <c r="P28" s="89">
        <v>0</v>
      </c>
      <c r="Q28" s="173">
        <f t="shared" si="9"/>
        <v>21616</v>
      </c>
      <c r="R28" s="89">
        <v>0</v>
      </c>
      <c r="S28" s="173">
        <f t="shared" si="10"/>
        <v>21616</v>
      </c>
    </row>
    <row r="29" spans="1:19" s="27" customFormat="1" ht="21.75" customHeight="1">
      <c r="A29" s="76"/>
      <c r="B29" s="58"/>
      <c r="C29" s="58">
        <v>4210</v>
      </c>
      <c r="D29" s="14" t="s">
        <v>354</v>
      </c>
      <c r="E29" s="89"/>
      <c r="F29" s="89"/>
      <c r="G29" s="173">
        <v>0</v>
      </c>
      <c r="H29" s="89">
        <f>1050+943+1300</f>
        <v>3293</v>
      </c>
      <c r="I29" s="173">
        <f t="shared" si="3"/>
        <v>3293</v>
      </c>
      <c r="J29" s="89">
        <v>0</v>
      </c>
      <c r="K29" s="173">
        <f t="shared" si="6"/>
        <v>3293</v>
      </c>
      <c r="L29" s="89">
        <v>0</v>
      </c>
      <c r="M29" s="173">
        <f t="shared" si="7"/>
        <v>3293</v>
      </c>
      <c r="N29" s="89">
        <f>278+1800+4200+3772</f>
        <v>10050</v>
      </c>
      <c r="O29" s="173">
        <f t="shared" si="8"/>
        <v>13343</v>
      </c>
      <c r="P29" s="89">
        <v>0</v>
      </c>
      <c r="Q29" s="173">
        <f t="shared" si="9"/>
        <v>13343</v>
      </c>
      <c r="R29" s="89">
        <v>0</v>
      </c>
      <c r="S29" s="173">
        <f t="shared" si="10"/>
        <v>13343</v>
      </c>
    </row>
    <row r="30" spans="1:19" s="27" customFormat="1" ht="21.75" customHeight="1">
      <c r="A30" s="76"/>
      <c r="B30" s="58"/>
      <c r="C30" s="58">
        <v>4220</v>
      </c>
      <c r="D30" s="14" t="s">
        <v>460</v>
      </c>
      <c r="E30" s="89"/>
      <c r="F30" s="89"/>
      <c r="G30" s="173"/>
      <c r="H30" s="89"/>
      <c r="I30" s="173"/>
      <c r="J30" s="89"/>
      <c r="K30" s="173"/>
      <c r="L30" s="89"/>
      <c r="M30" s="173">
        <v>0</v>
      </c>
      <c r="N30" s="89">
        <v>2000</v>
      </c>
      <c r="O30" s="173">
        <f t="shared" si="8"/>
        <v>2000</v>
      </c>
      <c r="P30" s="89">
        <v>0</v>
      </c>
      <c r="Q30" s="173">
        <f t="shared" si="9"/>
        <v>2000</v>
      </c>
      <c r="R30" s="89">
        <v>0</v>
      </c>
      <c r="S30" s="173">
        <f t="shared" si="10"/>
        <v>2000</v>
      </c>
    </row>
    <row r="31" spans="1:19" s="27" customFormat="1" ht="20.25" customHeight="1">
      <c r="A31" s="76"/>
      <c r="B31" s="58"/>
      <c r="C31" s="58">
        <v>4300</v>
      </c>
      <c r="D31" s="14" t="s">
        <v>340</v>
      </c>
      <c r="E31" s="89">
        <f>10000+11000+4000+16000+860+40000+860-10000-16000-40000</f>
        <v>16720</v>
      </c>
      <c r="F31" s="89">
        <v>0</v>
      </c>
      <c r="G31" s="173">
        <f t="shared" si="2"/>
        <v>16720</v>
      </c>
      <c r="H31" s="89">
        <f>-11000+6360+170</f>
        <v>-4470</v>
      </c>
      <c r="I31" s="173">
        <f t="shared" si="3"/>
        <v>12250</v>
      </c>
      <c r="J31" s="89">
        <v>0</v>
      </c>
      <c r="K31" s="173">
        <f t="shared" si="6"/>
        <v>12250</v>
      </c>
      <c r="L31" s="89">
        <v>0</v>
      </c>
      <c r="M31" s="173">
        <f t="shared" si="7"/>
        <v>12250</v>
      </c>
      <c r="N31" s="89">
        <f>1800+1300+1500</f>
        <v>4600</v>
      </c>
      <c r="O31" s="173">
        <f t="shared" si="8"/>
        <v>16850</v>
      </c>
      <c r="P31" s="89">
        <v>0</v>
      </c>
      <c r="Q31" s="173">
        <f t="shared" si="9"/>
        <v>16850</v>
      </c>
      <c r="R31" s="89">
        <v>0</v>
      </c>
      <c r="S31" s="173">
        <f t="shared" si="10"/>
        <v>16850</v>
      </c>
    </row>
    <row r="32" spans="1:19" s="27" customFormat="1" ht="22.5" hidden="1">
      <c r="A32" s="76"/>
      <c r="B32" s="58"/>
      <c r="C32" s="58">
        <v>6060</v>
      </c>
      <c r="D32" s="40" t="s">
        <v>358</v>
      </c>
      <c r="E32" s="89">
        <v>23109</v>
      </c>
      <c r="F32" s="89">
        <v>23109</v>
      </c>
      <c r="G32" s="173"/>
      <c r="H32" s="89"/>
      <c r="I32" s="173"/>
      <c r="J32" s="89"/>
      <c r="K32" s="173"/>
      <c r="L32" s="89"/>
      <c r="M32" s="173"/>
      <c r="N32" s="89"/>
      <c r="O32" s="173"/>
      <c r="P32" s="89"/>
      <c r="Q32" s="173"/>
      <c r="R32" s="89"/>
      <c r="S32" s="173"/>
    </row>
    <row r="33" spans="1:19" s="27" customFormat="1" ht="18" customHeight="1">
      <c r="A33" s="76"/>
      <c r="B33" s="58"/>
      <c r="C33" s="58">
        <v>4350</v>
      </c>
      <c r="D33" s="14" t="s">
        <v>525</v>
      </c>
      <c r="E33" s="89"/>
      <c r="F33" s="89"/>
      <c r="G33" s="173">
        <v>0</v>
      </c>
      <c r="H33" s="89">
        <v>672</v>
      </c>
      <c r="I33" s="173">
        <f t="shared" si="3"/>
        <v>672</v>
      </c>
      <c r="J33" s="89">
        <v>0</v>
      </c>
      <c r="K33" s="173">
        <f aca="true" t="shared" si="11" ref="K33:K66">SUM(I33:J33)</f>
        <v>672</v>
      </c>
      <c r="L33" s="89">
        <v>0</v>
      </c>
      <c r="M33" s="173">
        <f aca="true" t="shared" si="12" ref="M33:M61">SUM(K33:L33)</f>
        <v>672</v>
      </c>
      <c r="N33" s="89">
        <v>0</v>
      </c>
      <c r="O33" s="173">
        <f aca="true" t="shared" si="13" ref="O33:O61">SUM(M33:N33)</f>
        <v>672</v>
      </c>
      <c r="P33" s="89">
        <v>0</v>
      </c>
      <c r="Q33" s="173">
        <f aca="true" t="shared" si="14" ref="Q33:Q61">SUM(O33:P33)</f>
        <v>672</v>
      </c>
      <c r="R33" s="89">
        <v>0</v>
      </c>
      <c r="S33" s="173">
        <f aca="true" t="shared" si="15" ref="S33:S61">SUM(Q33:R33)</f>
        <v>672</v>
      </c>
    </row>
    <row r="34" spans="1:19" s="27" customFormat="1" ht="18" customHeight="1">
      <c r="A34" s="76"/>
      <c r="B34" s="58"/>
      <c r="C34" s="58">
        <v>4410</v>
      </c>
      <c r="D34" s="14" t="s">
        <v>352</v>
      </c>
      <c r="E34" s="89"/>
      <c r="F34" s="89"/>
      <c r="G34" s="173">
        <v>0</v>
      </c>
      <c r="H34" s="89">
        <v>1900</v>
      </c>
      <c r="I34" s="173">
        <f t="shared" si="3"/>
        <v>1900</v>
      </c>
      <c r="J34" s="89">
        <v>0</v>
      </c>
      <c r="K34" s="173">
        <f t="shared" si="11"/>
        <v>1900</v>
      </c>
      <c r="L34" s="89">
        <v>0</v>
      </c>
      <c r="M34" s="173">
        <f t="shared" si="12"/>
        <v>1900</v>
      </c>
      <c r="N34" s="89">
        <v>0</v>
      </c>
      <c r="O34" s="173">
        <f t="shared" si="13"/>
        <v>1900</v>
      </c>
      <c r="P34" s="89">
        <v>0</v>
      </c>
      <c r="Q34" s="173">
        <f t="shared" si="14"/>
        <v>1900</v>
      </c>
      <c r="R34" s="89">
        <v>0</v>
      </c>
      <c r="S34" s="173">
        <f t="shared" si="15"/>
        <v>1900</v>
      </c>
    </row>
    <row r="35" spans="1:19" s="8" customFormat="1" ht="21.75" customHeight="1">
      <c r="A35" s="36">
        <v>852</v>
      </c>
      <c r="B35" s="5"/>
      <c r="C35" s="5"/>
      <c r="D35" s="22" t="s">
        <v>471</v>
      </c>
      <c r="E35" s="18">
        <f>SUM(E38,E36)</f>
        <v>104280</v>
      </c>
      <c r="F35" s="18">
        <f>SUM(F38,F36)</f>
        <v>0</v>
      </c>
      <c r="G35" s="123">
        <f t="shared" si="2"/>
        <v>104280</v>
      </c>
      <c r="H35" s="18">
        <f>SUM(H38,H36)</f>
        <v>0</v>
      </c>
      <c r="I35" s="123">
        <f t="shared" si="3"/>
        <v>104280</v>
      </c>
      <c r="J35" s="18">
        <f>SUM(J38,J36)</f>
        <v>0</v>
      </c>
      <c r="K35" s="123">
        <f t="shared" si="11"/>
        <v>104280</v>
      </c>
      <c r="L35" s="18">
        <f>SUM(L38,L36)</f>
        <v>0</v>
      </c>
      <c r="M35" s="123">
        <f t="shared" si="12"/>
        <v>104280</v>
      </c>
      <c r="N35" s="18">
        <f>SUM(N38,N36)</f>
        <v>-16650</v>
      </c>
      <c r="O35" s="123">
        <f t="shared" si="13"/>
        <v>87630</v>
      </c>
      <c r="P35" s="18">
        <f>SUM(P38,P36)</f>
        <v>0</v>
      </c>
      <c r="Q35" s="123">
        <f t="shared" si="14"/>
        <v>87630</v>
      </c>
      <c r="R35" s="18">
        <f>SUM(R38,R36)</f>
        <v>0</v>
      </c>
      <c r="S35" s="123">
        <f t="shared" si="15"/>
        <v>87630</v>
      </c>
    </row>
    <row r="36" spans="1:19" s="27" customFormat="1" ht="22.5">
      <c r="A36" s="76"/>
      <c r="B36" s="76">
        <v>85214</v>
      </c>
      <c r="C36" s="58"/>
      <c r="D36" s="14" t="s">
        <v>526</v>
      </c>
      <c r="E36" s="89">
        <f>SUM(E37)</f>
        <v>3000</v>
      </c>
      <c r="F36" s="89">
        <f>SUM(F37)</f>
        <v>0</v>
      </c>
      <c r="G36" s="173">
        <f t="shared" si="2"/>
        <v>3000</v>
      </c>
      <c r="H36" s="89">
        <f>SUM(H37)</f>
        <v>0</v>
      </c>
      <c r="I36" s="173">
        <f t="shared" si="3"/>
        <v>3000</v>
      </c>
      <c r="J36" s="89">
        <f>SUM(J37)</f>
        <v>0</v>
      </c>
      <c r="K36" s="173">
        <f t="shared" si="11"/>
        <v>3000</v>
      </c>
      <c r="L36" s="89">
        <f>SUM(L37)</f>
        <v>0</v>
      </c>
      <c r="M36" s="173">
        <f t="shared" si="12"/>
        <v>3000</v>
      </c>
      <c r="N36" s="89">
        <f>SUM(N37)</f>
        <v>0</v>
      </c>
      <c r="O36" s="173">
        <f t="shared" si="13"/>
        <v>3000</v>
      </c>
      <c r="P36" s="89">
        <f>SUM(P37)</f>
        <v>0</v>
      </c>
      <c r="Q36" s="173">
        <f t="shared" si="14"/>
        <v>3000</v>
      </c>
      <c r="R36" s="89">
        <f>SUM(R37)</f>
        <v>0</v>
      </c>
      <c r="S36" s="173">
        <f t="shared" si="15"/>
        <v>3000</v>
      </c>
    </row>
    <row r="37" spans="1:19" s="27" customFormat="1" ht="21.75" customHeight="1">
      <c r="A37" s="76"/>
      <c r="B37" s="76"/>
      <c r="C37" s="58">
        <v>3110</v>
      </c>
      <c r="D37" s="14" t="s">
        <v>376</v>
      </c>
      <c r="E37" s="89">
        <v>3000</v>
      </c>
      <c r="F37" s="89">
        <v>0</v>
      </c>
      <c r="G37" s="173">
        <f t="shared" si="2"/>
        <v>3000</v>
      </c>
      <c r="H37" s="89">
        <v>0</v>
      </c>
      <c r="I37" s="173">
        <f t="shared" si="3"/>
        <v>3000</v>
      </c>
      <c r="J37" s="89">
        <v>0</v>
      </c>
      <c r="K37" s="173">
        <f t="shared" si="11"/>
        <v>3000</v>
      </c>
      <c r="L37" s="89">
        <v>0</v>
      </c>
      <c r="M37" s="173">
        <f t="shared" si="12"/>
        <v>3000</v>
      </c>
      <c r="N37" s="89">
        <v>0</v>
      </c>
      <c r="O37" s="173">
        <f t="shared" si="13"/>
        <v>3000</v>
      </c>
      <c r="P37" s="89">
        <v>0</v>
      </c>
      <c r="Q37" s="173">
        <f t="shared" si="14"/>
        <v>3000</v>
      </c>
      <c r="R37" s="89">
        <v>0</v>
      </c>
      <c r="S37" s="173">
        <f t="shared" si="15"/>
        <v>3000</v>
      </c>
    </row>
    <row r="38" spans="1:19" s="27" customFormat="1" ht="21.75" customHeight="1">
      <c r="A38" s="76"/>
      <c r="B38" s="76">
        <v>85219</v>
      </c>
      <c r="C38" s="58"/>
      <c r="D38" s="40" t="s">
        <v>319</v>
      </c>
      <c r="E38" s="87">
        <f>SUM(E39:E53)</f>
        <v>101280</v>
      </c>
      <c r="F38" s="87">
        <f>SUM(F39:F53)</f>
        <v>0</v>
      </c>
      <c r="G38" s="173">
        <f t="shared" si="2"/>
        <v>101280</v>
      </c>
      <c r="H38" s="87">
        <f>SUM(H39:H53)</f>
        <v>0</v>
      </c>
      <c r="I38" s="173">
        <f t="shared" si="3"/>
        <v>101280</v>
      </c>
      <c r="J38" s="87">
        <f>SUM(J39:J53)</f>
        <v>0</v>
      </c>
      <c r="K38" s="173">
        <f t="shared" si="11"/>
        <v>101280</v>
      </c>
      <c r="L38" s="87">
        <f>SUM(L39:L53)</f>
        <v>0</v>
      </c>
      <c r="M38" s="173">
        <f t="shared" si="12"/>
        <v>101280</v>
      </c>
      <c r="N38" s="87">
        <f>SUM(N39:N53)</f>
        <v>-16650</v>
      </c>
      <c r="O38" s="173">
        <f t="shared" si="13"/>
        <v>84630</v>
      </c>
      <c r="P38" s="87">
        <f>SUM(P39:P53)</f>
        <v>0</v>
      </c>
      <c r="Q38" s="173">
        <f t="shared" si="14"/>
        <v>84630</v>
      </c>
      <c r="R38" s="87">
        <f>SUM(R39:R53)</f>
        <v>0</v>
      </c>
      <c r="S38" s="173">
        <f t="shared" si="15"/>
        <v>84630</v>
      </c>
    </row>
    <row r="39" spans="1:19" s="27" customFormat="1" ht="21.75" customHeight="1">
      <c r="A39" s="76"/>
      <c r="B39" s="76"/>
      <c r="C39" s="88">
        <v>4010</v>
      </c>
      <c r="D39" s="40" t="s">
        <v>345</v>
      </c>
      <c r="E39" s="89">
        <v>19769</v>
      </c>
      <c r="F39" s="89">
        <v>0</v>
      </c>
      <c r="G39" s="173">
        <f t="shared" si="2"/>
        <v>19769</v>
      </c>
      <c r="H39" s="89">
        <v>1661</v>
      </c>
      <c r="I39" s="173">
        <f t="shared" si="3"/>
        <v>21430</v>
      </c>
      <c r="J39" s="89">
        <v>0</v>
      </c>
      <c r="K39" s="173">
        <f t="shared" si="11"/>
        <v>21430</v>
      </c>
      <c r="L39" s="89">
        <v>521</v>
      </c>
      <c r="M39" s="173">
        <f t="shared" si="12"/>
        <v>21951</v>
      </c>
      <c r="N39" s="89">
        <v>0</v>
      </c>
      <c r="O39" s="173">
        <f t="shared" si="13"/>
        <v>21951</v>
      </c>
      <c r="P39" s="89">
        <v>0</v>
      </c>
      <c r="Q39" s="173">
        <f t="shared" si="14"/>
        <v>21951</v>
      </c>
      <c r="R39" s="89">
        <v>0</v>
      </c>
      <c r="S39" s="173">
        <f t="shared" si="15"/>
        <v>21951</v>
      </c>
    </row>
    <row r="40" spans="1:19" s="27" customFormat="1" ht="21.75" customHeight="1">
      <c r="A40" s="76"/>
      <c r="B40" s="76"/>
      <c r="C40" s="88">
        <v>4040</v>
      </c>
      <c r="D40" s="40" t="s">
        <v>346</v>
      </c>
      <c r="E40" s="89">
        <v>1500</v>
      </c>
      <c r="F40" s="89">
        <v>0</v>
      </c>
      <c r="G40" s="173">
        <f t="shared" si="2"/>
        <v>1500</v>
      </c>
      <c r="H40" s="89">
        <v>0</v>
      </c>
      <c r="I40" s="173">
        <f t="shared" si="3"/>
        <v>1500</v>
      </c>
      <c r="J40" s="89">
        <v>0</v>
      </c>
      <c r="K40" s="173">
        <f t="shared" si="11"/>
        <v>1500</v>
      </c>
      <c r="L40" s="89">
        <v>0</v>
      </c>
      <c r="M40" s="173">
        <f t="shared" si="12"/>
        <v>1500</v>
      </c>
      <c r="N40" s="89">
        <v>0</v>
      </c>
      <c r="O40" s="173">
        <f t="shared" si="13"/>
        <v>1500</v>
      </c>
      <c r="P40" s="89">
        <v>-83</v>
      </c>
      <c r="Q40" s="173">
        <f t="shared" si="14"/>
        <v>1417</v>
      </c>
      <c r="R40" s="89">
        <v>0</v>
      </c>
      <c r="S40" s="173">
        <f t="shared" si="15"/>
        <v>1417</v>
      </c>
    </row>
    <row r="41" spans="1:19" s="27" customFormat="1" ht="21.75" customHeight="1">
      <c r="A41" s="76"/>
      <c r="B41" s="76"/>
      <c r="C41" s="88">
        <v>4110</v>
      </c>
      <c r="D41" s="40" t="s">
        <v>347</v>
      </c>
      <c r="E41" s="89">
        <v>3771</v>
      </c>
      <c r="F41" s="89">
        <v>0</v>
      </c>
      <c r="G41" s="173">
        <f t="shared" si="2"/>
        <v>3771</v>
      </c>
      <c r="H41" s="89">
        <v>279</v>
      </c>
      <c r="I41" s="173">
        <f t="shared" si="3"/>
        <v>4050</v>
      </c>
      <c r="J41" s="89">
        <v>0</v>
      </c>
      <c r="K41" s="173">
        <f t="shared" si="11"/>
        <v>4050</v>
      </c>
      <c r="L41" s="89">
        <v>341</v>
      </c>
      <c r="M41" s="173">
        <f t="shared" si="12"/>
        <v>4391</v>
      </c>
      <c r="N41" s="89">
        <v>0</v>
      </c>
      <c r="O41" s="173">
        <f t="shared" si="13"/>
        <v>4391</v>
      </c>
      <c r="P41" s="89">
        <v>0</v>
      </c>
      <c r="Q41" s="173">
        <f t="shared" si="14"/>
        <v>4391</v>
      </c>
      <c r="R41" s="89">
        <v>0</v>
      </c>
      <c r="S41" s="173">
        <f t="shared" si="15"/>
        <v>4391</v>
      </c>
    </row>
    <row r="42" spans="1:19" s="27" customFormat="1" ht="21.75" customHeight="1">
      <c r="A42" s="76"/>
      <c r="B42" s="76"/>
      <c r="C42" s="88">
        <v>4120</v>
      </c>
      <c r="D42" s="40" t="s">
        <v>348</v>
      </c>
      <c r="E42" s="89">
        <v>522</v>
      </c>
      <c r="F42" s="89">
        <v>0</v>
      </c>
      <c r="G42" s="173">
        <f t="shared" si="2"/>
        <v>522</v>
      </c>
      <c r="H42" s="89">
        <v>38</v>
      </c>
      <c r="I42" s="173">
        <f t="shared" si="3"/>
        <v>560</v>
      </c>
      <c r="J42" s="89">
        <v>0</v>
      </c>
      <c r="K42" s="173">
        <f t="shared" si="11"/>
        <v>560</v>
      </c>
      <c r="L42" s="89">
        <v>0</v>
      </c>
      <c r="M42" s="173">
        <f t="shared" si="12"/>
        <v>560</v>
      </c>
      <c r="N42" s="89">
        <v>0</v>
      </c>
      <c r="O42" s="173">
        <f t="shared" si="13"/>
        <v>560</v>
      </c>
      <c r="P42" s="89">
        <v>0</v>
      </c>
      <c r="Q42" s="173">
        <f t="shared" si="14"/>
        <v>560</v>
      </c>
      <c r="R42" s="89">
        <v>0</v>
      </c>
      <c r="S42" s="173">
        <f t="shared" si="15"/>
        <v>560</v>
      </c>
    </row>
    <row r="43" spans="1:19" s="27" customFormat="1" ht="21.75" customHeight="1">
      <c r="A43" s="76"/>
      <c r="B43" s="76"/>
      <c r="C43" s="88">
        <v>4170</v>
      </c>
      <c r="D43" s="40" t="s">
        <v>475</v>
      </c>
      <c r="E43" s="89">
        <v>13200</v>
      </c>
      <c r="F43" s="89">
        <v>0</v>
      </c>
      <c r="G43" s="173">
        <f t="shared" si="2"/>
        <v>13200</v>
      </c>
      <c r="H43" s="89">
        <v>0</v>
      </c>
      <c r="I43" s="173">
        <f t="shared" si="3"/>
        <v>13200</v>
      </c>
      <c r="J43" s="89">
        <v>0</v>
      </c>
      <c r="K43" s="173">
        <f t="shared" si="11"/>
        <v>13200</v>
      </c>
      <c r="L43" s="89">
        <v>0</v>
      </c>
      <c r="M43" s="173">
        <f t="shared" si="12"/>
        <v>13200</v>
      </c>
      <c r="N43" s="89">
        <v>0</v>
      </c>
      <c r="O43" s="173">
        <f t="shared" si="13"/>
        <v>13200</v>
      </c>
      <c r="P43" s="89">
        <v>0</v>
      </c>
      <c r="Q43" s="173">
        <f t="shared" si="14"/>
        <v>13200</v>
      </c>
      <c r="R43" s="89">
        <v>0</v>
      </c>
      <c r="S43" s="173">
        <f t="shared" si="15"/>
        <v>13200</v>
      </c>
    </row>
    <row r="44" spans="1:19" s="27" customFormat="1" ht="21.75" customHeight="1">
      <c r="A44" s="76"/>
      <c r="B44" s="76"/>
      <c r="C44" s="88">
        <v>4210</v>
      </c>
      <c r="D44" s="14" t="s">
        <v>354</v>
      </c>
      <c r="E44" s="89">
        <v>9300</v>
      </c>
      <c r="F44" s="89">
        <v>0</v>
      </c>
      <c r="G44" s="173">
        <f t="shared" si="2"/>
        <v>9300</v>
      </c>
      <c r="H44" s="89">
        <v>0</v>
      </c>
      <c r="I44" s="173">
        <f t="shared" si="3"/>
        <v>9300</v>
      </c>
      <c r="J44" s="89">
        <v>0</v>
      </c>
      <c r="K44" s="173">
        <f t="shared" si="11"/>
        <v>9300</v>
      </c>
      <c r="L44" s="89">
        <v>0</v>
      </c>
      <c r="M44" s="173">
        <f t="shared" si="12"/>
        <v>9300</v>
      </c>
      <c r="N44" s="89">
        <v>0</v>
      </c>
      <c r="O44" s="173">
        <f t="shared" si="13"/>
        <v>9300</v>
      </c>
      <c r="P44" s="89">
        <v>2437</v>
      </c>
      <c r="Q44" s="173">
        <f t="shared" si="14"/>
        <v>11737</v>
      </c>
      <c r="R44" s="89">
        <v>623</v>
      </c>
      <c r="S44" s="173">
        <f t="shared" si="15"/>
        <v>12360</v>
      </c>
    </row>
    <row r="45" spans="1:19" s="27" customFormat="1" ht="21.75" customHeight="1">
      <c r="A45" s="76"/>
      <c r="B45" s="76"/>
      <c r="C45" s="88">
        <v>4280</v>
      </c>
      <c r="D45" s="14" t="s">
        <v>508</v>
      </c>
      <c r="E45" s="89">
        <v>150</v>
      </c>
      <c r="F45" s="89">
        <v>0</v>
      </c>
      <c r="G45" s="173">
        <f t="shared" si="2"/>
        <v>150</v>
      </c>
      <c r="H45" s="89">
        <v>0</v>
      </c>
      <c r="I45" s="173">
        <f t="shared" si="3"/>
        <v>150</v>
      </c>
      <c r="J45" s="89">
        <v>0</v>
      </c>
      <c r="K45" s="173">
        <f t="shared" si="11"/>
        <v>150</v>
      </c>
      <c r="L45" s="89">
        <v>0</v>
      </c>
      <c r="M45" s="173">
        <f t="shared" si="12"/>
        <v>150</v>
      </c>
      <c r="N45" s="89">
        <v>0</v>
      </c>
      <c r="O45" s="173">
        <f t="shared" si="13"/>
        <v>150</v>
      </c>
      <c r="P45" s="89">
        <v>-50</v>
      </c>
      <c r="Q45" s="173">
        <f t="shared" si="14"/>
        <v>100</v>
      </c>
      <c r="R45" s="89">
        <v>0</v>
      </c>
      <c r="S45" s="173">
        <f t="shared" si="15"/>
        <v>100</v>
      </c>
    </row>
    <row r="46" spans="1:19" s="27" customFormat="1" ht="21.75" customHeight="1">
      <c r="A46" s="76"/>
      <c r="B46" s="76"/>
      <c r="C46" s="88">
        <v>4300</v>
      </c>
      <c r="D46" s="14" t="s">
        <v>340</v>
      </c>
      <c r="E46" s="89">
        <v>46605</v>
      </c>
      <c r="F46" s="89">
        <v>0</v>
      </c>
      <c r="G46" s="173">
        <f t="shared" si="2"/>
        <v>46605</v>
      </c>
      <c r="H46" s="89">
        <f>-4978-300+3000</f>
        <v>-2278</v>
      </c>
      <c r="I46" s="173">
        <f t="shared" si="3"/>
        <v>44327</v>
      </c>
      <c r="J46" s="89">
        <v>-800</v>
      </c>
      <c r="K46" s="173">
        <f t="shared" si="11"/>
        <v>43527</v>
      </c>
      <c r="L46" s="89">
        <v>-862</v>
      </c>
      <c r="M46" s="173">
        <f t="shared" si="12"/>
        <v>42665</v>
      </c>
      <c r="N46" s="89">
        <v>-16650</v>
      </c>
      <c r="O46" s="173">
        <f t="shared" si="13"/>
        <v>26015</v>
      </c>
      <c r="P46" s="89">
        <v>-2014</v>
      </c>
      <c r="Q46" s="173">
        <f t="shared" si="14"/>
        <v>24001</v>
      </c>
      <c r="R46" s="89">
        <v>0</v>
      </c>
      <c r="S46" s="173">
        <f t="shared" si="15"/>
        <v>24001</v>
      </c>
    </row>
    <row r="47" spans="1:19" s="27" customFormat="1" ht="21.75" customHeight="1">
      <c r="A47" s="76"/>
      <c r="B47" s="76"/>
      <c r="C47" s="88">
        <v>4350</v>
      </c>
      <c r="D47" s="14" t="s">
        <v>525</v>
      </c>
      <c r="E47" s="89">
        <v>665</v>
      </c>
      <c r="F47" s="89">
        <v>0</v>
      </c>
      <c r="G47" s="173">
        <f t="shared" si="2"/>
        <v>665</v>
      </c>
      <c r="H47" s="89">
        <v>-144</v>
      </c>
      <c r="I47" s="173">
        <f t="shared" si="3"/>
        <v>521</v>
      </c>
      <c r="J47" s="89">
        <v>0</v>
      </c>
      <c r="K47" s="173">
        <f t="shared" si="11"/>
        <v>521</v>
      </c>
      <c r="L47" s="89">
        <v>0</v>
      </c>
      <c r="M47" s="173">
        <f t="shared" si="12"/>
        <v>521</v>
      </c>
      <c r="N47" s="89">
        <v>0</v>
      </c>
      <c r="O47" s="173">
        <f t="shared" si="13"/>
        <v>521</v>
      </c>
      <c r="P47" s="89">
        <v>-87</v>
      </c>
      <c r="Q47" s="173">
        <f t="shared" si="14"/>
        <v>434</v>
      </c>
      <c r="R47" s="89">
        <v>0</v>
      </c>
      <c r="S47" s="173">
        <f t="shared" si="15"/>
        <v>434</v>
      </c>
    </row>
    <row r="48" spans="1:19" s="27" customFormat="1" ht="21.75" customHeight="1">
      <c r="A48" s="76"/>
      <c r="B48" s="76"/>
      <c r="C48" s="88">
        <v>4370</v>
      </c>
      <c r="D48" s="40" t="s">
        <v>568</v>
      </c>
      <c r="E48" s="89">
        <v>2400</v>
      </c>
      <c r="F48" s="89">
        <v>0</v>
      </c>
      <c r="G48" s="173">
        <f t="shared" si="2"/>
        <v>2400</v>
      </c>
      <c r="H48" s="89">
        <v>444</v>
      </c>
      <c r="I48" s="173">
        <f t="shared" si="3"/>
        <v>2844</v>
      </c>
      <c r="J48" s="89">
        <v>0</v>
      </c>
      <c r="K48" s="173">
        <f t="shared" si="11"/>
        <v>2844</v>
      </c>
      <c r="L48" s="89">
        <v>0</v>
      </c>
      <c r="M48" s="173">
        <f t="shared" si="12"/>
        <v>2844</v>
      </c>
      <c r="N48" s="89">
        <v>0</v>
      </c>
      <c r="O48" s="173">
        <f t="shared" si="13"/>
        <v>2844</v>
      </c>
      <c r="P48" s="89">
        <v>-800</v>
      </c>
      <c r="Q48" s="173">
        <f t="shared" si="14"/>
        <v>2044</v>
      </c>
      <c r="R48" s="89">
        <v>-343</v>
      </c>
      <c r="S48" s="173">
        <f t="shared" si="15"/>
        <v>1701</v>
      </c>
    </row>
    <row r="49" spans="1:19" s="27" customFormat="1" ht="21.75" customHeight="1">
      <c r="A49" s="76"/>
      <c r="B49" s="76"/>
      <c r="C49" s="88">
        <v>4400</v>
      </c>
      <c r="D49" s="40" t="s">
        <v>569</v>
      </c>
      <c r="E49" s="89">
        <v>1922</v>
      </c>
      <c r="F49" s="89">
        <v>0</v>
      </c>
      <c r="G49" s="173">
        <f t="shared" si="2"/>
        <v>1922</v>
      </c>
      <c r="H49" s="89">
        <v>0</v>
      </c>
      <c r="I49" s="173">
        <f t="shared" si="3"/>
        <v>1922</v>
      </c>
      <c r="J49" s="89">
        <v>0</v>
      </c>
      <c r="K49" s="173">
        <f t="shared" si="11"/>
        <v>1922</v>
      </c>
      <c r="L49" s="89">
        <v>0</v>
      </c>
      <c r="M49" s="173">
        <f t="shared" si="12"/>
        <v>1922</v>
      </c>
      <c r="N49" s="89">
        <v>0</v>
      </c>
      <c r="O49" s="173">
        <f t="shared" si="13"/>
        <v>1922</v>
      </c>
      <c r="P49" s="89">
        <v>0</v>
      </c>
      <c r="Q49" s="173">
        <f t="shared" si="14"/>
        <v>1922</v>
      </c>
      <c r="R49" s="89">
        <v>0</v>
      </c>
      <c r="S49" s="173">
        <f t="shared" si="15"/>
        <v>1922</v>
      </c>
    </row>
    <row r="50" spans="1:19" s="27" customFormat="1" ht="21.75" customHeight="1">
      <c r="A50" s="76"/>
      <c r="B50" s="76"/>
      <c r="C50" s="88">
        <v>4410</v>
      </c>
      <c r="D50" s="40" t="s">
        <v>352</v>
      </c>
      <c r="E50" s="89">
        <v>500</v>
      </c>
      <c r="F50" s="89">
        <v>0</v>
      </c>
      <c r="G50" s="173">
        <f t="shared" si="2"/>
        <v>500</v>
      </c>
      <c r="H50" s="89">
        <v>0</v>
      </c>
      <c r="I50" s="173">
        <f t="shared" si="3"/>
        <v>500</v>
      </c>
      <c r="J50" s="89">
        <v>300</v>
      </c>
      <c r="K50" s="173">
        <f t="shared" si="11"/>
        <v>800</v>
      </c>
      <c r="L50" s="89">
        <v>0</v>
      </c>
      <c r="M50" s="173">
        <f t="shared" si="12"/>
        <v>800</v>
      </c>
      <c r="N50" s="89">
        <v>0</v>
      </c>
      <c r="O50" s="173">
        <f t="shared" si="13"/>
        <v>800</v>
      </c>
      <c r="P50" s="89">
        <v>300</v>
      </c>
      <c r="Q50" s="173">
        <f t="shared" si="14"/>
        <v>1100</v>
      </c>
      <c r="R50" s="89">
        <v>-250</v>
      </c>
      <c r="S50" s="173">
        <f t="shared" si="15"/>
        <v>850</v>
      </c>
    </row>
    <row r="51" spans="1:19" s="27" customFormat="1" ht="26.25" customHeight="1">
      <c r="A51" s="76"/>
      <c r="B51" s="76"/>
      <c r="C51" s="88">
        <v>4440</v>
      </c>
      <c r="D51" s="40" t="s">
        <v>349</v>
      </c>
      <c r="E51" s="89">
        <v>776</v>
      </c>
      <c r="F51" s="89">
        <v>0</v>
      </c>
      <c r="G51" s="173">
        <f t="shared" si="2"/>
        <v>776</v>
      </c>
      <c r="H51" s="89">
        <v>0</v>
      </c>
      <c r="I51" s="173">
        <f t="shared" si="3"/>
        <v>776</v>
      </c>
      <c r="J51" s="89">
        <v>0</v>
      </c>
      <c r="K51" s="173">
        <f t="shared" si="11"/>
        <v>776</v>
      </c>
      <c r="L51" s="89">
        <v>0</v>
      </c>
      <c r="M51" s="173">
        <f t="shared" si="12"/>
        <v>776</v>
      </c>
      <c r="N51" s="89">
        <v>0</v>
      </c>
      <c r="O51" s="173">
        <f t="shared" si="13"/>
        <v>776</v>
      </c>
      <c r="P51" s="89">
        <v>297</v>
      </c>
      <c r="Q51" s="173">
        <f t="shared" si="14"/>
        <v>1073</v>
      </c>
      <c r="R51" s="89">
        <v>0</v>
      </c>
      <c r="S51" s="173">
        <f t="shared" si="15"/>
        <v>1073</v>
      </c>
    </row>
    <row r="52" spans="1:19" s="27" customFormat="1" ht="26.25" customHeight="1">
      <c r="A52" s="76"/>
      <c r="B52" s="76"/>
      <c r="C52" s="88">
        <v>4700</v>
      </c>
      <c r="D52" s="40" t="s">
        <v>571</v>
      </c>
      <c r="E52" s="89"/>
      <c r="F52" s="89"/>
      <c r="G52" s="173"/>
      <c r="H52" s="89"/>
      <c r="I52" s="173">
        <v>0</v>
      </c>
      <c r="J52" s="89">
        <v>500</v>
      </c>
      <c r="K52" s="173">
        <f t="shared" si="11"/>
        <v>500</v>
      </c>
      <c r="L52" s="89">
        <v>0</v>
      </c>
      <c r="M52" s="173">
        <f t="shared" si="12"/>
        <v>500</v>
      </c>
      <c r="N52" s="89">
        <v>0</v>
      </c>
      <c r="O52" s="173">
        <f t="shared" si="13"/>
        <v>500</v>
      </c>
      <c r="P52" s="89">
        <v>0</v>
      </c>
      <c r="Q52" s="173">
        <f t="shared" si="14"/>
        <v>500</v>
      </c>
      <c r="R52" s="89">
        <v>-30</v>
      </c>
      <c r="S52" s="173">
        <f t="shared" si="15"/>
        <v>470</v>
      </c>
    </row>
    <row r="53" spans="1:19" s="27" customFormat="1" ht="26.25" customHeight="1">
      <c r="A53" s="76"/>
      <c r="B53" s="76"/>
      <c r="C53" s="88">
        <v>4740</v>
      </c>
      <c r="D53" s="40" t="s">
        <v>570</v>
      </c>
      <c r="E53" s="89">
        <v>200</v>
      </c>
      <c r="F53" s="89">
        <v>0</v>
      </c>
      <c r="G53" s="173">
        <f t="shared" si="2"/>
        <v>200</v>
      </c>
      <c r="H53" s="89">
        <v>0</v>
      </c>
      <c r="I53" s="173">
        <f t="shared" si="3"/>
        <v>200</v>
      </c>
      <c r="J53" s="89">
        <v>0</v>
      </c>
      <c r="K53" s="173">
        <f t="shared" si="11"/>
        <v>200</v>
      </c>
      <c r="L53" s="89">
        <v>0</v>
      </c>
      <c r="M53" s="173">
        <f t="shared" si="12"/>
        <v>200</v>
      </c>
      <c r="N53" s="89">
        <v>0</v>
      </c>
      <c r="O53" s="173">
        <f t="shared" si="13"/>
        <v>200</v>
      </c>
      <c r="P53" s="89">
        <v>0</v>
      </c>
      <c r="Q53" s="173">
        <f t="shared" si="14"/>
        <v>200</v>
      </c>
      <c r="R53" s="89">
        <v>0</v>
      </c>
      <c r="S53" s="173">
        <f t="shared" si="15"/>
        <v>200</v>
      </c>
    </row>
    <row r="54" spans="1:19" s="8" customFormat="1" ht="24.75" customHeight="1">
      <c r="A54" s="36" t="s">
        <v>386</v>
      </c>
      <c r="B54" s="5"/>
      <c r="C54" s="5"/>
      <c r="D54" s="22" t="s">
        <v>320</v>
      </c>
      <c r="E54" s="18">
        <f>SUM(E55)</f>
        <v>47000</v>
      </c>
      <c r="F54" s="18">
        <f>SUM(F55)</f>
        <v>0</v>
      </c>
      <c r="G54" s="123">
        <f t="shared" si="2"/>
        <v>47000</v>
      </c>
      <c r="H54" s="18">
        <f>SUM(H55)</f>
        <v>0</v>
      </c>
      <c r="I54" s="123">
        <f t="shared" si="3"/>
        <v>47000</v>
      </c>
      <c r="J54" s="18">
        <f>SUM(J55)</f>
        <v>-3542</v>
      </c>
      <c r="K54" s="123">
        <f t="shared" si="11"/>
        <v>43458</v>
      </c>
      <c r="L54" s="18">
        <f>SUM(L55)</f>
        <v>0</v>
      </c>
      <c r="M54" s="123">
        <f t="shared" si="12"/>
        <v>43458</v>
      </c>
      <c r="N54" s="18">
        <f>SUM(N55)</f>
        <v>0</v>
      </c>
      <c r="O54" s="123">
        <f t="shared" si="13"/>
        <v>43458</v>
      </c>
      <c r="P54" s="18">
        <f>SUM(P55)</f>
        <v>25710</v>
      </c>
      <c r="Q54" s="123">
        <f t="shared" si="14"/>
        <v>69168</v>
      </c>
      <c r="R54" s="18">
        <f>SUM(R55)</f>
        <v>0</v>
      </c>
      <c r="S54" s="123">
        <f t="shared" si="15"/>
        <v>69168</v>
      </c>
    </row>
    <row r="55" spans="1:19" s="27" customFormat="1" ht="22.5">
      <c r="A55" s="76"/>
      <c r="B55" s="76" t="s">
        <v>390</v>
      </c>
      <c r="C55" s="58"/>
      <c r="D55" s="14" t="s">
        <v>391</v>
      </c>
      <c r="E55" s="87">
        <f>SUM(E56:E60)</f>
        <v>47000</v>
      </c>
      <c r="F55" s="87">
        <f>SUM(F56:F60)</f>
        <v>0</v>
      </c>
      <c r="G55" s="173">
        <f t="shared" si="2"/>
        <v>47000</v>
      </c>
      <c r="H55" s="87">
        <f>SUM(H56:H60)</f>
        <v>0</v>
      </c>
      <c r="I55" s="173">
        <f t="shared" si="3"/>
        <v>47000</v>
      </c>
      <c r="J55" s="87">
        <f>SUM(J56:J60)</f>
        <v>-3542</v>
      </c>
      <c r="K55" s="173">
        <f t="shared" si="11"/>
        <v>43458</v>
      </c>
      <c r="L55" s="87">
        <f>SUM(L56:L60)</f>
        <v>0</v>
      </c>
      <c r="M55" s="173">
        <f t="shared" si="12"/>
        <v>43458</v>
      </c>
      <c r="N55" s="87">
        <f>SUM(N56:N60)</f>
        <v>0</v>
      </c>
      <c r="O55" s="173">
        <f t="shared" si="13"/>
        <v>43458</v>
      </c>
      <c r="P55" s="87">
        <f>SUM(P56:P60)</f>
        <v>25710</v>
      </c>
      <c r="Q55" s="173">
        <f t="shared" si="14"/>
        <v>69168</v>
      </c>
      <c r="R55" s="87">
        <f>SUM(R56:R60)</f>
        <v>0</v>
      </c>
      <c r="S55" s="173">
        <f t="shared" si="15"/>
        <v>69168</v>
      </c>
    </row>
    <row r="56" spans="1:19" s="27" customFormat="1" ht="22.5">
      <c r="A56" s="76"/>
      <c r="B56" s="76"/>
      <c r="C56" s="58">
        <v>2630</v>
      </c>
      <c r="D56" s="14" t="s">
        <v>575</v>
      </c>
      <c r="E56" s="87">
        <v>36000</v>
      </c>
      <c r="F56" s="87">
        <v>0</v>
      </c>
      <c r="G56" s="173">
        <f t="shared" si="2"/>
        <v>36000</v>
      </c>
      <c r="H56" s="87">
        <v>0</v>
      </c>
      <c r="I56" s="173">
        <f t="shared" si="3"/>
        <v>36000</v>
      </c>
      <c r="J56" s="87">
        <v>-36000</v>
      </c>
      <c r="K56" s="173">
        <f t="shared" si="11"/>
        <v>0</v>
      </c>
      <c r="L56" s="87">
        <v>0</v>
      </c>
      <c r="M56" s="173">
        <f t="shared" si="12"/>
        <v>0</v>
      </c>
      <c r="N56" s="87">
        <v>0</v>
      </c>
      <c r="O56" s="173">
        <f t="shared" si="13"/>
        <v>0</v>
      </c>
      <c r="P56" s="87">
        <v>25710</v>
      </c>
      <c r="Q56" s="173">
        <f t="shared" si="14"/>
        <v>25710</v>
      </c>
      <c r="R56" s="87">
        <v>0</v>
      </c>
      <c r="S56" s="173">
        <f t="shared" si="15"/>
        <v>25710</v>
      </c>
    </row>
    <row r="57" spans="1:19" s="27" customFormat="1" ht="33.75">
      <c r="A57" s="76"/>
      <c r="B57" s="76"/>
      <c r="C57" s="58">
        <v>2820</v>
      </c>
      <c r="D57" s="40" t="s">
        <v>712</v>
      </c>
      <c r="E57" s="87"/>
      <c r="F57" s="87"/>
      <c r="G57" s="173"/>
      <c r="H57" s="87"/>
      <c r="I57" s="173">
        <v>0</v>
      </c>
      <c r="J57" s="87">
        <f>5680+3610</f>
        <v>9290</v>
      </c>
      <c r="K57" s="173">
        <f t="shared" si="11"/>
        <v>9290</v>
      </c>
      <c r="L57" s="87">
        <v>0</v>
      </c>
      <c r="M57" s="173">
        <f t="shared" si="12"/>
        <v>9290</v>
      </c>
      <c r="N57" s="87">
        <v>0</v>
      </c>
      <c r="O57" s="173">
        <f t="shared" si="13"/>
        <v>9290</v>
      </c>
      <c r="P57" s="87">
        <v>0</v>
      </c>
      <c r="Q57" s="173">
        <f t="shared" si="14"/>
        <v>9290</v>
      </c>
      <c r="R57" s="87">
        <v>0</v>
      </c>
      <c r="S57" s="173">
        <f t="shared" si="15"/>
        <v>9290</v>
      </c>
    </row>
    <row r="58" spans="1:19" s="27" customFormat="1" ht="45">
      <c r="A58" s="76"/>
      <c r="B58" s="76"/>
      <c r="C58" s="58">
        <v>2830</v>
      </c>
      <c r="D58" s="40" t="s">
        <v>711</v>
      </c>
      <c r="E58" s="87"/>
      <c r="F58" s="87"/>
      <c r="G58" s="173"/>
      <c r="H58" s="87"/>
      <c r="I58" s="173">
        <v>0</v>
      </c>
      <c r="J58" s="87">
        <v>26710</v>
      </c>
      <c r="K58" s="173">
        <f t="shared" si="11"/>
        <v>26710</v>
      </c>
      <c r="L58" s="87">
        <v>0</v>
      </c>
      <c r="M58" s="173">
        <f t="shared" si="12"/>
        <v>26710</v>
      </c>
      <c r="N58" s="87">
        <v>0</v>
      </c>
      <c r="O58" s="173">
        <f t="shared" si="13"/>
        <v>26710</v>
      </c>
      <c r="P58" s="87">
        <v>0</v>
      </c>
      <c r="Q58" s="173">
        <f t="shared" si="14"/>
        <v>26710</v>
      </c>
      <c r="R58" s="87">
        <v>0</v>
      </c>
      <c r="S58" s="173">
        <f t="shared" si="15"/>
        <v>26710</v>
      </c>
    </row>
    <row r="59" spans="1:19" s="27" customFormat="1" ht="21" customHeight="1">
      <c r="A59" s="76"/>
      <c r="B59" s="76"/>
      <c r="C59" s="58">
        <v>4210</v>
      </c>
      <c r="D59" s="14" t="s">
        <v>354</v>
      </c>
      <c r="E59" s="89">
        <v>5500</v>
      </c>
      <c r="F59" s="89">
        <v>0</v>
      </c>
      <c r="G59" s="173">
        <f t="shared" si="2"/>
        <v>5500</v>
      </c>
      <c r="H59" s="89">
        <v>0</v>
      </c>
      <c r="I59" s="173">
        <f t="shared" si="3"/>
        <v>5500</v>
      </c>
      <c r="J59" s="89">
        <f>803</f>
        <v>803</v>
      </c>
      <c r="K59" s="173">
        <f t="shared" si="11"/>
        <v>6303</v>
      </c>
      <c r="L59" s="89">
        <v>0</v>
      </c>
      <c r="M59" s="173">
        <f t="shared" si="12"/>
        <v>6303</v>
      </c>
      <c r="N59" s="89">
        <v>0</v>
      </c>
      <c r="O59" s="173">
        <f t="shared" si="13"/>
        <v>6303</v>
      </c>
      <c r="P59" s="89">
        <v>0</v>
      </c>
      <c r="Q59" s="173">
        <f t="shared" si="14"/>
        <v>6303</v>
      </c>
      <c r="R59" s="89">
        <v>0</v>
      </c>
      <c r="S59" s="173">
        <f t="shared" si="15"/>
        <v>6303</v>
      </c>
    </row>
    <row r="60" spans="1:19" s="27" customFormat="1" ht="21.75" customHeight="1">
      <c r="A60" s="58"/>
      <c r="B60" s="58"/>
      <c r="C60" s="58">
        <v>4300</v>
      </c>
      <c r="D60" s="14" t="s">
        <v>340</v>
      </c>
      <c r="E60" s="89">
        <f>5500</f>
        <v>5500</v>
      </c>
      <c r="F60" s="89">
        <v>0</v>
      </c>
      <c r="G60" s="173">
        <f t="shared" si="2"/>
        <v>5500</v>
      </c>
      <c r="H60" s="89">
        <v>0</v>
      </c>
      <c r="I60" s="173">
        <f t="shared" si="3"/>
        <v>5500</v>
      </c>
      <c r="J60" s="89">
        <v>-4345</v>
      </c>
      <c r="K60" s="173">
        <f t="shared" si="11"/>
        <v>1155</v>
      </c>
      <c r="L60" s="89">
        <v>0</v>
      </c>
      <c r="M60" s="173">
        <f t="shared" si="12"/>
        <v>1155</v>
      </c>
      <c r="N60" s="89">
        <v>0</v>
      </c>
      <c r="O60" s="173">
        <f t="shared" si="13"/>
        <v>1155</v>
      </c>
      <c r="P60" s="89">
        <v>0</v>
      </c>
      <c r="Q60" s="173">
        <f t="shared" si="14"/>
        <v>1155</v>
      </c>
      <c r="R60" s="89">
        <v>0</v>
      </c>
      <c r="S60" s="173">
        <f t="shared" si="15"/>
        <v>1155</v>
      </c>
    </row>
    <row r="61" spans="1:19" s="8" customFormat="1" ht="21.75" customHeight="1">
      <c r="A61" s="36" t="s">
        <v>411</v>
      </c>
      <c r="B61" s="5"/>
      <c r="C61" s="5"/>
      <c r="D61" s="22" t="s">
        <v>327</v>
      </c>
      <c r="E61" s="18">
        <f>SUM(E62)</f>
        <v>20000</v>
      </c>
      <c r="F61" s="18">
        <f>SUM(F62)</f>
        <v>0</v>
      </c>
      <c r="G61" s="123">
        <f t="shared" si="2"/>
        <v>20000</v>
      </c>
      <c r="H61" s="18">
        <f>SUM(H62)</f>
        <v>0</v>
      </c>
      <c r="I61" s="123">
        <f t="shared" si="3"/>
        <v>20000</v>
      </c>
      <c r="J61" s="18">
        <f>SUM(J62)</f>
        <v>0</v>
      </c>
      <c r="K61" s="123">
        <f t="shared" si="11"/>
        <v>20000</v>
      </c>
      <c r="L61" s="18">
        <f>SUM(L62)</f>
        <v>0</v>
      </c>
      <c r="M61" s="123">
        <f t="shared" si="12"/>
        <v>20000</v>
      </c>
      <c r="N61" s="18">
        <f>SUM(N62)</f>
        <v>0</v>
      </c>
      <c r="O61" s="123">
        <f t="shared" si="13"/>
        <v>20000</v>
      </c>
      <c r="P61" s="18">
        <f>SUM(P62)</f>
        <v>0</v>
      </c>
      <c r="Q61" s="123">
        <f t="shared" si="14"/>
        <v>20000</v>
      </c>
      <c r="R61" s="18">
        <f>SUM(R62)</f>
        <v>0</v>
      </c>
      <c r="S61" s="123">
        <f t="shared" si="15"/>
        <v>20000</v>
      </c>
    </row>
    <row r="62" spans="1:19" s="27" customFormat="1" ht="24" customHeight="1">
      <c r="A62" s="58"/>
      <c r="B62" s="85">
        <v>92605</v>
      </c>
      <c r="C62" s="58"/>
      <c r="D62" s="14" t="s">
        <v>328</v>
      </c>
      <c r="E62" s="89">
        <f>SUM(E63)</f>
        <v>20000</v>
      </c>
      <c r="F62" s="89">
        <f>SUM(F63)</f>
        <v>0</v>
      </c>
      <c r="G62" s="173">
        <f t="shared" si="2"/>
        <v>20000</v>
      </c>
      <c r="H62" s="89">
        <f>SUM(H63)</f>
        <v>0</v>
      </c>
      <c r="I62" s="173">
        <f aca="true" t="shared" si="16" ref="I62:O62">SUM(I63:I65)</f>
        <v>20000</v>
      </c>
      <c r="J62" s="173">
        <f t="shared" si="16"/>
        <v>0</v>
      </c>
      <c r="K62" s="173">
        <f t="shared" si="16"/>
        <v>20000</v>
      </c>
      <c r="L62" s="173">
        <f t="shared" si="16"/>
        <v>0</v>
      </c>
      <c r="M62" s="173">
        <f t="shared" si="16"/>
        <v>20000</v>
      </c>
      <c r="N62" s="173">
        <f t="shared" si="16"/>
        <v>0</v>
      </c>
      <c r="O62" s="173">
        <f t="shared" si="16"/>
        <v>20000</v>
      </c>
      <c r="P62" s="173">
        <f>SUM(P63:P65)</f>
        <v>0</v>
      </c>
      <c r="Q62" s="173">
        <f>SUM(Q63:Q65)</f>
        <v>20000</v>
      </c>
      <c r="R62" s="173">
        <f>SUM(R63:R65)</f>
        <v>0</v>
      </c>
      <c r="S62" s="173">
        <f>SUM(S63:S65)</f>
        <v>20000</v>
      </c>
    </row>
    <row r="63" spans="1:19" s="27" customFormat="1" ht="22.5" customHeight="1">
      <c r="A63" s="58"/>
      <c r="B63" s="85"/>
      <c r="C63" s="58">
        <v>4170</v>
      </c>
      <c r="D63" s="14" t="s">
        <v>475</v>
      </c>
      <c r="E63" s="89">
        <v>20000</v>
      </c>
      <c r="F63" s="89">
        <v>0</v>
      </c>
      <c r="G63" s="173">
        <f t="shared" si="2"/>
        <v>20000</v>
      </c>
      <c r="H63" s="89">
        <v>0</v>
      </c>
      <c r="I63" s="173">
        <f t="shared" si="3"/>
        <v>20000</v>
      </c>
      <c r="J63" s="89">
        <v>-4040</v>
      </c>
      <c r="K63" s="173">
        <f t="shared" si="11"/>
        <v>15960</v>
      </c>
      <c r="L63" s="89">
        <v>0</v>
      </c>
      <c r="M63" s="173">
        <f>SUM(K63:L63)</f>
        <v>15960</v>
      </c>
      <c r="N63" s="89">
        <v>0</v>
      </c>
      <c r="O63" s="173">
        <f>SUM(M63:N63)</f>
        <v>15960</v>
      </c>
      <c r="P63" s="89">
        <v>0</v>
      </c>
      <c r="Q63" s="173">
        <f>SUM(O63:P63)</f>
        <v>15960</v>
      </c>
      <c r="R63" s="89">
        <v>0</v>
      </c>
      <c r="S63" s="173">
        <f>SUM(Q63:R63)</f>
        <v>15960</v>
      </c>
    </row>
    <row r="64" spans="1:19" s="27" customFormat="1" ht="0.75" customHeight="1" hidden="1">
      <c r="A64" s="58"/>
      <c r="B64" s="85"/>
      <c r="C64" s="58">
        <v>4300</v>
      </c>
      <c r="D64" s="14" t="s">
        <v>340</v>
      </c>
      <c r="E64" s="89">
        <v>10000</v>
      </c>
      <c r="F64" s="89">
        <v>10000</v>
      </c>
      <c r="G64" s="173">
        <f t="shared" si="2"/>
        <v>20000</v>
      </c>
      <c r="H64" s="89"/>
      <c r="I64" s="173"/>
      <c r="J64" s="89"/>
      <c r="K64" s="173"/>
      <c r="L64" s="89"/>
      <c r="M64" s="173"/>
      <c r="N64" s="89"/>
      <c r="O64" s="173"/>
      <c r="P64" s="89"/>
      <c r="Q64" s="173"/>
      <c r="R64" s="89"/>
      <c r="S64" s="173"/>
    </row>
    <row r="65" spans="1:19" s="27" customFormat="1" ht="21.75" customHeight="1">
      <c r="A65" s="58"/>
      <c r="B65" s="85"/>
      <c r="C65" s="58">
        <v>4300</v>
      </c>
      <c r="D65" s="14" t="s">
        <v>340</v>
      </c>
      <c r="E65" s="89"/>
      <c r="F65" s="89"/>
      <c r="G65" s="173"/>
      <c r="H65" s="89"/>
      <c r="I65" s="173">
        <v>0</v>
      </c>
      <c r="J65" s="89">
        <v>4040</v>
      </c>
      <c r="K65" s="173">
        <f t="shared" si="11"/>
        <v>4040</v>
      </c>
      <c r="L65" s="89">
        <v>0</v>
      </c>
      <c r="M65" s="173">
        <f>SUM(K65:L65)</f>
        <v>4040</v>
      </c>
      <c r="N65" s="89">
        <v>0</v>
      </c>
      <c r="O65" s="173">
        <f>SUM(M65:N65)</f>
        <v>4040</v>
      </c>
      <c r="P65" s="89">
        <v>0</v>
      </c>
      <c r="Q65" s="173">
        <f>SUM(O65:P65)</f>
        <v>4040</v>
      </c>
      <c r="R65" s="89">
        <v>0</v>
      </c>
      <c r="S65" s="173">
        <f>SUM(Q65:R65)</f>
        <v>4040</v>
      </c>
    </row>
    <row r="66" spans="1:19" s="43" customFormat="1" ht="22.5" customHeight="1">
      <c r="A66" s="116"/>
      <c r="B66" s="116"/>
      <c r="C66" s="116"/>
      <c r="D66" s="6" t="s">
        <v>329</v>
      </c>
      <c r="E66" s="18">
        <f>E35+E19+E54+E61</f>
        <v>290000</v>
      </c>
      <c r="F66" s="18">
        <f>F35+F19+F54+F61</f>
        <v>0</v>
      </c>
      <c r="G66" s="123">
        <f t="shared" si="2"/>
        <v>290000</v>
      </c>
      <c r="H66" s="18">
        <f>H35+H19+H54+H61</f>
        <v>0</v>
      </c>
      <c r="I66" s="123">
        <f t="shared" si="3"/>
        <v>290000</v>
      </c>
      <c r="J66" s="18">
        <f>J35+J19+J54+J61+J16</f>
        <v>0</v>
      </c>
      <c r="K66" s="123">
        <f t="shared" si="11"/>
        <v>290000</v>
      </c>
      <c r="L66" s="18">
        <f>L35+L19+L54+L61+L16</f>
        <v>0</v>
      </c>
      <c r="M66" s="123">
        <f>SUM(K66:L66)</f>
        <v>290000</v>
      </c>
      <c r="N66" s="18">
        <f>N35+N19+N54+N61+N16</f>
        <v>0</v>
      </c>
      <c r="O66" s="123">
        <f>SUM(M66:N66)</f>
        <v>290000</v>
      </c>
      <c r="P66" s="18">
        <f>P35+P19+P54+P61+P16</f>
        <v>25710</v>
      </c>
      <c r="Q66" s="123">
        <f>SUM(O66:P66)</f>
        <v>315710</v>
      </c>
      <c r="R66" s="18">
        <f>R35+R19+R54+R61+R16</f>
        <v>0</v>
      </c>
      <c r="S66" s="123">
        <f>SUM(Q66:R66)</f>
        <v>315710</v>
      </c>
    </row>
  </sheetData>
  <mergeCells count="3">
    <mergeCell ref="A5:D5"/>
    <mergeCell ref="A7:D7"/>
    <mergeCell ref="A14:D14"/>
  </mergeCells>
  <printOptions horizontalCentered="1"/>
  <pageMargins left="0.5118110236220472" right="0.5118110236220472" top="0.7874015748031497" bottom="0.7874015748031497" header="0.5118110236220472" footer="0.31496062992125984"/>
  <pageSetup horizontalDpi="600" verticalDpi="600" orientation="portrait" paperSize="9" r:id="rId1"/>
  <headerFooter alignWithMargins="0"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R42"/>
  <sheetViews>
    <sheetView workbookViewId="0" topLeftCell="A1">
      <selection activeCell="AQ17" sqref="A1:AR17"/>
    </sheetView>
  </sheetViews>
  <sheetFormatPr defaultColWidth="9.00390625" defaultRowHeight="12.75"/>
  <cols>
    <col min="1" max="1" width="5.125" style="27" customWidth="1"/>
    <col min="2" max="2" width="36.375" style="27" customWidth="1"/>
    <col min="3" max="4" width="10.00390625" style="27" hidden="1" customWidth="1"/>
    <col min="5" max="5" width="9.75390625" style="27" hidden="1" customWidth="1"/>
    <col min="6" max="6" width="9.25390625" style="27" hidden="1" customWidth="1"/>
    <col min="7" max="8" width="11.25390625" style="27" hidden="1" customWidth="1"/>
    <col min="9" max="9" width="17.125" style="27" hidden="1" customWidth="1"/>
    <col min="10" max="10" width="9.125" style="27" hidden="1" customWidth="1"/>
    <col min="11" max="12" width="11.25390625" style="27" hidden="1" customWidth="1"/>
    <col min="13" max="13" width="13.625" style="27" hidden="1" customWidth="1"/>
    <col min="14" max="14" width="12.875" style="27" hidden="1" customWidth="1"/>
    <col min="15" max="15" width="12.375" style="27" hidden="1" customWidth="1"/>
    <col min="16" max="16" width="9.125" style="27" hidden="1" customWidth="1"/>
    <col min="17" max="17" width="10.125" style="27" hidden="1" customWidth="1"/>
    <col min="18" max="18" width="34.875" style="27" hidden="1" customWidth="1"/>
    <col min="19" max="20" width="11.25390625" style="27" hidden="1" customWidth="1"/>
    <col min="21" max="21" width="10.125" style="27" hidden="1" customWidth="1"/>
    <col min="22" max="22" width="34.875" style="27" hidden="1" customWidth="1"/>
    <col min="23" max="24" width="11.25390625" style="27" hidden="1" customWidth="1"/>
    <col min="25" max="25" width="10.125" style="27" hidden="1" customWidth="1"/>
    <col min="26" max="26" width="36.25390625" style="27" hidden="1" customWidth="1"/>
    <col min="27" max="27" width="12.75390625" style="27" hidden="1" customWidth="1"/>
    <col min="28" max="28" width="12.25390625" style="27" hidden="1" customWidth="1"/>
    <col min="29" max="29" width="12.00390625" style="27" hidden="1" customWidth="1"/>
    <col min="30" max="30" width="13.875" style="27" hidden="1" customWidth="1"/>
    <col min="31" max="31" width="12.375" style="27" hidden="1" customWidth="1"/>
    <col min="32" max="32" width="12.625" style="27" hidden="1" customWidth="1"/>
    <col min="33" max="33" width="12.00390625" style="27" hidden="1" customWidth="1"/>
    <col min="34" max="34" width="13.875" style="27" hidden="1" customWidth="1"/>
    <col min="35" max="35" width="12.375" style="27" hidden="1" customWidth="1"/>
    <col min="36" max="36" width="0.12890625" style="27" hidden="1" customWidth="1"/>
    <col min="37" max="37" width="10.375" style="27" hidden="1" customWidth="1"/>
    <col min="38" max="38" width="34.875" style="27" hidden="1" customWidth="1"/>
    <col min="39" max="39" width="12.375" style="27" customWidth="1"/>
    <col min="40" max="40" width="12.625" style="27" customWidth="1"/>
    <col min="41" max="41" width="12.00390625" style="27" customWidth="1"/>
    <col min="42" max="42" width="13.875" style="27" customWidth="1"/>
    <col min="43" max="43" width="12.375" style="27" customWidth="1"/>
    <col min="44" max="44" width="12.625" style="27" customWidth="1"/>
  </cols>
  <sheetData>
    <row r="1" spans="3:44" ht="12.75">
      <c r="C1" s="66"/>
      <c r="G1" s="98" t="s">
        <v>521</v>
      </c>
      <c r="H1" s="66"/>
      <c r="I1" s="66" t="s">
        <v>556</v>
      </c>
      <c r="J1" s="98"/>
      <c r="K1" s="98"/>
      <c r="L1" s="66"/>
      <c r="M1" s="66"/>
      <c r="N1" s="98"/>
      <c r="O1" s="98"/>
      <c r="P1" s="98"/>
      <c r="Q1" s="66"/>
      <c r="R1" s="98" t="s">
        <v>36</v>
      </c>
      <c r="S1" s="98"/>
      <c r="T1" s="66"/>
      <c r="U1" s="66"/>
      <c r="V1" s="98" t="s">
        <v>101</v>
      </c>
      <c r="W1" s="98"/>
      <c r="X1" s="66"/>
      <c r="Y1" s="66"/>
      <c r="Z1" s="98" t="s">
        <v>146</v>
      </c>
      <c r="AA1" s="98"/>
      <c r="AB1" s="66"/>
      <c r="AC1" s="66"/>
      <c r="AD1" s="98" t="s">
        <v>213</v>
      </c>
      <c r="AE1" s="98"/>
      <c r="AF1" s="66"/>
      <c r="AG1" s="66"/>
      <c r="AH1" s="98" t="s">
        <v>176</v>
      </c>
      <c r="AI1" s="98"/>
      <c r="AJ1" s="66"/>
      <c r="AK1" s="66"/>
      <c r="AL1" s="98" t="s">
        <v>494</v>
      </c>
      <c r="AM1" s="98"/>
      <c r="AN1" s="66"/>
      <c r="AO1" s="66"/>
      <c r="AP1" s="98" t="s">
        <v>604</v>
      </c>
      <c r="AQ1" s="98"/>
      <c r="AR1" s="66"/>
    </row>
    <row r="2" spans="3:44" ht="12.75">
      <c r="C2" s="66"/>
      <c r="G2" s="98" t="s">
        <v>519</v>
      </c>
      <c r="H2" s="66"/>
      <c r="I2" s="66" t="s">
        <v>693</v>
      </c>
      <c r="J2" s="98"/>
      <c r="K2" s="98"/>
      <c r="L2" s="66"/>
      <c r="M2" s="66"/>
      <c r="N2" s="98"/>
      <c r="O2" s="98"/>
      <c r="P2" s="98"/>
      <c r="Q2" s="66"/>
      <c r="R2" s="98" t="s">
        <v>698</v>
      </c>
      <c r="S2" s="98"/>
      <c r="T2" s="66"/>
      <c r="U2" s="66"/>
      <c r="V2" s="98" t="s">
        <v>88</v>
      </c>
      <c r="W2" s="98"/>
      <c r="X2" s="66"/>
      <c r="Y2" s="66"/>
      <c r="Z2" s="98" t="s">
        <v>141</v>
      </c>
      <c r="AA2" s="98"/>
      <c r="AB2" s="66"/>
      <c r="AC2" s="66"/>
      <c r="AD2" s="98" t="s">
        <v>207</v>
      </c>
      <c r="AE2" s="98"/>
      <c r="AF2" s="66"/>
      <c r="AG2" s="66"/>
      <c r="AH2" s="98" t="s">
        <v>537</v>
      </c>
      <c r="AI2" s="98"/>
      <c r="AJ2" s="66"/>
      <c r="AK2" s="66"/>
      <c r="AL2" s="98" t="s">
        <v>490</v>
      </c>
      <c r="AM2" s="98"/>
      <c r="AN2" s="66"/>
      <c r="AO2" s="66"/>
      <c r="AP2" s="98" t="s">
        <v>65</v>
      </c>
      <c r="AQ2" s="98"/>
      <c r="AR2" s="66"/>
    </row>
    <row r="3" spans="3:44" ht="12.75">
      <c r="C3" s="66"/>
      <c r="G3" s="98" t="s">
        <v>513</v>
      </c>
      <c r="H3" s="66"/>
      <c r="I3" s="66" t="s">
        <v>422</v>
      </c>
      <c r="J3" s="98"/>
      <c r="K3" s="98"/>
      <c r="L3" s="66"/>
      <c r="M3" s="66"/>
      <c r="N3" s="98"/>
      <c r="O3" s="98"/>
      <c r="P3" s="98"/>
      <c r="Q3" s="66"/>
      <c r="R3" s="98" t="s">
        <v>28</v>
      </c>
      <c r="S3" s="98"/>
      <c r="T3" s="66"/>
      <c r="U3" s="66"/>
      <c r="V3" s="98" t="s">
        <v>36</v>
      </c>
      <c r="W3" s="98"/>
      <c r="X3" s="66"/>
      <c r="Y3" s="66"/>
      <c r="Z3" s="98" t="s">
        <v>101</v>
      </c>
      <c r="AA3" s="98"/>
      <c r="AB3" s="66"/>
      <c r="AC3" s="66"/>
      <c r="AD3" s="98" t="s">
        <v>146</v>
      </c>
      <c r="AE3" s="98"/>
      <c r="AF3" s="66"/>
      <c r="AG3" s="66"/>
      <c r="AH3" s="98" t="s">
        <v>213</v>
      </c>
      <c r="AI3" s="98"/>
      <c r="AJ3" s="66"/>
      <c r="AK3" s="66"/>
      <c r="AL3" s="98" t="s">
        <v>176</v>
      </c>
      <c r="AM3" s="98"/>
      <c r="AN3" s="66"/>
      <c r="AO3" s="66"/>
      <c r="AP3" s="98" t="s">
        <v>494</v>
      </c>
      <c r="AQ3" s="98"/>
      <c r="AR3" s="66"/>
    </row>
    <row r="4" spans="3:44" ht="12.75">
      <c r="C4" s="66"/>
      <c r="G4" s="98" t="s">
        <v>514</v>
      </c>
      <c r="H4" s="66"/>
      <c r="I4" s="66" t="s">
        <v>688</v>
      </c>
      <c r="J4" s="98"/>
      <c r="K4" s="98"/>
      <c r="L4" s="66"/>
      <c r="M4" s="66"/>
      <c r="N4" s="98"/>
      <c r="O4" s="98"/>
      <c r="P4" s="98"/>
      <c r="Q4" s="66"/>
      <c r="R4" s="98" t="s">
        <v>700</v>
      </c>
      <c r="S4" s="98"/>
      <c r="T4" s="66"/>
      <c r="U4" s="66"/>
      <c r="V4" s="98" t="s">
        <v>39</v>
      </c>
      <c r="W4" s="98"/>
      <c r="X4" s="66"/>
      <c r="Y4" s="66"/>
      <c r="Z4" s="98" t="s">
        <v>117</v>
      </c>
      <c r="AA4" s="98"/>
      <c r="AB4" s="66"/>
      <c r="AC4" s="66"/>
      <c r="AD4" s="98" t="s">
        <v>148</v>
      </c>
      <c r="AE4" s="98"/>
      <c r="AF4" s="66"/>
      <c r="AG4" s="66"/>
      <c r="AH4" s="98" t="s">
        <v>228</v>
      </c>
      <c r="AI4" s="98"/>
      <c r="AJ4" s="66"/>
      <c r="AK4" s="66"/>
      <c r="AL4" s="98" t="s">
        <v>724</v>
      </c>
      <c r="AM4" s="98"/>
      <c r="AN4" s="66"/>
      <c r="AO4" s="66"/>
      <c r="AP4" s="98" t="s">
        <v>628</v>
      </c>
      <c r="AQ4" s="98"/>
      <c r="AR4" s="66"/>
    </row>
    <row r="5" spans="3:44" ht="12.75">
      <c r="C5" s="66"/>
      <c r="G5" s="98"/>
      <c r="H5" s="66"/>
      <c r="I5" s="66"/>
      <c r="J5" s="98"/>
      <c r="K5" s="98"/>
      <c r="L5" s="66"/>
      <c r="M5" s="66"/>
      <c r="N5" s="98"/>
      <c r="O5" s="98"/>
      <c r="P5" s="98"/>
      <c r="Q5" s="66"/>
      <c r="R5" s="98"/>
      <c r="S5" s="98"/>
      <c r="T5" s="66"/>
      <c r="U5" s="66"/>
      <c r="V5" s="98"/>
      <c r="W5" s="98"/>
      <c r="X5" s="66"/>
      <c r="Y5" s="66"/>
      <c r="Z5" s="98"/>
      <c r="AA5" s="98"/>
      <c r="AB5" s="66"/>
      <c r="AC5" s="66"/>
      <c r="AD5" s="98"/>
      <c r="AE5" s="98"/>
      <c r="AF5" s="66"/>
      <c r="AG5" s="66"/>
      <c r="AH5" s="98"/>
      <c r="AI5" s="98"/>
      <c r="AJ5" s="66"/>
      <c r="AK5" s="66"/>
      <c r="AL5" s="98"/>
      <c r="AM5" s="98"/>
      <c r="AN5" s="66"/>
      <c r="AO5" s="66"/>
      <c r="AP5" s="98"/>
      <c r="AQ5" s="98"/>
      <c r="AR5" s="66"/>
    </row>
    <row r="6" spans="1:42" s="32" customFormat="1" ht="21.75" customHeight="1">
      <c r="A6" s="335" t="s">
        <v>714</v>
      </c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5"/>
      <c r="R6" s="335"/>
      <c r="S6" s="335"/>
      <c r="T6" s="335"/>
      <c r="U6" s="335"/>
      <c r="V6" s="335"/>
      <c r="W6" s="335"/>
      <c r="X6" s="335"/>
      <c r="Y6" s="335"/>
      <c r="Z6" s="335"/>
      <c r="AA6" s="335"/>
      <c r="AB6" s="335"/>
      <c r="AC6" s="335"/>
      <c r="AD6" s="335"/>
      <c r="AE6" s="335"/>
      <c r="AF6" s="335"/>
      <c r="AG6" s="335"/>
      <c r="AH6" s="335"/>
      <c r="AI6" s="335"/>
      <c r="AJ6" s="335"/>
      <c r="AK6" s="335"/>
      <c r="AL6" s="335"/>
      <c r="AM6" s="335"/>
      <c r="AN6" s="335"/>
      <c r="AO6" s="335"/>
      <c r="AP6" s="335"/>
    </row>
    <row r="7" spans="1:41" s="32" customFormat="1" ht="12" customHeight="1">
      <c r="A7" s="193"/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U7" s="193"/>
      <c r="Y7" s="193"/>
      <c r="AC7" s="193"/>
      <c r="AG7" s="193"/>
      <c r="AK7" s="193"/>
      <c r="AO7" s="193"/>
    </row>
    <row r="8" spans="1:44" s="8" customFormat="1" ht="20.25" customHeight="1">
      <c r="A8" s="333" t="s">
        <v>246</v>
      </c>
      <c r="B8" s="333" t="s">
        <v>247</v>
      </c>
      <c r="C8" s="336" t="s">
        <v>413</v>
      </c>
      <c r="D8" s="336"/>
      <c r="E8" s="336" t="s">
        <v>506</v>
      </c>
      <c r="F8" s="336"/>
      <c r="G8" s="336" t="s">
        <v>412</v>
      </c>
      <c r="H8" s="336"/>
      <c r="I8" s="336" t="s">
        <v>506</v>
      </c>
      <c r="J8" s="336"/>
      <c r="K8" s="333" t="s">
        <v>717</v>
      </c>
      <c r="L8" s="333"/>
      <c r="M8" s="336" t="s">
        <v>506</v>
      </c>
      <c r="N8" s="336"/>
      <c r="O8" s="336" t="s">
        <v>512</v>
      </c>
      <c r="P8" s="336"/>
      <c r="Q8" s="336" t="s">
        <v>506</v>
      </c>
      <c r="R8" s="336"/>
      <c r="S8" s="333" t="s">
        <v>717</v>
      </c>
      <c r="T8" s="333"/>
      <c r="U8" s="336" t="s">
        <v>506</v>
      </c>
      <c r="V8" s="336"/>
      <c r="W8" s="333" t="s">
        <v>717</v>
      </c>
      <c r="X8" s="333"/>
      <c r="Y8" s="333" t="s">
        <v>716</v>
      </c>
      <c r="Z8" s="333"/>
      <c r="AA8" s="333" t="s">
        <v>151</v>
      </c>
      <c r="AB8" s="333"/>
      <c r="AC8" s="333" t="s">
        <v>716</v>
      </c>
      <c r="AD8" s="333"/>
      <c r="AE8" s="333" t="s">
        <v>717</v>
      </c>
      <c r="AF8" s="333"/>
      <c r="AG8" s="333" t="s">
        <v>716</v>
      </c>
      <c r="AH8" s="333"/>
      <c r="AI8" s="333" t="s">
        <v>718</v>
      </c>
      <c r="AJ8" s="333"/>
      <c r="AK8" s="333" t="s">
        <v>716</v>
      </c>
      <c r="AL8" s="333"/>
      <c r="AM8" s="333" t="s">
        <v>413</v>
      </c>
      <c r="AN8" s="333"/>
      <c r="AO8" s="333" t="s">
        <v>716</v>
      </c>
      <c r="AP8" s="333"/>
      <c r="AQ8" s="333" t="s">
        <v>718</v>
      </c>
      <c r="AR8" s="333"/>
    </row>
    <row r="9" spans="1:44" s="8" customFormat="1" ht="21" customHeight="1">
      <c r="A9" s="333"/>
      <c r="B9" s="333"/>
      <c r="C9" s="101" t="s">
        <v>414</v>
      </c>
      <c r="D9" s="101" t="s">
        <v>415</v>
      </c>
      <c r="E9" s="101" t="s">
        <v>414</v>
      </c>
      <c r="F9" s="101" t="s">
        <v>415</v>
      </c>
      <c r="G9" s="101" t="s">
        <v>414</v>
      </c>
      <c r="H9" s="101" t="s">
        <v>415</v>
      </c>
      <c r="I9" s="101" t="s">
        <v>414</v>
      </c>
      <c r="J9" s="101" t="s">
        <v>415</v>
      </c>
      <c r="K9" s="101" t="s">
        <v>414</v>
      </c>
      <c r="L9" s="101" t="s">
        <v>415</v>
      </c>
      <c r="M9" s="101" t="s">
        <v>414</v>
      </c>
      <c r="N9" s="101" t="s">
        <v>415</v>
      </c>
      <c r="O9" s="101" t="s">
        <v>414</v>
      </c>
      <c r="P9" s="101" t="s">
        <v>415</v>
      </c>
      <c r="Q9" s="101" t="s">
        <v>414</v>
      </c>
      <c r="R9" s="101" t="s">
        <v>415</v>
      </c>
      <c r="S9" s="101" t="s">
        <v>414</v>
      </c>
      <c r="T9" s="101" t="s">
        <v>415</v>
      </c>
      <c r="U9" s="101" t="s">
        <v>414</v>
      </c>
      <c r="V9" s="101" t="s">
        <v>415</v>
      </c>
      <c r="W9" s="101" t="s">
        <v>414</v>
      </c>
      <c r="X9" s="101" t="s">
        <v>415</v>
      </c>
      <c r="Y9" s="101" t="s">
        <v>414</v>
      </c>
      <c r="Z9" s="101" t="s">
        <v>415</v>
      </c>
      <c r="AA9" s="101" t="s">
        <v>414</v>
      </c>
      <c r="AB9" s="101" t="s">
        <v>415</v>
      </c>
      <c r="AC9" s="101" t="s">
        <v>414</v>
      </c>
      <c r="AD9" s="101" t="s">
        <v>415</v>
      </c>
      <c r="AE9" s="101" t="s">
        <v>414</v>
      </c>
      <c r="AF9" s="101" t="s">
        <v>415</v>
      </c>
      <c r="AG9" s="101" t="s">
        <v>414</v>
      </c>
      <c r="AH9" s="101" t="s">
        <v>415</v>
      </c>
      <c r="AI9" s="101" t="s">
        <v>414</v>
      </c>
      <c r="AJ9" s="101" t="s">
        <v>415</v>
      </c>
      <c r="AK9" s="101" t="s">
        <v>414</v>
      </c>
      <c r="AL9" s="101" t="s">
        <v>415</v>
      </c>
      <c r="AM9" s="101" t="s">
        <v>414</v>
      </c>
      <c r="AN9" s="101" t="s">
        <v>415</v>
      </c>
      <c r="AO9" s="101" t="s">
        <v>414</v>
      </c>
      <c r="AP9" s="101" t="s">
        <v>415</v>
      </c>
      <c r="AQ9" s="101" t="s">
        <v>414</v>
      </c>
      <c r="AR9" s="101" t="s">
        <v>415</v>
      </c>
    </row>
    <row r="10" spans="1:44" s="8" customFormat="1" ht="49.5" customHeight="1" hidden="1">
      <c r="A10" s="2">
        <v>903</v>
      </c>
      <c r="B10" s="48" t="s">
        <v>527</v>
      </c>
      <c r="C10" s="101"/>
      <c r="D10" s="101"/>
      <c r="E10" s="101"/>
      <c r="F10" s="101"/>
      <c r="G10" s="101"/>
      <c r="H10" s="101"/>
      <c r="I10" s="101"/>
      <c r="J10" s="101"/>
      <c r="K10" s="21"/>
      <c r="L10" s="21"/>
      <c r="M10" s="21"/>
      <c r="N10" s="21"/>
      <c r="O10" s="9"/>
      <c r="P10" s="9"/>
      <c r="Q10" s="101"/>
      <c r="R10" s="101"/>
      <c r="S10" s="21"/>
      <c r="T10" s="21"/>
      <c r="U10" s="101"/>
      <c r="V10" s="101"/>
      <c r="W10" s="21"/>
      <c r="X10" s="21"/>
      <c r="Y10" s="101"/>
      <c r="Z10" s="101"/>
      <c r="AA10" s="21"/>
      <c r="AB10" s="21"/>
      <c r="AC10" s="101"/>
      <c r="AD10" s="101"/>
      <c r="AE10" s="21"/>
      <c r="AF10" s="21"/>
      <c r="AG10" s="101"/>
      <c r="AH10" s="101"/>
      <c r="AI10" s="21"/>
      <c r="AJ10" s="21"/>
      <c r="AK10" s="101"/>
      <c r="AL10" s="101"/>
      <c r="AM10" s="21"/>
      <c r="AN10" s="21"/>
      <c r="AO10" s="101"/>
      <c r="AP10" s="101"/>
      <c r="AQ10" s="21"/>
      <c r="AR10" s="21"/>
    </row>
    <row r="11" spans="1:44" s="8" customFormat="1" ht="37.5" customHeight="1">
      <c r="A11" s="2">
        <v>952</v>
      </c>
      <c r="B11" s="48" t="s">
        <v>423</v>
      </c>
      <c r="C11" s="9">
        <v>5000000</v>
      </c>
      <c r="D11" s="9">
        <v>0</v>
      </c>
      <c r="E11" s="102">
        <f>452400+50000</f>
        <v>502400</v>
      </c>
      <c r="F11" s="102">
        <v>0</v>
      </c>
      <c r="G11" s="9">
        <f aca="true" t="shared" si="0" ref="G11:H15">SUM(C11+E11)</f>
        <v>5502400</v>
      </c>
      <c r="H11" s="9">
        <f t="shared" si="0"/>
        <v>0</v>
      </c>
      <c r="I11" s="9">
        <v>-53720</v>
      </c>
      <c r="J11" s="9">
        <f>SUM(F11+H11)</f>
        <v>0</v>
      </c>
      <c r="K11" s="9">
        <v>4930496</v>
      </c>
      <c r="L11" s="9">
        <v>0</v>
      </c>
      <c r="M11" s="9"/>
      <c r="N11" s="9"/>
      <c r="O11" s="9"/>
      <c r="P11" s="9"/>
      <c r="Q11" s="9">
        <v>0</v>
      </c>
      <c r="R11" s="9">
        <f>SUM(N11+P11)</f>
        <v>0</v>
      </c>
      <c r="S11" s="9">
        <f aca="true" t="shared" si="1" ref="S11:T16">SUM(K11,Q11)</f>
        <v>4930496</v>
      </c>
      <c r="T11" s="9">
        <f t="shared" si="1"/>
        <v>0</v>
      </c>
      <c r="U11" s="9">
        <v>0</v>
      </c>
      <c r="V11" s="9">
        <f>SUM(R11+T11)</f>
        <v>0</v>
      </c>
      <c r="W11" s="9">
        <f aca="true" t="shared" si="2" ref="W11:X16">SUM(S11,U11,)</f>
        <v>4930496</v>
      </c>
      <c r="X11" s="9">
        <f t="shared" si="2"/>
        <v>0</v>
      </c>
      <c r="Y11" s="9">
        <v>0</v>
      </c>
      <c r="Z11" s="9">
        <f>SUM(V11+X11)</f>
        <v>0</v>
      </c>
      <c r="AA11" s="9">
        <f aca="true" t="shared" si="3" ref="AA11:AB16">SUM(W11,Y11,)</f>
        <v>4930496</v>
      </c>
      <c r="AB11" s="9">
        <f t="shared" si="3"/>
        <v>0</v>
      </c>
      <c r="AC11" s="9">
        <v>0</v>
      </c>
      <c r="AD11" s="9">
        <f>SUM(Z11+AB11)</f>
        <v>0</v>
      </c>
      <c r="AE11" s="9">
        <f aca="true" t="shared" si="4" ref="AE11:AF16">SUM(AA11,AC11,)</f>
        <v>4930496</v>
      </c>
      <c r="AF11" s="9">
        <f t="shared" si="4"/>
        <v>0</v>
      </c>
      <c r="AG11" s="9">
        <v>0</v>
      </c>
      <c r="AH11" s="9">
        <f>SUM(AD11+AF11)</f>
        <v>0</v>
      </c>
      <c r="AI11" s="9">
        <f aca="true" t="shared" si="5" ref="AI11:AI16">SUM(AE11,AG11,)</f>
        <v>4930496</v>
      </c>
      <c r="AJ11" s="9">
        <f aca="true" t="shared" si="6" ref="AJ11:AJ16">SUM(AF11,AH11,)</f>
        <v>0</v>
      </c>
      <c r="AK11" s="9">
        <v>-144500</v>
      </c>
      <c r="AL11" s="9">
        <f>SUM(AH11+AJ11)</f>
        <v>0</v>
      </c>
      <c r="AM11" s="9">
        <f aca="true" t="shared" si="7" ref="AM11:AM16">SUM(AI11,AK11,)</f>
        <v>4785996</v>
      </c>
      <c r="AN11" s="9">
        <f aca="true" t="shared" si="8" ref="AN11:AN16">SUM(AJ11,AL11,)</f>
        <v>0</v>
      </c>
      <c r="AO11" s="9">
        <v>-2022746</v>
      </c>
      <c r="AP11" s="9">
        <f>SUM(AL11+AN11)</f>
        <v>0</v>
      </c>
      <c r="AQ11" s="9">
        <f aca="true" t="shared" si="9" ref="AQ11:AQ16">SUM(AM11,AO11,)</f>
        <v>2763250</v>
      </c>
      <c r="AR11" s="9">
        <f aca="true" t="shared" si="10" ref="AR11:AR16">SUM(AN11,AP11,)</f>
        <v>0</v>
      </c>
    </row>
    <row r="12" spans="1:44" s="8" customFormat="1" ht="36" customHeight="1">
      <c r="A12" s="2">
        <v>957</v>
      </c>
      <c r="B12" s="48" t="s">
        <v>715</v>
      </c>
      <c r="C12" s="9"/>
      <c r="D12" s="9"/>
      <c r="E12" s="102"/>
      <c r="F12" s="102"/>
      <c r="G12" s="9"/>
      <c r="H12" s="9"/>
      <c r="I12" s="9"/>
      <c r="J12" s="9"/>
      <c r="K12" s="9">
        <v>0</v>
      </c>
      <c r="L12" s="9">
        <v>0</v>
      </c>
      <c r="M12" s="9"/>
      <c r="N12" s="9"/>
      <c r="O12" s="9"/>
      <c r="P12" s="9"/>
      <c r="Q12" s="9">
        <v>970066</v>
      </c>
      <c r="R12" s="9">
        <v>0</v>
      </c>
      <c r="S12" s="9">
        <f t="shared" si="1"/>
        <v>970066</v>
      </c>
      <c r="T12" s="9">
        <f t="shared" si="1"/>
        <v>0</v>
      </c>
      <c r="U12" s="172">
        <f>153566+11000+500000</f>
        <v>664566</v>
      </c>
      <c r="V12" s="9">
        <v>0</v>
      </c>
      <c r="W12" s="9">
        <f t="shared" si="2"/>
        <v>1634632</v>
      </c>
      <c r="X12" s="9">
        <f t="shared" si="2"/>
        <v>0</v>
      </c>
      <c r="Y12" s="172">
        <f>13057+14000</f>
        <v>27057</v>
      </c>
      <c r="Z12" s="9">
        <v>0</v>
      </c>
      <c r="AA12" s="9">
        <f t="shared" si="3"/>
        <v>1661689</v>
      </c>
      <c r="AB12" s="9">
        <f t="shared" si="3"/>
        <v>0</v>
      </c>
      <c r="AC12" s="172"/>
      <c r="AD12" s="9">
        <v>0</v>
      </c>
      <c r="AE12" s="9">
        <f t="shared" si="4"/>
        <v>1661689</v>
      </c>
      <c r="AF12" s="9">
        <f t="shared" si="4"/>
        <v>0</v>
      </c>
      <c r="AG12" s="172">
        <v>510677</v>
      </c>
      <c r="AH12" s="9">
        <v>0</v>
      </c>
      <c r="AI12" s="9">
        <f t="shared" si="5"/>
        <v>2172366</v>
      </c>
      <c r="AJ12" s="9">
        <f t="shared" si="6"/>
        <v>0</v>
      </c>
      <c r="AK12" s="172">
        <v>0</v>
      </c>
      <c r="AL12" s="9">
        <v>0</v>
      </c>
      <c r="AM12" s="9">
        <f t="shared" si="7"/>
        <v>2172366</v>
      </c>
      <c r="AN12" s="9">
        <f t="shared" si="8"/>
        <v>0</v>
      </c>
      <c r="AO12" s="172">
        <v>0</v>
      </c>
      <c r="AP12" s="9">
        <v>0</v>
      </c>
      <c r="AQ12" s="9">
        <f t="shared" si="9"/>
        <v>2172366</v>
      </c>
      <c r="AR12" s="9">
        <f t="shared" si="10"/>
        <v>0</v>
      </c>
    </row>
    <row r="13" spans="1:44" s="8" customFormat="1" ht="48">
      <c r="A13" s="2">
        <v>963</v>
      </c>
      <c r="B13" s="48" t="s">
        <v>189</v>
      </c>
      <c r="C13" s="9"/>
      <c r="D13" s="9"/>
      <c r="E13" s="102"/>
      <c r="F13" s="102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172"/>
      <c r="V13" s="9"/>
      <c r="W13" s="9"/>
      <c r="X13" s="9"/>
      <c r="Y13" s="172"/>
      <c r="Z13" s="9"/>
      <c r="AA13" s="9">
        <v>0</v>
      </c>
      <c r="AB13" s="9">
        <v>0</v>
      </c>
      <c r="AC13" s="172">
        <v>0</v>
      </c>
      <c r="AD13" s="9">
        <v>1517202</v>
      </c>
      <c r="AE13" s="9">
        <f t="shared" si="4"/>
        <v>0</v>
      </c>
      <c r="AF13" s="9">
        <f t="shared" si="4"/>
        <v>1517202</v>
      </c>
      <c r="AG13" s="172">
        <v>0</v>
      </c>
      <c r="AH13" s="9">
        <v>0</v>
      </c>
      <c r="AI13" s="9">
        <f t="shared" si="5"/>
        <v>0</v>
      </c>
      <c r="AJ13" s="9">
        <f t="shared" si="6"/>
        <v>1517202</v>
      </c>
      <c r="AK13" s="172">
        <v>0</v>
      </c>
      <c r="AL13" s="9">
        <v>0</v>
      </c>
      <c r="AM13" s="9">
        <f t="shared" si="7"/>
        <v>0</v>
      </c>
      <c r="AN13" s="9">
        <f t="shared" si="8"/>
        <v>1517202</v>
      </c>
      <c r="AO13" s="172">
        <v>0</v>
      </c>
      <c r="AP13" s="9">
        <v>0</v>
      </c>
      <c r="AQ13" s="9">
        <f t="shared" si="9"/>
        <v>0</v>
      </c>
      <c r="AR13" s="9">
        <f t="shared" si="10"/>
        <v>1517202</v>
      </c>
    </row>
    <row r="14" spans="1:44" s="8" customFormat="1" ht="33" customHeight="1">
      <c r="A14" s="2">
        <v>982</v>
      </c>
      <c r="B14" s="48" t="s">
        <v>507</v>
      </c>
      <c r="C14" s="9"/>
      <c r="D14" s="9"/>
      <c r="E14" s="9"/>
      <c r="F14" s="9">
        <v>800000</v>
      </c>
      <c r="G14" s="9">
        <f t="shared" si="0"/>
        <v>0</v>
      </c>
      <c r="H14" s="9">
        <f t="shared" si="0"/>
        <v>800000</v>
      </c>
      <c r="I14" s="9">
        <f>SUM(E14+G14)</f>
        <v>0</v>
      </c>
      <c r="J14" s="9">
        <v>0</v>
      </c>
      <c r="K14" s="9">
        <v>0</v>
      </c>
      <c r="L14" s="9">
        <v>1950000</v>
      </c>
      <c r="M14" s="9"/>
      <c r="N14" s="9"/>
      <c r="O14" s="9"/>
      <c r="P14" s="9"/>
      <c r="Q14" s="9">
        <f>SUM(M14+O14)</f>
        <v>0</v>
      </c>
      <c r="R14" s="9">
        <v>0</v>
      </c>
      <c r="S14" s="9">
        <f t="shared" si="1"/>
        <v>0</v>
      </c>
      <c r="T14" s="9">
        <f t="shared" si="1"/>
        <v>1950000</v>
      </c>
      <c r="U14" s="9">
        <f>SUM(Q14+S14)</f>
        <v>0</v>
      </c>
      <c r="V14" s="9">
        <v>0</v>
      </c>
      <c r="W14" s="9">
        <f t="shared" si="2"/>
        <v>0</v>
      </c>
      <c r="X14" s="9">
        <f t="shared" si="2"/>
        <v>1950000</v>
      </c>
      <c r="Y14" s="9">
        <f>SUM(U14+W14)</f>
        <v>0</v>
      </c>
      <c r="Z14" s="9">
        <v>0</v>
      </c>
      <c r="AA14" s="9">
        <f t="shared" si="3"/>
        <v>0</v>
      </c>
      <c r="AB14" s="9">
        <f t="shared" si="3"/>
        <v>1950000</v>
      </c>
      <c r="AC14" s="9">
        <f>SUM(Y14+AA14)</f>
        <v>0</v>
      </c>
      <c r="AD14" s="9">
        <v>0</v>
      </c>
      <c r="AE14" s="9">
        <f t="shared" si="4"/>
        <v>0</v>
      </c>
      <c r="AF14" s="9">
        <f t="shared" si="4"/>
        <v>1950000</v>
      </c>
      <c r="AG14" s="9">
        <f>SUM(AC14+AE14)</f>
        <v>0</v>
      </c>
      <c r="AH14" s="9">
        <v>0</v>
      </c>
      <c r="AI14" s="9">
        <f t="shared" si="5"/>
        <v>0</v>
      </c>
      <c r="AJ14" s="9">
        <f t="shared" si="6"/>
        <v>1950000</v>
      </c>
      <c r="AK14" s="9">
        <f>SUM(AG14+AI14)</f>
        <v>0</v>
      </c>
      <c r="AL14" s="9">
        <v>0</v>
      </c>
      <c r="AM14" s="9">
        <f t="shared" si="7"/>
        <v>0</v>
      </c>
      <c r="AN14" s="9">
        <f t="shared" si="8"/>
        <v>1950000</v>
      </c>
      <c r="AO14" s="9">
        <f>SUM(AK14+AM14)</f>
        <v>0</v>
      </c>
      <c r="AP14" s="9">
        <v>0</v>
      </c>
      <c r="AQ14" s="9">
        <f t="shared" si="9"/>
        <v>0</v>
      </c>
      <c r="AR14" s="9">
        <f t="shared" si="10"/>
        <v>1950000</v>
      </c>
    </row>
    <row r="15" spans="1:44" s="8" customFormat="1" ht="32.25" customHeight="1">
      <c r="A15" s="2">
        <v>992</v>
      </c>
      <c r="B15" s="48" t="s">
        <v>417</v>
      </c>
      <c r="C15" s="9">
        <v>0</v>
      </c>
      <c r="D15" s="9">
        <v>3938785</v>
      </c>
      <c r="E15" s="9">
        <v>0</v>
      </c>
      <c r="F15" s="9">
        <v>-800000</v>
      </c>
      <c r="G15" s="9">
        <f t="shared" si="0"/>
        <v>0</v>
      </c>
      <c r="H15" s="9">
        <f t="shared" si="0"/>
        <v>3138785</v>
      </c>
      <c r="I15" s="9">
        <f>SUM(E15+G15)</f>
        <v>0</v>
      </c>
      <c r="J15" s="9">
        <v>0</v>
      </c>
      <c r="K15" s="9">
        <v>0</v>
      </c>
      <c r="L15" s="9">
        <v>2722636</v>
      </c>
      <c r="M15" s="9"/>
      <c r="N15" s="9"/>
      <c r="O15" s="9"/>
      <c r="P15" s="9"/>
      <c r="Q15" s="9">
        <f>SUM(M15+O15)</f>
        <v>0</v>
      </c>
      <c r="R15" s="9">
        <v>171700</v>
      </c>
      <c r="S15" s="9">
        <f t="shared" si="1"/>
        <v>0</v>
      </c>
      <c r="T15" s="9">
        <f t="shared" si="1"/>
        <v>2894336</v>
      </c>
      <c r="U15" s="9">
        <f>SUM(Q15+S15)</f>
        <v>0</v>
      </c>
      <c r="V15" s="9"/>
      <c r="W15" s="9">
        <f t="shared" si="2"/>
        <v>0</v>
      </c>
      <c r="X15" s="9">
        <f t="shared" si="2"/>
        <v>2894336</v>
      </c>
      <c r="Y15" s="9">
        <f>SUM(U15+W15)</f>
        <v>0</v>
      </c>
      <c r="Z15" s="9">
        <v>0</v>
      </c>
      <c r="AA15" s="9">
        <f t="shared" si="3"/>
        <v>0</v>
      </c>
      <c r="AB15" s="9">
        <f t="shared" si="3"/>
        <v>2894336</v>
      </c>
      <c r="AC15" s="9">
        <f>SUM(Y15+AA15)</f>
        <v>0</v>
      </c>
      <c r="AD15" s="9">
        <v>0</v>
      </c>
      <c r="AE15" s="9">
        <f t="shared" si="4"/>
        <v>0</v>
      </c>
      <c r="AF15" s="9">
        <f t="shared" si="4"/>
        <v>2894336</v>
      </c>
      <c r="AG15" s="9">
        <v>0</v>
      </c>
      <c r="AH15" s="9">
        <v>56600</v>
      </c>
      <c r="AI15" s="9">
        <f t="shared" si="5"/>
        <v>0</v>
      </c>
      <c r="AJ15" s="9">
        <f t="shared" si="6"/>
        <v>2950936</v>
      </c>
      <c r="AK15" s="9">
        <v>0</v>
      </c>
      <c r="AL15" s="9">
        <v>0</v>
      </c>
      <c r="AM15" s="9">
        <f t="shared" si="7"/>
        <v>0</v>
      </c>
      <c r="AN15" s="9">
        <f t="shared" si="8"/>
        <v>2950936</v>
      </c>
      <c r="AO15" s="9">
        <v>0</v>
      </c>
      <c r="AP15" s="9">
        <v>0</v>
      </c>
      <c r="AQ15" s="9">
        <f t="shared" si="9"/>
        <v>0</v>
      </c>
      <c r="AR15" s="9">
        <f t="shared" si="10"/>
        <v>2950936</v>
      </c>
    </row>
    <row r="16" spans="2:44" s="8" customFormat="1" ht="30" customHeight="1">
      <c r="B16" s="2" t="s">
        <v>329</v>
      </c>
      <c r="C16" s="334">
        <f>SUM(C11:C15)-SUM(D11:D15)</f>
        <v>1061215</v>
      </c>
      <c r="D16" s="334"/>
      <c r="E16" s="334">
        <f>SUM(E11:E15)-SUM(F11:F15)</f>
        <v>502400</v>
      </c>
      <c r="F16" s="334"/>
      <c r="G16" s="334">
        <f>SUM(G11:G15)-SUM(H11:H15)</f>
        <v>1563615</v>
      </c>
      <c r="H16" s="334"/>
      <c r="I16" s="334">
        <f>SUM(I11:I15)-SUM(J11:J15)</f>
        <v>-53720</v>
      </c>
      <c r="J16" s="334"/>
      <c r="K16" s="20">
        <f>K10+K11+K14+K15</f>
        <v>4930496</v>
      </c>
      <c r="L16" s="20">
        <f>L10+L11+L14+L15</f>
        <v>4672636</v>
      </c>
      <c r="M16" s="334"/>
      <c r="N16" s="334"/>
      <c r="O16" s="334"/>
      <c r="P16" s="334"/>
      <c r="Q16" s="20">
        <f>SUM(Q11:Q15)</f>
        <v>970066</v>
      </c>
      <c r="R16" s="20">
        <f>SUM(R11:R15)</f>
        <v>171700</v>
      </c>
      <c r="S16" s="35">
        <f t="shared" si="1"/>
        <v>5900562</v>
      </c>
      <c r="T16" s="35">
        <f t="shared" si="1"/>
        <v>4844336</v>
      </c>
      <c r="U16" s="20">
        <f>SUM(U11:U15)</f>
        <v>664566</v>
      </c>
      <c r="V16" s="20">
        <f>SUM(V11:V15)</f>
        <v>0</v>
      </c>
      <c r="W16" s="35">
        <f t="shared" si="2"/>
        <v>6565128</v>
      </c>
      <c r="X16" s="35">
        <f t="shared" si="2"/>
        <v>4844336</v>
      </c>
      <c r="Y16" s="44">
        <f>SUM(Y11:Y15)</f>
        <v>27057</v>
      </c>
      <c r="Z16" s="44">
        <f>SUM(Z11:Z15)</f>
        <v>0</v>
      </c>
      <c r="AA16" s="35">
        <f t="shared" si="3"/>
        <v>6592185</v>
      </c>
      <c r="AB16" s="35">
        <f t="shared" si="3"/>
        <v>4844336</v>
      </c>
      <c r="AC16" s="44">
        <f>SUM(AC11:AC15)</f>
        <v>0</v>
      </c>
      <c r="AD16" s="44">
        <f>SUM(AD11:AD15)</f>
        <v>1517202</v>
      </c>
      <c r="AE16" s="35">
        <f t="shared" si="4"/>
        <v>6592185</v>
      </c>
      <c r="AF16" s="35">
        <f t="shared" si="4"/>
        <v>6361538</v>
      </c>
      <c r="AG16" s="44">
        <f>SUM(AG11:AG15)</f>
        <v>510677</v>
      </c>
      <c r="AH16" s="44">
        <f>SUM(AH11:AH15)</f>
        <v>56600</v>
      </c>
      <c r="AI16" s="35">
        <f t="shared" si="5"/>
        <v>7102862</v>
      </c>
      <c r="AJ16" s="35">
        <f t="shared" si="6"/>
        <v>6418138</v>
      </c>
      <c r="AK16" s="44">
        <f>SUM(AK11:AK15)</f>
        <v>-144500</v>
      </c>
      <c r="AL16" s="44">
        <f>SUM(AL11:AL15)</f>
        <v>0</v>
      </c>
      <c r="AM16" s="35">
        <f t="shared" si="7"/>
        <v>6958362</v>
      </c>
      <c r="AN16" s="35">
        <f t="shared" si="8"/>
        <v>6418138</v>
      </c>
      <c r="AO16" s="44">
        <f>SUM(AO11:AO15)</f>
        <v>-2022746</v>
      </c>
      <c r="AP16" s="44">
        <f>SUM(AP11:AP15)</f>
        <v>0</v>
      </c>
      <c r="AQ16" s="35">
        <f t="shared" si="9"/>
        <v>4935616</v>
      </c>
      <c r="AR16" s="35">
        <f t="shared" si="10"/>
        <v>6418138</v>
      </c>
    </row>
    <row r="17" spans="2:44" ht="30" customHeight="1">
      <c r="B17" s="2" t="s">
        <v>416</v>
      </c>
      <c r="C17" s="63"/>
      <c r="D17" s="63"/>
      <c r="E17" s="63"/>
      <c r="F17" s="63"/>
      <c r="G17" s="63"/>
      <c r="H17" s="63"/>
      <c r="I17" s="63"/>
      <c r="J17" s="63"/>
      <c r="K17" s="332">
        <f>K16-L16</f>
        <v>257860</v>
      </c>
      <c r="L17" s="324"/>
      <c r="Q17" s="332">
        <f>SUM(Q16-R16)</f>
        <v>798366</v>
      </c>
      <c r="R17" s="324"/>
      <c r="S17" s="332">
        <f>S16-T16</f>
        <v>1056226</v>
      </c>
      <c r="T17" s="324"/>
      <c r="U17" s="332">
        <f>SUM(U11:U15)-SUM(V11:V15)</f>
        <v>664566</v>
      </c>
      <c r="V17" s="324"/>
      <c r="W17" s="332">
        <f>W16-X16</f>
        <v>1720792</v>
      </c>
      <c r="X17" s="324"/>
      <c r="Y17" s="332">
        <f>SUM(Y11:Y15)-SUM(Z11:Z15)</f>
        <v>27057</v>
      </c>
      <c r="Z17" s="324"/>
      <c r="AA17" s="332">
        <f>AA16-AB16</f>
        <v>1747849</v>
      </c>
      <c r="AB17" s="324"/>
      <c r="AC17" s="332">
        <f>SUM(AC11:AC15)-SUM(AD11:AD15)</f>
        <v>-1517202</v>
      </c>
      <c r="AD17" s="324"/>
      <c r="AE17" s="332">
        <f>AE16-AF16</f>
        <v>230647</v>
      </c>
      <c r="AF17" s="324"/>
      <c r="AG17" s="332">
        <f>SUM(AG11:AG15)-SUM(AH11:AH15)</f>
        <v>454077</v>
      </c>
      <c r="AH17" s="324"/>
      <c r="AI17" s="332">
        <f>AI16-AJ16</f>
        <v>684724</v>
      </c>
      <c r="AJ17" s="324"/>
      <c r="AK17" s="332">
        <f>SUM(AK11:AK15)-SUM(AL11:AL15)</f>
        <v>-144500</v>
      </c>
      <c r="AL17" s="324"/>
      <c r="AM17" s="332">
        <f>AM16-AN16</f>
        <v>540224</v>
      </c>
      <c r="AN17" s="324"/>
      <c r="AO17" s="332">
        <f>SUM(AO11:AO15)-SUM(AP11:AP15)</f>
        <v>-2022746</v>
      </c>
      <c r="AP17" s="324"/>
      <c r="AQ17" s="332">
        <f>AQ16-AR16</f>
        <v>-1482522</v>
      </c>
      <c r="AR17" s="324"/>
    </row>
    <row r="20" spans="11:44" ht="12.75">
      <c r="K20" s="119"/>
      <c r="L20" s="119" t="s">
        <v>553</v>
      </c>
      <c r="S20" s="119"/>
      <c r="T20" s="119" t="s">
        <v>553</v>
      </c>
      <c r="W20" s="119"/>
      <c r="X20" s="119" t="s">
        <v>553</v>
      </c>
      <c r="AA20" s="119"/>
      <c r="AB20" s="119" t="s">
        <v>553</v>
      </c>
      <c r="AE20" s="119"/>
      <c r="AF20" s="119" t="s">
        <v>553</v>
      </c>
      <c r="AI20" s="119"/>
      <c r="AJ20" s="119" t="s">
        <v>553</v>
      </c>
      <c r="AM20" s="119"/>
      <c r="AN20" s="119" t="s">
        <v>553</v>
      </c>
      <c r="AQ20" s="119"/>
      <c r="AR20" s="119" t="s">
        <v>553</v>
      </c>
    </row>
    <row r="21" spans="11:43" ht="12.75">
      <c r="K21" s="119"/>
      <c r="S21" s="119"/>
      <c r="W21" s="119"/>
      <c r="AA21" s="119"/>
      <c r="AE21" s="119"/>
      <c r="AI21" s="119"/>
      <c r="AM21" s="119"/>
      <c r="AQ21" s="119"/>
    </row>
    <row r="22" spans="11:43" ht="12.75">
      <c r="K22" s="119"/>
      <c r="S22" s="119"/>
      <c r="W22" s="119"/>
      <c r="AA22" s="119"/>
      <c r="AE22" s="119"/>
      <c r="AI22" s="119"/>
      <c r="AM22" s="119"/>
      <c r="AQ22" s="119"/>
    </row>
    <row r="23" spans="11:43" ht="12.75">
      <c r="K23" s="119"/>
      <c r="S23" s="119"/>
      <c r="W23" s="119"/>
      <c r="AA23" s="119"/>
      <c r="AE23" s="119"/>
      <c r="AI23" s="119"/>
      <c r="AM23" s="119"/>
      <c r="AQ23" s="119"/>
    </row>
    <row r="24" spans="11:43" ht="12.75">
      <c r="K24" s="119"/>
      <c r="S24" s="119"/>
      <c r="W24" s="119"/>
      <c r="AA24" s="119"/>
      <c r="AE24" s="119"/>
      <c r="AI24" s="119"/>
      <c r="AM24" s="119"/>
      <c r="AQ24" s="119"/>
    </row>
    <row r="25" spans="11:44" ht="12.75">
      <c r="K25" s="119"/>
      <c r="L25" s="119"/>
      <c r="S25" s="119"/>
      <c r="T25" s="119"/>
      <c r="W25" s="119"/>
      <c r="X25" s="119"/>
      <c r="AA25" s="119"/>
      <c r="AB25" s="119"/>
      <c r="AE25" s="119"/>
      <c r="AF25" s="119"/>
      <c r="AI25" s="119"/>
      <c r="AJ25" s="119"/>
      <c r="AM25" s="119"/>
      <c r="AN25" s="119"/>
      <c r="AQ25" s="119"/>
      <c r="AR25" s="119"/>
    </row>
    <row r="26" spans="11:44" ht="12.75">
      <c r="K26" s="119"/>
      <c r="L26" s="119"/>
      <c r="S26" s="119"/>
      <c r="T26" s="119"/>
      <c r="W26" s="119"/>
      <c r="X26" s="119"/>
      <c r="AA26" s="119"/>
      <c r="AB26" s="119"/>
      <c r="AE26" s="119"/>
      <c r="AF26" s="119"/>
      <c r="AI26" s="119"/>
      <c r="AJ26" s="119"/>
      <c r="AM26" s="119"/>
      <c r="AN26" s="119"/>
      <c r="AQ26" s="119"/>
      <c r="AR26" s="119"/>
    </row>
    <row r="27" spans="11:44" ht="12.75">
      <c r="K27" s="119"/>
      <c r="L27" s="119"/>
      <c r="S27" s="119"/>
      <c r="T27" s="119"/>
      <c r="W27" s="119"/>
      <c r="X27" s="119"/>
      <c r="AA27" s="119"/>
      <c r="AB27" s="119"/>
      <c r="AE27" s="119"/>
      <c r="AF27" s="119"/>
      <c r="AI27" s="119"/>
      <c r="AJ27" s="119"/>
      <c r="AM27" s="119"/>
      <c r="AN27" s="119"/>
      <c r="AQ27" s="119"/>
      <c r="AR27" s="119"/>
    </row>
    <row r="28" spans="11:44" ht="12.75">
      <c r="K28" s="119"/>
      <c r="L28" s="119"/>
      <c r="S28" s="119"/>
      <c r="T28" s="119"/>
      <c r="W28" s="119"/>
      <c r="X28" s="119"/>
      <c r="AA28" s="119"/>
      <c r="AB28" s="119"/>
      <c r="AE28" s="119"/>
      <c r="AF28" s="119"/>
      <c r="AI28" s="119"/>
      <c r="AJ28" s="119"/>
      <c r="AM28" s="119"/>
      <c r="AN28" s="119"/>
      <c r="AQ28" s="119"/>
      <c r="AR28" s="119"/>
    </row>
    <row r="29" spans="11:44" ht="12.75">
      <c r="K29" s="119"/>
      <c r="L29" s="119"/>
      <c r="S29" s="119"/>
      <c r="T29" s="119"/>
      <c r="W29" s="119"/>
      <c r="X29" s="119"/>
      <c r="AA29" s="119"/>
      <c r="AB29" s="119"/>
      <c r="AE29" s="119"/>
      <c r="AF29" s="119"/>
      <c r="AI29" s="119"/>
      <c r="AJ29" s="119"/>
      <c r="AM29" s="119"/>
      <c r="AN29" s="119"/>
      <c r="AQ29" s="119"/>
      <c r="AR29" s="119"/>
    </row>
    <row r="30" spans="11:44" ht="12.75">
      <c r="K30" s="119"/>
      <c r="L30" s="119"/>
      <c r="S30" s="119"/>
      <c r="T30" s="119"/>
      <c r="W30" s="119"/>
      <c r="X30" s="119"/>
      <c r="AA30" s="119"/>
      <c r="AB30" s="119"/>
      <c r="AE30" s="119"/>
      <c r="AF30" s="119"/>
      <c r="AI30" s="119"/>
      <c r="AJ30" s="119"/>
      <c r="AM30" s="119"/>
      <c r="AN30" s="119"/>
      <c r="AQ30" s="119"/>
      <c r="AR30" s="119"/>
    </row>
    <row r="31" spans="11:44" ht="12.75">
      <c r="K31" s="119"/>
      <c r="L31" s="119"/>
      <c r="S31" s="119"/>
      <c r="T31" s="119"/>
      <c r="W31" s="119"/>
      <c r="X31" s="119"/>
      <c r="AA31" s="119"/>
      <c r="AB31" s="119"/>
      <c r="AE31" s="119"/>
      <c r="AF31" s="119"/>
      <c r="AI31" s="119"/>
      <c r="AJ31" s="119"/>
      <c r="AM31" s="119"/>
      <c r="AN31" s="119"/>
      <c r="AQ31" s="119"/>
      <c r="AR31" s="119"/>
    </row>
    <row r="32" spans="11:44" ht="12.75">
      <c r="K32" s="119"/>
      <c r="L32" s="119"/>
      <c r="S32" s="119"/>
      <c r="T32" s="119"/>
      <c r="W32" s="119"/>
      <c r="X32" s="119"/>
      <c r="AA32" s="119"/>
      <c r="AB32" s="119"/>
      <c r="AE32" s="119"/>
      <c r="AF32" s="119"/>
      <c r="AI32" s="119"/>
      <c r="AJ32" s="119"/>
      <c r="AM32" s="119"/>
      <c r="AN32" s="119"/>
      <c r="AQ32" s="119"/>
      <c r="AR32" s="119"/>
    </row>
    <row r="33" spans="11:44" ht="12.75">
      <c r="K33" s="119"/>
      <c r="L33" s="119"/>
      <c r="S33" s="119"/>
      <c r="T33" s="119"/>
      <c r="W33" s="119"/>
      <c r="X33" s="119"/>
      <c r="AA33" s="119"/>
      <c r="AB33" s="119"/>
      <c r="AE33" s="119"/>
      <c r="AF33" s="119"/>
      <c r="AI33" s="119"/>
      <c r="AJ33" s="119"/>
      <c r="AM33" s="119"/>
      <c r="AN33" s="119"/>
      <c r="AQ33" s="119"/>
      <c r="AR33" s="119"/>
    </row>
    <row r="34" spans="11:44" ht="12.75">
      <c r="K34" s="119"/>
      <c r="L34" s="119"/>
      <c r="S34" s="119"/>
      <c r="T34" s="119"/>
      <c r="W34" s="119"/>
      <c r="X34" s="119"/>
      <c r="AA34" s="119"/>
      <c r="AB34" s="119"/>
      <c r="AE34" s="119"/>
      <c r="AF34" s="119"/>
      <c r="AI34" s="119"/>
      <c r="AJ34" s="119"/>
      <c r="AM34" s="119"/>
      <c r="AN34" s="119"/>
      <c r="AQ34" s="119"/>
      <c r="AR34" s="119"/>
    </row>
    <row r="35" spans="11:44" ht="12.75">
      <c r="K35" s="119"/>
      <c r="L35" s="119"/>
      <c r="S35" s="119"/>
      <c r="T35" s="119"/>
      <c r="W35" s="119"/>
      <c r="X35" s="119"/>
      <c r="AA35" s="119"/>
      <c r="AB35" s="119"/>
      <c r="AE35" s="119"/>
      <c r="AF35" s="119"/>
      <c r="AI35" s="119"/>
      <c r="AJ35" s="119"/>
      <c r="AM35" s="119"/>
      <c r="AN35" s="119"/>
      <c r="AQ35" s="119"/>
      <c r="AR35" s="119"/>
    </row>
    <row r="36" spans="11:44" ht="12.75">
      <c r="K36" s="119"/>
      <c r="L36" s="119"/>
      <c r="S36" s="119"/>
      <c r="T36" s="119"/>
      <c r="W36" s="119"/>
      <c r="X36" s="119"/>
      <c r="AA36" s="119"/>
      <c r="AB36" s="119"/>
      <c r="AE36" s="119"/>
      <c r="AF36" s="119"/>
      <c r="AI36" s="119"/>
      <c r="AJ36" s="119"/>
      <c r="AM36" s="119"/>
      <c r="AN36" s="119"/>
      <c r="AQ36" s="119"/>
      <c r="AR36" s="119"/>
    </row>
    <row r="37" spans="11:44" ht="12.75">
      <c r="K37" s="119"/>
      <c r="L37" s="119"/>
      <c r="S37" s="119"/>
      <c r="T37" s="119"/>
      <c r="W37" s="119"/>
      <c r="X37" s="119"/>
      <c r="AA37" s="119"/>
      <c r="AB37" s="119"/>
      <c r="AE37" s="119"/>
      <c r="AF37" s="119"/>
      <c r="AI37" s="119"/>
      <c r="AJ37" s="119"/>
      <c r="AM37" s="119"/>
      <c r="AN37" s="119"/>
      <c r="AQ37" s="119"/>
      <c r="AR37" s="119"/>
    </row>
    <row r="38" spans="11:44" ht="12.75">
      <c r="K38" s="119"/>
      <c r="L38" s="119"/>
      <c r="S38" s="119"/>
      <c r="T38" s="119"/>
      <c r="W38" s="119"/>
      <c r="X38" s="119"/>
      <c r="AA38" s="119"/>
      <c r="AB38" s="119"/>
      <c r="AE38" s="119"/>
      <c r="AF38" s="119"/>
      <c r="AI38" s="119"/>
      <c r="AJ38" s="119"/>
      <c r="AM38" s="119"/>
      <c r="AN38" s="119"/>
      <c r="AQ38" s="119"/>
      <c r="AR38" s="119"/>
    </row>
    <row r="39" spans="11:44" ht="12.75">
      <c r="K39" s="119"/>
      <c r="L39" s="119"/>
      <c r="S39" s="119"/>
      <c r="T39" s="119"/>
      <c r="W39" s="119"/>
      <c r="X39" s="119"/>
      <c r="AA39" s="119"/>
      <c r="AB39" s="119"/>
      <c r="AE39" s="119"/>
      <c r="AF39" s="119"/>
      <c r="AI39" s="119"/>
      <c r="AJ39" s="119"/>
      <c r="AM39" s="119"/>
      <c r="AN39" s="119"/>
      <c r="AQ39" s="119"/>
      <c r="AR39" s="119"/>
    </row>
    <row r="40" spans="11:44" ht="12.75">
      <c r="K40" s="119"/>
      <c r="L40" s="119"/>
      <c r="S40" s="119"/>
      <c r="T40" s="119"/>
      <c r="W40" s="119"/>
      <c r="X40" s="119"/>
      <c r="AA40" s="119"/>
      <c r="AB40" s="119"/>
      <c r="AE40" s="119"/>
      <c r="AF40" s="119"/>
      <c r="AI40" s="119"/>
      <c r="AJ40" s="119"/>
      <c r="AM40" s="119"/>
      <c r="AN40" s="119"/>
      <c r="AQ40" s="119"/>
      <c r="AR40" s="119"/>
    </row>
    <row r="41" spans="11:44" ht="12.75">
      <c r="K41" s="119"/>
      <c r="L41" s="119"/>
      <c r="S41" s="119"/>
      <c r="T41" s="119"/>
      <c r="W41" s="119"/>
      <c r="X41" s="119"/>
      <c r="AA41" s="119"/>
      <c r="AB41" s="119"/>
      <c r="AE41" s="119"/>
      <c r="AF41" s="119"/>
      <c r="AI41" s="119"/>
      <c r="AJ41" s="119"/>
      <c r="AM41" s="119"/>
      <c r="AN41" s="119"/>
      <c r="AQ41" s="119"/>
      <c r="AR41" s="119"/>
    </row>
    <row r="42" spans="12:44" ht="12.75">
      <c r="L42" s="119"/>
      <c r="T42" s="119"/>
      <c r="X42" s="119"/>
      <c r="AB42" s="119"/>
      <c r="AF42" s="119"/>
      <c r="AJ42" s="119"/>
      <c r="AN42" s="119"/>
      <c r="AR42" s="119"/>
    </row>
  </sheetData>
  <mergeCells count="45">
    <mergeCell ref="AG8:AH8"/>
    <mergeCell ref="AI8:AJ8"/>
    <mergeCell ref="AG17:AH17"/>
    <mergeCell ref="AI17:AJ17"/>
    <mergeCell ref="AK8:AL8"/>
    <mergeCell ref="AM8:AN8"/>
    <mergeCell ref="AK17:AL17"/>
    <mergeCell ref="AM17:AN17"/>
    <mergeCell ref="I16:J16"/>
    <mergeCell ref="K8:L8"/>
    <mergeCell ref="C16:D16"/>
    <mergeCell ref="E8:F8"/>
    <mergeCell ref="E16:F16"/>
    <mergeCell ref="G8:H8"/>
    <mergeCell ref="G16:H16"/>
    <mergeCell ref="C8:D8"/>
    <mergeCell ref="I8:J8"/>
    <mergeCell ref="Q17:R17"/>
    <mergeCell ref="Q8:R8"/>
    <mergeCell ref="U17:V17"/>
    <mergeCell ref="W17:X17"/>
    <mergeCell ref="S17:T17"/>
    <mergeCell ref="S8:T8"/>
    <mergeCell ref="U8:V8"/>
    <mergeCell ref="W8:X8"/>
    <mergeCell ref="A6:AP6"/>
    <mergeCell ref="AO8:AP8"/>
    <mergeCell ref="AE8:AF8"/>
    <mergeCell ref="AA8:AB8"/>
    <mergeCell ref="AC8:AD8"/>
    <mergeCell ref="A8:A9"/>
    <mergeCell ref="B8:B9"/>
    <mergeCell ref="Y8:Z8"/>
    <mergeCell ref="M8:N8"/>
    <mergeCell ref="O8:P8"/>
    <mergeCell ref="Y17:Z17"/>
    <mergeCell ref="AA17:AB17"/>
    <mergeCell ref="K17:L17"/>
    <mergeCell ref="AQ8:AR8"/>
    <mergeCell ref="AO17:AP17"/>
    <mergeCell ref="AQ17:AR17"/>
    <mergeCell ref="AC17:AD17"/>
    <mergeCell ref="AE17:AF17"/>
    <mergeCell ref="M16:N16"/>
    <mergeCell ref="O16:P16"/>
  </mergeCells>
  <printOptions horizontalCentered="1"/>
  <pageMargins left="0.7874015748031497" right="0.7874015748031497" top="0.984251968503937" bottom="0.7874015748031497" header="0.5118110236220472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N19"/>
  <sheetViews>
    <sheetView workbookViewId="0" topLeftCell="A1">
      <selection activeCell="G22" sqref="G22"/>
    </sheetView>
  </sheetViews>
  <sheetFormatPr defaultColWidth="9.00390625" defaultRowHeight="12.75"/>
  <cols>
    <col min="1" max="2" width="4.625" style="0" customWidth="1"/>
    <col min="3" max="3" width="26.875" style="0" customWidth="1"/>
    <col min="4" max="4" width="10.875" style="0" customWidth="1"/>
    <col min="5" max="7" width="11.75390625" style="0" bestFit="1" customWidth="1"/>
    <col min="8" max="8" width="11.625" style="0" customWidth="1"/>
    <col min="9" max="9" width="10.25390625" style="0" bestFit="1" customWidth="1"/>
    <col min="10" max="10" width="11.875" style="0" bestFit="1" customWidth="1"/>
    <col min="11" max="11" width="13.25390625" style="0" customWidth="1"/>
  </cols>
  <sheetData>
    <row r="2" spans="7:10" ht="12.75">
      <c r="G2" s="98" t="s">
        <v>69</v>
      </c>
      <c r="I2" s="98"/>
      <c r="J2" s="98"/>
    </row>
    <row r="3" spans="7:10" ht="12.75">
      <c r="G3" s="98" t="s">
        <v>65</v>
      </c>
      <c r="I3" s="98"/>
      <c r="J3" s="98"/>
    </row>
    <row r="4" spans="7:10" ht="12.75">
      <c r="G4" s="98" t="s">
        <v>480</v>
      </c>
      <c r="I4" s="98"/>
      <c r="J4" s="98"/>
    </row>
    <row r="5" spans="7:10" ht="12.75">
      <c r="G5" s="98" t="s">
        <v>236</v>
      </c>
      <c r="I5" s="98"/>
      <c r="J5" s="98"/>
    </row>
    <row r="7" spans="1:11" ht="30.75" customHeight="1">
      <c r="A7" s="339" t="s">
        <v>635</v>
      </c>
      <c r="B7" s="305" t="s">
        <v>636</v>
      </c>
      <c r="C7" s="306"/>
      <c r="D7" s="298" t="s">
        <v>180</v>
      </c>
      <c r="E7" s="300" t="s">
        <v>637</v>
      </c>
      <c r="F7" s="301"/>
      <c r="G7" s="300" t="s">
        <v>616</v>
      </c>
      <c r="H7" s="302"/>
      <c r="I7" s="302"/>
      <c r="J7" s="301"/>
      <c r="K7" s="293" t="s">
        <v>181</v>
      </c>
    </row>
    <row r="8" spans="1:11" ht="43.5" customHeight="1">
      <c r="A8" s="339"/>
      <c r="B8" s="307"/>
      <c r="C8" s="308"/>
      <c r="D8" s="299"/>
      <c r="E8" s="99" t="s">
        <v>638</v>
      </c>
      <c r="F8" s="99" t="s">
        <v>639</v>
      </c>
      <c r="G8" s="99" t="s">
        <v>638</v>
      </c>
      <c r="H8" s="99" t="s">
        <v>640</v>
      </c>
      <c r="I8" s="99" t="s">
        <v>641</v>
      </c>
      <c r="J8" s="99" t="s">
        <v>642</v>
      </c>
      <c r="K8" s="293"/>
    </row>
    <row r="9" spans="1:11" ht="35.25" customHeight="1">
      <c r="A9" s="258" t="s">
        <v>643</v>
      </c>
      <c r="B9" s="303" t="s">
        <v>25</v>
      </c>
      <c r="C9" s="304"/>
      <c r="D9" s="287">
        <f>SUM(D12,D13,)</f>
        <v>75044</v>
      </c>
      <c r="E9" s="287">
        <f aca="true" t="shared" si="0" ref="E9:K9">SUM(E12,E13,)</f>
        <v>3435921</v>
      </c>
      <c r="F9" s="287">
        <f t="shared" si="0"/>
        <v>2770121</v>
      </c>
      <c r="G9" s="287">
        <f t="shared" si="0"/>
        <v>3435921</v>
      </c>
      <c r="H9" s="287">
        <f t="shared" si="0"/>
        <v>2439798</v>
      </c>
      <c r="I9" s="287">
        <f t="shared" si="0"/>
        <v>975323</v>
      </c>
      <c r="J9" s="287">
        <f t="shared" si="0"/>
        <v>20800</v>
      </c>
      <c r="K9" s="287">
        <f t="shared" si="0"/>
        <v>75044</v>
      </c>
    </row>
    <row r="10" spans="1:11" ht="32.25" customHeight="1">
      <c r="A10" s="206" t="s">
        <v>22</v>
      </c>
      <c r="B10" s="294" t="s">
        <v>21</v>
      </c>
      <c r="C10" s="295"/>
      <c r="D10" s="288">
        <v>75044</v>
      </c>
      <c r="E10" s="288">
        <v>3424832</v>
      </c>
      <c r="F10" s="288">
        <v>2760832</v>
      </c>
      <c r="G10" s="288">
        <f aca="true" t="shared" si="1" ref="G10:G15">H10+I10+J10</f>
        <v>3426632</v>
      </c>
      <c r="H10" s="288">
        <v>2439798</v>
      </c>
      <c r="I10" s="288">
        <v>966034</v>
      </c>
      <c r="J10" s="288">
        <v>20800</v>
      </c>
      <c r="K10" s="288">
        <v>75044</v>
      </c>
    </row>
    <row r="11" spans="1:11" ht="25.5" customHeight="1">
      <c r="A11" s="206" t="s">
        <v>23</v>
      </c>
      <c r="B11" s="340" t="s">
        <v>506</v>
      </c>
      <c r="C11" s="341"/>
      <c r="D11" s="288">
        <v>0</v>
      </c>
      <c r="E11" s="288">
        <v>1800</v>
      </c>
      <c r="F11" s="288">
        <v>0</v>
      </c>
      <c r="G11" s="288">
        <f t="shared" si="1"/>
        <v>0</v>
      </c>
      <c r="H11" s="288">
        <v>0</v>
      </c>
      <c r="I11" s="288">
        <v>0</v>
      </c>
      <c r="J11" s="288">
        <v>0</v>
      </c>
      <c r="K11" s="288">
        <v>0</v>
      </c>
    </row>
    <row r="12" spans="1:14" ht="38.25" customHeight="1">
      <c r="A12" s="206" t="s">
        <v>620</v>
      </c>
      <c r="B12" s="293" t="s">
        <v>24</v>
      </c>
      <c r="C12" s="333"/>
      <c r="D12" s="289">
        <f>SUM(D10:D11)</f>
        <v>75044</v>
      </c>
      <c r="E12" s="289">
        <f aca="true" t="shared" si="2" ref="E12:K12">SUM(E10:E11)</f>
        <v>3426632</v>
      </c>
      <c r="F12" s="289">
        <f t="shared" si="2"/>
        <v>2760832</v>
      </c>
      <c r="G12" s="289">
        <f t="shared" si="1"/>
        <v>3426632</v>
      </c>
      <c r="H12" s="289">
        <f t="shared" si="2"/>
        <v>2439798</v>
      </c>
      <c r="I12" s="289">
        <f t="shared" si="2"/>
        <v>966034</v>
      </c>
      <c r="J12" s="289">
        <f t="shared" si="2"/>
        <v>20800</v>
      </c>
      <c r="K12" s="289">
        <f t="shared" si="2"/>
        <v>75044</v>
      </c>
      <c r="N12">
        <f>SUM(E12-G12)</f>
        <v>0</v>
      </c>
    </row>
    <row r="13" spans="1:11" ht="31.5" customHeight="1">
      <c r="A13" s="206" t="s">
        <v>625</v>
      </c>
      <c r="B13" s="293" t="s">
        <v>687</v>
      </c>
      <c r="C13" s="293"/>
      <c r="D13" s="289">
        <v>0</v>
      </c>
      <c r="E13" s="289">
        <v>9289</v>
      </c>
      <c r="F13" s="289">
        <v>9289</v>
      </c>
      <c r="G13" s="289">
        <f t="shared" si="1"/>
        <v>9289</v>
      </c>
      <c r="H13" s="289">
        <v>0</v>
      </c>
      <c r="I13" s="289">
        <v>9289</v>
      </c>
      <c r="J13" s="289">
        <v>0</v>
      </c>
      <c r="K13" s="289">
        <v>0</v>
      </c>
    </row>
    <row r="14" spans="1:11" ht="28.5" customHeight="1">
      <c r="A14" s="266" t="s">
        <v>644</v>
      </c>
      <c r="B14" s="296" t="s">
        <v>55</v>
      </c>
      <c r="C14" s="309"/>
      <c r="D14" s="290">
        <v>0</v>
      </c>
      <c r="E14" s="290">
        <v>141502</v>
      </c>
      <c r="F14" s="290">
        <v>0</v>
      </c>
      <c r="G14" s="290">
        <f t="shared" si="1"/>
        <v>140622</v>
      </c>
      <c r="H14" s="290">
        <v>0</v>
      </c>
      <c r="I14" s="290">
        <v>140622</v>
      </c>
      <c r="J14" s="290">
        <v>0</v>
      </c>
      <c r="K14" s="290">
        <v>0</v>
      </c>
    </row>
    <row r="15" spans="1:11" ht="12.75">
      <c r="A15" s="206"/>
      <c r="B15" s="297" t="s">
        <v>26</v>
      </c>
      <c r="C15" s="297"/>
      <c r="D15" s="206">
        <v>0</v>
      </c>
      <c r="E15" s="206">
        <v>1030</v>
      </c>
      <c r="F15" s="206"/>
      <c r="G15" s="290">
        <f t="shared" si="1"/>
        <v>-790</v>
      </c>
      <c r="H15" s="206"/>
      <c r="I15" s="206">
        <v>-790</v>
      </c>
      <c r="J15" s="206">
        <v>0</v>
      </c>
      <c r="K15" s="206">
        <v>0</v>
      </c>
    </row>
    <row r="16" spans="1:11" ht="26.25" customHeight="1">
      <c r="A16" s="206"/>
      <c r="B16" s="310" t="s">
        <v>179</v>
      </c>
      <c r="C16" s="311"/>
      <c r="D16" s="259">
        <f>SUM(D14:D15)</f>
        <v>0</v>
      </c>
      <c r="E16" s="259">
        <f aca="true" t="shared" si="3" ref="E16:K16">SUM(E14:E15)</f>
        <v>142532</v>
      </c>
      <c r="F16" s="259">
        <f t="shared" si="3"/>
        <v>0</v>
      </c>
      <c r="G16" s="259">
        <f t="shared" si="3"/>
        <v>139832</v>
      </c>
      <c r="H16" s="259">
        <f t="shared" si="3"/>
        <v>0</v>
      </c>
      <c r="I16" s="259">
        <f t="shared" si="3"/>
        <v>139832</v>
      </c>
      <c r="J16" s="259">
        <f t="shared" si="3"/>
        <v>0</v>
      </c>
      <c r="K16" s="259">
        <f t="shared" si="3"/>
        <v>0</v>
      </c>
    </row>
    <row r="19" ht="12.75">
      <c r="K19" s="267"/>
    </row>
  </sheetData>
  <mergeCells count="14">
    <mergeCell ref="B15:C15"/>
    <mergeCell ref="B16:C16"/>
    <mergeCell ref="B13:C13"/>
    <mergeCell ref="B11:C11"/>
    <mergeCell ref="B12:C12"/>
    <mergeCell ref="B14:C14"/>
    <mergeCell ref="G7:J7"/>
    <mergeCell ref="K7:K8"/>
    <mergeCell ref="B9:C9"/>
    <mergeCell ref="B10:C10"/>
    <mergeCell ref="A7:A8"/>
    <mergeCell ref="B7:C8"/>
    <mergeCell ref="D7:D8"/>
    <mergeCell ref="E7:F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w Trzciance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w Trzciance</dc:creator>
  <cp:keywords/>
  <dc:description/>
  <cp:lastModifiedBy>izawalniak</cp:lastModifiedBy>
  <cp:lastPrinted>2007-12-21T11:15:41Z</cp:lastPrinted>
  <dcterms:created xsi:type="dcterms:W3CDTF">2002-10-21T08:56:44Z</dcterms:created>
  <dcterms:modified xsi:type="dcterms:W3CDTF">2006-11-16T11:50:59Z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