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firstSheet="6" activeTab="11"/>
  </bookViews>
  <sheets>
    <sheet name="dochody 2007 zał.1" sheetId="1" r:id="rId1"/>
    <sheet name="wydatki 2007 zał.2 " sheetId="2" r:id="rId2"/>
    <sheet name="dot. otrzym.2007 zał.3 " sheetId="3" r:id="rId3"/>
    <sheet name="zał. 4 dotacje przek" sheetId="4" r:id="rId4"/>
    <sheet name="admin.zał 5" sheetId="5" r:id="rId5"/>
    <sheet name="wyd.maj.zał 6" sheetId="6" r:id="rId6"/>
    <sheet name="poroz. zał 7" sheetId="7" r:id="rId7"/>
    <sheet name="zał.14  GFOŚiGW" sheetId="8" r:id="rId8"/>
    <sheet name="GKRPA zał.8 " sheetId="9" r:id="rId9"/>
    <sheet name="deficyt zał. 10 " sheetId="10" r:id="rId10"/>
    <sheet name="Zał.11 zakł.budż." sheetId="11" r:id="rId11"/>
    <sheet name="doch.admin zał.12" sheetId="12" r:id="rId12"/>
  </sheets>
  <definedNames>
    <definedName name="_xlnm.Print_Titles" localSheetId="4">'admin.zał 5'!$6:$7</definedName>
    <definedName name="_xlnm.Print_Titles" localSheetId="0">'dochody 2007 zał.1'!$7:$8</definedName>
    <definedName name="_xlnm.Print_Titles" localSheetId="2">'dot. otrzym.2007 zał.3 '!$6:$7</definedName>
    <definedName name="_xlnm.Print_Titles" localSheetId="8">'GKRPA zał.8 '!$8:$9</definedName>
    <definedName name="_xlnm.Print_Titles" localSheetId="6">'poroz. zał 7'!$7:$7</definedName>
    <definedName name="_xlnm.Print_Titles" localSheetId="5">'wyd.maj.zał 6'!$6:$7</definedName>
    <definedName name="_xlnm.Print_Titles" localSheetId="1">'wydatki 2007 zał.2 '!$6:$7</definedName>
  </definedNames>
  <calcPr fullCalcOnLoad="1"/>
</workbook>
</file>

<file path=xl/sharedStrings.xml><?xml version="1.0" encoding="utf-8"?>
<sst xmlns="http://schemas.openxmlformats.org/spreadsheetml/2006/main" count="1486" uniqueCount="577">
  <si>
    <t>wykonanie</t>
  </si>
  <si>
    <t>zł</t>
  </si>
  <si>
    <t>%</t>
  </si>
  <si>
    <t>budowa ścieżki pieszo - rowerowej łączącej ul. Konopnicką z  ul.Żeromskiego</t>
  </si>
  <si>
    <t>budowa chodnika ul. Dąbrowskiego
( ul.Strażackiej do ul. Wieleńskiej)</t>
  </si>
  <si>
    <t>nawierzchnia asfaltowa na ul Mickiewicza (od ul.Staszica do ul.Roosevelta)</t>
  </si>
  <si>
    <t>budowa drogi z miejscami parkingowymi przy ul.Broniewskiego (za Parkiem 1 Maja)</t>
  </si>
  <si>
    <t>projekty techniczne dróg, chodników  i kanalizacji deszczowej - ul.Ogrodowa, os.Modrzewiowe, dróg Przyłeki do stacji PKP i w Stobnie</t>
  </si>
  <si>
    <t>budowa kanliazaji deszczowej w ul.Ogrodowej i na os.Modrzewiowym</t>
  </si>
  <si>
    <t xml:space="preserve">monitoring  strażnic </t>
  </si>
  <si>
    <t>projekt techniczny wodociągu w Siedlisku przed torami</t>
  </si>
  <si>
    <t>zakup łodzi do ratownictwa wodnego dla Powiatowej Straży Pożarnej (Jednostka Ratowniczo - Gaśnicza w Trzciance)</t>
  </si>
  <si>
    <t>zasilanie energetyczne placu budowy działek budowlanych położonych 
w Trzciance przy jez. Okunie</t>
  </si>
  <si>
    <t>dział</t>
  </si>
  <si>
    <t>rozdział</t>
  </si>
  <si>
    <t>§</t>
  </si>
  <si>
    <t>nazwa</t>
  </si>
  <si>
    <t>010</t>
  </si>
  <si>
    <t>Rolnictwo i łowiectwo</t>
  </si>
  <si>
    <t>pozostała działalność</t>
  </si>
  <si>
    <t>wpływy z innych lokalnych opłat pobieranych przez jednostki samorządu terytorialnego na podstawie odrębnych ustaw</t>
  </si>
  <si>
    <t>020</t>
  </si>
  <si>
    <t>Leśnictwo</t>
  </si>
  <si>
    <t>02095</t>
  </si>
  <si>
    <t>700</t>
  </si>
  <si>
    <t>Gospodarka mieszkaniowa</t>
  </si>
  <si>
    <t>70005</t>
  </si>
  <si>
    <t>pozostałe odsetki</t>
  </si>
  <si>
    <t>wpływy z różnych dochodów</t>
  </si>
  <si>
    <t>710</t>
  </si>
  <si>
    <t>cmentarze</t>
  </si>
  <si>
    <t>750</t>
  </si>
  <si>
    <t xml:space="preserve">Administracja publiczna </t>
  </si>
  <si>
    <t>urzędy wojewódzkie</t>
  </si>
  <si>
    <t>75023</t>
  </si>
  <si>
    <t>urzędy gmin (miast i miast na prawach powiatu)</t>
  </si>
  <si>
    <t xml:space="preserve">Urzędy naczelnych organów władzy państwowej, kontroli i ochrony prawa oraz sądownictwa 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</si>
  <si>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</si>
  <si>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</si>
  <si>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</si>
  <si>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</si>
  <si>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</si>
  <si>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 xml:space="preserve">grzywny, mandaty i inne kary pieniężne od ludności </t>
  </si>
  <si>
    <t>756</t>
  </si>
  <si>
    <t>Dochody od osób prawnych, od osób fizycznych i od innych jednostek nie posiadających osobowości prawnej</t>
  </si>
  <si>
    <t xml:space="preserve">wpływy z podatku dochodowego od osób fizycznych </t>
  </si>
  <si>
    <t>podatek od działalności gospodarczej osób fizycznych, opłacany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</si>
  <si>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</si>
  <si>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</si>
  <si>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</si>
  <si>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</si>
  <si>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</si>
  <si>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wpływy z opłaty eksploatacyjnej</t>
  </si>
  <si>
    <t>podatek od spadków i darowizn</t>
  </si>
  <si>
    <t>podatek od posiadania psów</t>
  </si>
  <si>
    <t>wpływy z opłaty targowej</t>
  </si>
  <si>
    <t>wpływy z opłaty miejscowej</t>
  </si>
  <si>
    <t>wpływy z opłaty administracyjnej za czynności urzędowe</t>
  </si>
  <si>
    <t>podatek od czynności cywilnoprawnych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</si>
  <si>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</si>
  <si>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</si>
  <si>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</si>
  <si>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</si>
  <si>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</si>
  <si>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</si>
  <si>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</si>
  <si>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</si>
  <si>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</si>
  <si>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</si>
  <si>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</si>
  <si>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</si>
  <si>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różne rozliczenia finansowe</t>
  </si>
  <si>
    <t>szkoły podstawowe</t>
  </si>
  <si>
    <t>gimnazja</t>
  </si>
  <si>
    <t>Ochrona zdrowia</t>
  </si>
  <si>
    <t>przeciwdziałanie alkoholizmowi</t>
  </si>
  <si>
    <t>wpływy z opłat za zezwolenia na sprzedaż alkoholu</t>
  </si>
  <si>
    <t>dochody z najmu i dzierżawy składników majątkowych Skarbu Państwa, jednostek samorządu terytorialnego lub  innych jednostek zaliczanych do sektora finansów publicznych oraz innych umów o podobnym charakterze</t>
  </si>
  <si>
    <t xml:space="preserve">zasiłki i pomoc w naturze oraz składki na ubezpieczenia społeczne 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</si>
  <si>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</si>
  <si>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</si>
  <si>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</si>
  <si>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</si>
  <si>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</si>
  <si>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ściekowa i ochrona wód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</si>
  <si>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</si>
  <si>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</si>
  <si>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</si>
  <si>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</si>
  <si>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</si>
  <si>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</si>
  <si>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 xml:space="preserve">Kultura i ochrona dziedzictwa narodowego </t>
  </si>
  <si>
    <t>01030</t>
  </si>
  <si>
    <t>izby rolnicze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</si>
  <si>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</si>
  <si>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</si>
  <si>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</si>
  <si>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</si>
  <si>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</si>
  <si>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</si>
  <si>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</si>
  <si>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</si>
  <si>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</si>
  <si>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</si>
  <si>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</si>
  <si>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</si>
  <si>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</si>
  <si>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</si>
  <si>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</si>
  <si>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</si>
  <si>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</si>
  <si>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</si>
  <si>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</si>
  <si>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>75022</t>
  </si>
  <si>
    <t xml:space="preserve">zakup materiałów i wyposażenia </t>
  </si>
  <si>
    <t>podróże służbowe zagraniczne</t>
  </si>
  <si>
    <t>różne opłaty i składki</t>
  </si>
  <si>
    <t>zakup energii</t>
  </si>
  <si>
    <t>wydatki na zakupy inwestycyjne jednostek budżetowych</t>
  </si>
  <si>
    <t>wynagrodzenia agencyjno-prowizyjne</t>
  </si>
  <si>
    <t>Urzędy naczelnych organów władzy państwowej, kontroli i ochrony prawa oraz sądownictwa</t>
  </si>
  <si>
    <t>Bezpieczeństwo publiczne                                                                       i ochrona przeciwpożarowa</t>
  </si>
  <si>
    <t>75412</t>
  </si>
  <si>
    <t>ochotnicze straże pożarne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</si>
  <si>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</si>
  <si>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</si>
  <si>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</si>
  <si>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</si>
  <si>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</si>
  <si>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krajowych skarbowych papierów wartościowych oraz pożyczek i kredytów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</si>
  <si>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</si>
  <si>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</si>
  <si>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</si>
  <si>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</si>
  <si>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</si>
  <si>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</si>
  <si>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</si>
  <si>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80104</t>
  </si>
  <si>
    <t>odpisy na zakłdowy fundusz świadczeń socjalnych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</si>
  <si>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</si>
  <si>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</si>
  <si>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</si>
  <si>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</si>
  <si>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</si>
  <si>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</si>
  <si>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</si>
  <si>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</si>
  <si>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>zakup pomocy naukowych, dydaktycznych i książek</t>
  </si>
  <si>
    <t xml:space="preserve">przedszkola </t>
  </si>
  <si>
    <t xml:space="preserve">dotacja podmiotowa z budżetu dla zakładu budżetowego </t>
  </si>
  <si>
    <t>85412</t>
  </si>
  <si>
    <t>kolonie i obozy  oraz inne formy wypoczynku dzieci i młodzieży szkolnej</t>
  </si>
  <si>
    <t>900</t>
  </si>
  <si>
    <t>90001</t>
  </si>
  <si>
    <t>90003</t>
  </si>
  <si>
    <t>oczyszczanie miast i wsi</t>
  </si>
  <si>
    <t>90004</t>
  </si>
  <si>
    <t>90005</t>
  </si>
  <si>
    <t>ochrona powietrza atmosferycznego i klimatu</t>
  </si>
  <si>
    <t>opłaty na rzecz budżetów jednostek samorządu terytorialnego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</si>
  <si>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</si>
  <si>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</si>
  <si>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</si>
  <si>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</si>
  <si>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</si>
  <si>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</si>
  <si>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</si>
  <si>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dotacja podmiotowa z budżetu dla instytucji kultury</t>
  </si>
  <si>
    <t>92118</t>
  </si>
  <si>
    <t>muzea</t>
  </si>
  <si>
    <t>926</t>
  </si>
  <si>
    <t>plan</t>
  </si>
  <si>
    <t xml:space="preserve">plan </t>
  </si>
  <si>
    <t>przychody</t>
  </si>
  <si>
    <t>rozchody</t>
  </si>
  <si>
    <t>saldo</t>
  </si>
  <si>
    <t>spłaty otrzymanych krajowych pożyczek i kredytów</t>
  </si>
  <si>
    <t>wykup gruntów</t>
  </si>
  <si>
    <t>wpływy z różnych opłat</t>
  </si>
  <si>
    <t xml:space="preserve">wpływy z innych opłat stanowiacych dochody jednostek samorządu terytorialnego na podstawie ustaw </t>
  </si>
  <si>
    <t>opłaty na rzecz budżetu państwa</t>
  </si>
  <si>
    <t>przychody z zaciagniętych pożyczek i kredytów na rynku krajowym</t>
  </si>
  <si>
    <t>dokształcanie i doskonalenie nauczycieli</t>
  </si>
  <si>
    <t>gospodarka gruntami i nieruchomościami</t>
  </si>
  <si>
    <t>rady gmin (miast i miast na prawach powiatu)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</si>
  <si>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</si>
  <si>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</si>
  <si>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</si>
  <si>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Dochody od osób prawnych, od osób fizycznych i od innych jednostek nieposiadających osobowości prawnej oraz wydatki związane z ich poborem</t>
  </si>
  <si>
    <t xml:space="preserve">wpływy z podatku rolnego, podatku leśnego, podatku od czynności cywilnoprawnych, podatku od spadków i darowizn oraz podatków i opłat lokalnych </t>
  </si>
  <si>
    <t>852</t>
  </si>
  <si>
    <t>85214</t>
  </si>
  <si>
    <t>85219</t>
  </si>
  <si>
    <t>85295</t>
  </si>
  <si>
    <t>kolonie i obozy  oraz inne formy wypoczynku dzieci i młodzieży szkolnej, a także szkolenia młodzieży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</si>
  <si>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</si>
  <si>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</si>
  <si>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</si>
  <si>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</si>
  <si>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</si>
  <si>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</si>
  <si>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</si>
  <si>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</si>
  <si>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</si>
  <si>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</si>
  <si>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</si>
  <si>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</si>
  <si>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0360</t>
  </si>
  <si>
    <t>0370</t>
  </si>
  <si>
    <t>0430</t>
  </si>
  <si>
    <t>0440</t>
  </si>
  <si>
    <t>0450</t>
  </si>
  <si>
    <t>0460</t>
  </si>
  <si>
    <t>0500</t>
  </si>
  <si>
    <t>0410</t>
  </si>
  <si>
    <t>0010</t>
  </si>
  <si>
    <t>0020</t>
  </si>
  <si>
    <t>0740</t>
  </si>
  <si>
    <t>0480</t>
  </si>
  <si>
    <t>2010</t>
  </si>
  <si>
    <t>zakup środków żywności</t>
  </si>
  <si>
    <t>pobór podatków, opłat i niepodatkowych należności budżetowych</t>
  </si>
  <si>
    <t>Towarzystwa budownictwa społecznego</t>
  </si>
  <si>
    <t>koszty postępowania sądowego i prokuratorskiego</t>
  </si>
  <si>
    <t>0690</t>
  </si>
  <si>
    <t xml:space="preserve">dotacja podmiotowa z budżetu dla niepublicznej jednostki systemu oświaty </t>
  </si>
  <si>
    <t>dochody jednostek samorządu terytorialnego związane z realizacją zadań z zakresu administracji rządowej oraz innych zadań zleconych ustawami</t>
  </si>
  <si>
    <t>dotacje otrzymane z funduszy celowych na realizację zadań bieżących jednostek sektora finansów publicznych</t>
  </si>
  <si>
    <t>część wyrównawcza subwencji ogólnej dla gmin</t>
  </si>
  <si>
    <t>75807</t>
  </si>
  <si>
    <t>składki na ubezpieczenie zdrowotne opłacane za osoby pobierające niektóre świadczenia z pomocy społecznej oraz niektóre świadczenia rodzinne</t>
  </si>
  <si>
    <t xml:space="preserve">Pomoc społeczna </t>
  </si>
  <si>
    <t>Pomoc społeczna</t>
  </si>
  <si>
    <t>wpływy ze sprzedaży składników majątkowych</t>
  </si>
  <si>
    <t>dotacja podmiotowa z budżetu dla samorządowej instytucji kultury</t>
  </si>
  <si>
    <t xml:space="preserve"> wydatki osobowe niezaliczone do wynagrodzeń</t>
  </si>
  <si>
    <t xml:space="preserve">wynagrodzenia bezosobowe </t>
  </si>
  <si>
    <t xml:space="preserve">wpływy z podatku rolnego, podatku leśnego, podatku od czynności cywilnoprawnych, podatków i opłat lokalnych od osób prawnych i innych jednostek organizacyjnych </t>
  </si>
  <si>
    <t xml:space="preserve">wpływy z podatku rolnego, podatku leśnego,podatku od spadków i darowizn, podatku od czynności cywilnoprawnych oraz podatków i opłat lokalnych od osób fizycznych </t>
  </si>
  <si>
    <t>wynagrodzenia bezosobowe</t>
  </si>
  <si>
    <t>zakup elementów do monitorowania miasta</t>
  </si>
  <si>
    <t>0830</t>
  </si>
  <si>
    <t>wpływy z usług</t>
  </si>
  <si>
    <t>wynagrodzenie bezosobowe</t>
  </si>
  <si>
    <t>0870</t>
  </si>
  <si>
    <t>instytucje kultury fizycznej</t>
  </si>
  <si>
    <t>zmiany</t>
  </si>
  <si>
    <t>wykup innych papierów wartościowych</t>
  </si>
  <si>
    <t>zakup usług zdrowotnych</t>
  </si>
  <si>
    <t>budowa chodnika w Siedlisku</t>
  </si>
  <si>
    <t>różne jednostki obsługi gospodarki mieszkaniowej</t>
  </si>
  <si>
    <t>świadczenia rodzinne oraz składki na ubezpieczenia emerytalne i rentowe z ubezpieczenia społecznego</t>
  </si>
  <si>
    <t>plan po zmianach</t>
  </si>
  <si>
    <t>odsetki od nieterminowych wpłat 
z tytułu podatków i opłat</t>
  </si>
  <si>
    <t>składki na ubezpieczenie zdrowotne opłacane za osoby pobierające niektóre świadczenia 
z pomocy społecznej oraz niektóre świadczenia rodzinne</t>
  </si>
  <si>
    <t>dotacje celowe otrzymane 
z budżetu państwa na realizację własnych zadań bieżących gmin (związków gmin)</t>
  </si>
  <si>
    <t xml:space="preserve">pozostała działalność </t>
  </si>
  <si>
    <t>oddziały przedszkolne w szkołach podstawowych</t>
  </si>
  <si>
    <t>promocja jednostek samorządu terytorialnego</t>
  </si>
  <si>
    <t xml:space="preserve">zasiłki i pomoc w naturze oraz składki na ubezpieczenia emerytalne i rentowe </t>
  </si>
  <si>
    <t>zakup usług dostępu do sieci Internet</t>
  </si>
  <si>
    <t xml:space="preserve">zasiłki i pomoc w naturze oraz składki na ubezpieczenia emerytalne i rentowe  </t>
  </si>
  <si>
    <t>przychody z zaciągniętych pożyczek na finansowanie zadań realizowanych z udziałem środków pochodzących z budżetu Unii Eropejskiej</t>
  </si>
  <si>
    <t>budowa remizy w Niekursku</t>
  </si>
  <si>
    <t>zakup usług dostepu do sieci Internet</t>
  </si>
  <si>
    <t xml:space="preserve"> </t>
  </si>
  <si>
    <t xml:space="preserve">       </t>
  </si>
  <si>
    <t xml:space="preserve">                   </t>
  </si>
  <si>
    <t>wydatki osobowe niezaliczone do wynagrodzeń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</si>
  <si>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</si>
  <si>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</si>
  <si>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</si>
  <si>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75831</t>
  </si>
  <si>
    <t>część równoważąca subwencji ogólnej dla gmin</t>
  </si>
  <si>
    <t>dotacje celowe otrzymane z budżetu państwa na realizację zadań bieżących z zakresu administracji rządowej oraz innych zadań zleconych gminie (zwiazkom gmin) ustawami</t>
  </si>
  <si>
    <t>dotacje celowe otrzymane z budżetu państwa na realizację zadań bieżących z zakresu administracji rządowej oraz innych zadań zleconych gminie(zwiazkom gmin) ustawami</t>
  </si>
  <si>
    <t>zakup usług medycznych</t>
  </si>
  <si>
    <t>składki na fundusz pracy</t>
  </si>
  <si>
    <t>zakup usług dostepu do sieci interet</t>
  </si>
  <si>
    <t>budowa chodnika w Stobnie</t>
  </si>
  <si>
    <t xml:space="preserve">      Ochrona zdrowia</t>
  </si>
  <si>
    <t>zasiłki i pomoc w naturze oraz składki na ubezpieczenia emerytalne i rentowe</t>
  </si>
  <si>
    <t>świadczenia rodzinne, zaliczka alimentacyjna oraz składki na ubezpieczenia emerytalne i rentowe z ubezpieczenia społecznego</t>
  </si>
  <si>
    <t>dotacja przedmiotowa z budżetu dla jednostek nie zaliczanych do sektora finansów publicznych</t>
  </si>
  <si>
    <t>przeciwdziałanie narkomanii</t>
  </si>
  <si>
    <t>zwalczanie narkomanii</t>
  </si>
  <si>
    <t>wpływy z opłat za wydawanie zezwoleń na sprzedaż alkoholu</t>
  </si>
  <si>
    <t>0760</t>
  </si>
  <si>
    <t>wpływy z tytułu przekształcenia prawa użytkowania wieczystego przysługującego osobom fizycznym w prawo własności</t>
  </si>
  <si>
    <t>opłaty z tytułu zakupu usług telekomunikacyjnych telefonii stacjonarnej</t>
  </si>
  <si>
    <t>opłaty czynszowe za pomieszczenia biurowe</t>
  </si>
  <si>
    <t>zakup materiałów papierniczych do sprzętu drukarskiego i urządzeń kesrograficznych</t>
  </si>
  <si>
    <t>szkolenia pracowników niebędących członkami służby cywilnej</t>
  </si>
  <si>
    <t>zakup akcesoriów komputerowych, w tym programów i licencji</t>
  </si>
  <si>
    <t>opłaty z tytułu zakupu usług telekomunikacyjnych telefonii komórkowej</t>
  </si>
  <si>
    <t>zakup usług obejmujących wykonanie ekspertyz, analiz i opinii</t>
  </si>
  <si>
    <t>dotacja przedmiotowa dla jednostek nie zaliczanych do sektora finansów publicznych</t>
  </si>
  <si>
    <t>wydatki na zakup i objęcie akcji, wniesienie wkładów do spółek prawa handlowego oraz na uzupełnienie funduszy statutowych banków państwowych i innych instytucji finansowych</t>
  </si>
  <si>
    <t xml:space="preserve">pomoc materialna dla uczniów </t>
  </si>
  <si>
    <t>stypendia dla uczniów</t>
  </si>
  <si>
    <t>dotacje celowe otrzymane z gminy na zadania bieżące realizowane na podstawie porozumień  (umów) między jednostkami samorządu terytorialnego</t>
  </si>
  <si>
    <t>obiekty sportowe</t>
  </si>
  <si>
    <t>budowa chodnika na ul. Staszica</t>
  </si>
  <si>
    <t xml:space="preserve">modernizacja dróg na ul. Konopnickiej i Wita Stwosza </t>
  </si>
  <si>
    <t>modernizacja ulicy Ogrodowej</t>
  </si>
  <si>
    <t xml:space="preserve">budowa ciągu pieszo - rowerowego przy ul. Ogrodowej </t>
  </si>
  <si>
    <t>budowa chodnika przy ul. Kopernika i Wiosny Ludów</t>
  </si>
  <si>
    <t>budowa chodnika przy ul. Mickiewicza</t>
  </si>
  <si>
    <t>zakup równiarki na potrzeby sołectwa Rychlik</t>
  </si>
  <si>
    <t>budowa chodnika w Białej ul. Radolińska oraz utwardzenie drogi na cmentarz</t>
  </si>
  <si>
    <t>budowa chodnika w Biernatowie</t>
  </si>
  <si>
    <t>budowa chodnika w Radolinie</t>
  </si>
  <si>
    <t>budowa chodnika w Runowie</t>
  </si>
  <si>
    <t>budowa chodnika w Teresinie</t>
  </si>
  <si>
    <t xml:space="preserve">zakup sprzętu komputerowego </t>
  </si>
  <si>
    <t>zakup sprzętu komputerowego</t>
  </si>
  <si>
    <t>budowa placów zabaw</t>
  </si>
  <si>
    <t>budowa wodociągu w Stobnie</t>
  </si>
  <si>
    <t>budowa wodociągu w Sarczu</t>
  </si>
  <si>
    <t>budowa oświetlenia na ul. Ogrodowej</t>
  </si>
  <si>
    <t>budowa oświetlenia Nowa Wieś</t>
  </si>
  <si>
    <t>budowa oświetlenia Przyłęki</t>
  </si>
  <si>
    <t>budowa oświetlenia Wapniarnia III</t>
  </si>
  <si>
    <t>budowa oświetlenia Siedlisko</t>
  </si>
  <si>
    <t>modernizacja instalacji grzewczej sali wiejskiej w Straduniu</t>
  </si>
  <si>
    <t>budowa pływalni (kryty basen)</t>
  </si>
  <si>
    <t>budowa sali sportowej we wsi Siedlisko</t>
  </si>
  <si>
    <t xml:space="preserve">Przychody Gminnego Funduszu Ochrony Środowiska i Gospodarki Wodnej </t>
  </si>
  <si>
    <t>Fundusz Ochrony Środowiska i Gospodarki Wodnej</t>
  </si>
  <si>
    <t>fundusz obrotowy na początek roku</t>
  </si>
  <si>
    <t>zakup worków na nieczystości</t>
  </si>
  <si>
    <t>zakup drzew i krzewów</t>
  </si>
  <si>
    <t>popularyzacja wiedzy o środowisku</t>
  </si>
  <si>
    <t>zakup taśmy dla ochrony kasztanowców</t>
  </si>
  <si>
    <t>wywóz pojemników na szkło i plastiki</t>
  </si>
  <si>
    <t>zbiórka zużytych leków</t>
  </si>
  <si>
    <t>zakup pojemników do selektywnej zbiórki</t>
  </si>
  <si>
    <t>nasadzenia drzew i krzewów</t>
  </si>
  <si>
    <t>wywóz kontenerów na wsiach</t>
  </si>
  <si>
    <t>utrzymanie terenów zielonych nad jeziorem Sarcz, Logo, Park Grottgera</t>
  </si>
  <si>
    <t>koszty prowadzenia rachunku</t>
  </si>
  <si>
    <t>fundusz obrotowy na koniec roku</t>
  </si>
  <si>
    <t>1.</t>
  </si>
  <si>
    <t>2.</t>
  </si>
  <si>
    <t>l.p.</t>
  </si>
  <si>
    <t>Wyszczególnienie</t>
  </si>
  <si>
    <t>ogółem</t>
  </si>
  <si>
    <t>w tym: dotacja z budżetu</t>
  </si>
  <si>
    <t>wydatki osobowe</t>
  </si>
  <si>
    <t>wydatki rzeczowe</t>
  </si>
  <si>
    <t>wydatki inwestycyjne</t>
  </si>
  <si>
    <t>I</t>
  </si>
  <si>
    <t>1. Gminne Przedszkole Publiczne Nr 1</t>
  </si>
  <si>
    <t>2. Gminne Przedszkole Publiczne Nr 2</t>
  </si>
  <si>
    <t>3. Gminne Przedszkole Publiczne Nr 3</t>
  </si>
  <si>
    <t>4. Gminne Przedszkole Publiczne Nr 4</t>
  </si>
  <si>
    <t>5. Gminne Przedszkole Publiczne w Białej</t>
  </si>
  <si>
    <t>6. Gminne Przedszkole Publiczne w Siedlisku</t>
  </si>
  <si>
    <t>7. Gminne Przedszkole Publiczne w Runowie</t>
  </si>
  <si>
    <t>1. Gimnazjum Nr 2</t>
  </si>
  <si>
    <t>2. Gimnazjum w Siedlisku</t>
  </si>
  <si>
    <t>3. Szkoła Podstawowa Nr 2</t>
  </si>
  <si>
    <t>4. Szkoła Podstawowa Nr 3</t>
  </si>
  <si>
    <t>5. Szkoła Podstawowa w Białej</t>
  </si>
  <si>
    <t>6. Szkoła Podstawowa w Łomnicy</t>
  </si>
  <si>
    <t>7. Szkoła Podstawowa w Rychliku</t>
  </si>
  <si>
    <t>1. Dotacje podmiotowe</t>
  </si>
  <si>
    <t>Nazwa jednostki</t>
  </si>
  <si>
    <t>Zakres dotacji</t>
  </si>
  <si>
    <t>Gminne Przedszkola Publiczne</t>
  </si>
  <si>
    <t>prowadzenie przedszkoli</t>
  </si>
  <si>
    <t>dokształcanie i doskonalenie zawodowe nauczycieli</t>
  </si>
  <si>
    <t xml:space="preserve">Katolicka Szkoła Podstawowa im. św. Siostry Faustyny w Trzciance  </t>
  </si>
  <si>
    <t>prowadzenie szkoły</t>
  </si>
  <si>
    <t>Oddział Przedszkolny przy Katolickiej Szkole Podstawowej św. Siostry Faustyny w Trzciance</t>
  </si>
  <si>
    <t>prowadzenie oddziału przedszkolnego</t>
  </si>
  <si>
    <t>Trzcianecki Dom Kultury</t>
  </si>
  <si>
    <t>działalność instytucji kultury</t>
  </si>
  <si>
    <t>Biblioteka Publiczna Miasta i Gminy im. Kazimiery Iłłakowiczówny</t>
  </si>
  <si>
    <t>działalność instytucji kultury - porozumienie</t>
  </si>
  <si>
    <t>Muzeum Ziemi Nadnoteckiej im. Wiktora Stachowiaka</t>
  </si>
  <si>
    <t>konkurs</t>
  </si>
  <si>
    <t xml:space="preserve">prowadzenie świetlic środwiskowych </t>
  </si>
  <si>
    <t>realizacja programów o charakterze profilaktyczno - edukacyjnym</t>
  </si>
  <si>
    <t>Caritas Parafii p.w. Św. Jana Chrzciciela</t>
  </si>
  <si>
    <t>Stowarzyszenie "Pomagajmy Dzieciom"</t>
  </si>
  <si>
    <t>Towarzystwo Przyjaciół Dzieci Koło Przyjaciół Dzieci Niepełnosprawnych w Trzciance</t>
  </si>
  <si>
    <t>Olimpiady Specjalne Polska Oodział Regionalny Olimpiady Specjalne Polska Wielkopolskie</t>
  </si>
  <si>
    <t xml:space="preserve">organizacja wypoczynku </t>
  </si>
  <si>
    <t>MKS MDK</t>
  </si>
  <si>
    <t>ZHP</t>
  </si>
  <si>
    <t xml:space="preserve">3. Dotacje celowe na realizację porozumień  </t>
  </si>
  <si>
    <t xml:space="preserve">Starostwo Powiatowe </t>
  </si>
  <si>
    <t>utrzymanie hali sportowo-widowiskowej przy L.O. w Trzciance</t>
  </si>
  <si>
    <t>Starostwo Powiatowe</t>
  </si>
  <si>
    <t>utrzymanie pracownika ZNP</t>
  </si>
  <si>
    <t>rozdział 80104- przedszkola</t>
  </si>
  <si>
    <t>wniesienie udziałów do TTBS na budowę budynku mieszkalnego przy ul. Matejki</t>
  </si>
  <si>
    <t>rezerwa na inwestycje i zakupy inwestycyjne</t>
  </si>
  <si>
    <t>budowa boiska sportowego przy szkole Podstawowej nr 3</t>
  </si>
  <si>
    <t>budowa oświetlenia w Niekursku
( 20.000 środki budżetu gminy, 4.000 zł środki sołectwa Niekursko)</t>
  </si>
  <si>
    <t>01038</t>
  </si>
  <si>
    <t>Rozwój obszarów wiejskich</t>
  </si>
  <si>
    <t>współpraca z WZDW - dokończenie budowy chodnika w Siedlisku oraz budowa chodnika  we Wrzącej</t>
  </si>
  <si>
    <t xml:space="preserve">budowa chodnika przy ul. Konopnickiej i Wita Stwosza </t>
  </si>
  <si>
    <t>dotacja celowa z budżetu na finansowanie lub dofinansowanie zadań zleconych do realizacji pozostałym jednostkom niezaliczanym do sektora finansów publicznych</t>
  </si>
  <si>
    <t>dotacja celowa z budżetu na finansowanie lub dofinansowanie zadań zleconych do realizacji stowarzyszeniom</t>
  </si>
  <si>
    <t>nadwyżki z lat ubiegłych</t>
  </si>
  <si>
    <t>zmiana</t>
  </si>
  <si>
    <t>plan przed zmianą</t>
  </si>
  <si>
    <t>plan po zmianie</t>
  </si>
  <si>
    <t>treść</t>
  </si>
  <si>
    <t>MKS Lubuszanin</t>
  </si>
  <si>
    <t>Klub Sportów Motorowych i Motorowodnych</t>
  </si>
  <si>
    <t>UKS Kajak</t>
  </si>
  <si>
    <t>UKS Dysk</t>
  </si>
  <si>
    <t>Sekcja "Olompijczyk"</t>
  </si>
  <si>
    <t>UKS Forma</t>
  </si>
  <si>
    <t>UKS Fortuna Biała</t>
  </si>
  <si>
    <t>Trzciancekie Stowarzyszenie Ludowych Zespołów Sportowych</t>
  </si>
  <si>
    <t>LKS Zuch Rychlik</t>
  </si>
  <si>
    <t>"Sprawni razem"</t>
  </si>
  <si>
    <t>2. Dotacje przedmiotowe i celowe</t>
  </si>
  <si>
    <t>budowa boiska wielofunkcyjnego przy ul. Broniewskiego w Trzciance</t>
  </si>
  <si>
    <t>budowa boiska piłkarskiego przy ul. Chopina w Trzciance</t>
  </si>
  <si>
    <t>teść</t>
  </si>
  <si>
    <t>kary i odszkodowania wypłacane na rzecz osób prawnych i innych jednostek organizacyjnych</t>
  </si>
  <si>
    <t>Załącznik Nr 4 do Uchwały Nr VI/26/07</t>
  </si>
  <si>
    <t>budowa kanalizacji sanitarnej i deszczowej w Trzciance oraz kanalizacji sanitarnej we wsiach Siedlisko, Rychlik, Stobno, Wrząca, Przyłęki, Górnica, Biernatowo i Łomnica</t>
  </si>
  <si>
    <t xml:space="preserve">Rady Miejskiej Trzcianki z dnia 15.03.2007 r. </t>
  </si>
  <si>
    <t>drogi publiczne wojewódzkie</t>
  </si>
  <si>
    <t>dotacja celowa na pomoc finansową udzieloną między jednostkami samorządu terytorialnego na dofiannsowanie własnych zadań inwestycyjnych i zakupów inwestycyjnych</t>
  </si>
  <si>
    <t>dotacaj celowa na pomoc finansową udzielaną między jednostkami samorzadu terytorialnego na dofinansowanie własnych zadań bieżących</t>
  </si>
  <si>
    <t>4. Dotacje celowe na pomoc finansową udzielaną między jednostkami samorządu terytorialnego</t>
  </si>
  <si>
    <t xml:space="preserve">pomoc finansowa dla Województwa Wielkopolskiego na wspólne sfinansowanie kontynuacji przebudowy ciągu pieszo - rowerowego po prawej stronie drogi wojewódzkiej nr 180 relacji Kocien Wielki - Piła w miejscowości Siedlisko </t>
  </si>
  <si>
    <t>podwyższenie udziałów w spółce  Z.I.K. Sp z o.o.</t>
  </si>
  <si>
    <t>plan przed
 zmianą</t>
  </si>
  <si>
    <t>dotacja celowa na pomoc finansową udzielaną między jednostkami samorzadu terytorialnego na dofinansowanie własnych zadań bieżących</t>
  </si>
  <si>
    <t xml:space="preserve">Gmina Piła </t>
  </si>
  <si>
    <t>pomoc finansowa na zakup usług w Ośrodku Profilaktyki i Rozwiązywania Problemów Alkoholowych w Pile</t>
  </si>
  <si>
    <t>Województwo Wielkopolskie</t>
  </si>
  <si>
    <t>pomoc finansowa na wspólne sfinansowanie kontynuacji przebudowy ciągu pieszo - rowerowego po prawiej stronie drogi wojewódzkiej nr 180 relacji Kocien Wielki - Piła 
w miejscowości Siedlisko</t>
  </si>
  <si>
    <t>01095</t>
  </si>
  <si>
    <t>0770</t>
  </si>
  <si>
    <t>wpływy z dywidend</t>
  </si>
  <si>
    <t>wpłaty z tytułu odpłatnego nabycia prawa własności oraz prawa użytkowania wieczystego nieruchomości</t>
  </si>
  <si>
    <t>zakup leków, wyrobów medycznych i produktów biobójczych</t>
  </si>
  <si>
    <t>wpływy do budżetu nadwyzki dochodów własnych lub środków obrotowych</t>
  </si>
  <si>
    <t>Rady Miejskiej Trzcianki z dnia 26.04.2007 r. zmieniający</t>
  </si>
  <si>
    <t>rozbudowa sieci wodociagowej we wsi Siedlisko - "wybudowanie"  w kierunku Trzcianki</t>
  </si>
  <si>
    <t>I. DOTACJE NA ZADANIA BIEŻĄCE</t>
  </si>
  <si>
    <t>II. DOTACJE NA ZADANIA INWESTYCYJNE</t>
  </si>
  <si>
    <t>1. Dotacje celowe na pomoc finansową udzielaną między jednostkami samorządu terytorialnego</t>
  </si>
  <si>
    <t>Dotacje przekazywane na zadnia bieżące- ogółem (1+2+3+4)</t>
  </si>
  <si>
    <t>opłaty za administrowanie i czynsze za budynki, lokale i pomieszczenia garażowe</t>
  </si>
  <si>
    <t>Ogółem dotacje przekazywane (I + II)</t>
  </si>
  <si>
    <t>przedszkola - zmiana</t>
  </si>
  <si>
    <t>a)</t>
  </si>
  <si>
    <t>b)</t>
  </si>
  <si>
    <t>Załącznik Nr 3 do Uchwały Nr VIII/44/07</t>
  </si>
  <si>
    <t>pomoc materialna dla uczniów</t>
  </si>
  <si>
    <t>budowa kanalizacji sanitarnej 
w ul. Gorzowskiej do firmy "Joskin" i "Northstar"</t>
  </si>
  <si>
    <t>dotacje celowe otrzymane 
z budżetu państwa na realizację zadań bieżących z zakresu administracji rządowej oraz innych zadań zleconych gminie (związkom gmin) ustawami</t>
  </si>
  <si>
    <t>dotacje celowe otrzymane 
z gminy na zadania bieżące realizowane na podstawie porozumień  (umów) między jednostkami samorządu terytorialnego</t>
  </si>
  <si>
    <t>dotacje celowe otrzymane 
z powiatu na zadania bieżące realizowane na podstawie porozumień  między jednostkami samorządu terytorialnego</t>
  </si>
  <si>
    <t>wpływy do budżetu nadwyżki dochodów własnych lub środków obrotowych</t>
  </si>
  <si>
    <t xml:space="preserve">Rady Miejskiej Trzcianki z dnia 26.04.2007 r. </t>
  </si>
  <si>
    <t>plan przed 
zmianą</t>
  </si>
  <si>
    <t>wpłaty gmin na rzecz izb rolniczych 
w wysokości 2% uzyskanych wpływów 
z podatku rolnego</t>
  </si>
  <si>
    <t>zadania z zakresu kultury fizycznej</t>
  </si>
  <si>
    <t>Rady Miejskiej Trzcianki z dnia 31 maja 2007 r. zmieniający</t>
  </si>
  <si>
    <t>Załącznik Nr 4 do Uchwały Nr IX/51/07</t>
  </si>
  <si>
    <t>Rady Miejskiej Trzcianki z dnia 31 maja 2007 r.</t>
  </si>
  <si>
    <t>pozostałe zadania w zakresie kultury</t>
  </si>
  <si>
    <t>środki na dofinansowanie własnych inwestycji gmin (związków gmin), powiatów (zwiazków powiatów), samorządów województw, pozyskane z innych źródeł</t>
  </si>
  <si>
    <t>Pozostałe zadania w zakresie polityki społecznej</t>
  </si>
  <si>
    <t>rehabilitacja zawodowa i społęczna osób niepełnosprawnych</t>
  </si>
  <si>
    <t>Powiat Czarnkowsko - Trzcianecki</t>
  </si>
  <si>
    <t>pomoc finansowa na sfinansowanie części kosztów działalności Warsztatów Terapii Zajęciowej</t>
  </si>
  <si>
    <t>zakup równiarki na potrzeby sołectwa Wapniarnia I</t>
  </si>
  <si>
    <t>budowa chodnika na ulicy Strażackiej</t>
  </si>
  <si>
    <t>drogi publiczne powiatowe</t>
  </si>
  <si>
    <t>budowa kanalizacji sanitarnej na ul.Rzemieślniczej</t>
  </si>
  <si>
    <t>budowa wodociągu przy ul. Zielnej</t>
  </si>
  <si>
    <t>budowa wodociągu przy ul.Rzemieślniczej</t>
  </si>
  <si>
    <t>Rachunek dochodów własnych - 
plan po zmianach</t>
  </si>
  <si>
    <t xml:space="preserve">rozdział 80104 przedszkola - plan </t>
  </si>
  <si>
    <t>pokrycie 
amortyzacji</t>
  </si>
  <si>
    <t>odpisy amortyzacyjne</t>
  </si>
  <si>
    <t>spłaty pożyczek otrzymanych na finansowanie zadań realizowanych z udziałem środków pochodzących z budżetu Unii Europejskiej</t>
  </si>
  <si>
    <t>0400</t>
  </si>
  <si>
    <t>wpływy z opłaty produktowej</t>
  </si>
  <si>
    <t>wpływy i wydatki związane z gromadzeniem środków z opłat produktowych</t>
  </si>
  <si>
    <t>budowa oświetlenia przy ul.Rzemieślniczej</t>
  </si>
  <si>
    <t>budowa oświetlenia przy ul.Krętej</t>
  </si>
  <si>
    <t>budowa oświetlenia przy ul.Bocznej</t>
  </si>
  <si>
    <t xml:space="preserve">przebudowa drogi na ulicy Bocznej </t>
  </si>
  <si>
    <t>rozbudowa chodnika wzdłuż projektowanej jezdni na ul.Krętej</t>
  </si>
  <si>
    <t>przebudowa ulicy Nowej w Białej</t>
  </si>
  <si>
    <t xml:space="preserve">przebudowa ulicy Krętej </t>
  </si>
  <si>
    <t>budowa kanalizacji sanitarnej na ul.Zielnej I etap od ul. Gorzowskiej do ul.Lelewela</t>
  </si>
  <si>
    <t>budowa kanalizacji deszczowej przy ul.Rzemieślniczej</t>
  </si>
  <si>
    <t>budowa wodociągu na os.przy Rzemieślniczej</t>
  </si>
  <si>
    <t xml:space="preserve">współpraca z Powiatem Czarnkowsko -Trzcianeckim - modernizacja nawierzchni asfaltowej przy ul.Gorzowskiej </t>
  </si>
  <si>
    <t>Rady Miejskiej Trzcianki z dnia 28.06.2007 r. zmieniający</t>
  </si>
  <si>
    <t>Załącznik Nr 4 do Uchwały Nr X/55/07</t>
  </si>
  <si>
    <t>Komendy powiatowe Państwowej Straży Pożarnej</t>
  </si>
  <si>
    <t>dotacje celowe z budżetu na finansowanie lub dofinansowanie kosztów realizacji inwestycji i zakupów inwestycyjnych innych jednostek sektora finanansów publicznych</t>
  </si>
  <si>
    <t>Powiatowa Straż Pożarna</t>
  </si>
  <si>
    <t>2. Dotacje celowe na finansowanie lub dofinansowanie inwestycji innych jednostek sektora finansów publicznych</t>
  </si>
  <si>
    <t>dotacje celowe z budżetu na finansowanie lub dofinansowanie kosztów realizacji inwestycji i zakupów inwestycyjnych innych jednostek sektora finansów publicznych</t>
  </si>
  <si>
    <t>zakup łodzi do celów ratownictwa wodnego dla Powiatowej Straży Pożarnej (Jednostka Ratowniczo - Gaśnicza 
w Trzciance)</t>
  </si>
  <si>
    <t>dokończenie budowy drogi ul.Dąbrowskiegood (ul.Strażackiej do ul. Wieleńskiej)</t>
  </si>
  <si>
    <t>budowa nakładki bitumicznej 
w Dłużewie - od drogi powiatowej do Dłużewa</t>
  </si>
  <si>
    <t>Dotacje przekazywane na zadania inwestycyjne- ogółem (1+2)</t>
  </si>
  <si>
    <t>Ochrona zrdowia</t>
  </si>
  <si>
    <t>w zł</t>
  </si>
  <si>
    <t xml:space="preserve">w % </t>
  </si>
  <si>
    <t>zakup akcesoriów komputerowych, 
w tym programów i licencji</t>
  </si>
  <si>
    <t>Plan przychodów i rozchodów 2007 - wykonanie za I półrocze 2007 roku</t>
  </si>
  <si>
    <t>Wydatki majątkowe - wykonanie za I półrocze 2007 roku</t>
  </si>
  <si>
    <t>Wydatki  budżetu gminy Trzcianka - wykonanie za I półrocze 2007 roku</t>
  </si>
  <si>
    <t>Dochody budżetu gminy Trzcianka - wykonanie za I półrocze 2007 roku</t>
  </si>
  <si>
    <t>Dotacje otrzymywane do budżetu gminy Trzcianka - wykonanie za I półrocze 2007 roku</t>
  </si>
  <si>
    <t>Dotacje przekazywane z budżetu gminy Trzcianka - wykonanie za I półrocze 2007 roku</t>
  </si>
  <si>
    <t>Wydatki związane z realizacją zadań z zakresu administracji rządowej i innych zadań zleconych ustawami - wykonanie za I półrocze 2007 roku</t>
  </si>
  <si>
    <t>w %</t>
  </si>
  <si>
    <t>Wydatki związane z realizacją zadań wspólnych realizowanych w drodze umów lub porozumień między jednostkami samorządu terytorialnego na rok 2007 - wykonanie za I półrocze 2007 roku</t>
  </si>
  <si>
    <t>wplywy do wyjaśnienia</t>
  </si>
  <si>
    <t>wpływy do wyjaśnienia</t>
  </si>
  <si>
    <t>Przychody i wydatki Gminnego Funduszu Ochrony Środowiska i Gospodarki Wodnej - wykonanie za I półrocze 2007 roku</t>
  </si>
  <si>
    <t>wykonanie (koszty)</t>
  </si>
  <si>
    <t>Przychody/Dochody</t>
  </si>
  <si>
    <t>Koszty/Wydatki</t>
  </si>
  <si>
    <t>wpłata do budżetu nadwyżki środków obrotowych</t>
  </si>
  <si>
    <t xml:space="preserve">Przychody i koszty zakładów budżetowych oraz rachunek dochodów własnych - wykonanie za I półrocze 2007 roku </t>
  </si>
  <si>
    <t>Dochody i wydatki na rok 2007 z tytułu opłat za wydawanie zezwoleń na sprzedaż napojów alkoholowych oraz wydatki na realizację zadań określonych w programie profilaktyki i rozwiązywania problemów alkoholowych - wykonanie za I półrocze 2007 roku</t>
  </si>
  <si>
    <t>plan po 
zmianach</t>
  </si>
  <si>
    <t>plan 
po zmianach</t>
  </si>
  <si>
    <t xml:space="preserve">% </t>
  </si>
  <si>
    <t xml:space="preserve">Dochody związane z realizacją zadań z zakresu administracji rządowej i innych zadań zleconych ustawami - wykonanie za I półrocze 2007 roku </t>
  </si>
  <si>
    <t>świadczenia rodzinne, zaliczka alimentacyjna oraz skłądki na ubezpieczenia emerytalne i rentowe 
z ubezpieczenia społecznego</t>
  </si>
  <si>
    <t>*</t>
  </si>
  <si>
    <t>Załącznik nr 1 do Informacji</t>
  </si>
  <si>
    <t>z wykonania budżetu</t>
  </si>
  <si>
    <t>gminy Trzcianka</t>
  </si>
  <si>
    <t>za I półrocze 2007 roku</t>
  </si>
  <si>
    <t>Załącznik nr 2 do Informacji</t>
  </si>
  <si>
    <t>Załącznik nr 3 do Informacji</t>
  </si>
  <si>
    <t>Załącznik nr 4 do Informacji</t>
  </si>
  <si>
    <t>Załącznik nr 5 do Informacji</t>
  </si>
  <si>
    <t>Załącznik nr 6 do Informacji</t>
  </si>
  <si>
    <t>Załącznik nr 7 do Informacji</t>
  </si>
  <si>
    <t>z wykonania budzetu</t>
  </si>
  <si>
    <t>Załącznik nr 8 do Informacji</t>
  </si>
  <si>
    <t>za I pólrocze 2007 roku</t>
  </si>
  <si>
    <t>Załącznik nr 10 do Informacji</t>
  </si>
  <si>
    <t>Załącznik nr 11 do Informacji</t>
  </si>
  <si>
    <t>Załącznik nr 12 do Informacji</t>
  </si>
  <si>
    <t>Załącznik nr 14 do Informacji</t>
  </si>
  <si>
    <t>zakup akcesoriów komputerowych,
 w tym programów i licencji</t>
  </si>
  <si>
    <t>rekompensaty utraconych dochodów 
w podatkach i opłatach lokalnych</t>
  </si>
  <si>
    <t>odsetki z tytułu nieterminowych wpłat 
z tytułu podatków i opłat</t>
  </si>
  <si>
    <t xml:space="preserve">Wydatki na realizację zadań określonych w programie profilaktyki i rozwiązywania problemów alkoholowych </t>
  </si>
  <si>
    <t>Dochody z tytułu opłat za wydawanie zezwoleń na sprzedaż napojów alkoholowych</t>
  </si>
  <si>
    <t>1.1. Zakłady budżetowe</t>
  </si>
  <si>
    <t xml:space="preserve">1.2. Niepubliczne jednostki systemu oświaty </t>
  </si>
  <si>
    <t xml:space="preserve">1.3. Samorządowe instytucje kultury </t>
  </si>
  <si>
    <t xml:space="preserve">razem </t>
  </si>
  <si>
    <t>Wydatki Gminnego Funduszu Ochrony Środowiska i Gospodarki Wodnej</t>
  </si>
  <si>
    <t>środki
pieniężne obrotowe
na początek okresu</t>
  </si>
  <si>
    <t>środki
pieniężne obrotowe na koniec okresu</t>
  </si>
  <si>
    <t>8.648,17</t>
  </si>
  <si>
    <t>Zakłady budżetowe (1+2) - wykonanie</t>
  </si>
  <si>
    <t>II.</t>
  </si>
  <si>
    <r>
      <t xml:space="preserve">rozdział 80146 
 </t>
    </r>
    <r>
      <rPr>
        <sz val="9"/>
        <rFont val="Arial CE"/>
        <family val="2"/>
      </rPr>
      <t xml:space="preserve">dokształcanie i doskonalenie zawodowe nauczycieli </t>
    </r>
  </si>
  <si>
    <r>
      <t xml:space="preserve">rozdział 80104 
</t>
    </r>
    <r>
      <rPr>
        <sz val="9"/>
        <rFont val="Arial CE"/>
        <family val="2"/>
      </rPr>
      <t xml:space="preserve">przedszkola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</si>
</sst>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25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10"/>
      <name val="Arial CE"/>
      <family val="2"/>
    </font>
    <font>
      <sz val="8"/>
      <color indexed="8"/>
      <name val="Arial CE"/>
      <family val="2"/>
    </font>
    <font>
      <i/>
      <sz val="9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i/>
      <sz val="8"/>
      <color indexed="8"/>
      <name val="Arial CE"/>
      <family val="2"/>
    </font>
    <font>
      <sz val="9"/>
      <color indexed="8"/>
      <name val="Arial CE"/>
      <family val="2"/>
    </font>
    <font>
      <b/>
      <sz val="12"/>
      <color indexed="8"/>
      <name val="Arial CE"/>
      <family val="2"/>
    </font>
    <font>
      <b/>
      <sz val="9"/>
      <color indexed="8"/>
      <name val="Arial CE"/>
      <family val="2"/>
    </font>
    <font>
      <b/>
      <sz val="9"/>
      <color indexed="10"/>
      <name val="Arial CE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4" fillId="0" borderId="1" xfId="0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Fill="1" applyBorder="1" applyAlignment="1" quotePrefix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 indent="1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3" xfId="0" applyFont="1" applyFill="1" applyBorder="1" applyAlignment="1" quotePrefix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 indent="1"/>
    </xf>
    <xf numFmtId="4" fontId="3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 indent="1"/>
    </xf>
    <xf numFmtId="4" fontId="3" fillId="0" borderId="0" xfId="0" applyNumberFormat="1" applyFont="1" applyAlignment="1">
      <alignment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indent="1"/>
    </xf>
    <xf numFmtId="0" fontId="8" fillId="0" borderId="2" xfId="0" applyFont="1" applyFill="1" applyBorder="1" applyAlignment="1" quotePrefix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indent="1"/>
    </xf>
    <xf numFmtId="4" fontId="8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 indent="1"/>
    </xf>
    <xf numFmtId="4" fontId="0" fillId="0" borderId="0" xfId="0" applyNumberFormat="1" applyAlignment="1">
      <alignment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quotePrefix="1">
      <alignment horizontal="center" vertical="center" wrapText="1"/>
    </xf>
    <xf numFmtId="0" fontId="2" fillId="2" borderId="0" xfId="0" applyFont="1" applyFill="1" applyAlignment="1">
      <alignment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quotePrefix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3" xfId="0" applyFont="1" applyFill="1" applyBorder="1" applyAlignment="1" quotePrefix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 quotePrefix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 quotePrefix="1">
      <alignment horizontal="center" vertical="center"/>
    </xf>
    <xf numFmtId="0" fontId="2" fillId="2" borderId="2" xfId="0" applyFont="1" applyFill="1" applyBorder="1" applyAlignment="1" quotePrefix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indent="1"/>
    </xf>
    <xf numFmtId="164" fontId="2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  <xf numFmtId="0" fontId="3" fillId="2" borderId="3" xfId="0" applyFont="1" applyFill="1" applyBorder="1" applyAlignment="1" quotePrefix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 quotePrefix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/>
    </xf>
    <xf numFmtId="0" fontId="3" fillId="2" borderId="2" xfId="0" applyFont="1" applyFill="1" applyBorder="1" applyAlignment="1">
      <alignment horizontal="left" vertical="center" wrapText="1" indent="1"/>
    </xf>
    <xf numFmtId="4" fontId="7" fillId="0" borderId="0" xfId="0" applyNumberFormat="1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 quotePrefix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4" xfId="0" applyFont="1" applyFill="1" applyBorder="1" applyAlignment="1" quotePrefix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 quotePrefix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4" fontId="3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vertical="center" wrapText="1"/>
    </xf>
    <xf numFmtId="0" fontId="13" fillId="0" borderId="1" xfId="0" applyFont="1" applyFill="1" applyBorder="1" applyAlignment="1" quotePrefix="1">
      <alignment horizontal="center" vertical="center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indent="1"/>
    </xf>
    <xf numFmtId="0" fontId="2" fillId="2" borderId="3" xfId="0" applyFont="1" applyFill="1" applyBorder="1" applyAlignment="1" quotePrefix="1">
      <alignment horizontal="center" vertical="center"/>
    </xf>
    <xf numFmtId="0" fontId="5" fillId="2" borderId="1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 indent="1"/>
    </xf>
    <xf numFmtId="164" fontId="5" fillId="2" borderId="1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 wrapText="1" indent="1"/>
    </xf>
    <xf numFmtId="4" fontId="2" fillId="2" borderId="7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left" vertical="center" wrapText="1" indent="1"/>
    </xf>
    <xf numFmtId="4" fontId="8" fillId="2" borderId="7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4" fontId="4" fillId="0" borderId="1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 quotePrefix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 indent="1"/>
    </xf>
    <xf numFmtId="4" fontId="14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15" fillId="0" borderId="1" xfId="0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 wrapText="1"/>
    </xf>
    <xf numFmtId="0" fontId="15" fillId="0" borderId="0" xfId="0" applyFont="1" applyFill="1" applyBorder="1" applyAlignment="1" quotePrefix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4" fontId="2" fillId="0" borderId="3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4" fontId="2" fillId="0" borderId="1" xfId="0" applyNumberFormat="1" applyFont="1" applyFill="1" applyBorder="1" applyAlignment="1" quotePrefix="1">
      <alignment horizontal="right" vertical="center" wrapText="1"/>
    </xf>
    <xf numFmtId="0" fontId="17" fillId="0" borderId="0" xfId="0" applyFont="1" applyAlignment="1">
      <alignment/>
    </xf>
    <xf numFmtId="4" fontId="2" fillId="0" borderId="3" xfId="0" applyNumberFormat="1" applyFont="1" applyFill="1" applyBorder="1" applyAlignment="1" quotePrefix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Fill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indent="1"/>
    </xf>
    <xf numFmtId="164" fontId="4" fillId="2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4" fillId="2" borderId="1" xfId="0" applyFont="1" applyFill="1" applyBorder="1" applyAlignment="1">
      <alignment horizontal="left" vertical="center" wrapText="1" indent="1"/>
    </xf>
    <xf numFmtId="4" fontId="14" fillId="2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wrapText="1" indent="1"/>
    </xf>
    <xf numFmtId="4" fontId="19" fillId="0" borderId="1" xfId="0" applyNumberFormat="1" applyFont="1" applyBorder="1" applyAlignment="1">
      <alignment horizontal="right" vertical="center"/>
    </xf>
    <xf numFmtId="4" fontId="19" fillId="0" borderId="1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4" fontId="14" fillId="0" borderId="0" xfId="0" applyNumberFormat="1" applyFont="1" applyFill="1" applyAlignment="1">
      <alignment vertical="center"/>
    </xf>
    <xf numFmtId="164" fontId="21" fillId="0" borderId="0" xfId="0" applyNumberFormat="1" applyFont="1" applyFill="1" applyAlignment="1">
      <alignment horizontal="left" vertical="center"/>
    </xf>
    <xf numFmtId="0" fontId="22" fillId="0" borderId="3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indent="1"/>
    </xf>
    <xf numFmtId="4" fontId="14" fillId="0" borderId="1" xfId="0" applyNumberFormat="1" applyFont="1" applyFill="1" applyBorder="1" applyAlignment="1">
      <alignment horizontal="right" vertical="center" wrapText="1"/>
    </xf>
    <xf numFmtId="0" fontId="14" fillId="0" borderId="3" xfId="0" applyFont="1" applyFill="1" applyBorder="1" applyAlignment="1" quotePrefix="1">
      <alignment horizontal="center" vertical="center"/>
    </xf>
    <xf numFmtId="4" fontId="14" fillId="0" borderId="1" xfId="0" applyNumberFormat="1" applyFont="1" applyFill="1" applyBorder="1" applyAlignment="1">
      <alignment horizontal="right" vertical="center"/>
    </xf>
    <xf numFmtId="0" fontId="20" fillId="0" borderId="3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 indent="1"/>
    </xf>
    <xf numFmtId="4" fontId="22" fillId="0" borderId="1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 wrapText="1" indent="1"/>
    </xf>
    <xf numFmtId="0" fontId="14" fillId="2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 quotePrefix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 indent="1"/>
    </xf>
    <xf numFmtId="0" fontId="14" fillId="2" borderId="1" xfId="0" applyFont="1" applyFill="1" applyBorder="1" applyAlignment="1" quotePrefix="1">
      <alignment horizontal="center" vertical="center"/>
    </xf>
    <xf numFmtId="0" fontId="14" fillId="2" borderId="3" xfId="0" applyFont="1" applyFill="1" applyBorder="1" applyAlignment="1" quotePrefix="1">
      <alignment horizontal="center" vertical="center"/>
    </xf>
    <xf numFmtId="0" fontId="22" fillId="0" borderId="3" xfId="0" applyFont="1" applyFill="1" applyBorder="1" applyAlignment="1" quotePrefix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22" fillId="0" borderId="1" xfId="0" applyFont="1" applyFill="1" applyBorder="1" applyAlignment="1" quotePrefix="1">
      <alignment horizontal="center" vertical="center" wrapText="1"/>
    </xf>
    <xf numFmtId="0" fontId="14" fillId="0" borderId="1" xfId="0" applyFont="1" applyFill="1" applyBorder="1" applyAlignment="1" quotePrefix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 horizontal="right"/>
    </xf>
    <xf numFmtId="4" fontId="20" fillId="0" borderId="0" xfId="0" applyNumberFormat="1" applyFont="1" applyAlignment="1">
      <alignment vertical="center"/>
    </xf>
    <xf numFmtId="4" fontId="22" fillId="0" borderId="0" xfId="0" applyNumberFormat="1" applyFont="1" applyAlignment="1">
      <alignment vertical="center"/>
    </xf>
    <xf numFmtId="4" fontId="20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3" fillId="0" borderId="6" xfId="0" applyFont="1" applyFill="1" applyBorder="1" applyAlignment="1" quotePrefix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left" vertical="center" indent="1"/>
    </xf>
    <xf numFmtId="4" fontId="22" fillId="0" borderId="7" xfId="0" applyNumberFormat="1" applyFont="1" applyFill="1" applyBorder="1" applyAlignment="1">
      <alignment horizontal="right" vertical="center"/>
    </xf>
    <xf numFmtId="4" fontId="22" fillId="0" borderId="7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 quotePrefix="1">
      <alignment horizontal="right" vertical="center" wrapText="1"/>
    </xf>
    <xf numFmtId="4" fontId="3" fillId="0" borderId="0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4" fontId="3" fillId="0" borderId="3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4" fontId="3" fillId="0" borderId="1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right" vertical="center"/>
    </xf>
    <xf numFmtId="4" fontId="19" fillId="0" borderId="2" xfId="0" applyNumberFormat="1" applyFont="1" applyBorder="1" applyAlignment="1">
      <alignment horizontal="right" vertical="center"/>
    </xf>
    <xf numFmtId="4" fontId="19" fillId="0" borderId="2" xfId="0" applyNumberFormat="1" applyFont="1" applyFill="1" applyBorder="1" applyAlignment="1">
      <alignment horizontal="right" vertical="center"/>
    </xf>
    <xf numFmtId="4" fontId="2" fillId="2" borderId="6" xfId="0" applyNumberFormat="1" applyFont="1" applyFill="1" applyBorder="1" applyAlignment="1">
      <alignment horizontal="right" vertical="center"/>
    </xf>
    <xf numFmtId="4" fontId="8" fillId="2" borderId="6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 vertical="center"/>
    </xf>
    <xf numFmtId="4" fontId="19" fillId="0" borderId="8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 quotePrefix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 indent="1"/>
    </xf>
    <xf numFmtId="164" fontId="3" fillId="2" borderId="7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/>
    </xf>
    <xf numFmtId="4" fontId="22" fillId="0" borderId="3" xfId="0" applyNumberFormat="1" applyFont="1" applyBorder="1" applyAlignment="1">
      <alignment horizontal="right" vertical="center"/>
    </xf>
    <xf numFmtId="4" fontId="23" fillId="0" borderId="3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0" fontId="6" fillId="0" borderId="0" xfId="0" applyFont="1" applyAlignment="1">
      <alignment/>
    </xf>
    <xf numFmtId="164" fontId="1" fillId="0" borderId="0" xfId="0" applyNumberFormat="1" applyFont="1" applyFill="1" applyAlignment="1">
      <alignment horizontal="left" vertical="center"/>
    </xf>
    <xf numFmtId="4" fontId="3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Fill="1" applyBorder="1" applyAlignment="1" quotePrefix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 wrapText="1" indent="1"/>
    </xf>
    <xf numFmtId="4" fontId="14" fillId="0" borderId="1" xfId="0" applyNumberFormat="1" applyFont="1" applyBorder="1" applyAlignment="1">
      <alignment horizontal="right" vertical="center"/>
    </xf>
    <xf numFmtId="4" fontId="14" fillId="0" borderId="3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4" fontId="6" fillId="0" borderId="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left"/>
    </xf>
    <xf numFmtId="0" fontId="6" fillId="0" borderId="1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4" fontId="6" fillId="0" borderId="7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/>
    </xf>
    <xf numFmtId="4" fontId="8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4" fillId="3" borderId="3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4" fillId="0" borderId="7" xfId="0" applyNumberFormat="1" applyFont="1" applyBorder="1" applyAlignment="1">
      <alignment horizontal="right" vertical="center"/>
    </xf>
    <xf numFmtId="4" fontId="14" fillId="0" borderId="0" xfId="0" applyNumberFormat="1" applyFont="1" applyFill="1" applyAlignment="1">
      <alignment horizontal="right" vertical="center"/>
    </xf>
    <xf numFmtId="0" fontId="3" fillId="0" borderId="2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3" xfId="0" applyFont="1" applyFill="1" applyBorder="1" applyAlignment="1" quotePrefix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5" fillId="0" borderId="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left" vertical="center" indent="1"/>
    </xf>
    <xf numFmtId="0" fontId="4" fillId="0" borderId="19" xfId="0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4" fontId="4" fillId="3" borderId="21" xfId="0" applyNumberFormat="1" applyFont="1" applyFill="1" applyBorder="1" applyAlignment="1">
      <alignment horizontal="right" vertical="center"/>
    </xf>
    <xf numFmtId="0" fontId="1" fillId="1" borderId="22" xfId="0" applyFont="1" applyFill="1" applyBorder="1" applyAlignment="1">
      <alignment horizontal="center" vertical="center"/>
    </xf>
    <xf numFmtId="0" fontId="1" fillId="1" borderId="23" xfId="0" applyFont="1" applyFill="1" applyBorder="1" applyAlignment="1">
      <alignment horizontal="center" vertical="center" wrapText="1"/>
    </xf>
    <xf numFmtId="0" fontId="1" fillId="1" borderId="24" xfId="0" applyFont="1" applyFill="1" applyBorder="1" applyAlignment="1">
      <alignment horizontal="center" vertical="center" wrapText="1"/>
    </xf>
    <xf numFmtId="4" fontId="1" fillId="1" borderId="21" xfId="0" applyNumberFormat="1" applyFont="1" applyFill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25" xfId="0" applyNumberFormat="1" applyFont="1" applyBorder="1" applyAlignment="1">
      <alignment horizontal="right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0" fontId="24" fillId="3" borderId="26" xfId="0" applyFont="1" applyFill="1" applyBorder="1" applyAlignment="1">
      <alignment horizontal="center" vertical="center"/>
    </xf>
    <xf numFmtId="0" fontId="24" fillId="3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" fontId="4" fillId="3" borderId="21" xfId="0" applyNumberFormat="1" applyFont="1" applyFill="1" applyBorder="1" applyAlignment="1">
      <alignment vertical="center"/>
    </xf>
    <xf numFmtId="4" fontId="4" fillId="3" borderId="34" xfId="0" applyNumberFormat="1" applyFont="1" applyFill="1" applyBorder="1" applyAlignment="1">
      <alignment vertical="center"/>
    </xf>
    <xf numFmtId="0" fontId="4" fillId="3" borderId="0" xfId="0" applyFont="1" applyFill="1" applyAlignment="1">
      <alignment/>
    </xf>
    <xf numFmtId="0" fontId="1" fillId="1" borderId="35" xfId="0" applyFont="1" applyFill="1" applyBorder="1" applyAlignment="1">
      <alignment horizontal="center" vertical="center"/>
    </xf>
    <xf numFmtId="0" fontId="1" fillId="1" borderId="36" xfId="0" applyFont="1" applyFill="1" applyBorder="1" applyAlignment="1">
      <alignment horizontal="center" vertical="center"/>
    </xf>
    <xf numFmtId="4" fontId="1" fillId="1" borderId="37" xfId="0" applyNumberFormat="1" applyFont="1" applyFill="1" applyBorder="1" applyAlignment="1">
      <alignment horizontal="right" vertical="center"/>
    </xf>
    <xf numFmtId="4" fontId="1" fillId="1" borderId="37" xfId="0" applyNumberFormat="1" applyFont="1" applyFill="1" applyBorder="1" applyAlignment="1">
      <alignment vertical="center"/>
    </xf>
    <xf numFmtId="4" fontId="1" fillId="1" borderId="38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indent="1"/>
    </xf>
    <xf numFmtId="0" fontId="3" fillId="0" borderId="4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"/>
  <sheetViews>
    <sheetView workbookViewId="0" topLeftCell="A124">
      <selection activeCell="D129" sqref="D129"/>
    </sheetView>
  </sheetViews>
  <sheetFormatPr defaultColWidth="9.00390625" defaultRowHeight="12.75"/>
  <cols>
    <col min="1" max="1" width="5.25390625" style="8" customWidth="1"/>
    <col min="2" max="2" width="7.625" style="8" customWidth="1"/>
    <col min="3" max="3" width="5.00390625" style="242" bestFit="1" customWidth="1"/>
    <col min="4" max="4" width="31.125" style="242" customWidth="1"/>
    <col min="5" max="5" width="12.25390625" style="244" bestFit="1" customWidth="1"/>
    <col min="6" max="7" width="12.25390625" style="244" customWidth="1"/>
    <col min="8" max="8" width="7.25390625" style="254" customWidth="1"/>
  </cols>
  <sheetData>
    <row r="1" spans="1:8" ht="12.75">
      <c r="A1" s="66"/>
      <c r="B1" s="66"/>
      <c r="C1" s="216"/>
      <c r="D1" s="216"/>
      <c r="E1" s="217"/>
      <c r="F1" s="361" t="s">
        <v>543</v>
      </c>
      <c r="G1" s="361"/>
      <c r="H1" s="361"/>
    </row>
    <row r="2" spans="1:8" ht="12.75">
      <c r="A2" s="66"/>
      <c r="B2" s="66"/>
      <c r="C2" s="216"/>
      <c r="D2" s="216"/>
      <c r="E2" s="217"/>
      <c r="F2" s="361" t="s">
        <v>544</v>
      </c>
      <c r="G2" s="361"/>
      <c r="H2" s="361"/>
    </row>
    <row r="3" spans="1:8" ht="12.75">
      <c r="A3" s="66"/>
      <c r="B3" s="66"/>
      <c r="C3" s="216"/>
      <c r="D3" s="216"/>
      <c r="E3" s="217"/>
      <c r="F3" s="361" t="s">
        <v>545</v>
      </c>
      <c r="G3" s="361"/>
      <c r="H3" s="361"/>
    </row>
    <row r="4" spans="1:8" ht="12.75">
      <c r="A4" s="66"/>
      <c r="B4" s="66"/>
      <c r="C4" s="216"/>
      <c r="D4" s="216"/>
      <c r="E4" s="217"/>
      <c r="F4" s="361" t="s">
        <v>546</v>
      </c>
      <c r="G4" s="361"/>
      <c r="H4" s="361"/>
    </row>
    <row r="5" spans="1:7" ht="12.75">
      <c r="A5" s="66"/>
      <c r="B5" s="66"/>
      <c r="C5" s="216"/>
      <c r="D5" s="216" t="s">
        <v>265</v>
      </c>
      <c r="E5" s="217"/>
      <c r="F5" s="217"/>
      <c r="G5" s="217"/>
    </row>
    <row r="6" spans="1:7" ht="18.75" customHeight="1">
      <c r="A6" s="294" t="s">
        <v>522</v>
      </c>
      <c r="B6" s="192"/>
      <c r="C6" s="218"/>
      <c r="D6" s="218"/>
      <c r="E6" s="218"/>
      <c r="F6" s="218"/>
      <c r="G6" s="218"/>
    </row>
    <row r="7" spans="1:8" ht="18" customHeight="1">
      <c r="A7" s="367" t="s">
        <v>13</v>
      </c>
      <c r="B7" s="367" t="s">
        <v>14</v>
      </c>
      <c r="C7" s="368" t="s">
        <v>15</v>
      </c>
      <c r="D7" s="368" t="s">
        <v>411</v>
      </c>
      <c r="E7" s="365" t="s">
        <v>171</v>
      </c>
      <c r="F7" s="366" t="s">
        <v>252</v>
      </c>
      <c r="G7" s="365" t="s">
        <v>0</v>
      </c>
      <c r="H7" s="365"/>
    </row>
    <row r="8" spans="1:8" s="8" customFormat="1" ht="18" customHeight="1">
      <c r="A8" s="367"/>
      <c r="B8" s="367"/>
      <c r="C8" s="368"/>
      <c r="D8" s="368"/>
      <c r="E8" s="365"/>
      <c r="F8" s="366"/>
      <c r="G8" s="220" t="s">
        <v>1</v>
      </c>
      <c r="H8" s="18" t="s">
        <v>2</v>
      </c>
    </row>
    <row r="9" spans="1:8" s="8" customFormat="1" ht="21.75" customHeight="1">
      <c r="A9" s="248" t="s">
        <v>17</v>
      </c>
      <c r="B9" s="249"/>
      <c r="C9" s="250"/>
      <c r="D9" s="251" t="s">
        <v>18</v>
      </c>
      <c r="E9" s="252">
        <f>SUM(E10)</f>
        <v>0</v>
      </c>
      <c r="F9" s="253">
        <f>SUM(F10)</f>
        <v>1707483</v>
      </c>
      <c r="G9" s="253">
        <f>SUM(G10)</f>
        <v>162148.49</v>
      </c>
      <c r="H9" s="34">
        <f>G9/F9*100</f>
        <v>9.496345790851212</v>
      </c>
    </row>
    <row r="10" spans="1:8" s="24" customFormat="1" ht="21.75" customHeight="1">
      <c r="A10" s="89"/>
      <c r="B10" s="87" t="s">
        <v>442</v>
      </c>
      <c r="C10" s="221"/>
      <c r="D10" s="222" t="s">
        <v>19</v>
      </c>
      <c r="E10" s="225">
        <f>SUM(E11:E14)</f>
        <v>0</v>
      </c>
      <c r="F10" s="223">
        <f>SUM(F11:F14)</f>
        <v>1707483</v>
      </c>
      <c r="G10" s="223">
        <f>SUM(G11:G14)</f>
        <v>162148.49</v>
      </c>
      <c r="H10" s="124">
        <f aca="true" t="shared" si="0" ref="H10:H78">G10/F10*100</f>
        <v>9.496345790851212</v>
      </c>
    </row>
    <row r="11" spans="1:8" s="24" customFormat="1" ht="67.5">
      <c r="A11" s="89"/>
      <c r="B11" s="59"/>
      <c r="C11" s="224" t="s">
        <v>197</v>
      </c>
      <c r="D11" s="164" t="s">
        <v>77</v>
      </c>
      <c r="E11" s="225">
        <v>0</v>
      </c>
      <c r="F11" s="225">
        <v>103220</v>
      </c>
      <c r="G11" s="225">
        <v>63346.27</v>
      </c>
      <c r="H11" s="124">
        <f t="shared" si="0"/>
        <v>61.37015113350126</v>
      </c>
    </row>
    <row r="12" spans="1:8" s="24" customFormat="1" ht="36.75" customHeight="1">
      <c r="A12" s="89"/>
      <c r="B12" s="59"/>
      <c r="C12" s="224" t="s">
        <v>443</v>
      </c>
      <c r="D12" s="164" t="s">
        <v>445</v>
      </c>
      <c r="E12" s="225">
        <v>0</v>
      </c>
      <c r="F12" s="225">
        <v>1506000</v>
      </c>
      <c r="G12" s="225">
        <v>0</v>
      </c>
      <c r="H12" s="124">
        <f t="shared" si="0"/>
        <v>0</v>
      </c>
    </row>
    <row r="13" spans="1:8" s="24" customFormat="1" ht="21.75" customHeight="1">
      <c r="A13" s="89"/>
      <c r="B13" s="59"/>
      <c r="C13" s="224" t="s">
        <v>198</v>
      </c>
      <c r="D13" s="164" t="s">
        <v>27</v>
      </c>
      <c r="E13" s="225">
        <v>0</v>
      </c>
      <c r="F13" s="225">
        <v>0</v>
      </c>
      <c r="G13" s="225">
        <v>539.3</v>
      </c>
      <c r="H13" s="124">
        <v>0</v>
      </c>
    </row>
    <row r="14" spans="1:8" s="24" customFormat="1" ht="56.25">
      <c r="A14" s="89"/>
      <c r="B14" s="59"/>
      <c r="C14" s="224">
        <v>2010</v>
      </c>
      <c r="D14" s="164" t="s">
        <v>462</v>
      </c>
      <c r="E14" s="225">
        <v>0</v>
      </c>
      <c r="F14" s="225">
        <v>98263</v>
      </c>
      <c r="G14" s="225">
        <v>98262.92</v>
      </c>
      <c r="H14" s="124">
        <f t="shared" si="0"/>
        <v>99.99991858583597</v>
      </c>
    </row>
    <row r="15" spans="1:8" s="8" customFormat="1" ht="21.75" customHeight="1">
      <c r="A15" s="32" t="s">
        <v>21</v>
      </c>
      <c r="B15" s="3"/>
      <c r="C15" s="226"/>
      <c r="D15" s="227" t="s">
        <v>22</v>
      </c>
      <c r="E15" s="228">
        <f>SUM(E16)</f>
        <v>4720</v>
      </c>
      <c r="F15" s="228">
        <f>SUM(F16)</f>
        <v>0</v>
      </c>
      <c r="G15" s="228">
        <f>SUM(G16)</f>
        <v>0</v>
      </c>
      <c r="H15" s="34">
        <v>0</v>
      </c>
    </row>
    <row r="16" spans="1:8" s="24" customFormat="1" ht="21.75" customHeight="1">
      <c r="A16" s="86"/>
      <c r="B16" s="83" t="s">
        <v>23</v>
      </c>
      <c r="C16" s="221"/>
      <c r="D16" s="164" t="s">
        <v>19</v>
      </c>
      <c r="E16" s="165">
        <f>SUM(E17)</f>
        <v>4720</v>
      </c>
      <c r="F16" s="165">
        <f>SUM(F17:F17)</f>
        <v>0</v>
      </c>
      <c r="G16" s="165">
        <f>SUM(G17:G17)</f>
        <v>0</v>
      </c>
      <c r="H16" s="34">
        <v>0</v>
      </c>
    </row>
    <row r="17" spans="1:8" s="24" customFormat="1" ht="45">
      <c r="A17" s="86"/>
      <c r="B17" s="87"/>
      <c r="C17" s="163" t="s">
        <v>195</v>
      </c>
      <c r="D17" s="164" t="s">
        <v>20</v>
      </c>
      <c r="E17" s="165">
        <v>4720</v>
      </c>
      <c r="F17" s="165">
        <v>0</v>
      </c>
      <c r="G17" s="165">
        <v>0</v>
      </c>
      <c r="H17" s="34">
        <v>0</v>
      </c>
    </row>
    <row r="18" spans="1:8" s="45" customFormat="1" ht="21.75" customHeight="1">
      <c r="A18" s="114">
        <v>600</v>
      </c>
      <c r="B18" s="38"/>
      <c r="C18" s="229"/>
      <c r="D18" s="230" t="s">
        <v>97</v>
      </c>
      <c r="E18" s="228">
        <f aca="true" t="shared" si="1" ref="E18:G19">SUM(E19)</f>
        <v>4000</v>
      </c>
      <c r="F18" s="228">
        <f t="shared" si="1"/>
        <v>4000</v>
      </c>
      <c r="G18" s="228">
        <f t="shared" si="1"/>
        <v>1494.96</v>
      </c>
      <c r="H18" s="34">
        <f t="shared" si="0"/>
        <v>37.374</v>
      </c>
    </row>
    <row r="19" spans="1:8" s="24" customFormat="1" ht="21.75" customHeight="1">
      <c r="A19" s="86"/>
      <c r="B19" s="94" t="s">
        <v>98</v>
      </c>
      <c r="C19" s="231"/>
      <c r="D19" s="211" t="s">
        <v>99</v>
      </c>
      <c r="E19" s="165">
        <f t="shared" si="1"/>
        <v>4000</v>
      </c>
      <c r="F19" s="165">
        <f t="shared" si="1"/>
        <v>4000</v>
      </c>
      <c r="G19" s="165">
        <f t="shared" si="1"/>
        <v>1494.96</v>
      </c>
      <c r="H19" s="124">
        <f t="shared" si="0"/>
        <v>37.374</v>
      </c>
    </row>
    <row r="20" spans="1:8" s="24" customFormat="1" ht="21.75" customHeight="1">
      <c r="A20" s="86"/>
      <c r="B20" s="147"/>
      <c r="C20" s="163" t="s">
        <v>224</v>
      </c>
      <c r="D20" s="164" t="s">
        <v>178</v>
      </c>
      <c r="E20" s="165">
        <v>4000</v>
      </c>
      <c r="F20" s="165">
        <v>4000</v>
      </c>
      <c r="G20" s="165">
        <v>1494.96</v>
      </c>
      <c r="H20" s="124">
        <f t="shared" si="0"/>
        <v>37.374</v>
      </c>
    </row>
    <row r="21" spans="1:8" s="7" customFormat="1" ht="21.75" customHeight="1">
      <c r="A21" s="32" t="s">
        <v>24</v>
      </c>
      <c r="B21" s="4"/>
      <c r="C21" s="232"/>
      <c r="D21" s="227" t="s">
        <v>25</v>
      </c>
      <c r="E21" s="228">
        <f>SUM(E22,E29)</f>
        <v>1691508</v>
      </c>
      <c r="F21" s="228">
        <f>SUM(F22,F29)</f>
        <v>2469008</v>
      </c>
      <c r="G21" s="228">
        <f>SUM(G22,G29)</f>
        <v>1270988.4</v>
      </c>
      <c r="H21" s="34">
        <f t="shared" si="0"/>
        <v>51.47769468547692</v>
      </c>
    </row>
    <row r="22" spans="1:8" s="24" customFormat="1" ht="21.75" customHeight="1">
      <c r="A22" s="82"/>
      <c r="B22" s="83" t="s">
        <v>26</v>
      </c>
      <c r="C22" s="221"/>
      <c r="D22" s="164" t="s">
        <v>183</v>
      </c>
      <c r="E22" s="165">
        <f>SUM(E23:E28)</f>
        <v>1691508</v>
      </c>
      <c r="F22" s="165">
        <f>SUM(F23:F28)</f>
        <v>2469008</v>
      </c>
      <c r="G22" s="165">
        <f>SUM(G23:G28)</f>
        <v>1270642.9</v>
      </c>
      <c r="H22" s="124">
        <f t="shared" si="0"/>
        <v>51.46370121117469</v>
      </c>
    </row>
    <row r="23" spans="1:8" s="24" customFormat="1" ht="27" customHeight="1">
      <c r="A23" s="82"/>
      <c r="B23" s="59"/>
      <c r="C23" s="224" t="s">
        <v>196</v>
      </c>
      <c r="D23" s="164" t="s">
        <v>269</v>
      </c>
      <c r="E23" s="165">
        <v>164000</v>
      </c>
      <c r="F23" s="165">
        <v>164000</v>
      </c>
      <c r="G23" s="165">
        <v>135244.66</v>
      </c>
      <c r="H23" s="124">
        <f t="shared" si="0"/>
        <v>82.46625609756097</v>
      </c>
    </row>
    <row r="24" spans="1:8" s="24" customFormat="1" ht="67.5">
      <c r="A24" s="82"/>
      <c r="B24" s="59"/>
      <c r="C24" s="163" t="s">
        <v>197</v>
      </c>
      <c r="D24" s="164" t="s">
        <v>77</v>
      </c>
      <c r="E24" s="165">
        <f>181008+4000</f>
        <v>185008</v>
      </c>
      <c r="F24" s="165">
        <v>105008</v>
      </c>
      <c r="G24" s="165">
        <v>57149.4</v>
      </c>
      <c r="H24" s="124">
        <f t="shared" si="0"/>
        <v>54.423853420691756</v>
      </c>
    </row>
    <row r="25" spans="1:8" s="24" customFormat="1" ht="45">
      <c r="A25" s="82"/>
      <c r="B25" s="59"/>
      <c r="C25" s="163" t="s">
        <v>287</v>
      </c>
      <c r="D25" s="164" t="s">
        <v>288</v>
      </c>
      <c r="E25" s="165">
        <v>1500</v>
      </c>
      <c r="F25" s="165">
        <v>1500</v>
      </c>
      <c r="G25" s="165">
        <v>6518.19</v>
      </c>
      <c r="H25" s="124">
        <f t="shared" si="0"/>
        <v>434.546</v>
      </c>
    </row>
    <row r="26" spans="1:8" s="24" customFormat="1" ht="45">
      <c r="A26" s="82"/>
      <c r="B26" s="59"/>
      <c r="C26" s="163" t="s">
        <v>443</v>
      </c>
      <c r="D26" s="164" t="s">
        <v>445</v>
      </c>
      <c r="E26" s="165">
        <v>0</v>
      </c>
      <c r="F26" s="165">
        <v>2188500</v>
      </c>
      <c r="G26" s="165">
        <v>1069535.5</v>
      </c>
      <c r="H26" s="124">
        <f t="shared" si="0"/>
        <v>48.870710532328076</v>
      </c>
    </row>
    <row r="27" spans="1:8" s="24" customFormat="1" ht="27" customHeight="1">
      <c r="A27" s="82"/>
      <c r="B27" s="59"/>
      <c r="C27" s="163" t="s">
        <v>244</v>
      </c>
      <c r="D27" s="164" t="s">
        <v>233</v>
      </c>
      <c r="E27" s="165">
        <f>400000+80000+775000+76000</f>
        <v>1331000</v>
      </c>
      <c r="F27" s="165">
        <v>0</v>
      </c>
      <c r="G27" s="165">
        <v>0</v>
      </c>
      <c r="H27" s="124">
        <v>0</v>
      </c>
    </row>
    <row r="28" spans="1:8" s="24" customFormat="1" ht="21.75" customHeight="1">
      <c r="A28" s="82"/>
      <c r="B28" s="59"/>
      <c r="C28" s="163" t="s">
        <v>198</v>
      </c>
      <c r="D28" s="164" t="s">
        <v>27</v>
      </c>
      <c r="E28" s="165">
        <v>10000</v>
      </c>
      <c r="F28" s="165">
        <v>10000</v>
      </c>
      <c r="G28" s="165">
        <v>2195.15</v>
      </c>
      <c r="H28" s="124">
        <f t="shared" si="0"/>
        <v>21.951500000000003</v>
      </c>
    </row>
    <row r="29" spans="1:8" s="24" customFormat="1" ht="21.75" customHeight="1">
      <c r="A29" s="82"/>
      <c r="B29" s="59">
        <v>70095</v>
      </c>
      <c r="C29" s="163"/>
      <c r="D29" s="164" t="s">
        <v>19</v>
      </c>
      <c r="E29" s="165">
        <f>SUM(E30)</f>
        <v>0</v>
      </c>
      <c r="F29" s="165">
        <f>SUM(F30)</f>
        <v>0</v>
      </c>
      <c r="G29" s="165">
        <f>SUM(G30)</f>
        <v>345.5</v>
      </c>
      <c r="H29" s="124">
        <v>0</v>
      </c>
    </row>
    <row r="30" spans="1:8" s="24" customFormat="1" ht="21.75" customHeight="1">
      <c r="A30" s="82"/>
      <c r="B30" s="59"/>
      <c r="C30" s="163" t="s">
        <v>199</v>
      </c>
      <c r="D30" s="164" t="s">
        <v>28</v>
      </c>
      <c r="E30" s="165">
        <v>0</v>
      </c>
      <c r="F30" s="165">
        <v>0</v>
      </c>
      <c r="G30" s="165">
        <v>345.5</v>
      </c>
      <c r="H30" s="124">
        <v>0</v>
      </c>
    </row>
    <row r="31" spans="1:8" s="7" customFormat="1" ht="21.75" customHeight="1">
      <c r="A31" s="32" t="s">
        <v>31</v>
      </c>
      <c r="B31" s="4"/>
      <c r="C31" s="232"/>
      <c r="D31" s="227" t="s">
        <v>32</v>
      </c>
      <c r="E31" s="228">
        <f>SUM(E32,E35)</f>
        <v>180050</v>
      </c>
      <c r="F31" s="228">
        <f>SUM(F32,F35)</f>
        <v>180050</v>
      </c>
      <c r="G31" s="228">
        <f>SUM(G32,G35)</f>
        <v>96120.55</v>
      </c>
      <c r="H31" s="34">
        <f t="shared" si="0"/>
        <v>53.38547625659539</v>
      </c>
    </row>
    <row r="32" spans="1:8" s="24" customFormat="1" ht="21.75" customHeight="1">
      <c r="A32" s="82"/>
      <c r="B32" s="83">
        <v>75011</v>
      </c>
      <c r="C32" s="221"/>
      <c r="D32" s="164" t="s">
        <v>33</v>
      </c>
      <c r="E32" s="165">
        <f>SUM(E33:E34)</f>
        <v>150050</v>
      </c>
      <c r="F32" s="165">
        <f>SUM(F33:F34)</f>
        <v>150050</v>
      </c>
      <c r="G32" s="165">
        <f>SUM(G33:G34)</f>
        <v>81989.81</v>
      </c>
      <c r="H32" s="124">
        <f t="shared" si="0"/>
        <v>54.641659446851044</v>
      </c>
    </row>
    <row r="33" spans="1:8" s="24" customFormat="1" ht="56.25">
      <c r="A33" s="82"/>
      <c r="B33" s="59"/>
      <c r="C33" s="163">
        <v>2010</v>
      </c>
      <c r="D33" s="164" t="s">
        <v>462</v>
      </c>
      <c r="E33" s="225">
        <v>144800</v>
      </c>
      <c r="F33" s="225">
        <v>144800</v>
      </c>
      <c r="G33" s="225">
        <v>78621</v>
      </c>
      <c r="H33" s="124">
        <f t="shared" si="0"/>
        <v>54.296270718232044</v>
      </c>
    </row>
    <row r="34" spans="1:8" s="24" customFormat="1" ht="45">
      <c r="A34" s="82"/>
      <c r="B34" s="59"/>
      <c r="C34" s="163">
        <v>2360</v>
      </c>
      <c r="D34" s="164" t="s">
        <v>226</v>
      </c>
      <c r="E34" s="165">
        <v>5250</v>
      </c>
      <c r="F34" s="165">
        <v>5250</v>
      </c>
      <c r="G34" s="165">
        <v>3368.81</v>
      </c>
      <c r="H34" s="124">
        <f t="shared" si="0"/>
        <v>64.16780952380952</v>
      </c>
    </row>
    <row r="35" spans="1:8" s="24" customFormat="1" ht="27" customHeight="1">
      <c r="A35" s="89"/>
      <c r="B35" s="83" t="s">
        <v>34</v>
      </c>
      <c r="C35" s="221"/>
      <c r="D35" s="164" t="s">
        <v>35</v>
      </c>
      <c r="E35" s="165">
        <f>SUM(E36)</f>
        <v>30000</v>
      </c>
      <c r="F35" s="165">
        <f>SUM(F36)</f>
        <v>30000</v>
      </c>
      <c r="G35" s="165">
        <f>SUM(G36)</f>
        <v>14130.74</v>
      </c>
      <c r="H35" s="124">
        <f t="shared" si="0"/>
        <v>47.102466666666665</v>
      </c>
    </row>
    <row r="36" spans="1:8" s="24" customFormat="1" ht="24.75" customHeight="1">
      <c r="A36" s="89"/>
      <c r="B36" s="83"/>
      <c r="C36" s="224" t="s">
        <v>199</v>
      </c>
      <c r="D36" s="164" t="s">
        <v>28</v>
      </c>
      <c r="E36" s="165">
        <v>30000</v>
      </c>
      <c r="F36" s="165">
        <v>30000</v>
      </c>
      <c r="G36" s="165">
        <v>14130.74</v>
      </c>
      <c r="H36" s="124">
        <f t="shared" si="0"/>
        <v>47.102466666666665</v>
      </c>
    </row>
    <row r="37" spans="1:8" s="7" customFormat="1" ht="39.75" customHeight="1">
      <c r="A37" s="32">
        <v>751</v>
      </c>
      <c r="B37" s="5"/>
      <c r="C37" s="219"/>
      <c r="D37" s="227" t="s">
        <v>36</v>
      </c>
      <c r="E37" s="228">
        <f aca="true" t="shared" si="2" ref="E37:G38">SUM(E38)</f>
        <v>3809</v>
      </c>
      <c r="F37" s="228">
        <f t="shared" si="2"/>
        <v>3809</v>
      </c>
      <c r="G37" s="228">
        <f t="shared" si="2"/>
        <v>1902</v>
      </c>
      <c r="H37" s="34">
        <f t="shared" si="0"/>
        <v>49.934365975321604</v>
      </c>
    </row>
    <row r="38" spans="1:8" s="24" customFormat="1" ht="27" customHeight="1">
      <c r="A38" s="89"/>
      <c r="B38" s="83">
        <v>75101</v>
      </c>
      <c r="C38" s="221"/>
      <c r="D38" s="164" t="s">
        <v>37</v>
      </c>
      <c r="E38" s="165">
        <f t="shared" si="2"/>
        <v>3809</v>
      </c>
      <c r="F38" s="165">
        <f t="shared" si="2"/>
        <v>3809</v>
      </c>
      <c r="G38" s="165">
        <f t="shared" si="2"/>
        <v>1902</v>
      </c>
      <c r="H38" s="124">
        <f t="shared" si="0"/>
        <v>49.934365975321604</v>
      </c>
    </row>
    <row r="39" spans="1:8" s="24" customFormat="1" ht="56.25">
      <c r="A39" s="89"/>
      <c r="B39" s="83"/>
      <c r="C39" s="221">
        <v>2010</v>
      </c>
      <c r="D39" s="164" t="s">
        <v>270</v>
      </c>
      <c r="E39" s="165">
        <v>3809</v>
      </c>
      <c r="F39" s="165">
        <v>3809</v>
      </c>
      <c r="G39" s="165">
        <v>1902</v>
      </c>
      <c r="H39" s="124">
        <f t="shared" si="0"/>
        <v>49.934365975321604</v>
      </c>
    </row>
    <row r="40" spans="1:8" s="7" customFormat="1" ht="27" customHeight="1">
      <c r="A40" s="32" t="s">
        <v>38</v>
      </c>
      <c r="B40" s="4"/>
      <c r="C40" s="232"/>
      <c r="D40" s="227" t="s">
        <v>39</v>
      </c>
      <c r="E40" s="228">
        <f>SUM(E41)</f>
        <v>3700</v>
      </c>
      <c r="F40" s="228">
        <f>SUM(F41)</f>
        <v>3700</v>
      </c>
      <c r="G40" s="228">
        <f>SUM(G41)</f>
        <v>2635.6</v>
      </c>
      <c r="H40" s="34">
        <f t="shared" si="0"/>
        <v>71.23243243243243</v>
      </c>
    </row>
    <row r="41" spans="1:8" s="24" customFormat="1" ht="21.75" customHeight="1">
      <c r="A41" s="89"/>
      <c r="B41" s="83" t="s">
        <v>40</v>
      </c>
      <c r="C41" s="221"/>
      <c r="D41" s="164" t="s">
        <v>41</v>
      </c>
      <c r="E41" s="165">
        <f>SUM(E42:E44)</f>
        <v>3700</v>
      </c>
      <c r="F41" s="165">
        <f>SUM(F42:F44)</f>
        <v>3700</v>
      </c>
      <c r="G41" s="165">
        <f>SUM(G42:G44)</f>
        <v>2635.6</v>
      </c>
      <c r="H41" s="124">
        <f t="shared" si="0"/>
        <v>71.23243243243243</v>
      </c>
    </row>
    <row r="42" spans="1:8" s="24" customFormat="1" ht="27" customHeight="1">
      <c r="A42" s="89"/>
      <c r="B42" s="59"/>
      <c r="C42" s="163" t="s">
        <v>200</v>
      </c>
      <c r="D42" s="164" t="s">
        <v>42</v>
      </c>
      <c r="E42" s="165">
        <v>3500</v>
      </c>
      <c r="F42" s="165">
        <v>3500</v>
      </c>
      <c r="G42" s="165">
        <v>2382.6</v>
      </c>
      <c r="H42" s="124">
        <f t="shared" si="0"/>
        <v>68.07428571428571</v>
      </c>
    </row>
    <row r="43" spans="1:8" s="24" customFormat="1" ht="21.75" customHeight="1">
      <c r="A43" s="89"/>
      <c r="B43" s="59"/>
      <c r="C43" s="163" t="s">
        <v>198</v>
      </c>
      <c r="D43" s="164" t="s">
        <v>27</v>
      </c>
      <c r="E43" s="165">
        <v>200</v>
      </c>
      <c r="F43" s="165">
        <v>200</v>
      </c>
      <c r="G43" s="165">
        <v>168</v>
      </c>
      <c r="H43" s="124">
        <f t="shared" si="0"/>
        <v>84</v>
      </c>
    </row>
    <row r="44" spans="1:8" s="24" customFormat="1" ht="21.75" customHeight="1">
      <c r="A44" s="89"/>
      <c r="B44" s="59"/>
      <c r="C44" s="163" t="s">
        <v>199</v>
      </c>
      <c r="D44" s="164" t="s">
        <v>28</v>
      </c>
      <c r="E44" s="165">
        <v>0</v>
      </c>
      <c r="F44" s="165">
        <v>0</v>
      </c>
      <c r="G44" s="165">
        <v>85</v>
      </c>
      <c r="H44" s="124">
        <v>0</v>
      </c>
    </row>
    <row r="45" spans="1:8" s="7" customFormat="1" ht="65.25" customHeight="1">
      <c r="A45" s="32" t="s">
        <v>43</v>
      </c>
      <c r="B45" s="4"/>
      <c r="C45" s="232"/>
      <c r="D45" s="227" t="s">
        <v>188</v>
      </c>
      <c r="E45" s="228">
        <f>SUM(E46,E49,E57,E69,E75,)</f>
        <v>19302834</v>
      </c>
      <c r="F45" s="228">
        <f>SUM(F46,F49,F57,F69,F75,)</f>
        <v>19224903</v>
      </c>
      <c r="G45" s="228">
        <f>SUM(G46,G49,G57,G69,G75,)</f>
        <v>9816238.48</v>
      </c>
      <c r="H45" s="34">
        <f t="shared" si="0"/>
        <v>51.060015647413145</v>
      </c>
    </row>
    <row r="46" spans="1:8" s="24" customFormat="1" ht="27" customHeight="1">
      <c r="A46" s="82"/>
      <c r="B46" s="59">
        <v>75601</v>
      </c>
      <c r="C46" s="221"/>
      <c r="D46" s="164" t="s">
        <v>45</v>
      </c>
      <c r="E46" s="165">
        <f>SUM(E47:E48)</f>
        <v>40426</v>
      </c>
      <c r="F46" s="165">
        <f>SUM(F47:F48)</f>
        <v>40426</v>
      </c>
      <c r="G46" s="165">
        <f>SUM(G47:G48)</f>
        <v>27957.839999999997</v>
      </c>
      <c r="H46" s="124">
        <f t="shared" si="0"/>
        <v>69.15806659080789</v>
      </c>
    </row>
    <row r="47" spans="1:8" s="24" customFormat="1" ht="33.75">
      <c r="A47" s="82"/>
      <c r="B47" s="59"/>
      <c r="C47" s="224" t="s">
        <v>201</v>
      </c>
      <c r="D47" s="164" t="s">
        <v>46</v>
      </c>
      <c r="E47" s="165">
        <v>40000</v>
      </c>
      <c r="F47" s="165">
        <v>40000</v>
      </c>
      <c r="G47" s="165">
        <v>26901.17</v>
      </c>
      <c r="H47" s="124">
        <f t="shared" si="0"/>
        <v>67.25292499999999</v>
      </c>
    </row>
    <row r="48" spans="1:8" s="24" customFormat="1" ht="27" customHeight="1">
      <c r="A48" s="82"/>
      <c r="B48" s="59"/>
      <c r="C48" s="224" t="s">
        <v>202</v>
      </c>
      <c r="D48" s="164" t="s">
        <v>562</v>
      </c>
      <c r="E48" s="165">
        <v>426</v>
      </c>
      <c r="F48" s="165">
        <v>426</v>
      </c>
      <c r="G48" s="165">
        <v>1056.67</v>
      </c>
      <c r="H48" s="124">
        <f t="shared" si="0"/>
        <v>248.04460093896714</v>
      </c>
    </row>
    <row r="49" spans="1:8" s="24" customFormat="1" ht="56.25">
      <c r="A49" s="82"/>
      <c r="B49" s="83" t="s">
        <v>47</v>
      </c>
      <c r="C49" s="221"/>
      <c r="D49" s="164" t="s">
        <v>237</v>
      </c>
      <c r="E49" s="165">
        <f>SUM(E50:E56)</f>
        <v>6978961</v>
      </c>
      <c r="F49" s="165">
        <f>SUM(F50:F56)</f>
        <v>6985961</v>
      </c>
      <c r="G49" s="165">
        <f>SUM(G50:G56)</f>
        <v>3516702.8500000006</v>
      </c>
      <c r="H49" s="124">
        <f t="shared" si="0"/>
        <v>50.33957174968484</v>
      </c>
    </row>
    <row r="50" spans="1:8" s="24" customFormat="1" ht="21.75" customHeight="1">
      <c r="A50" s="82"/>
      <c r="B50" s="83"/>
      <c r="C50" s="163" t="s">
        <v>203</v>
      </c>
      <c r="D50" s="164" t="s">
        <v>48</v>
      </c>
      <c r="E50" s="165">
        <v>6371350</v>
      </c>
      <c r="F50" s="165">
        <v>6371350</v>
      </c>
      <c r="G50" s="165">
        <v>3198344.87</v>
      </c>
      <c r="H50" s="124">
        <f t="shared" si="0"/>
        <v>50.198856914154774</v>
      </c>
    </row>
    <row r="51" spans="1:8" s="24" customFormat="1" ht="21.75" customHeight="1">
      <c r="A51" s="82"/>
      <c r="B51" s="83"/>
      <c r="C51" s="163" t="s">
        <v>204</v>
      </c>
      <c r="D51" s="164" t="s">
        <v>49</v>
      </c>
      <c r="E51" s="165">
        <v>27402</v>
      </c>
      <c r="F51" s="165">
        <v>27402</v>
      </c>
      <c r="G51" s="165">
        <v>17319.73</v>
      </c>
      <c r="H51" s="124">
        <f t="shared" si="0"/>
        <v>63.206079848186256</v>
      </c>
    </row>
    <row r="52" spans="1:8" s="24" customFormat="1" ht="21.75" customHeight="1">
      <c r="A52" s="82"/>
      <c r="B52" s="83"/>
      <c r="C52" s="163" t="s">
        <v>205</v>
      </c>
      <c r="D52" s="164" t="s">
        <v>50</v>
      </c>
      <c r="E52" s="165">
        <v>306492</v>
      </c>
      <c r="F52" s="165">
        <v>306492</v>
      </c>
      <c r="G52" s="165">
        <v>153771.2</v>
      </c>
      <c r="H52" s="124">
        <f t="shared" si="0"/>
        <v>50.17135846938909</v>
      </c>
    </row>
    <row r="53" spans="1:8" s="24" customFormat="1" ht="21.75" customHeight="1">
      <c r="A53" s="82"/>
      <c r="B53" s="83"/>
      <c r="C53" s="163" t="s">
        <v>206</v>
      </c>
      <c r="D53" s="164" t="s">
        <v>51</v>
      </c>
      <c r="E53" s="165">
        <v>38000</v>
      </c>
      <c r="F53" s="165">
        <v>38000</v>
      </c>
      <c r="G53" s="165">
        <v>27134</v>
      </c>
      <c r="H53" s="124">
        <f t="shared" si="0"/>
        <v>71.40526315789474</v>
      </c>
    </row>
    <row r="54" spans="1:8" s="24" customFormat="1" ht="21.75" customHeight="1">
      <c r="A54" s="82"/>
      <c r="B54" s="83"/>
      <c r="C54" s="163" t="s">
        <v>213</v>
      </c>
      <c r="D54" s="164" t="s">
        <v>58</v>
      </c>
      <c r="E54" s="165">
        <v>0</v>
      </c>
      <c r="F54" s="165">
        <v>0</v>
      </c>
      <c r="G54" s="165">
        <v>-18551.8</v>
      </c>
      <c r="H54" s="124">
        <v>0</v>
      </c>
    </row>
    <row r="55" spans="1:8" s="24" customFormat="1" ht="27" customHeight="1">
      <c r="A55" s="82"/>
      <c r="B55" s="83"/>
      <c r="C55" s="233" t="s">
        <v>202</v>
      </c>
      <c r="D55" s="234" t="s">
        <v>253</v>
      </c>
      <c r="E55" s="212">
        <v>7000</v>
      </c>
      <c r="F55" s="212">
        <v>14000</v>
      </c>
      <c r="G55" s="212">
        <v>24326.85</v>
      </c>
      <c r="H55" s="124">
        <f t="shared" si="0"/>
        <v>173.7632142857143</v>
      </c>
    </row>
    <row r="56" spans="1:8" s="24" customFormat="1" ht="27" customHeight="1">
      <c r="A56" s="82"/>
      <c r="B56" s="83"/>
      <c r="C56" s="163">
        <v>2680</v>
      </c>
      <c r="D56" s="164" t="s">
        <v>561</v>
      </c>
      <c r="E56" s="165">
        <v>228717</v>
      </c>
      <c r="F56" s="165">
        <v>228717</v>
      </c>
      <c r="G56" s="165">
        <v>114358</v>
      </c>
      <c r="H56" s="124">
        <f t="shared" si="0"/>
        <v>49.999781389227735</v>
      </c>
    </row>
    <row r="57" spans="1:8" s="24" customFormat="1" ht="56.25">
      <c r="A57" s="82"/>
      <c r="B57" s="83">
        <v>75616</v>
      </c>
      <c r="C57" s="163"/>
      <c r="D57" s="164" t="s">
        <v>238</v>
      </c>
      <c r="E57" s="165">
        <f>SUM(E58:E68)</f>
        <v>3276006</v>
      </c>
      <c r="F57" s="165">
        <f>SUM(F58:F68)</f>
        <v>3288006</v>
      </c>
      <c r="G57" s="165">
        <f>SUM(G58:G68)</f>
        <v>1857456.4800000002</v>
      </c>
      <c r="H57" s="124">
        <f t="shared" si="0"/>
        <v>56.49188231408338</v>
      </c>
    </row>
    <row r="58" spans="1:8" s="24" customFormat="1" ht="21.75" customHeight="1">
      <c r="A58" s="82"/>
      <c r="B58" s="83"/>
      <c r="C58" s="163" t="s">
        <v>203</v>
      </c>
      <c r="D58" s="164" t="s">
        <v>48</v>
      </c>
      <c r="E58" s="165">
        <v>2188575</v>
      </c>
      <c r="F58" s="165">
        <v>2188575</v>
      </c>
      <c r="G58" s="165">
        <v>1139570.55</v>
      </c>
      <c r="H58" s="124">
        <f t="shared" si="0"/>
        <v>52.069065487817426</v>
      </c>
    </row>
    <row r="59" spans="1:8" s="24" customFormat="1" ht="21.75" customHeight="1">
      <c r="A59" s="82"/>
      <c r="B59" s="83"/>
      <c r="C59" s="163" t="s">
        <v>204</v>
      </c>
      <c r="D59" s="164" t="s">
        <v>49</v>
      </c>
      <c r="E59" s="165">
        <v>366931</v>
      </c>
      <c r="F59" s="165">
        <v>366931</v>
      </c>
      <c r="G59" s="165">
        <v>189487.45</v>
      </c>
      <c r="H59" s="124">
        <f t="shared" si="0"/>
        <v>51.64116686788525</v>
      </c>
    </row>
    <row r="60" spans="1:8" s="24" customFormat="1" ht="21.75" customHeight="1">
      <c r="A60" s="82"/>
      <c r="B60" s="83"/>
      <c r="C60" s="163" t="s">
        <v>205</v>
      </c>
      <c r="D60" s="164" t="s">
        <v>50</v>
      </c>
      <c r="E60" s="165">
        <v>7200</v>
      </c>
      <c r="F60" s="165">
        <v>7200</v>
      </c>
      <c r="G60" s="165">
        <v>4176.09</v>
      </c>
      <c r="H60" s="124">
        <f t="shared" si="0"/>
        <v>58.001250000000006</v>
      </c>
    </row>
    <row r="61" spans="1:8" s="24" customFormat="1" ht="21.75" customHeight="1">
      <c r="A61" s="82"/>
      <c r="B61" s="83"/>
      <c r="C61" s="163" t="s">
        <v>206</v>
      </c>
      <c r="D61" s="164" t="s">
        <v>51</v>
      </c>
      <c r="E61" s="165">
        <v>195000</v>
      </c>
      <c r="F61" s="165">
        <v>195000</v>
      </c>
      <c r="G61" s="165">
        <v>130898.96</v>
      </c>
      <c r="H61" s="124">
        <f t="shared" si="0"/>
        <v>67.1276717948718</v>
      </c>
    </row>
    <row r="62" spans="1:8" s="24" customFormat="1" ht="21.75" customHeight="1">
      <c r="A62" s="82"/>
      <c r="B62" s="83"/>
      <c r="C62" s="163" t="s">
        <v>207</v>
      </c>
      <c r="D62" s="164" t="s">
        <v>53</v>
      </c>
      <c r="E62" s="165">
        <v>0</v>
      </c>
      <c r="F62" s="165">
        <v>14000</v>
      </c>
      <c r="G62" s="165">
        <v>19691.6</v>
      </c>
      <c r="H62" s="124">
        <f t="shared" si="0"/>
        <v>140.65428571428572</v>
      </c>
    </row>
    <row r="63" spans="1:8" s="24" customFormat="1" ht="21.75" customHeight="1">
      <c r="A63" s="82"/>
      <c r="B63" s="83"/>
      <c r="C63" s="163" t="s">
        <v>208</v>
      </c>
      <c r="D63" s="164" t="s">
        <v>54</v>
      </c>
      <c r="E63" s="165">
        <v>6000</v>
      </c>
      <c r="F63" s="165">
        <v>6000</v>
      </c>
      <c r="G63" s="165">
        <v>1558.3</v>
      </c>
      <c r="H63" s="124">
        <f t="shared" si="0"/>
        <v>25.971666666666664</v>
      </c>
    </row>
    <row r="64" spans="1:8" s="24" customFormat="1" ht="21.75" customHeight="1">
      <c r="A64" s="82"/>
      <c r="B64" s="83"/>
      <c r="C64" s="163" t="s">
        <v>209</v>
      </c>
      <c r="D64" s="164" t="s">
        <v>55</v>
      </c>
      <c r="E64" s="165">
        <v>70000</v>
      </c>
      <c r="F64" s="165">
        <v>70000</v>
      </c>
      <c r="G64" s="165">
        <v>21283.5</v>
      </c>
      <c r="H64" s="124">
        <f t="shared" si="0"/>
        <v>30.404999999999998</v>
      </c>
    </row>
    <row r="65" spans="1:8" s="24" customFormat="1" ht="21.75" customHeight="1">
      <c r="A65" s="82"/>
      <c r="B65" s="83"/>
      <c r="C65" s="163" t="s">
        <v>210</v>
      </c>
      <c r="D65" s="164" t="s">
        <v>56</v>
      </c>
      <c r="E65" s="165">
        <v>300</v>
      </c>
      <c r="F65" s="165">
        <v>300</v>
      </c>
      <c r="G65" s="165">
        <v>0</v>
      </c>
      <c r="H65" s="124">
        <f t="shared" si="0"/>
        <v>0</v>
      </c>
    </row>
    <row r="66" spans="1:8" s="24" customFormat="1" ht="27" customHeight="1">
      <c r="A66" s="82"/>
      <c r="B66" s="83"/>
      <c r="C66" s="163" t="s">
        <v>211</v>
      </c>
      <c r="D66" s="164" t="s">
        <v>57</v>
      </c>
      <c r="E66" s="165">
        <v>2000</v>
      </c>
      <c r="F66" s="165">
        <v>0</v>
      </c>
      <c r="G66" s="165">
        <v>0</v>
      </c>
      <c r="H66" s="124">
        <v>0</v>
      </c>
    </row>
    <row r="67" spans="1:8" s="24" customFormat="1" ht="21.75" customHeight="1">
      <c r="A67" s="82"/>
      <c r="B67" s="83"/>
      <c r="C67" s="163" t="s">
        <v>213</v>
      </c>
      <c r="D67" s="164" t="s">
        <v>58</v>
      </c>
      <c r="E67" s="165">
        <v>400000</v>
      </c>
      <c r="F67" s="165">
        <v>400000</v>
      </c>
      <c r="G67" s="165">
        <v>320409.23</v>
      </c>
      <c r="H67" s="124">
        <f t="shared" si="0"/>
        <v>80.1023075</v>
      </c>
    </row>
    <row r="68" spans="1:8" s="24" customFormat="1" ht="27" customHeight="1">
      <c r="A68" s="82"/>
      <c r="B68" s="83"/>
      <c r="C68" s="163" t="s">
        <v>202</v>
      </c>
      <c r="D68" s="164" t="s">
        <v>253</v>
      </c>
      <c r="E68" s="165">
        <v>40000</v>
      </c>
      <c r="F68" s="165">
        <v>40000</v>
      </c>
      <c r="G68" s="165">
        <v>30380.8</v>
      </c>
      <c r="H68" s="124">
        <f t="shared" si="0"/>
        <v>75.952</v>
      </c>
    </row>
    <row r="69" spans="1:8" s="24" customFormat="1" ht="33.75">
      <c r="A69" s="82"/>
      <c r="B69" s="83" t="s">
        <v>59</v>
      </c>
      <c r="C69" s="221"/>
      <c r="D69" s="164" t="s">
        <v>60</v>
      </c>
      <c r="E69" s="165">
        <f>SUM(E70:E74)</f>
        <v>604000</v>
      </c>
      <c r="F69" s="165">
        <f>SUM(F70:F74)</f>
        <v>606000</v>
      </c>
      <c r="G69" s="165">
        <f>SUM(G70:G74)</f>
        <v>320500.2</v>
      </c>
      <c r="H69" s="124">
        <f t="shared" si="0"/>
        <v>52.88782178217822</v>
      </c>
    </row>
    <row r="70" spans="1:8" s="24" customFormat="1" ht="21.75" customHeight="1">
      <c r="A70" s="82"/>
      <c r="B70" s="83"/>
      <c r="C70" s="163" t="s">
        <v>214</v>
      </c>
      <c r="D70" s="164" t="s">
        <v>61</v>
      </c>
      <c r="E70" s="165">
        <v>200000</v>
      </c>
      <c r="F70" s="165">
        <v>202000</v>
      </c>
      <c r="G70" s="165">
        <v>76505.05</v>
      </c>
      <c r="H70" s="124">
        <f t="shared" si="0"/>
        <v>37.87378712871287</v>
      </c>
    </row>
    <row r="71" spans="1:8" s="24" customFormat="1" ht="21.75" customHeight="1">
      <c r="A71" s="82"/>
      <c r="B71" s="83"/>
      <c r="C71" s="163" t="s">
        <v>212</v>
      </c>
      <c r="D71" s="164" t="s">
        <v>52</v>
      </c>
      <c r="E71" s="165">
        <v>14000</v>
      </c>
      <c r="F71" s="165">
        <v>14000</v>
      </c>
      <c r="G71" s="165">
        <v>7822.32</v>
      </c>
      <c r="H71" s="124">
        <f t="shared" si="0"/>
        <v>55.873714285714286</v>
      </c>
    </row>
    <row r="72" spans="1:8" s="24" customFormat="1" ht="30" customHeight="1">
      <c r="A72" s="82"/>
      <c r="B72" s="83"/>
      <c r="C72" s="163" t="s">
        <v>218</v>
      </c>
      <c r="D72" s="164" t="s">
        <v>286</v>
      </c>
      <c r="E72" s="165">
        <v>290000</v>
      </c>
      <c r="F72" s="165">
        <v>290000</v>
      </c>
      <c r="G72" s="165">
        <v>233089.06</v>
      </c>
      <c r="H72" s="124">
        <f t="shared" si="0"/>
        <v>80.37553793103449</v>
      </c>
    </row>
    <row r="73" spans="1:8" s="24" customFormat="1" ht="45">
      <c r="A73" s="82"/>
      <c r="B73" s="83"/>
      <c r="C73" s="163" t="s">
        <v>195</v>
      </c>
      <c r="D73" s="164" t="s">
        <v>20</v>
      </c>
      <c r="E73" s="165">
        <v>100000</v>
      </c>
      <c r="F73" s="165">
        <v>100000</v>
      </c>
      <c r="G73" s="165">
        <v>3003.77</v>
      </c>
      <c r="H73" s="124">
        <f t="shared" si="0"/>
        <v>3.0037700000000003</v>
      </c>
    </row>
    <row r="74" spans="1:8" s="24" customFormat="1" ht="27" customHeight="1">
      <c r="A74" s="82"/>
      <c r="B74" s="83"/>
      <c r="C74" s="163" t="s">
        <v>202</v>
      </c>
      <c r="D74" s="164" t="s">
        <v>253</v>
      </c>
      <c r="E74" s="165">
        <v>0</v>
      </c>
      <c r="F74" s="165">
        <v>0</v>
      </c>
      <c r="G74" s="165">
        <v>80</v>
      </c>
      <c r="H74" s="124">
        <v>0</v>
      </c>
    </row>
    <row r="75" spans="1:8" s="24" customFormat="1" ht="27" customHeight="1">
      <c r="A75" s="82"/>
      <c r="B75" s="83" t="s">
        <v>62</v>
      </c>
      <c r="C75" s="221"/>
      <c r="D75" s="164" t="s">
        <v>63</v>
      </c>
      <c r="E75" s="165">
        <f>SUM(E76:E77)</f>
        <v>8403441</v>
      </c>
      <c r="F75" s="165">
        <f>SUM(F76:F77)</f>
        <v>8304510</v>
      </c>
      <c r="G75" s="165">
        <f>SUM(G76:G77)</f>
        <v>4093621.11</v>
      </c>
      <c r="H75" s="124">
        <f t="shared" si="0"/>
        <v>49.293951238543876</v>
      </c>
    </row>
    <row r="76" spans="1:8" s="24" customFormat="1" ht="21.75" customHeight="1">
      <c r="A76" s="82"/>
      <c r="B76" s="83"/>
      <c r="C76" s="163" t="s">
        <v>215</v>
      </c>
      <c r="D76" s="164" t="s">
        <v>64</v>
      </c>
      <c r="E76" s="165">
        <v>7728441</v>
      </c>
      <c r="F76" s="165">
        <v>7629510</v>
      </c>
      <c r="G76" s="165">
        <v>3713223</v>
      </c>
      <c r="H76" s="124">
        <f t="shared" si="0"/>
        <v>48.66921991058403</v>
      </c>
    </row>
    <row r="77" spans="1:8" s="24" customFormat="1" ht="21.75" customHeight="1">
      <c r="A77" s="82"/>
      <c r="B77" s="83"/>
      <c r="C77" s="163" t="s">
        <v>216</v>
      </c>
      <c r="D77" s="164" t="s">
        <v>65</v>
      </c>
      <c r="E77" s="165">
        <v>675000</v>
      </c>
      <c r="F77" s="165">
        <v>675000</v>
      </c>
      <c r="G77" s="165">
        <v>380398.11</v>
      </c>
      <c r="H77" s="124">
        <f t="shared" si="0"/>
        <v>56.35527555555555</v>
      </c>
    </row>
    <row r="78" spans="1:8" s="7" customFormat="1" ht="21.75" customHeight="1">
      <c r="A78" s="32" t="s">
        <v>66</v>
      </c>
      <c r="B78" s="4"/>
      <c r="C78" s="232"/>
      <c r="D78" s="227" t="s">
        <v>67</v>
      </c>
      <c r="E78" s="228">
        <f>SUM(E79,E81,E83,E87,E85)</f>
        <v>15318162</v>
      </c>
      <c r="F78" s="228">
        <f>SUM(F79,F81,F83,F87,F85)</f>
        <v>14991773</v>
      </c>
      <c r="G78" s="228">
        <f>SUM(G79,G81,G83,G87,G85)</f>
        <v>8856053.69</v>
      </c>
      <c r="H78" s="34">
        <f t="shared" si="0"/>
        <v>59.07275737165977</v>
      </c>
    </row>
    <row r="79" spans="1:8" s="24" customFormat="1" ht="27" customHeight="1">
      <c r="A79" s="82"/>
      <c r="B79" s="83" t="s">
        <v>68</v>
      </c>
      <c r="C79" s="221"/>
      <c r="D79" s="164" t="s">
        <v>69</v>
      </c>
      <c r="E79" s="165">
        <f>SUM(E80)</f>
        <v>12093870</v>
      </c>
      <c r="F79" s="165">
        <f>SUM(F80)</f>
        <v>11727481</v>
      </c>
      <c r="G79" s="165">
        <f>SUM(G80)</f>
        <v>7216912</v>
      </c>
      <c r="H79" s="124">
        <f aca="true" t="shared" si="3" ref="H79:H144">G79/F79*100</f>
        <v>61.53846678583405</v>
      </c>
    </row>
    <row r="80" spans="1:8" s="24" customFormat="1" ht="21.75" customHeight="1">
      <c r="A80" s="82"/>
      <c r="B80" s="83"/>
      <c r="C80" s="163">
        <v>2920</v>
      </c>
      <c r="D80" s="164" t="s">
        <v>70</v>
      </c>
      <c r="E80" s="165">
        <v>12093870</v>
      </c>
      <c r="F80" s="165">
        <v>11727481</v>
      </c>
      <c r="G80" s="165">
        <v>7216912</v>
      </c>
      <c r="H80" s="124">
        <f t="shared" si="3"/>
        <v>61.53846678583405</v>
      </c>
    </row>
    <row r="81" spans="1:8" s="24" customFormat="1" ht="27" customHeight="1">
      <c r="A81" s="82"/>
      <c r="B81" s="83" t="s">
        <v>229</v>
      </c>
      <c r="C81" s="221"/>
      <c r="D81" s="164" t="s">
        <v>228</v>
      </c>
      <c r="E81" s="165">
        <f>SUM(E82)</f>
        <v>2424673</v>
      </c>
      <c r="F81" s="165">
        <f>SUM(F82)</f>
        <v>2424673</v>
      </c>
      <c r="G81" s="165">
        <f>SUM(G82)</f>
        <v>1212336</v>
      </c>
      <c r="H81" s="124">
        <f t="shared" si="3"/>
        <v>49.99997937866261</v>
      </c>
    </row>
    <row r="82" spans="1:8" s="24" customFormat="1" ht="21.75" customHeight="1">
      <c r="A82" s="82"/>
      <c r="B82" s="83"/>
      <c r="C82" s="163">
        <v>2920</v>
      </c>
      <c r="D82" s="164" t="s">
        <v>70</v>
      </c>
      <c r="E82" s="165">
        <v>2424673</v>
      </c>
      <c r="F82" s="165">
        <v>2424673</v>
      </c>
      <c r="G82" s="165">
        <v>1212336</v>
      </c>
      <c r="H82" s="124">
        <f t="shared" si="3"/>
        <v>49.99997937866261</v>
      </c>
    </row>
    <row r="83" spans="1:8" s="24" customFormat="1" ht="21.75" customHeight="1">
      <c r="A83" s="82"/>
      <c r="B83" s="83">
        <v>75814</v>
      </c>
      <c r="C83" s="221"/>
      <c r="D83" s="164" t="s">
        <v>71</v>
      </c>
      <c r="E83" s="165">
        <f>SUM(E84)</f>
        <v>10000</v>
      </c>
      <c r="F83" s="165">
        <f>SUM(F84)</f>
        <v>50000</v>
      </c>
      <c r="G83" s="165">
        <f>SUM(G84)</f>
        <v>31601.94</v>
      </c>
      <c r="H83" s="124">
        <f t="shared" si="3"/>
        <v>63.20388</v>
      </c>
    </row>
    <row r="84" spans="1:8" s="24" customFormat="1" ht="21.75" customHeight="1">
      <c r="A84" s="82"/>
      <c r="B84" s="83"/>
      <c r="C84" s="163" t="s">
        <v>198</v>
      </c>
      <c r="D84" s="164" t="s">
        <v>27</v>
      </c>
      <c r="E84" s="165">
        <v>10000</v>
      </c>
      <c r="F84" s="165">
        <v>50000</v>
      </c>
      <c r="G84" s="165">
        <v>31601.94</v>
      </c>
      <c r="H84" s="124">
        <f t="shared" si="3"/>
        <v>63.20388</v>
      </c>
    </row>
    <row r="85" spans="1:8" s="24" customFormat="1" ht="21.75" customHeight="1">
      <c r="A85" s="82"/>
      <c r="B85" s="83">
        <v>75815</v>
      </c>
      <c r="C85" s="163"/>
      <c r="D85" s="164" t="s">
        <v>528</v>
      </c>
      <c r="E85" s="165">
        <f>SUM(E86)</f>
        <v>0</v>
      </c>
      <c r="F85" s="165">
        <f>SUM(F86)</f>
        <v>0</v>
      </c>
      <c r="G85" s="165">
        <f>SUM(G86)</f>
        <v>391.75</v>
      </c>
      <c r="H85" s="124">
        <v>0</v>
      </c>
    </row>
    <row r="86" spans="1:8" s="24" customFormat="1" ht="21.75" customHeight="1">
      <c r="A86" s="82"/>
      <c r="B86" s="83"/>
      <c r="C86" s="163">
        <v>2980</v>
      </c>
      <c r="D86" s="164" t="s">
        <v>529</v>
      </c>
      <c r="E86" s="165">
        <v>0</v>
      </c>
      <c r="F86" s="165">
        <v>0</v>
      </c>
      <c r="G86" s="165">
        <v>391.75</v>
      </c>
      <c r="H86" s="124">
        <v>0</v>
      </c>
    </row>
    <row r="87" spans="1:8" s="24" customFormat="1" ht="27" customHeight="1">
      <c r="A87" s="82"/>
      <c r="B87" s="83" t="s">
        <v>272</v>
      </c>
      <c r="C87" s="221"/>
      <c r="D87" s="164" t="s">
        <v>273</v>
      </c>
      <c r="E87" s="165">
        <f>SUM(E88)</f>
        <v>789619</v>
      </c>
      <c r="F87" s="165">
        <f>SUM(F88)</f>
        <v>789619</v>
      </c>
      <c r="G87" s="165">
        <f>SUM(G88)</f>
        <v>394812</v>
      </c>
      <c r="H87" s="124">
        <f t="shared" si="3"/>
        <v>50.00031660838962</v>
      </c>
    </row>
    <row r="88" spans="1:8" s="24" customFormat="1" ht="21.75" customHeight="1">
      <c r="A88" s="82"/>
      <c r="B88" s="83"/>
      <c r="C88" s="163">
        <v>2920</v>
      </c>
      <c r="D88" s="164" t="s">
        <v>70</v>
      </c>
      <c r="E88" s="165">
        <v>789619</v>
      </c>
      <c r="F88" s="165">
        <v>789619</v>
      </c>
      <c r="G88" s="165">
        <v>394812</v>
      </c>
      <c r="H88" s="124">
        <f t="shared" si="3"/>
        <v>50.00031660838962</v>
      </c>
    </row>
    <row r="89" spans="1:8" s="24" customFormat="1" ht="21.75" customHeight="1">
      <c r="A89" s="37" t="s">
        <v>133</v>
      </c>
      <c r="B89" s="38"/>
      <c r="C89" s="229"/>
      <c r="D89" s="230" t="s">
        <v>134</v>
      </c>
      <c r="E89" s="228">
        <f>SUM(E90,E96,E100,)</f>
        <v>56073</v>
      </c>
      <c r="F89" s="228">
        <f>SUM(F90,F96,F100,)</f>
        <v>193517</v>
      </c>
      <c r="G89" s="228">
        <f>SUM(G90,G96,G100,)</f>
        <v>177196.24</v>
      </c>
      <c r="H89" s="34">
        <f t="shared" si="3"/>
        <v>91.56623965853129</v>
      </c>
    </row>
    <row r="90" spans="1:8" s="24" customFormat="1" ht="21.75" customHeight="1">
      <c r="A90" s="77"/>
      <c r="B90" s="94" t="s">
        <v>135</v>
      </c>
      <c r="C90" s="231"/>
      <c r="D90" s="211" t="s">
        <v>72</v>
      </c>
      <c r="E90" s="165">
        <f>SUM(E91:E95)</f>
        <v>41675</v>
      </c>
      <c r="F90" s="165">
        <f>SUM(F91:F95)</f>
        <v>86062</v>
      </c>
      <c r="G90" s="165">
        <f>SUM(G91:G95)</f>
        <v>74778.41</v>
      </c>
      <c r="H90" s="124">
        <f t="shared" si="3"/>
        <v>86.88899862889545</v>
      </c>
    </row>
    <row r="91" spans="1:8" s="24" customFormat="1" ht="67.5">
      <c r="A91" s="94"/>
      <c r="B91" s="77"/>
      <c r="C91" s="235" t="s">
        <v>197</v>
      </c>
      <c r="D91" s="211" t="s">
        <v>77</v>
      </c>
      <c r="E91" s="165">
        <v>38735</v>
      </c>
      <c r="F91" s="165">
        <v>38735</v>
      </c>
      <c r="G91" s="165">
        <v>25309.7</v>
      </c>
      <c r="H91" s="124">
        <f t="shared" si="3"/>
        <v>65.3406479927714</v>
      </c>
    </row>
    <row r="92" spans="1:8" s="24" customFormat="1" ht="21.75" customHeight="1">
      <c r="A92" s="94"/>
      <c r="B92" s="77"/>
      <c r="C92" s="236" t="s">
        <v>199</v>
      </c>
      <c r="D92" s="164" t="s">
        <v>28</v>
      </c>
      <c r="E92" s="165">
        <v>0</v>
      </c>
      <c r="F92" s="165">
        <v>0</v>
      </c>
      <c r="G92" s="165">
        <v>11732.66</v>
      </c>
      <c r="H92" s="124">
        <v>0</v>
      </c>
    </row>
    <row r="93" spans="1:8" s="24" customFormat="1" ht="45">
      <c r="A93" s="94"/>
      <c r="B93" s="77"/>
      <c r="C93" s="236">
        <v>2030</v>
      </c>
      <c r="D93" s="164" t="s">
        <v>255</v>
      </c>
      <c r="E93" s="165">
        <v>0</v>
      </c>
      <c r="F93" s="165">
        <v>33110</v>
      </c>
      <c r="G93" s="165">
        <v>24834</v>
      </c>
      <c r="H93" s="124">
        <f t="shared" si="3"/>
        <v>75.00453035336756</v>
      </c>
    </row>
    <row r="94" spans="1:8" s="24" customFormat="1" ht="56.25">
      <c r="A94" s="94"/>
      <c r="B94" s="77"/>
      <c r="C94" s="236">
        <v>2310</v>
      </c>
      <c r="D94" s="211" t="s">
        <v>463</v>
      </c>
      <c r="E94" s="165">
        <v>2940</v>
      </c>
      <c r="F94" s="165">
        <v>2940</v>
      </c>
      <c r="G94" s="165">
        <v>1625.36</v>
      </c>
      <c r="H94" s="124">
        <f t="shared" si="3"/>
        <v>55.284353741496595</v>
      </c>
    </row>
    <row r="95" spans="1:8" s="24" customFormat="1" ht="33.75">
      <c r="A95" s="94"/>
      <c r="B95" s="77"/>
      <c r="C95" s="236">
        <v>2400</v>
      </c>
      <c r="D95" s="164" t="s">
        <v>465</v>
      </c>
      <c r="E95" s="165">
        <v>0</v>
      </c>
      <c r="F95" s="165">
        <v>11277</v>
      </c>
      <c r="G95" s="165">
        <v>11276.69</v>
      </c>
      <c r="H95" s="124">
        <f t="shared" si="3"/>
        <v>99.99725104194378</v>
      </c>
    </row>
    <row r="96" spans="1:8" s="24" customFormat="1" ht="21.75" customHeight="1">
      <c r="A96" s="82"/>
      <c r="B96" s="83">
        <v>80104</v>
      </c>
      <c r="C96" s="163"/>
      <c r="D96" s="211" t="s">
        <v>148</v>
      </c>
      <c r="E96" s="165">
        <f>SUM(E97)</f>
        <v>6569</v>
      </c>
      <c r="F96" s="165">
        <f>SUM(F97:F99)</f>
        <v>93408</v>
      </c>
      <c r="G96" s="165">
        <f>SUM(G97:G99)</f>
        <v>92467.45</v>
      </c>
      <c r="H96" s="124">
        <f t="shared" si="3"/>
        <v>98.99307339842412</v>
      </c>
    </row>
    <row r="97" spans="1:8" s="24" customFormat="1" ht="67.5">
      <c r="A97" s="82"/>
      <c r="B97" s="83"/>
      <c r="C97" s="163" t="s">
        <v>197</v>
      </c>
      <c r="D97" s="211" t="s">
        <v>77</v>
      </c>
      <c r="E97" s="165">
        <v>6569</v>
      </c>
      <c r="F97" s="165">
        <v>6569</v>
      </c>
      <c r="G97" s="165">
        <v>5128.92</v>
      </c>
      <c r="H97" s="124">
        <f t="shared" si="3"/>
        <v>78.07763738773025</v>
      </c>
    </row>
    <row r="98" spans="1:8" s="24" customFormat="1" ht="21.75" customHeight="1">
      <c r="A98" s="82"/>
      <c r="B98" s="83"/>
      <c r="C98" s="163" t="s">
        <v>199</v>
      </c>
      <c r="D98" s="234" t="s">
        <v>28</v>
      </c>
      <c r="E98" s="165">
        <v>0</v>
      </c>
      <c r="F98" s="165">
        <v>0</v>
      </c>
      <c r="G98" s="165">
        <v>500</v>
      </c>
      <c r="H98" s="124">
        <v>0</v>
      </c>
    </row>
    <row r="99" spans="1:8" s="24" customFormat="1" ht="33.75">
      <c r="A99" s="82"/>
      <c r="B99" s="83"/>
      <c r="C99" s="163">
        <v>2400</v>
      </c>
      <c r="D99" s="164" t="s">
        <v>465</v>
      </c>
      <c r="E99" s="165">
        <v>0</v>
      </c>
      <c r="F99" s="165">
        <v>86839</v>
      </c>
      <c r="G99" s="165">
        <v>86838.53</v>
      </c>
      <c r="H99" s="124">
        <f t="shared" si="3"/>
        <v>99.99945876852566</v>
      </c>
    </row>
    <row r="100" spans="1:8" s="24" customFormat="1" ht="21.75" customHeight="1">
      <c r="A100" s="82"/>
      <c r="B100" s="83">
        <v>80110</v>
      </c>
      <c r="C100" s="163"/>
      <c r="D100" s="211" t="s">
        <v>73</v>
      </c>
      <c r="E100" s="165">
        <f>SUM(E101)</f>
        <v>7829</v>
      </c>
      <c r="F100" s="165">
        <f>SUM(F101:F103)</f>
        <v>14047</v>
      </c>
      <c r="G100" s="165">
        <f>SUM(G101:G103)</f>
        <v>9950.38</v>
      </c>
      <c r="H100" s="124">
        <f t="shared" si="3"/>
        <v>70.8363351605325</v>
      </c>
    </row>
    <row r="101" spans="1:8" s="24" customFormat="1" ht="67.5">
      <c r="A101" s="82"/>
      <c r="B101" s="83"/>
      <c r="C101" s="163" t="s">
        <v>197</v>
      </c>
      <c r="D101" s="211" t="s">
        <v>77</v>
      </c>
      <c r="E101" s="165">
        <v>7829</v>
      </c>
      <c r="F101" s="165">
        <v>7829</v>
      </c>
      <c r="G101" s="165">
        <v>3203.39</v>
      </c>
      <c r="H101" s="124">
        <f t="shared" si="3"/>
        <v>40.91697534806489</v>
      </c>
    </row>
    <row r="102" spans="1:8" s="24" customFormat="1" ht="21.75" customHeight="1">
      <c r="A102" s="82"/>
      <c r="B102" s="83"/>
      <c r="C102" s="163" t="s">
        <v>199</v>
      </c>
      <c r="D102" s="234" t="s">
        <v>28</v>
      </c>
      <c r="E102" s="165">
        <v>0</v>
      </c>
      <c r="F102" s="165">
        <v>0</v>
      </c>
      <c r="G102" s="165">
        <v>528.55</v>
      </c>
      <c r="H102" s="124">
        <v>0</v>
      </c>
    </row>
    <row r="103" spans="1:8" s="24" customFormat="1" ht="33.75">
      <c r="A103" s="82"/>
      <c r="B103" s="83"/>
      <c r="C103" s="163">
        <v>2400</v>
      </c>
      <c r="D103" s="164" t="s">
        <v>447</v>
      </c>
      <c r="E103" s="165">
        <v>0</v>
      </c>
      <c r="F103" s="165">
        <v>6218</v>
      </c>
      <c r="G103" s="165">
        <v>6218.44</v>
      </c>
      <c r="H103" s="124">
        <f t="shared" si="3"/>
        <v>100.00707623029912</v>
      </c>
    </row>
    <row r="104" spans="1:8" s="45" customFormat="1" ht="21.75" customHeight="1">
      <c r="A104" s="32">
        <v>851</v>
      </c>
      <c r="B104" s="35"/>
      <c r="C104" s="237"/>
      <c r="D104" s="227" t="s">
        <v>515</v>
      </c>
      <c r="E104" s="228">
        <f aca="true" t="shared" si="4" ref="E104:G105">SUM(E105)</f>
        <v>0</v>
      </c>
      <c r="F104" s="228">
        <f t="shared" si="4"/>
        <v>0</v>
      </c>
      <c r="G104" s="228">
        <f t="shared" si="4"/>
        <v>784.3</v>
      </c>
      <c r="H104" s="34">
        <v>0</v>
      </c>
    </row>
    <row r="105" spans="1:8" s="24" customFormat="1" ht="21.75" customHeight="1">
      <c r="A105" s="82"/>
      <c r="B105" s="83">
        <v>85154</v>
      </c>
      <c r="C105" s="163"/>
      <c r="D105" s="164" t="s">
        <v>75</v>
      </c>
      <c r="E105" s="165">
        <f t="shared" si="4"/>
        <v>0</v>
      </c>
      <c r="F105" s="165">
        <f t="shared" si="4"/>
        <v>0</v>
      </c>
      <c r="G105" s="165">
        <f t="shared" si="4"/>
        <v>784.3</v>
      </c>
      <c r="H105" s="124">
        <v>0</v>
      </c>
    </row>
    <row r="106" spans="1:8" s="24" customFormat="1" ht="21.75" customHeight="1">
      <c r="A106" s="82"/>
      <c r="B106" s="83"/>
      <c r="C106" s="163" t="s">
        <v>199</v>
      </c>
      <c r="D106" s="164" t="s">
        <v>28</v>
      </c>
      <c r="E106" s="165">
        <v>0</v>
      </c>
      <c r="F106" s="165">
        <v>0</v>
      </c>
      <c r="G106" s="165">
        <v>784.3</v>
      </c>
      <c r="H106" s="124">
        <v>0</v>
      </c>
    </row>
    <row r="107" spans="1:8" s="7" customFormat="1" ht="21.75" customHeight="1">
      <c r="A107" s="32" t="s">
        <v>190</v>
      </c>
      <c r="B107" s="4"/>
      <c r="C107" s="232"/>
      <c r="D107" s="227" t="s">
        <v>232</v>
      </c>
      <c r="E107" s="228">
        <f>SUM(E108,E112,E114,E117,E122,)</f>
        <v>9752400</v>
      </c>
      <c r="F107" s="228">
        <f>SUM(F108,F112,F114,F117,F122,)</f>
        <v>10005826</v>
      </c>
      <c r="G107" s="228">
        <f>SUM(G108,G112,G114,G117,G122,)</f>
        <v>5181967.6899999995</v>
      </c>
      <c r="H107" s="34">
        <f t="shared" si="3"/>
        <v>51.78950433477455</v>
      </c>
    </row>
    <row r="108" spans="1:8" s="24" customFormat="1" ht="45">
      <c r="A108" s="82"/>
      <c r="B108" s="59">
        <v>85212</v>
      </c>
      <c r="C108" s="224"/>
      <c r="D108" s="164" t="s">
        <v>282</v>
      </c>
      <c r="E108" s="165">
        <f>SUM(E109:E111)</f>
        <v>7819800</v>
      </c>
      <c r="F108" s="165">
        <f>SUM(F109:F111)</f>
        <v>7827700</v>
      </c>
      <c r="G108" s="165">
        <f>SUM(G109:G111)</f>
        <v>3811227.19</v>
      </c>
      <c r="H108" s="124">
        <f t="shared" si="3"/>
        <v>48.688978754934396</v>
      </c>
    </row>
    <row r="109" spans="1:8" s="24" customFormat="1" ht="21.75" customHeight="1">
      <c r="A109" s="82"/>
      <c r="B109" s="59"/>
      <c r="C109" s="224" t="s">
        <v>199</v>
      </c>
      <c r="D109" s="164" t="s">
        <v>28</v>
      </c>
      <c r="E109" s="165">
        <v>15000</v>
      </c>
      <c r="F109" s="165">
        <v>0</v>
      </c>
      <c r="G109" s="165">
        <v>0</v>
      </c>
      <c r="H109" s="124">
        <v>0</v>
      </c>
    </row>
    <row r="110" spans="1:8" s="24" customFormat="1" ht="56.25">
      <c r="A110" s="82"/>
      <c r="B110" s="59"/>
      <c r="C110" s="224">
        <v>2010</v>
      </c>
      <c r="D110" s="164" t="s">
        <v>270</v>
      </c>
      <c r="E110" s="165">
        <v>7804800</v>
      </c>
      <c r="F110" s="165">
        <v>7812700</v>
      </c>
      <c r="G110" s="165">
        <v>3801200</v>
      </c>
      <c r="H110" s="124">
        <f t="shared" si="3"/>
        <v>48.65411445466996</v>
      </c>
    </row>
    <row r="111" spans="1:8" s="24" customFormat="1" ht="45">
      <c r="A111" s="82"/>
      <c r="B111" s="59"/>
      <c r="C111" s="224">
        <v>2360</v>
      </c>
      <c r="D111" s="164" t="s">
        <v>226</v>
      </c>
      <c r="E111" s="165">
        <v>0</v>
      </c>
      <c r="F111" s="165">
        <v>15000</v>
      </c>
      <c r="G111" s="165">
        <v>10027.19</v>
      </c>
      <c r="H111" s="124">
        <f t="shared" si="3"/>
        <v>66.84793333333333</v>
      </c>
    </row>
    <row r="112" spans="1:8" s="24" customFormat="1" ht="56.25">
      <c r="A112" s="82"/>
      <c r="B112" s="59">
        <v>85213</v>
      </c>
      <c r="C112" s="221"/>
      <c r="D112" s="164" t="s">
        <v>254</v>
      </c>
      <c r="E112" s="165">
        <f>SUM(E113)</f>
        <v>99900</v>
      </c>
      <c r="F112" s="165">
        <f>SUM(F113)</f>
        <v>78400</v>
      </c>
      <c r="G112" s="165">
        <f>SUM(G113)</f>
        <v>42782</v>
      </c>
      <c r="H112" s="124">
        <f t="shared" si="3"/>
        <v>54.568877551020414</v>
      </c>
    </row>
    <row r="113" spans="1:8" s="24" customFormat="1" ht="56.25">
      <c r="A113" s="82"/>
      <c r="B113" s="59"/>
      <c r="C113" s="221">
        <v>2010</v>
      </c>
      <c r="D113" s="164" t="s">
        <v>270</v>
      </c>
      <c r="E113" s="165">
        <v>99900</v>
      </c>
      <c r="F113" s="165">
        <v>78400</v>
      </c>
      <c r="G113" s="165">
        <v>42782</v>
      </c>
      <c r="H113" s="124">
        <f t="shared" si="3"/>
        <v>54.568877551020414</v>
      </c>
    </row>
    <row r="114" spans="1:8" s="24" customFormat="1" ht="22.5">
      <c r="A114" s="82"/>
      <c r="B114" s="83" t="s">
        <v>191</v>
      </c>
      <c r="C114" s="221"/>
      <c r="D114" s="164" t="s">
        <v>78</v>
      </c>
      <c r="E114" s="165">
        <f>SUM(E115:E116)</f>
        <v>1011100</v>
      </c>
      <c r="F114" s="165">
        <f>SUM(F115:F116)</f>
        <v>1043348</v>
      </c>
      <c r="G114" s="165">
        <f>SUM(G115:G116)</f>
        <v>572890</v>
      </c>
      <c r="H114" s="124">
        <f t="shared" si="3"/>
        <v>54.908812783462466</v>
      </c>
    </row>
    <row r="115" spans="1:8" s="24" customFormat="1" ht="56.25">
      <c r="A115" s="82"/>
      <c r="B115" s="83"/>
      <c r="C115" s="163">
        <v>2010</v>
      </c>
      <c r="D115" s="164" t="s">
        <v>270</v>
      </c>
      <c r="E115" s="165">
        <v>439200</v>
      </c>
      <c r="F115" s="165">
        <v>437000</v>
      </c>
      <c r="G115" s="165">
        <v>228656</v>
      </c>
      <c r="H115" s="124">
        <f t="shared" si="3"/>
        <v>52.32402745995424</v>
      </c>
    </row>
    <row r="116" spans="1:8" s="24" customFormat="1" ht="33.75">
      <c r="A116" s="82"/>
      <c r="B116" s="83"/>
      <c r="C116" s="163">
        <v>2030</v>
      </c>
      <c r="D116" s="164" t="s">
        <v>271</v>
      </c>
      <c r="E116" s="165">
        <v>571900</v>
      </c>
      <c r="F116" s="165">
        <v>606348</v>
      </c>
      <c r="G116" s="165">
        <v>344234</v>
      </c>
      <c r="H116" s="124">
        <f t="shared" si="3"/>
        <v>56.77168886514015</v>
      </c>
    </row>
    <row r="117" spans="1:8" s="24" customFormat="1" ht="21.75" customHeight="1">
      <c r="A117" s="82"/>
      <c r="B117" s="83" t="s">
        <v>192</v>
      </c>
      <c r="C117" s="221"/>
      <c r="D117" s="164" t="s">
        <v>80</v>
      </c>
      <c r="E117" s="165">
        <f>SUM(E118:E121)</f>
        <v>493400</v>
      </c>
      <c r="F117" s="165">
        <f>SUM(F118:F121)</f>
        <v>493400</v>
      </c>
      <c r="G117" s="165">
        <f>SUM(G118:G121)</f>
        <v>309480.5</v>
      </c>
      <c r="H117" s="124">
        <f t="shared" si="3"/>
        <v>62.724057559789216</v>
      </c>
    </row>
    <row r="118" spans="1:8" s="24" customFormat="1" ht="67.5">
      <c r="A118" s="82"/>
      <c r="B118" s="83"/>
      <c r="C118" s="224" t="s">
        <v>197</v>
      </c>
      <c r="D118" s="164" t="s">
        <v>77</v>
      </c>
      <c r="E118" s="165">
        <v>2000</v>
      </c>
      <c r="F118" s="165">
        <v>2000</v>
      </c>
      <c r="G118" s="165">
        <v>2587</v>
      </c>
      <c r="H118" s="124">
        <f t="shared" si="3"/>
        <v>129.35000000000002</v>
      </c>
    </row>
    <row r="119" spans="1:8" s="24" customFormat="1" ht="21.75" customHeight="1">
      <c r="A119" s="82"/>
      <c r="B119" s="83"/>
      <c r="C119" s="224" t="s">
        <v>241</v>
      </c>
      <c r="D119" s="164" t="s">
        <v>242</v>
      </c>
      <c r="E119" s="165">
        <v>153000</v>
      </c>
      <c r="F119" s="165">
        <v>153000</v>
      </c>
      <c r="G119" s="165">
        <v>119218.5</v>
      </c>
      <c r="H119" s="124">
        <f t="shared" si="3"/>
        <v>77.92058823529412</v>
      </c>
    </row>
    <row r="120" spans="1:8" s="24" customFormat="1" ht="21.75" customHeight="1">
      <c r="A120" s="82"/>
      <c r="B120" s="83"/>
      <c r="C120" s="224" t="s">
        <v>199</v>
      </c>
      <c r="D120" s="164" t="s">
        <v>28</v>
      </c>
      <c r="E120" s="165">
        <v>0</v>
      </c>
      <c r="F120" s="165">
        <v>0</v>
      </c>
      <c r="G120" s="165">
        <v>880</v>
      </c>
      <c r="H120" s="124">
        <v>0</v>
      </c>
    </row>
    <row r="121" spans="1:8" s="24" customFormat="1" ht="33.75">
      <c r="A121" s="82"/>
      <c r="B121" s="83"/>
      <c r="C121" s="163">
        <v>2030</v>
      </c>
      <c r="D121" s="164" t="s">
        <v>271</v>
      </c>
      <c r="E121" s="165">
        <v>338400</v>
      </c>
      <c r="F121" s="165">
        <v>338400</v>
      </c>
      <c r="G121" s="165">
        <v>186795</v>
      </c>
      <c r="H121" s="124">
        <f t="shared" si="3"/>
        <v>55.19946808510638</v>
      </c>
    </row>
    <row r="122" spans="1:8" s="24" customFormat="1" ht="21.75" customHeight="1">
      <c r="A122" s="82"/>
      <c r="B122" s="83">
        <v>85295</v>
      </c>
      <c r="C122" s="163"/>
      <c r="D122" s="164" t="s">
        <v>256</v>
      </c>
      <c r="E122" s="165">
        <f>SUM(E123)</f>
        <v>328200</v>
      </c>
      <c r="F122" s="165">
        <f>SUM(F123)</f>
        <v>562978</v>
      </c>
      <c r="G122" s="165">
        <f>SUM(G123)</f>
        <v>445588</v>
      </c>
      <c r="H122" s="124">
        <f t="shared" si="3"/>
        <v>79.14838590495543</v>
      </c>
    </row>
    <row r="123" spans="1:8" s="24" customFormat="1" ht="33.75">
      <c r="A123" s="82"/>
      <c r="B123" s="83"/>
      <c r="C123" s="163">
        <v>2030</v>
      </c>
      <c r="D123" s="164" t="s">
        <v>271</v>
      </c>
      <c r="E123" s="165">
        <v>328200</v>
      </c>
      <c r="F123" s="165">
        <v>562978</v>
      </c>
      <c r="G123" s="165">
        <v>445588</v>
      </c>
      <c r="H123" s="124">
        <f t="shared" si="3"/>
        <v>79.14838590495543</v>
      </c>
    </row>
    <row r="124" spans="1:8" s="45" customFormat="1" ht="21.75" customHeight="1">
      <c r="A124" s="32">
        <v>854</v>
      </c>
      <c r="B124" s="35"/>
      <c r="C124" s="237"/>
      <c r="D124" s="227" t="s">
        <v>81</v>
      </c>
      <c r="E124" s="228">
        <f aca="true" t="shared" si="5" ref="E124:G125">SUM(E125)</f>
        <v>0</v>
      </c>
      <c r="F124" s="228">
        <f t="shared" si="5"/>
        <v>252197</v>
      </c>
      <c r="G124" s="228">
        <f t="shared" si="5"/>
        <v>210166</v>
      </c>
      <c r="H124" s="34">
        <f t="shared" si="3"/>
        <v>83.33406027827452</v>
      </c>
    </row>
    <row r="125" spans="1:8" s="24" customFormat="1" ht="21.75" customHeight="1">
      <c r="A125" s="82"/>
      <c r="B125" s="83">
        <v>85415</v>
      </c>
      <c r="C125" s="163"/>
      <c r="D125" s="164" t="s">
        <v>460</v>
      </c>
      <c r="E125" s="165">
        <f t="shared" si="5"/>
        <v>0</v>
      </c>
      <c r="F125" s="165">
        <f t="shared" si="5"/>
        <v>252197</v>
      </c>
      <c r="G125" s="165">
        <f t="shared" si="5"/>
        <v>210166</v>
      </c>
      <c r="H125" s="34">
        <f t="shared" si="3"/>
        <v>83.33406027827452</v>
      </c>
    </row>
    <row r="126" spans="1:8" s="24" customFormat="1" ht="54" customHeight="1">
      <c r="A126" s="82"/>
      <c r="B126" s="83"/>
      <c r="C126" s="163">
        <v>2030</v>
      </c>
      <c r="D126" s="164" t="s">
        <v>255</v>
      </c>
      <c r="E126" s="165">
        <v>0</v>
      </c>
      <c r="F126" s="165">
        <v>252197</v>
      </c>
      <c r="G126" s="165">
        <v>210166</v>
      </c>
      <c r="H126" s="34">
        <f t="shared" si="3"/>
        <v>83.33406027827452</v>
      </c>
    </row>
    <row r="127" spans="1:8" s="8" customFormat="1" ht="27" customHeight="1">
      <c r="A127" s="32">
        <v>900</v>
      </c>
      <c r="B127" s="35"/>
      <c r="C127" s="237"/>
      <c r="D127" s="227" t="s">
        <v>83</v>
      </c>
      <c r="E127" s="228">
        <f>SUM(E133)</f>
        <v>6000</v>
      </c>
      <c r="F127" s="228">
        <f>SUM(F133,F128,F131)</f>
        <v>1608188</v>
      </c>
      <c r="G127" s="228">
        <f>SUM(G133,G128,G131)</f>
        <v>1609177.82</v>
      </c>
      <c r="H127" s="34">
        <f t="shared" si="3"/>
        <v>100.0615487741483</v>
      </c>
    </row>
    <row r="128" spans="1:8" s="24" customFormat="1" ht="21.75" customHeight="1">
      <c r="A128" s="82"/>
      <c r="B128" s="83">
        <v>90001</v>
      </c>
      <c r="C128" s="163"/>
      <c r="D128" s="164" t="s">
        <v>84</v>
      </c>
      <c r="E128" s="165">
        <f>SUM(E129:E130)</f>
        <v>0</v>
      </c>
      <c r="F128" s="165">
        <f>SUM(F129:F130)</f>
        <v>1598781</v>
      </c>
      <c r="G128" s="165">
        <f>SUM(G129:G130)</f>
        <v>1599808.5</v>
      </c>
      <c r="H128" s="124">
        <f t="shared" si="3"/>
        <v>100.06426771396457</v>
      </c>
    </row>
    <row r="129" spans="1:8" s="24" customFormat="1" ht="21.75" customHeight="1">
      <c r="A129" s="82"/>
      <c r="B129" s="83"/>
      <c r="C129" s="163" t="s">
        <v>199</v>
      </c>
      <c r="D129" s="164" t="s">
        <v>28</v>
      </c>
      <c r="E129" s="165">
        <v>0</v>
      </c>
      <c r="F129" s="165">
        <v>0</v>
      </c>
      <c r="G129" s="165">
        <v>1028.06</v>
      </c>
      <c r="H129" s="124">
        <v>0</v>
      </c>
    </row>
    <row r="130" spans="1:8" s="24" customFormat="1" ht="56.25">
      <c r="A130" s="82"/>
      <c r="B130" s="83"/>
      <c r="C130" s="163">
        <v>6298</v>
      </c>
      <c r="D130" s="164" t="s">
        <v>474</v>
      </c>
      <c r="E130" s="165">
        <v>0</v>
      </c>
      <c r="F130" s="165">
        <v>1598781</v>
      </c>
      <c r="G130" s="165">
        <v>1598780.44</v>
      </c>
      <c r="H130" s="124">
        <f t="shared" si="3"/>
        <v>99.99996497331404</v>
      </c>
    </row>
    <row r="131" spans="1:8" s="24" customFormat="1" ht="33.75">
      <c r="A131" s="82"/>
      <c r="B131" s="83">
        <v>90020</v>
      </c>
      <c r="C131" s="163"/>
      <c r="D131" s="164" t="s">
        <v>492</v>
      </c>
      <c r="E131" s="165">
        <f>SUM(E132)</f>
        <v>0</v>
      </c>
      <c r="F131" s="165">
        <f>SUM(F132)</f>
        <v>3407</v>
      </c>
      <c r="G131" s="165">
        <f>SUM(G132)</f>
        <v>3369.32</v>
      </c>
      <c r="H131" s="124">
        <f t="shared" si="3"/>
        <v>98.8940416788964</v>
      </c>
    </row>
    <row r="132" spans="1:8" s="24" customFormat="1" ht="21.75" customHeight="1">
      <c r="A132" s="82"/>
      <c r="B132" s="83"/>
      <c r="C132" s="163" t="s">
        <v>490</v>
      </c>
      <c r="D132" s="164" t="s">
        <v>491</v>
      </c>
      <c r="E132" s="165">
        <v>0</v>
      </c>
      <c r="F132" s="165">
        <v>3407</v>
      </c>
      <c r="G132" s="165">
        <v>3369.32</v>
      </c>
      <c r="H132" s="124">
        <f t="shared" si="3"/>
        <v>98.8940416788964</v>
      </c>
    </row>
    <row r="133" spans="1:8" s="24" customFormat="1" ht="21.75" customHeight="1">
      <c r="A133" s="82"/>
      <c r="B133" s="83">
        <v>90095</v>
      </c>
      <c r="C133" s="163"/>
      <c r="D133" s="164" t="s">
        <v>19</v>
      </c>
      <c r="E133" s="165">
        <f>SUM(E134)</f>
        <v>6000</v>
      </c>
      <c r="F133" s="165">
        <f>SUM(F134:F134)</f>
        <v>6000</v>
      </c>
      <c r="G133" s="165">
        <f>SUM(G134:G134)</f>
        <v>6000</v>
      </c>
      <c r="H133" s="124">
        <f t="shared" si="3"/>
        <v>100</v>
      </c>
    </row>
    <row r="134" spans="1:8" s="24" customFormat="1" ht="21.75" customHeight="1">
      <c r="A134" s="82"/>
      <c r="B134" s="83"/>
      <c r="C134" s="163" t="s">
        <v>217</v>
      </c>
      <c r="D134" s="164" t="s">
        <v>444</v>
      </c>
      <c r="E134" s="165">
        <v>6000</v>
      </c>
      <c r="F134" s="165">
        <v>6000</v>
      </c>
      <c r="G134" s="165">
        <v>6000</v>
      </c>
      <c r="H134" s="124">
        <f t="shared" si="3"/>
        <v>100</v>
      </c>
    </row>
    <row r="135" spans="1:8" s="8" customFormat="1" ht="27" customHeight="1">
      <c r="A135" s="32" t="s">
        <v>85</v>
      </c>
      <c r="B135" s="4"/>
      <c r="C135" s="232"/>
      <c r="D135" s="227" t="s">
        <v>91</v>
      </c>
      <c r="E135" s="228">
        <f>SUM(E138)</f>
        <v>45900</v>
      </c>
      <c r="F135" s="228">
        <f>SUM(F138,F136)</f>
        <v>54600</v>
      </c>
      <c r="G135" s="228">
        <f>SUM(G138,G136)</f>
        <v>27150</v>
      </c>
      <c r="H135" s="34">
        <f t="shared" si="3"/>
        <v>49.72527472527473</v>
      </c>
    </row>
    <row r="136" spans="1:8" s="8" customFormat="1" ht="21.75" customHeight="1">
      <c r="A136" s="32"/>
      <c r="B136" s="98">
        <v>92105</v>
      </c>
      <c r="C136" s="238"/>
      <c r="D136" s="234" t="s">
        <v>473</v>
      </c>
      <c r="E136" s="165">
        <f>SUM(E137)</f>
        <v>0</v>
      </c>
      <c r="F136" s="165">
        <f>SUM(F137)</f>
        <v>8700</v>
      </c>
      <c r="G136" s="165">
        <f>SUM(G137)</f>
        <v>4200</v>
      </c>
      <c r="H136" s="124">
        <f t="shared" si="3"/>
        <v>48.275862068965516</v>
      </c>
    </row>
    <row r="137" spans="1:8" s="8" customFormat="1" ht="56.25">
      <c r="A137" s="32"/>
      <c r="B137" s="98"/>
      <c r="C137" s="238">
        <v>2320</v>
      </c>
      <c r="D137" s="164" t="s">
        <v>464</v>
      </c>
      <c r="E137" s="165">
        <v>0</v>
      </c>
      <c r="F137" s="165">
        <v>8700</v>
      </c>
      <c r="G137" s="165">
        <v>4200</v>
      </c>
      <c r="H137" s="124">
        <f t="shared" si="3"/>
        <v>48.275862068965516</v>
      </c>
    </row>
    <row r="138" spans="1:8" s="24" customFormat="1" ht="21.75" customHeight="1">
      <c r="A138" s="82"/>
      <c r="B138" s="83" t="s">
        <v>86</v>
      </c>
      <c r="C138" s="221"/>
      <c r="D138" s="164" t="s">
        <v>87</v>
      </c>
      <c r="E138" s="165">
        <f>SUM(E139)</f>
        <v>45900</v>
      </c>
      <c r="F138" s="165">
        <f>SUM(F139)</f>
        <v>45900</v>
      </c>
      <c r="G138" s="165">
        <f>SUM(G139)</f>
        <v>22950</v>
      </c>
      <c r="H138" s="124">
        <f t="shared" si="3"/>
        <v>50</v>
      </c>
    </row>
    <row r="139" spans="1:8" s="24" customFormat="1" ht="56.25">
      <c r="A139" s="83"/>
      <c r="B139" s="83"/>
      <c r="C139" s="163">
        <v>2320</v>
      </c>
      <c r="D139" s="164" t="s">
        <v>464</v>
      </c>
      <c r="E139" s="165">
        <v>45900</v>
      </c>
      <c r="F139" s="165">
        <v>45900</v>
      </c>
      <c r="G139" s="165">
        <v>22950</v>
      </c>
      <c r="H139" s="124">
        <f t="shared" si="3"/>
        <v>50</v>
      </c>
    </row>
    <row r="140" spans="1:8" s="45" customFormat="1" ht="21.75" customHeight="1">
      <c r="A140" s="35">
        <v>926</v>
      </c>
      <c r="B140" s="35"/>
      <c r="C140" s="239"/>
      <c r="D140" s="227" t="s">
        <v>88</v>
      </c>
      <c r="E140" s="228">
        <f>SUM(E141)</f>
        <v>0</v>
      </c>
      <c r="F140" s="228">
        <f>SUM(F141)</f>
        <v>35000</v>
      </c>
      <c r="G140" s="228">
        <f>SUM(G141)</f>
        <v>2300</v>
      </c>
      <c r="H140" s="34">
        <f t="shared" si="3"/>
        <v>6.571428571428571</v>
      </c>
    </row>
    <row r="141" spans="1:8" s="24" customFormat="1" ht="27" customHeight="1">
      <c r="A141" s="83"/>
      <c r="B141" s="83">
        <v>92605</v>
      </c>
      <c r="C141" s="240"/>
      <c r="D141" s="164" t="s">
        <v>89</v>
      </c>
      <c r="E141" s="165">
        <f>SUM(E142:E143)</f>
        <v>0</v>
      </c>
      <c r="F141" s="165">
        <f>SUM(F142:F143)</f>
        <v>35000</v>
      </c>
      <c r="G141" s="165">
        <f>SUM(G142:G143)</f>
        <v>2300</v>
      </c>
      <c r="H141" s="9">
        <f t="shared" si="3"/>
        <v>6.571428571428571</v>
      </c>
    </row>
    <row r="142" spans="1:8" s="24" customFormat="1" ht="56.25">
      <c r="A142" s="83"/>
      <c r="B142" s="83"/>
      <c r="C142" s="240">
        <v>2320</v>
      </c>
      <c r="D142" s="164" t="s">
        <v>464</v>
      </c>
      <c r="E142" s="165">
        <v>0</v>
      </c>
      <c r="F142" s="165">
        <v>5000</v>
      </c>
      <c r="G142" s="165">
        <v>2300</v>
      </c>
      <c r="H142" s="9">
        <f t="shared" si="3"/>
        <v>46</v>
      </c>
    </row>
    <row r="143" spans="1:8" s="24" customFormat="1" ht="42" customHeight="1">
      <c r="A143" s="83"/>
      <c r="B143" s="83"/>
      <c r="C143" s="240">
        <v>2440</v>
      </c>
      <c r="D143" s="164" t="s">
        <v>227</v>
      </c>
      <c r="E143" s="165">
        <v>0</v>
      </c>
      <c r="F143" s="165">
        <v>30000</v>
      </c>
      <c r="G143" s="165">
        <v>0</v>
      </c>
      <c r="H143" s="9">
        <f t="shared" si="3"/>
        <v>0</v>
      </c>
    </row>
    <row r="144" spans="1:8" ht="30" customHeight="1">
      <c r="A144" s="362"/>
      <c r="B144" s="363"/>
      <c r="C144" s="364"/>
      <c r="D144" s="241" t="s">
        <v>90</v>
      </c>
      <c r="E144" s="228">
        <f>SUM(E140,E135,E127,E124,E107,E89,E78,E45,E40,E37,E31,E21,E18,E15,E9,E104)</f>
        <v>46369156</v>
      </c>
      <c r="F144" s="228">
        <f>SUM(F140,F135,F127,F124,F107,F89,F78,F45,F40,F37,F31,F21,F18,F15,F9,F104)</f>
        <v>50734054</v>
      </c>
      <c r="G144" s="228">
        <f>SUM(G140,G135,G127,G124,G107,G89,G78,G45,G40,G37,G31,G21,G18,G15,G9,G104)</f>
        <v>27416324.220000003</v>
      </c>
      <c r="H144" s="34">
        <f t="shared" si="3"/>
        <v>54.039293252614904</v>
      </c>
    </row>
    <row r="146" ht="12.75">
      <c r="D146" s="243"/>
    </row>
    <row r="147" ht="12.75">
      <c r="D147" s="243"/>
    </row>
    <row r="148" ht="12.75">
      <c r="D148" s="243"/>
    </row>
    <row r="149" ht="12.75">
      <c r="D149" s="243"/>
    </row>
    <row r="150" spans="4:7" ht="12.75">
      <c r="D150" s="243"/>
      <c r="F150" s="245"/>
      <c r="G150" s="245"/>
    </row>
    <row r="151" spans="4:7" ht="12.75">
      <c r="D151" s="243"/>
      <c r="F151" s="245"/>
      <c r="G151" s="245"/>
    </row>
    <row r="152" ht="12.75">
      <c r="D152" s="243"/>
    </row>
    <row r="153" ht="12.75">
      <c r="D153" s="243"/>
    </row>
    <row r="154" ht="12.75">
      <c r="D154" s="243"/>
    </row>
    <row r="155" ht="12.75">
      <c r="D155" s="243"/>
    </row>
    <row r="156" ht="12.75">
      <c r="D156" s="243"/>
    </row>
    <row r="157" ht="12.75">
      <c r="D157" s="243"/>
    </row>
    <row r="158" ht="12.75">
      <c r="D158" s="243"/>
    </row>
    <row r="159" ht="12.75">
      <c r="D159" s="243"/>
    </row>
    <row r="160" ht="12.75">
      <c r="D160" s="243"/>
    </row>
    <row r="161" ht="12.75">
      <c r="D161" s="243"/>
    </row>
    <row r="162" ht="12.75">
      <c r="D162" s="243"/>
    </row>
    <row r="163" ht="12.75">
      <c r="D163" s="243"/>
    </row>
    <row r="164" ht="12.75">
      <c r="D164" s="243"/>
    </row>
    <row r="165" spans="4:7" ht="12.75">
      <c r="D165" s="243"/>
      <c r="F165" s="245"/>
      <c r="G165" s="245"/>
    </row>
    <row r="166" ht="12.75">
      <c r="D166" s="243"/>
    </row>
    <row r="167" spans="4:7" ht="12.75">
      <c r="D167" s="243"/>
      <c r="F167" s="245"/>
      <c r="G167" s="245"/>
    </row>
    <row r="168" ht="12.75">
      <c r="D168" s="243"/>
    </row>
    <row r="169" ht="12.75">
      <c r="D169" s="243"/>
    </row>
    <row r="170" spans="4:7" ht="12.75">
      <c r="D170" s="243"/>
      <c r="F170" s="245"/>
      <c r="G170" s="245"/>
    </row>
    <row r="171" ht="12.75">
      <c r="D171" s="243"/>
    </row>
    <row r="172" ht="12.75">
      <c r="D172" s="243"/>
    </row>
    <row r="173" ht="12.75">
      <c r="D173" s="246"/>
    </row>
    <row r="186" spans="5:7" ht="12.75">
      <c r="E186" s="245"/>
      <c r="F186" s="245"/>
      <c r="G186" s="245"/>
    </row>
    <row r="187" spans="5:7" ht="12.75">
      <c r="E187" s="245"/>
      <c r="F187" s="245"/>
      <c r="G187" s="245"/>
    </row>
  </sheetData>
  <mergeCells count="12">
    <mergeCell ref="A144:C144"/>
    <mergeCell ref="G7:H7"/>
    <mergeCell ref="E7:E8"/>
    <mergeCell ref="F7:F8"/>
    <mergeCell ref="A7:A8"/>
    <mergeCell ref="B7:B8"/>
    <mergeCell ref="C7:C8"/>
    <mergeCell ref="D7:D8"/>
    <mergeCell ref="F1:H1"/>
    <mergeCell ref="F2:H2"/>
    <mergeCell ref="F3:H3"/>
    <mergeCell ref="F4:H4"/>
  </mergeCells>
  <printOptions horizontalCentered="1"/>
  <pageMargins left="0.3937007874015748" right="0.3937007874015748" top="0.7874015748031497" bottom="0.7874015748031497" header="0.5118110236220472" footer="0.31496062992125984"/>
  <pageSetup firstPageNumber="1" useFirstPageNumber="1" horizontalDpi="600" verticalDpi="600" orientation="portrait" paperSize="9" r:id="rId1"/>
  <headerFooter alignWithMargins="0">
    <oddFooter>&amp;C&amp;8Dochody - str.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L11" sqref="L11:L12"/>
    </sheetView>
  </sheetViews>
  <sheetFormatPr defaultColWidth="9.00390625" defaultRowHeight="12.75"/>
  <cols>
    <col min="1" max="1" width="5.125" style="24" customWidth="1"/>
    <col min="2" max="2" width="36.375" style="24" customWidth="1"/>
    <col min="3" max="4" width="11.25390625" style="24" bestFit="1" customWidth="1"/>
    <col min="5" max="5" width="11.625" style="24" customWidth="1"/>
    <col min="6" max="6" width="11.25390625" style="24" bestFit="1" customWidth="1"/>
    <col min="7" max="7" width="12.375" style="0" customWidth="1"/>
    <col min="8" max="8" width="11.375" style="0" customWidth="1"/>
  </cols>
  <sheetData>
    <row r="1" spans="3:8" ht="12.75">
      <c r="C1" s="67"/>
      <c r="G1" s="359" t="s">
        <v>556</v>
      </c>
      <c r="H1" s="359"/>
    </row>
    <row r="2" spans="3:8" ht="12.75">
      <c r="C2" s="67"/>
      <c r="G2" s="359" t="s">
        <v>544</v>
      </c>
      <c r="H2" s="359"/>
    </row>
    <row r="3" spans="3:8" ht="12.75">
      <c r="C3" s="67"/>
      <c r="G3" s="359" t="s">
        <v>545</v>
      </c>
      <c r="H3" s="359"/>
    </row>
    <row r="4" spans="3:8" ht="12.75">
      <c r="C4" s="67"/>
      <c r="G4" s="359" t="s">
        <v>546</v>
      </c>
      <c r="H4" s="359"/>
    </row>
    <row r="5" ht="12.75">
      <c r="C5" s="67"/>
    </row>
    <row r="6" spans="1:6" s="31" customFormat="1" ht="21.75" customHeight="1">
      <c r="A6" s="403" t="s">
        <v>519</v>
      </c>
      <c r="B6" s="403"/>
      <c r="C6" s="403"/>
      <c r="D6" s="403"/>
      <c r="E6" s="403"/>
      <c r="F6" s="247"/>
    </row>
    <row r="7" spans="1:6" s="31" customFormat="1" ht="12" customHeight="1">
      <c r="A7" s="201"/>
      <c r="B7" s="201"/>
      <c r="C7" s="201"/>
      <c r="D7" s="201"/>
      <c r="E7" s="201"/>
      <c r="F7" s="201"/>
    </row>
    <row r="8" spans="1:8" s="8" customFormat="1" ht="20.25" customHeight="1">
      <c r="A8" s="404" t="s">
        <v>15</v>
      </c>
      <c r="B8" s="404" t="s">
        <v>16</v>
      </c>
      <c r="C8" s="405" t="s">
        <v>172</v>
      </c>
      <c r="D8" s="405"/>
      <c r="E8" s="405" t="s">
        <v>252</v>
      </c>
      <c r="F8" s="405"/>
      <c r="G8" s="405" t="s">
        <v>0</v>
      </c>
      <c r="H8" s="405"/>
    </row>
    <row r="9" spans="1:8" s="8" customFormat="1" ht="21" customHeight="1">
      <c r="A9" s="404"/>
      <c r="B9" s="404"/>
      <c r="C9" s="122" t="s">
        <v>173</v>
      </c>
      <c r="D9" s="122" t="s">
        <v>174</v>
      </c>
      <c r="E9" s="122" t="s">
        <v>173</v>
      </c>
      <c r="F9" s="122" t="s">
        <v>174</v>
      </c>
      <c r="G9" s="122" t="s">
        <v>173</v>
      </c>
      <c r="H9" s="122" t="s">
        <v>174</v>
      </c>
    </row>
    <row r="10" spans="1:8" s="8" customFormat="1" ht="49.5" customHeight="1" hidden="1">
      <c r="A10" s="2">
        <v>903</v>
      </c>
      <c r="B10" s="49" t="s">
        <v>262</v>
      </c>
      <c r="C10" s="122"/>
      <c r="D10" s="122"/>
      <c r="E10" s="122"/>
      <c r="F10" s="122"/>
      <c r="G10" s="122"/>
      <c r="H10" s="122"/>
    </row>
    <row r="11" spans="1:8" s="8" customFormat="1" ht="49.5" customHeight="1">
      <c r="A11" s="2">
        <v>952</v>
      </c>
      <c r="B11" s="49" t="s">
        <v>181</v>
      </c>
      <c r="C11" s="9">
        <v>4930496</v>
      </c>
      <c r="D11" s="9">
        <v>0</v>
      </c>
      <c r="E11" s="123">
        <v>4930496</v>
      </c>
      <c r="F11" s="123">
        <v>0</v>
      </c>
      <c r="G11" s="123">
        <v>0</v>
      </c>
      <c r="H11" s="123">
        <v>0</v>
      </c>
    </row>
    <row r="12" spans="1:8" s="8" customFormat="1" ht="49.5" customHeight="1">
      <c r="A12" s="2">
        <v>957</v>
      </c>
      <c r="B12" s="49" t="s">
        <v>407</v>
      </c>
      <c r="C12" s="9">
        <v>0</v>
      </c>
      <c r="D12" s="9">
        <v>0</v>
      </c>
      <c r="E12" s="123">
        <v>1661689</v>
      </c>
      <c r="F12" s="123">
        <v>0</v>
      </c>
      <c r="G12" s="123">
        <v>2172366.14</v>
      </c>
      <c r="H12" s="123"/>
    </row>
    <row r="13" spans="1:8" s="8" customFormat="1" ht="48">
      <c r="A13" s="2">
        <v>963</v>
      </c>
      <c r="B13" s="49" t="s">
        <v>489</v>
      </c>
      <c r="C13" s="9">
        <v>0</v>
      </c>
      <c r="D13" s="9">
        <v>0</v>
      </c>
      <c r="E13" s="123">
        <v>0</v>
      </c>
      <c r="F13" s="123">
        <v>1517202</v>
      </c>
      <c r="G13" s="123">
        <v>0</v>
      </c>
      <c r="H13" s="123">
        <v>1517201.99</v>
      </c>
    </row>
    <row r="14" spans="1:8" s="8" customFormat="1" ht="49.5" customHeight="1">
      <c r="A14" s="2">
        <v>982</v>
      </c>
      <c r="B14" s="49" t="s">
        <v>247</v>
      </c>
      <c r="C14" s="9">
        <v>0</v>
      </c>
      <c r="D14" s="9">
        <v>1950000</v>
      </c>
      <c r="E14" s="9">
        <v>0</v>
      </c>
      <c r="F14" s="9">
        <v>1950000</v>
      </c>
      <c r="G14" s="9">
        <v>0</v>
      </c>
      <c r="H14" s="9">
        <v>1950000</v>
      </c>
    </row>
    <row r="15" spans="1:8" s="8" customFormat="1" ht="49.5" customHeight="1">
      <c r="A15" s="2">
        <v>992</v>
      </c>
      <c r="B15" s="49" t="s">
        <v>176</v>
      </c>
      <c r="C15" s="9">
        <v>0</v>
      </c>
      <c r="D15" s="9">
        <v>2722636</v>
      </c>
      <c r="E15" s="9">
        <v>0</v>
      </c>
      <c r="F15" s="9">
        <v>2894336</v>
      </c>
      <c r="G15" s="9">
        <v>0</v>
      </c>
      <c r="H15" s="9">
        <v>1522220</v>
      </c>
    </row>
    <row r="16" spans="2:8" s="8" customFormat="1" ht="30" customHeight="1">
      <c r="B16" s="2" t="s">
        <v>90</v>
      </c>
      <c r="C16" s="18">
        <f aca="true" t="shared" si="0" ref="C16:H16">SUM(C11:C15)</f>
        <v>4930496</v>
      </c>
      <c r="D16" s="18">
        <f t="shared" si="0"/>
        <v>4672636</v>
      </c>
      <c r="E16" s="18">
        <f t="shared" si="0"/>
        <v>6592185</v>
      </c>
      <c r="F16" s="18">
        <f t="shared" si="0"/>
        <v>6361538</v>
      </c>
      <c r="G16" s="18">
        <f t="shared" si="0"/>
        <v>2172366.14</v>
      </c>
      <c r="H16" s="18">
        <f t="shared" si="0"/>
        <v>4989421.99</v>
      </c>
    </row>
    <row r="17" spans="2:8" ht="30" customHeight="1">
      <c r="B17" s="2" t="s">
        <v>175</v>
      </c>
      <c r="C17" s="406">
        <f>SUM(C16-D16)</f>
        <v>257860</v>
      </c>
      <c r="D17" s="397"/>
      <c r="E17" s="406">
        <f>SUM(E16-F16)</f>
        <v>230647</v>
      </c>
      <c r="F17" s="397"/>
      <c r="G17" s="406">
        <f>SUM(G16-H16)</f>
        <v>-2817055.85</v>
      </c>
      <c r="H17" s="397"/>
    </row>
  </sheetData>
  <mergeCells count="13">
    <mergeCell ref="C17:D17"/>
    <mergeCell ref="E17:F17"/>
    <mergeCell ref="G17:H17"/>
    <mergeCell ref="A6:E6"/>
    <mergeCell ref="A8:A9"/>
    <mergeCell ref="B8:B9"/>
    <mergeCell ref="G1:H1"/>
    <mergeCell ref="G2:H2"/>
    <mergeCell ref="G3:H3"/>
    <mergeCell ref="G4:H4"/>
    <mergeCell ref="C8:D8"/>
    <mergeCell ref="G8:H8"/>
    <mergeCell ref="E8:F8"/>
  </mergeCell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N37" sqref="A1:N37"/>
    </sheetView>
  </sheetViews>
  <sheetFormatPr defaultColWidth="9.00390625" defaultRowHeight="12.75"/>
  <cols>
    <col min="1" max="1" width="4.625" style="0" customWidth="1"/>
    <col min="2" max="2" width="13.75390625" style="0" customWidth="1"/>
    <col min="3" max="3" width="21.00390625" style="0" customWidth="1"/>
    <col min="4" max="4" width="11.625" style="0" bestFit="1" customWidth="1"/>
    <col min="5" max="5" width="12.00390625" style="0" bestFit="1" customWidth="1"/>
    <col min="6" max="9" width="13.00390625" style="0" bestFit="1" customWidth="1"/>
    <col min="10" max="10" width="11.25390625" style="0" bestFit="1" customWidth="1"/>
    <col min="11" max="12" width="11.625" style="0" bestFit="1" customWidth="1"/>
    <col min="13" max="13" width="13.00390625" style="0" customWidth="1"/>
    <col min="14" max="14" width="14.125" style="0" customWidth="1"/>
  </cols>
  <sheetData>
    <row r="1" spans="9:14" ht="12.75">
      <c r="I1" s="118"/>
      <c r="J1" s="118"/>
      <c r="M1" s="457" t="s">
        <v>557</v>
      </c>
      <c r="N1" s="457"/>
    </row>
    <row r="2" spans="9:14" ht="12.75">
      <c r="I2" s="118"/>
      <c r="J2" s="118"/>
      <c r="M2" s="457" t="s">
        <v>544</v>
      </c>
      <c r="N2" s="457"/>
    </row>
    <row r="3" spans="9:14" ht="12.75">
      <c r="I3" s="118"/>
      <c r="J3" s="118"/>
      <c r="M3" s="457" t="s">
        <v>545</v>
      </c>
      <c r="N3" s="457"/>
    </row>
    <row r="4" spans="9:14" ht="12.75">
      <c r="I4" s="118"/>
      <c r="J4" s="118"/>
      <c r="M4" s="457" t="s">
        <v>546</v>
      </c>
      <c r="N4" s="457"/>
    </row>
    <row r="7" spans="1:2" ht="18">
      <c r="A7" s="464" t="s">
        <v>535</v>
      </c>
      <c r="B7" s="179"/>
    </row>
    <row r="9" spans="1:14" s="180" customFormat="1" ht="33.75" customHeight="1">
      <c r="A9" s="407" t="s">
        <v>344</v>
      </c>
      <c r="B9" s="411" t="s">
        <v>345</v>
      </c>
      <c r="C9" s="412"/>
      <c r="D9" s="408" t="s">
        <v>487</v>
      </c>
      <c r="E9" s="408" t="s">
        <v>570</v>
      </c>
      <c r="F9" s="409" t="s">
        <v>532</v>
      </c>
      <c r="G9" s="410"/>
      <c r="H9" s="409" t="s">
        <v>533</v>
      </c>
      <c r="I9" s="413"/>
      <c r="J9" s="413"/>
      <c r="K9" s="413"/>
      <c r="L9" s="410"/>
      <c r="M9" s="408" t="s">
        <v>571</v>
      </c>
      <c r="N9" s="407" t="s">
        <v>488</v>
      </c>
    </row>
    <row r="10" spans="1:14" s="180" customFormat="1" ht="64.5" thickBot="1">
      <c r="A10" s="408"/>
      <c r="B10" s="417"/>
      <c r="C10" s="418"/>
      <c r="D10" s="419"/>
      <c r="E10" s="419"/>
      <c r="F10" s="328" t="s">
        <v>346</v>
      </c>
      <c r="G10" s="327" t="s">
        <v>347</v>
      </c>
      <c r="H10" s="328" t="s">
        <v>346</v>
      </c>
      <c r="I10" s="327" t="s">
        <v>348</v>
      </c>
      <c r="J10" s="327" t="s">
        <v>349</v>
      </c>
      <c r="K10" s="327" t="s">
        <v>350</v>
      </c>
      <c r="L10" s="328" t="s">
        <v>534</v>
      </c>
      <c r="M10" s="419"/>
      <c r="N10" s="408"/>
    </row>
    <row r="11" spans="1:14" s="179" customFormat="1" ht="33" customHeight="1" thickBot="1">
      <c r="A11" s="430" t="s">
        <v>351</v>
      </c>
      <c r="B11" s="431" t="s">
        <v>573</v>
      </c>
      <c r="C11" s="432"/>
      <c r="D11" s="433">
        <f>SUM(D24,D35,)</f>
        <v>0</v>
      </c>
      <c r="E11" s="433">
        <f aca="true" t="shared" si="0" ref="E11:N11">SUM(E24,E35,)</f>
        <v>8648.17</v>
      </c>
      <c r="F11" s="433">
        <f t="shared" si="0"/>
        <v>1735284.83</v>
      </c>
      <c r="G11" s="433">
        <f t="shared" si="0"/>
        <v>1379580</v>
      </c>
      <c r="H11" s="433">
        <f t="shared" si="0"/>
        <v>1624293.9000000001</v>
      </c>
      <c r="I11" s="433">
        <f t="shared" si="0"/>
        <v>1085612.27</v>
      </c>
      <c r="J11" s="433">
        <f t="shared" si="0"/>
        <v>439620.54</v>
      </c>
      <c r="K11" s="433">
        <f t="shared" si="0"/>
        <v>12222.56</v>
      </c>
      <c r="L11" s="433">
        <f t="shared" si="0"/>
        <v>86838.53</v>
      </c>
      <c r="M11" s="433">
        <f t="shared" si="0"/>
        <v>119639.1</v>
      </c>
      <c r="N11" s="433">
        <f t="shared" si="0"/>
        <v>0</v>
      </c>
    </row>
    <row r="12" spans="1:14" s="8" customFormat="1" ht="0.75" customHeight="1" hidden="1">
      <c r="A12" s="443" t="s">
        <v>342</v>
      </c>
      <c r="B12" s="440" t="s">
        <v>457</v>
      </c>
      <c r="C12" s="424" t="s">
        <v>396</v>
      </c>
      <c r="D12" s="425"/>
      <c r="E12" s="425"/>
      <c r="F12" s="426">
        <f aca="true" t="shared" si="1" ref="F12:K12">SUM(F13:F19)</f>
        <v>3240522</v>
      </c>
      <c r="G12" s="426">
        <f t="shared" si="1"/>
        <v>2624508</v>
      </c>
      <c r="H12" s="426">
        <f t="shared" si="1"/>
        <v>3240522</v>
      </c>
      <c r="I12" s="426">
        <f t="shared" si="1"/>
        <v>2317971</v>
      </c>
      <c r="J12" s="426">
        <f t="shared" si="1"/>
        <v>890151</v>
      </c>
      <c r="K12" s="426">
        <f t="shared" si="1"/>
        <v>32400</v>
      </c>
      <c r="L12" s="426"/>
      <c r="M12" s="426"/>
      <c r="N12" s="427"/>
    </row>
    <row r="13" spans="1:14" s="7" customFormat="1" ht="12.75" customHeight="1" hidden="1">
      <c r="A13" s="444"/>
      <c r="B13" s="347"/>
      <c r="C13" s="204" t="s">
        <v>352</v>
      </c>
      <c r="D13" s="423"/>
      <c r="E13" s="423"/>
      <c r="F13" s="348">
        <v>963233</v>
      </c>
      <c r="G13" s="348">
        <v>773819</v>
      </c>
      <c r="H13" s="348">
        <f aca="true" t="shared" si="2" ref="H13:H19">SUM(I13:K13)</f>
        <v>963233</v>
      </c>
      <c r="I13" s="348">
        <v>711241</v>
      </c>
      <c r="J13" s="348">
        <f>251992-8800</f>
        <v>243192</v>
      </c>
      <c r="K13" s="348">
        <v>8800</v>
      </c>
      <c r="L13" s="348"/>
      <c r="M13" s="348"/>
      <c r="N13" s="420"/>
    </row>
    <row r="14" spans="1:14" s="7" customFormat="1" ht="12.75" customHeight="1" hidden="1">
      <c r="A14" s="444"/>
      <c r="B14" s="347"/>
      <c r="C14" s="204" t="s">
        <v>353</v>
      </c>
      <c r="D14" s="423"/>
      <c r="E14" s="423"/>
      <c r="F14" s="348">
        <v>551035</v>
      </c>
      <c r="G14" s="348">
        <v>429051</v>
      </c>
      <c r="H14" s="348">
        <f t="shared" si="2"/>
        <v>551035</v>
      </c>
      <c r="I14" s="348">
        <v>408278</v>
      </c>
      <c r="J14" s="348">
        <v>142757</v>
      </c>
      <c r="K14" s="348">
        <v>0</v>
      </c>
      <c r="L14" s="348"/>
      <c r="M14" s="348"/>
      <c r="N14" s="420"/>
    </row>
    <row r="15" spans="1:14" s="7" customFormat="1" ht="12.75" customHeight="1" hidden="1">
      <c r="A15" s="444"/>
      <c r="B15" s="347"/>
      <c r="C15" s="204" t="s">
        <v>354</v>
      </c>
      <c r="D15" s="423"/>
      <c r="E15" s="423"/>
      <c r="F15" s="348">
        <v>671315</v>
      </c>
      <c r="G15" s="348">
        <v>546911</v>
      </c>
      <c r="H15" s="348">
        <f t="shared" si="2"/>
        <v>671315</v>
      </c>
      <c r="I15" s="348">
        <v>484435</v>
      </c>
      <c r="J15" s="348">
        <f>186880-3000</f>
        <v>183880</v>
      </c>
      <c r="K15" s="348">
        <v>3000</v>
      </c>
      <c r="L15" s="348"/>
      <c r="M15" s="348"/>
      <c r="N15" s="420"/>
    </row>
    <row r="16" spans="1:14" s="7" customFormat="1" ht="12.75" customHeight="1" hidden="1">
      <c r="A16" s="444"/>
      <c r="B16" s="347"/>
      <c r="C16" s="204" t="s">
        <v>355</v>
      </c>
      <c r="D16" s="423"/>
      <c r="E16" s="423"/>
      <c r="F16" s="348">
        <v>560345</v>
      </c>
      <c r="G16" s="348">
        <v>433631</v>
      </c>
      <c r="H16" s="348">
        <f t="shared" si="2"/>
        <v>560345</v>
      </c>
      <c r="I16" s="348">
        <v>373885</v>
      </c>
      <c r="J16" s="348">
        <f>186460-12600</f>
        <v>173860</v>
      </c>
      <c r="K16" s="348">
        <v>12600</v>
      </c>
      <c r="L16" s="348"/>
      <c r="M16" s="348"/>
      <c r="N16" s="420"/>
    </row>
    <row r="17" spans="1:14" s="7" customFormat="1" ht="12.75" customHeight="1" hidden="1">
      <c r="A17" s="444"/>
      <c r="B17" s="347"/>
      <c r="C17" s="204" t="s">
        <v>356</v>
      </c>
      <c r="D17" s="423"/>
      <c r="E17" s="423"/>
      <c r="F17" s="348">
        <v>211714</v>
      </c>
      <c r="G17" s="348">
        <v>180656</v>
      </c>
      <c r="H17" s="348">
        <f t="shared" si="2"/>
        <v>211714</v>
      </c>
      <c r="I17" s="348">
        <v>163161</v>
      </c>
      <c r="J17" s="348">
        <v>48553</v>
      </c>
      <c r="K17" s="348">
        <v>0</v>
      </c>
      <c r="L17" s="348"/>
      <c r="M17" s="348"/>
      <c r="N17" s="420"/>
    </row>
    <row r="18" spans="1:14" s="7" customFormat="1" ht="12.75" customHeight="1" hidden="1">
      <c r="A18" s="444"/>
      <c r="B18" s="347"/>
      <c r="C18" s="204" t="s">
        <v>357</v>
      </c>
      <c r="D18" s="423"/>
      <c r="E18" s="423"/>
      <c r="F18" s="348">
        <v>228033</v>
      </c>
      <c r="G18" s="348">
        <v>205593</v>
      </c>
      <c r="H18" s="348">
        <f t="shared" si="2"/>
        <v>228033</v>
      </c>
      <c r="I18" s="348">
        <v>141256</v>
      </c>
      <c r="J18" s="348">
        <f>86777-8000</f>
        <v>78777</v>
      </c>
      <c r="K18" s="348">
        <v>8000</v>
      </c>
      <c r="L18" s="348"/>
      <c r="M18" s="348"/>
      <c r="N18" s="420"/>
    </row>
    <row r="19" spans="1:14" s="7" customFormat="1" ht="12.75" customHeight="1" hidden="1">
      <c r="A19" s="444"/>
      <c r="B19" s="347"/>
      <c r="C19" s="204" t="s">
        <v>358</v>
      </c>
      <c r="D19" s="423"/>
      <c r="E19" s="423"/>
      <c r="F19" s="348">
        <v>54847</v>
      </c>
      <c r="G19" s="348">
        <v>54847</v>
      </c>
      <c r="H19" s="348">
        <f t="shared" si="2"/>
        <v>54847</v>
      </c>
      <c r="I19" s="348">
        <v>35715</v>
      </c>
      <c r="J19" s="348">
        <v>19132</v>
      </c>
      <c r="K19" s="348">
        <v>0</v>
      </c>
      <c r="L19" s="348"/>
      <c r="M19" s="348"/>
      <c r="N19" s="420"/>
    </row>
    <row r="20" spans="1:14" s="7" customFormat="1" ht="0.75" customHeight="1" hidden="1">
      <c r="A20" s="444"/>
      <c r="B20" s="347" t="s">
        <v>458</v>
      </c>
      <c r="C20" s="143" t="s">
        <v>456</v>
      </c>
      <c r="D20" s="349"/>
      <c r="E20" s="349"/>
      <c r="F20" s="348">
        <v>500</v>
      </c>
      <c r="G20" s="348">
        <v>500</v>
      </c>
      <c r="H20" s="348">
        <f>SUM(I20:K20)</f>
        <v>500</v>
      </c>
      <c r="I20" s="348">
        <v>0</v>
      </c>
      <c r="J20" s="348">
        <v>500</v>
      </c>
      <c r="K20" s="348">
        <v>0</v>
      </c>
      <c r="L20" s="348"/>
      <c r="M20" s="348"/>
      <c r="N20" s="420"/>
    </row>
    <row r="21" spans="1:14" s="7" customFormat="1" ht="23.25" customHeight="1" hidden="1">
      <c r="A21" s="444"/>
      <c r="B21" s="347" t="s">
        <v>457</v>
      </c>
      <c r="C21" s="143" t="s">
        <v>486</v>
      </c>
      <c r="D21" s="348">
        <v>0</v>
      </c>
      <c r="E21" s="348"/>
      <c r="F21" s="348">
        <f aca="true" t="shared" si="3" ref="F21:K21">SUM(F12,F20,)</f>
        <v>3241022</v>
      </c>
      <c r="G21" s="348">
        <f t="shared" si="3"/>
        <v>2625008</v>
      </c>
      <c r="H21" s="348">
        <f t="shared" si="3"/>
        <v>3241022</v>
      </c>
      <c r="I21" s="348">
        <f t="shared" si="3"/>
        <v>2317971</v>
      </c>
      <c r="J21" s="348">
        <f t="shared" si="3"/>
        <v>890651</v>
      </c>
      <c r="K21" s="348">
        <f t="shared" si="3"/>
        <v>32400</v>
      </c>
      <c r="L21" s="348"/>
      <c r="M21" s="348"/>
      <c r="N21" s="420">
        <v>0</v>
      </c>
    </row>
    <row r="22" spans="1:14" s="7" customFormat="1" ht="21.75" customHeight="1" hidden="1">
      <c r="A22" s="444"/>
      <c r="B22" s="347" t="s">
        <v>458</v>
      </c>
      <c r="C22" s="143" t="s">
        <v>408</v>
      </c>
      <c r="D22" s="348">
        <v>75044</v>
      </c>
      <c r="E22" s="348"/>
      <c r="F22" s="348">
        <v>89960</v>
      </c>
      <c r="G22" s="348">
        <v>86839</v>
      </c>
      <c r="H22" s="348">
        <v>89960</v>
      </c>
      <c r="I22" s="348">
        <v>65989</v>
      </c>
      <c r="J22" s="348">
        <v>28071</v>
      </c>
      <c r="K22" s="348">
        <v>-4100</v>
      </c>
      <c r="L22" s="348"/>
      <c r="M22" s="348"/>
      <c r="N22" s="420">
        <v>75044</v>
      </c>
    </row>
    <row r="23" spans="1:14" s="7" customFormat="1" ht="31.5" customHeight="1">
      <c r="A23" s="444"/>
      <c r="B23" s="441" t="s">
        <v>576</v>
      </c>
      <c r="C23" s="143" t="s">
        <v>252</v>
      </c>
      <c r="D23" s="348">
        <f>SUM(D21,D22)</f>
        <v>75044</v>
      </c>
      <c r="E23" s="348" t="s">
        <v>572</v>
      </c>
      <c r="F23" s="348">
        <f aca="true" t="shared" si="4" ref="F23:N23">SUM(F21,F22)</f>
        <v>3330982</v>
      </c>
      <c r="G23" s="348">
        <f t="shared" si="4"/>
        <v>2711847</v>
      </c>
      <c r="H23" s="348">
        <f>SUM(I23:L23)</f>
        <v>3330982</v>
      </c>
      <c r="I23" s="348">
        <f t="shared" si="4"/>
        <v>2383960</v>
      </c>
      <c r="J23" s="348">
        <f t="shared" si="4"/>
        <v>918722</v>
      </c>
      <c r="K23" s="348">
        <f t="shared" si="4"/>
        <v>28300</v>
      </c>
      <c r="L23" s="348">
        <v>0</v>
      </c>
      <c r="M23" s="348">
        <v>8648.17</v>
      </c>
      <c r="N23" s="420">
        <f t="shared" si="4"/>
        <v>75044</v>
      </c>
    </row>
    <row r="24" spans="1:14" s="11" customFormat="1" ht="29.25" customHeight="1" thickBot="1">
      <c r="A24" s="445"/>
      <c r="B24" s="442"/>
      <c r="C24" s="428" t="s">
        <v>0</v>
      </c>
      <c r="D24" s="421">
        <v>0</v>
      </c>
      <c r="E24" s="421">
        <v>8648.17</v>
      </c>
      <c r="F24" s="421">
        <v>1731206.83</v>
      </c>
      <c r="G24" s="421">
        <v>1375502</v>
      </c>
      <c r="H24" s="421">
        <f>SUM(I24:L24)</f>
        <v>1620215.9000000001</v>
      </c>
      <c r="I24" s="421">
        <v>1085612.27</v>
      </c>
      <c r="J24" s="421">
        <v>435542.54</v>
      </c>
      <c r="K24" s="421">
        <v>12222.56</v>
      </c>
      <c r="L24" s="421">
        <v>86838.53</v>
      </c>
      <c r="M24" s="421">
        <v>119639.1</v>
      </c>
      <c r="N24" s="422">
        <v>0</v>
      </c>
    </row>
    <row r="25" spans="1:14" s="7" customFormat="1" ht="30.75" customHeight="1">
      <c r="A25" s="446" t="s">
        <v>343</v>
      </c>
      <c r="B25" s="458" t="s">
        <v>575</v>
      </c>
      <c r="C25" s="424" t="s">
        <v>252</v>
      </c>
      <c r="D25" s="434">
        <v>0</v>
      </c>
      <c r="E25" s="434">
        <v>0</v>
      </c>
      <c r="F25" s="360">
        <v>9289</v>
      </c>
      <c r="G25" s="360">
        <v>9289</v>
      </c>
      <c r="H25" s="360">
        <f>SUM(I25:J25)</f>
        <v>9289</v>
      </c>
      <c r="I25" s="360">
        <v>0</v>
      </c>
      <c r="J25" s="360">
        <v>9289</v>
      </c>
      <c r="K25" s="360">
        <f>SUM(K26:K32)</f>
        <v>0</v>
      </c>
      <c r="L25" s="360">
        <v>0</v>
      </c>
      <c r="M25" s="360">
        <v>0</v>
      </c>
      <c r="N25" s="435">
        <v>0</v>
      </c>
    </row>
    <row r="26" spans="1:14" s="7" customFormat="1" ht="30" customHeight="1" hidden="1">
      <c r="A26" s="446"/>
      <c r="B26" s="459"/>
      <c r="C26" s="460"/>
      <c r="D26" s="352">
        <v>0</v>
      </c>
      <c r="E26" s="352"/>
      <c r="F26" s="353">
        <f>SUM(F27:F33)</f>
        <v>108020</v>
      </c>
      <c r="G26" s="353">
        <v>0</v>
      </c>
      <c r="H26" s="353">
        <f>SUM(H27:H33)</f>
        <v>108020</v>
      </c>
      <c r="I26" s="353">
        <v>0</v>
      </c>
      <c r="J26" s="353">
        <f>SUM(J27:J33)</f>
        <v>108020</v>
      </c>
      <c r="K26" s="353">
        <v>0</v>
      </c>
      <c r="L26" s="353"/>
      <c r="M26" s="353"/>
      <c r="N26" s="420">
        <v>0</v>
      </c>
    </row>
    <row r="27" spans="1:14" s="7" customFormat="1" ht="12.75" customHeight="1" hidden="1">
      <c r="A27" s="446"/>
      <c r="B27" s="459"/>
      <c r="C27" s="461" t="s">
        <v>359</v>
      </c>
      <c r="D27" s="351"/>
      <c r="E27" s="351"/>
      <c r="F27" s="351">
        <v>1150</v>
      </c>
      <c r="G27" s="351"/>
      <c r="H27" s="351">
        <f aca="true" t="shared" si="5" ref="H27:H33">SUM(I27:K27)</f>
        <v>1150</v>
      </c>
      <c r="I27" s="351"/>
      <c r="J27" s="351">
        <v>1150</v>
      </c>
      <c r="K27" s="351"/>
      <c r="L27" s="351"/>
      <c r="M27" s="351"/>
      <c r="N27" s="420"/>
    </row>
    <row r="28" spans="1:14" s="7" customFormat="1" ht="12.75" customHeight="1" hidden="1">
      <c r="A28" s="446"/>
      <c r="B28" s="459"/>
      <c r="C28" s="461" t="s">
        <v>360</v>
      </c>
      <c r="D28" s="350"/>
      <c r="E28" s="350"/>
      <c r="F28" s="350">
        <v>45500</v>
      </c>
      <c r="G28" s="350"/>
      <c r="H28" s="350">
        <f t="shared" si="5"/>
        <v>45500</v>
      </c>
      <c r="I28" s="350"/>
      <c r="J28" s="350">
        <v>45500</v>
      </c>
      <c r="K28" s="350"/>
      <c r="L28" s="350"/>
      <c r="M28" s="350"/>
      <c r="N28" s="420"/>
    </row>
    <row r="29" spans="1:14" s="7" customFormat="1" ht="12.75" customHeight="1" hidden="1">
      <c r="A29" s="446"/>
      <c r="B29" s="459"/>
      <c r="C29" s="461" t="s">
        <v>361</v>
      </c>
      <c r="D29" s="350"/>
      <c r="E29" s="350"/>
      <c r="F29" s="350">
        <v>1740</v>
      </c>
      <c r="G29" s="350"/>
      <c r="H29" s="350">
        <f t="shared" si="5"/>
        <v>1740</v>
      </c>
      <c r="I29" s="350"/>
      <c r="J29" s="350">
        <f>1740</f>
        <v>1740</v>
      </c>
      <c r="K29" s="350"/>
      <c r="L29" s="350"/>
      <c r="M29" s="350"/>
      <c r="N29" s="420"/>
    </row>
    <row r="30" spans="1:14" s="7" customFormat="1" ht="12.75" customHeight="1" hidden="1">
      <c r="A30" s="446"/>
      <c r="B30" s="459"/>
      <c r="C30" s="461" t="s">
        <v>362</v>
      </c>
      <c r="D30" s="350"/>
      <c r="E30" s="350"/>
      <c r="F30" s="350">
        <v>1458</v>
      </c>
      <c r="G30" s="350"/>
      <c r="H30" s="350">
        <f t="shared" si="5"/>
        <v>1458</v>
      </c>
      <c r="I30" s="350"/>
      <c r="J30" s="350">
        <f>1458</f>
        <v>1458</v>
      </c>
      <c r="K30" s="350"/>
      <c r="L30" s="350"/>
      <c r="M30" s="350"/>
      <c r="N30" s="420"/>
    </row>
    <row r="31" spans="1:14" s="7" customFormat="1" ht="12.75" customHeight="1" hidden="1">
      <c r="A31" s="446"/>
      <c r="B31" s="459"/>
      <c r="C31" s="461" t="s">
        <v>363</v>
      </c>
      <c r="D31" s="350"/>
      <c r="E31" s="350"/>
      <c r="F31" s="350">
        <f>622+9510</f>
        <v>10132</v>
      </c>
      <c r="G31" s="350"/>
      <c r="H31" s="350">
        <f t="shared" si="5"/>
        <v>10132</v>
      </c>
      <c r="I31" s="350"/>
      <c r="J31" s="350">
        <f>622+9510</f>
        <v>10132</v>
      </c>
      <c r="K31" s="350"/>
      <c r="L31" s="350"/>
      <c r="M31" s="350"/>
      <c r="N31" s="420"/>
    </row>
    <row r="32" spans="1:14" s="7" customFormat="1" ht="12.75" customHeight="1" hidden="1">
      <c r="A32" s="446"/>
      <c r="B32" s="459"/>
      <c r="C32" s="461" t="s">
        <v>364</v>
      </c>
      <c r="D32" s="350"/>
      <c r="E32" s="350"/>
      <c r="F32" s="350">
        <f>1640+33900</f>
        <v>35540</v>
      </c>
      <c r="G32" s="350"/>
      <c r="H32" s="350">
        <f t="shared" si="5"/>
        <v>35540</v>
      </c>
      <c r="I32" s="350"/>
      <c r="J32" s="350">
        <f>1640+33900</f>
        <v>35540</v>
      </c>
      <c r="K32" s="350"/>
      <c r="L32" s="350"/>
      <c r="M32" s="350"/>
      <c r="N32" s="420"/>
    </row>
    <row r="33" spans="1:14" s="7" customFormat="1" ht="12.75" customHeight="1" hidden="1">
      <c r="A33" s="446"/>
      <c r="B33" s="459"/>
      <c r="C33" s="461" t="s">
        <v>365</v>
      </c>
      <c r="D33" s="360"/>
      <c r="E33" s="360"/>
      <c r="F33" s="360">
        <v>12500</v>
      </c>
      <c r="G33" s="360"/>
      <c r="H33" s="360">
        <f t="shared" si="5"/>
        <v>12500</v>
      </c>
      <c r="I33" s="360"/>
      <c r="J33" s="360">
        <v>12500</v>
      </c>
      <c r="K33" s="360"/>
      <c r="L33" s="360"/>
      <c r="M33" s="360"/>
      <c r="N33" s="420"/>
    </row>
    <row r="34" spans="1:14" s="7" customFormat="1" ht="21" customHeight="1" hidden="1">
      <c r="A34" s="446"/>
      <c r="B34" s="459"/>
      <c r="C34" s="416"/>
      <c r="D34" s="348">
        <v>0</v>
      </c>
      <c r="E34" s="348"/>
      <c r="F34" s="348">
        <v>8790</v>
      </c>
      <c r="G34" s="348">
        <v>0</v>
      </c>
      <c r="H34" s="348">
        <f>SUM(I34:K34)</f>
        <v>8790</v>
      </c>
      <c r="I34" s="348">
        <v>0</v>
      </c>
      <c r="J34" s="348">
        <v>8790</v>
      </c>
      <c r="K34" s="348">
        <v>0</v>
      </c>
      <c r="L34" s="348"/>
      <c r="M34" s="348"/>
      <c r="N34" s="420">
        <v>0</v>
      </c>
    </row>
    <row r="35" spans="1:14" s="11" customFormat="1" ht="33.75" customHeight="1" thickBot="1">
      <c r="A35" s="447"/>
      <c r="B35" s="462"/>
      <c r="C35" s="463" t="s">
        <v>0</v>
      </c>
      <c r="D35" s="421">
        <v>0</v>
      </c>
      <c r="E35" s="421">
        <v>0</v>
      </c>
      <c r="F35" s="421">
        <v>4078</v>
      </c>
      <c r="G35" s="421">
        <v>4078</v>
      </c>
      <c r="H35" s="421">
        <f>SUM(I35:L35)</f>
        <v>4078</v>
      </c>
      <c r="I35" s="421">
        <v>0</v>
      </c>
      <c r="J35" s="421">
        <v>4078</v>
      </c>
      <c r="K35" s="421">
        <v>0</v>
      </c>
      <c r="L35" s="421">
        <v>0</v>
      </c>
      <c r="M35" s="421">
        <v>0</v>
      </c>
      <c r="N35" s="422">
        <v>0</v>
      </c>
    </row>
    <row r="36" spans="1:14" s="450" customFormat="1" ht="33" customHeight="1" thickBot="1">
      <c r="A36" s="438" t="s">
        <v>574</v>
      </c>
      <c r="B36" s="437" t="s">
        <v>485</v>
      </c>
      <c r="C36" s="436"/>
      <c r="D36" s="429">
        <v>0</v>
      </c>
      <c r="E36" s="429">
        <v>0</v>
      </c>
      <c r="F36" s="448">
        <f aca="true" t="shared" si="6" ref="F36:K36">SUM(F26,F34)</f>
        <v>116810</v>
      </c>
      <c r="G36" s="448">
        <f t="shared" si="6"/>
        <v>0</v>
      </c>
      <c r="H36" s="448">
        <f>SUM(I36:L36)</f>
        <v>116810</v>
      </c>
      <c r="I36" s="448">
        <f t="shared" si="6"/>
        <v>0</v>
      </c>
      <c r="J36" s="448">
        <f t="shared" si="6"/>
        <v>116810</v>
      </c>
      <c r="K36" s="448">
        <f t="shared" si="6"/>
        <v>0</v>
      </c>
      <c r="L36" s="448">
        <v>0</v>
      </c>
      <c r="M36" s="448">
        <v>0</v>
      </c>
      <c r="N36" s="449">
        <v>0</v>
      </c>
    </row>
    <row r="37" spans="1:14" s="456" customFormat="1" ht="27.75" customHeight="1" thickBot="1">
      <c r="A37" s="439"/>
      <c r="B37" s="451" t="s">
        <v>0</v>
      </c>
      <c r="C37" s="452"/>
      <c r="D37" s="453">
        <v>0</v>
      </c>
      <c r="E37" s="453">
        <v>17495.12</v>
      </c>
      <c r="F37" s="453">
        <v>83901.12</v>
      </c>
      <c r="G37" s="453">
        <v>0</v>
      </c>
      <c r="H37" s="454">
        <f>SUM(I37:L37)</f>
        <v>95749.1</v>
      </c>
      <c r="I37" s="453">
        <v>0</v>
      </c>
      <c r="J37" s="453">
        <v>78253.97</v>
      </c>
      <c r="K37" s="453">
        <v>0</v>
      </c>
      <c r="L37" s="453">
        <v>17495.13</v>
      </c>
      <c r="M37" s="453">
        <v>5647.15</v>
      </c>
      <c r="N37" s="455">
        <v>0</v>
      </c>
    </row>
    <row r="42" ht="12.75">
      <c r="L42" s="465"/>
    </row>
    <row r="43" ht="12.75">
      <c r="L43" s="465"/>
    </row>
  </sheetData>
  <mergeCells count="21">
    <mergeCell ref="L42:L43"/>
    <mergeCell ref="M9:M10"/>
    <mergeCell ref="B37:C37"/>
    <mergeCell ref="E9:E10"/>
    <mergeCell ref="F9:G9"/>
    <mergeCell ref="B36:C36"/>
    <mergeCell ref="B23:B24"/>
    <mergeCell ref="B25:B35"/>
    <mergeCell ref="A9:A10"/>
    <mergeCell ref="D9:D10"/>
    <mergeCell ref="N9:N10"/>
    <mergeCell ref="B11:C11"/>
    <mergeCell ref="B9:C10"/>
    <mergeCell ref="H9:L9"/>
    <mergeCell ref="A12:A24"/>
    <mergeCell ref="A25:A35"/>
    <mergeCell ref="A36:A37"/>
    <mergeCell ref="M1:N1"/>
    <mergeCell ref="M2:N2"/>
    <mergeCell ref="M3:N3"/>
    <mergeCell ref="M4:N4"/>
  </mergeCells>
  <printOptions horizontalCentered="1"/>
  <pageMargins left="0.3937007874015748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D25" sqref="D25"/>
    </sheetView>
  </sheetViews>
  <sheetFormatPr defaultColWidth="9.00390625" defaultRowHeight="12.75"/>
  <cols>
    <col min="1" max="1" width="5.75390625" style="8" customWidth="1"/>
    <col min="2" max="2" width="8.25390625" style="8" customWidth="1"/>
    <col min="3" max="3" width="5.75390625" style="8" customWidth="1"/>
    <col min="4" max="4" width="30.875" style="8" customWidth="1"/>
    <col min="5" max="5" width="12.25390625" style="8" customWidth="1"/>
    <col min="6" max="6" width="12.25390625" style="0" customWidth="1"/>
  </cols>
  <sheetData>
    <row r="1" spans="5:7" ht="12.75">
      <c r="E1" s="24"/>
      <c r="F1" s="359" t="s">
        <v>558</v>
      </c>
      <c r="G1" s="359"/>
    </row>
    <row r="2" spans="5:7" ht="12.75">
      <c r="E2" s="26"/>
      <c r="F2" s="359" t="s">
        <v>544</v>
      </c>
      <c r="G2" s="359"/>
    </row>
    <row r="3" spans="5:7" ht="12.75">
      <c r="E3" s="26"/>
      <c r="F3" s="359" t="s">
        <v>545</v>
      </c>
      <c r="G3" s="359"/>
    </row>
    <row r="4" spans="5:7" ht="12.75">
      <c r="E4" s="26"/>
      <c r="F4" s="359" t="s">
        <v>546</v>
      </c>
      <c r="G4" s="359"/>
    </row>
    <row r="5" ht="12.75">
      <c r="E5"/>
    </row>
    <row r="8" spans="1:7" ht="43.5" customHeight="1">
      <c r="A8" s="415" t="s">
        <v>540</v>
      </c>
      <c r="B8" s="415"/>
      <c r="C8" s="415"/>
      <c r="D8" s="415"/>
      <c r="E8" s="415"/>
      <c r="F8" s="415"/>
      <c r="G8" s="415"/>
    </row>
    <row r="9" spans="1:5" ht="17.25" customHeight="1">
      <c r="A9" s="46"/>
      <c r="B9" s="46"/>
      <c r="C9" s="46"/>
      <c r="D9" s="46"/>
      <c r="E9" s="46"/>
    </row>
    <row r="10" spans="1:7" ht="21.75" customHeight="1">
      <c r="A10" s="385" t="s">
        <v>13</v>
      </c>
      <c r="B10" s="385" t="s">
        <v>14</v>
      </c>
      <c r="C10" s="385" t="s">
        <v>15</v>
      </c>
      <c r="D10" s="385" t="s">
        <v>16</v>
      </c>
      <c r="E10" s="414" t="s">
        <v>171</v>
      </c>
      <c r="F10" s="396" t="s">
        <v>0</v>
      </c>
      <c r="G10" s="397"/>
    </row>
    <row r="11" spans="1:7" s="8" customFormat="1" ht="20.25" customHeight="1">
      <c r="A11" s="385"/>
      <c r="B11" s="385"/>
      <c r="C11" s="385"/>
      <c r="D11" s="385"/>
      <c r="E11" s="414"/>
      <c r="F11" s="2" t="s">
        <v>1</v>
      </c>
      <c r="G11" s="2" t="s">
        <v>539</v>
      </c>
    </row>
    <row r="12" spans="1:7" ht="24.75" customHeight="1">
      <c r="A12" s="35" t="s">
        <v>31</v>
      </c>
      <c r="B12" s="5"/>
      <c r="C12" s="5"/>
      <c r="D12" s="19" t="s">
        <v>32</v>
      </c>
      <c r="E12" s="47">
        <f>SUM(E13)</f>
        <v>105000</v>
      </c>
      <c r="F12" s="47">
        <f>SUM(F13)</f>
        <v>67376.2</v>
      </c>
      <c r="G12" s="34">
        <f>F12/E12*100</f>
        <v>64.16780952380951</v>
      </c>
    </row>
    <row r="13" spans="1:7" s="24" customFormat="1" ht="24.75" customHeight="1">
      <c r="A13" s="83"/>
      <c r="B13" s="83">
        <v>75011</v>
      </c>
      <c r="C13" s="59"/>
      <c r="D13" s="14" t="s">
        <v>33</v>
      </c>
      <c r="E13" s="104">
        <f>SUM(E14:E14)</f>
        <v>105000</v>
      </c>
      <c r="F13" s="104">
        <f>SUM(F14:F14)</f>
        <v>67376.2</v>
      </c>
      <c r="G13" s="124">
        <f aca="true" t="shared" si="0" ref="G13:G18">F13/E13*100</f>
        <v>64.16780952380951</v>
      </c>
    </row>
    <row r="14" spans="1:7" s="24" customFormat="1" ht="24" customHeight="1">
      <c r="A14" s="83"/>
      <c r="B14" s="83"/>
      <c r="C14" s="87" t="s">
        <v>224</v>
      </c>
      <c r="D14" s="14" t="s">
        <v>178</v>
      </c>
      <c r="E14" s="104">
        <v>105000</v>
      </c>
      <c r="F14" s="124">
        <v>67376.2</v>
      </c>
      <c r="G14" s="124">
        <f t="shared" si="0"/>
        <v>64.16780952380951</v>
      </c>
    </row>
    <row r="15" spans="1:7" s="11" customFormat="1" ht="24" customHeight="1">
      <c r="A15" s="35">
        <v>852</v>
      </c>
      <c r="B15" s="35"/>
      <c r="C15" s="299"/>
      <c r="D15" s="19" t="s">
        <v>232</v>
      </c>
      <c r="E15" s="47">
        <f>SUM(E16)</f>
        <v>0</v>
      </c>
      <c r="F15" s="47">
        <f>SUM(F16)</f>
        <v>20054.38</v>
      </c>
      <c r="G15" s="18" t="s">
        <v>542</v>
      </c>
    </row>
    <row r="16" spans="1:7" s="24" customFormat="1" ht="45">
      <c r="A16" s="83"/>
      <c r="B16" s="83">
        <v>85212</v>
      </c>
      <c r="C16" s="87"/>
      <c r="D16" s="14" t="s">
        <v>541</v>
      </c>
      <c r="E16" s="104">
        <f>SUM(E17)</f>
        <v>0</v>
      </c>
      <c r="F16" s="104">
        <f>SUM(F17)</f>
        <v>20054.38</v>
      </c>
      <c r="G16" s="300" t="s">
        <v>542</v>
      </c>
    </row>
    <row r="17" spans="1:7" s="24" customFormat="1" ht="24" customHeight="1">
      <c r="A17" s="83"/>
      <c r="B17" s="83"/>
      <c r="C17" s="87" t="s">
        <v>199</v>
      </c>
      <c r="D17" s="164" t="s">
        <v>28</v>
      </c>
      <c r="E17" s="104">
        <v>0</v>
      </c>
      <c r="F17" s="124">
        <v>20054.38</v>
      </c>
      <c r="G17" s="300" t="s">
        <v>542</v>
      </c>
    </row>
    <row r="18" spans="1:7" ht="24.75" customHeight="1">
      <c r="A18" s="4"/>
      <c r="B18" s="4"/>
      <c r="C18" s="4"/>
      <c r="D18" s="12" t="s">
        <v>90</v>
      </c>
      <c r="E18" s="47">
        <f>SUM(E12,E15)</f>
        <v>105000</v>
      </c>
      <c r="F18" s="47">
        <f>SUM(F12,F15)</f>
        <v>87430.58</v>
      </c>
      <c r="G18" s="124">
        <f t="shared" si="0"/>
        <v>83.26721904761905</v>
      </c>
    </row>
  </sheetData>
  <mergeCells count="11">
    <mergeCell ref="E10:E11"/>
    <mergeCell ref="F10:G10"/>
    <mergeCell ref="A8:G8"/>
    <mergeCell ref="A10:A11"/>
    <mergeCell ref="B10:B11"/>
    <mergeCell ref="C10:C11"/>
    <mergeCell ref="D10:D11"/>
    <mergeCell ref="F1:G1"/>
    <mergeCell ref="F2:G2"/>
    <mergeCell ref="F3:G3"/>
    <mergeCell ref="F4:G4"/>
  </mergeCells>
  <printOptions horizontalCentered="1"/>
  <pageMargins left="0.7874015748031497" right="0.7874015748031497" top="0.7874015748031497" bottom="0.7874015748031497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6"/>
  <sheetViews>
    <sheetView workbookViewId="0" topLeftCell="A1">
      <selection activeCell="A6" sqref="A6:A7"/>
    </sheetView>
  </sheetViews>
  <sheetFormatPr defaultColWidth="9.00390625" defaultRowHeight="12.75"/>
  <cols>
    <col min="1" max="1" width="5.25390625" style="8" customWidth="1"/>
    <col min="2" max="2" width="7.625" style="8" customWidth="1"/>
    <col min="3" max="3" width="5.00390625" style="8" bestFit="1" customWidth="1"/>
    <col min="4" max="4" width="31.125" style="8" customWidth="1"/>
    <col min="5" max="5" width="12.25390625" style="30" bestFit="1" customWidth="1"/>
    <col min="6" max="6" width="12.25390625" style="30" customWidth="1"/>
    <col min="7" max="7" width="12.125" style="254" customWidth="1"/>
    <col min="8" max="8" width="7.25390625" style="177" customWidth="1"/>
  </cols>
  <sheetData>
    <row r="1" spans="1:8" ht="12.75">
      <c r="A1" s="125"/>
      <c r="B1" s="125"/>
      <c r="C1" s="125"/>
      <c r="D1" s="125"/>
      <c r="E1" s="67"/>
      <c r="F1" s="361" t="s">
        <v>547</v>
      </c>
      <c r="G1" s="361"/>
      <c r="H1" s="361"/>
    </row>
    <row r="2" spans="1:8" ht="12.75">
      <c r="A2" s="125"/>
      <c r="B2" s="125"/>
      <c r="C2" s="125"/>
      <c r="D2" s="125"/>
      <c r="E2" s="67"/>
      <c r="F2" s="361" t="s">
        <v>544</v>
      </c>
      <c r="G2" s="361"/>
      <c r="H2" s="361"/>
    </row>
    <row r="3" spans="1:8" ht="12.75">
      <c r="A3" s="125"/>
      <c r="B3" s="125"/>
      <c r="C3" s="125"/>
      <c r="D3" s="125"/>
      <c r="E3" s="67"/>
      <c r="F3" s="361" t="s">
        <v>545</v>
      </c>
      <c r="G3" s="361"/>
      <c r="H3" s="361"/>
    </row>
    <row r="4" spans="1:8" ht="12.75">
      <c r="A4" s="125"/>
      <c r="B4" s="125"/>
      <c r="C4" s="125"/>
      <c r="D4" s="125"/>
      <c r="E4" s="67"/>
      <c r="F4" s="361" t="s">
        <v>546</v>
      </c>
      <c r="G4" s="361"/>
      <c r="H4" s="361"/>
    </row>
    <row r="5" spans="1:6" ht="21" customHeight="1">
      <c r="A5" s="209" t="s">
        <v>521</v>
      </c>
      <c r="B5" s="209"/>
      <c r="C5" s="209"/>
      <c r="D5" s="209"/>
      <c r="E5" s="209"/>
      <c r="F5" s="209"/>
    </row>
    <row r="6" spans="1:8" ht="18" customHeight="1">
      <c r="A6" s="369" t="s">
        <v>13</v>
      </c>
      <c r="B6" s="369" t="s">
        <v>14</v>
      </c>
      <c r="C6" s="369" t="s">
        <v>15</v>
      </c>
      <c r="D6" s="369" t="s">
        <v>425</v>
      </c>
      <c r="E6" s="371" t="s">
        <v>171</v>
      </c>
      <c r="F6" s="372" t="s">
        <v>537</v>
      </c>
      <c r="G6" s="370" t="s">
        <v>0</v>
      </c>
      <c r="H6" s="370"/>
    </row>
    <row r="7" spans="1:8" s="8" customFormat="1" ht="18" customHeight="1">
      <c r="A7" s="369"/>
      <c r="B7" s="369"/>
      <c r="C7" s="369"/>
      <c r="D7" s="369"/>
      <c r="E7" s="371"/>
      <c r="F7" s="372"/>
      <c r="G7" s="18" t="s">
        <v>1</v>
      </c>
      <c r="H7" s="2" t="s">
        <v>2</v>
      </c>
    </row>
    <row r="8" spans="1:8" s="11" customFormat="1" ht="24.75" customHeight="1">
      <c r="A8" s="37" t="s">
        <v>17</v>
      </c>
      <c r="B8" s="69"/>
      <c r="C8" s="70"/>
      <c r="D8" s="40" t="s">
        <v>18</v>
      </c>
      <c r="E8" s="41">
        <f>SUM(E9,E11,E13)</f>
        <v>257900</v>
      </c>
      <c r="F8" s="41">
        <f>SUM(F9,F11,F13)</f>
        <v>356163</v>
      </c>
      <c r="G8" s="41">
        <f>SUM(G9,G11,G13)</f>
        <v>102504.09</v>
      </c>
      <c r="H8" s="47">
        <f>G8/F8*100</f>
        <v>28.780106299643705</v>
      </c>
    </row>
    <row r="9" spans="1:8" s="24" customFormat="1" ht="21.75" customHeight="1">
      <c r="A9" s="77"/>
      <c r="B9" s="94" t="s">
        <v>92</v>
      </c>
      <c r="C9" s="80"/>
      <c r="D9" s="42" t="s">
        <v>93</v>
      </c>
      <c r="E9" s="92">
        <f>SUM(E10)</f>
        <v>7900</v>
      </c>
      <c r="F9" s="92">
        <f>SUM(F10)</f>
        <v>7900</v>
      </c>
      <c r="G9" s="92">
        <f>SUM(G10)</f>
        <v>4241.17</v>
      </c>
      <c r="H9" s="104">
        <f aca="true" t="shared" si="0" ref="H9:H72">G9/F9*100</f>
        <v>53.68569620253165</v>
      </c>
    </row>
    <row r="10" spans="1:8" s="24" customFormat="1" ht="45">
      <c r="A10" s="95"/>
      <c r="B10" s="96"/>
      <c r="C10" s="80">
        <v>2850</v>
      </c>
      <c r="D10" s="42" t="s">
        <v>468</v>
      </c>
      <c r="E10" s="92">
        <v>7900</v>
      </c>
      <c r="F10" s="92">
        <v>7900</v>
      </c>
      <c r="G10" s="92">
        <v>4241.17</v>
      </c>
      <c r="H10" s="104">
        <f t="shared" si="0"/>
        <v>53.68569620253165</v>
      </c>
    </row>
    <row r="11" spans="1:8" s="24" customFormat="1" ht="21.75" customHeight="1">
      <c r="A11" s="95"/>
      <c r="B11" s="96" t="s">
        <v>401</v>
      </c>
      <c r="C11" s="80"/>
      <c r="D11" s="42" t="s">
        <v>402</v>
      </c>
      <c r="E11" s="92">
        <f>SUM(E12)</f>
        <v>250000</v>
      </c>
      <c r="F11" s="92">
        <f>SUM(F12)</f>
        <v>250000</v>
      </c>
      <c r="G11" s="92">
        <f>SUM(G12)</f>
        <v>0</v>
      </c>
      <c r="H11" s="104">
        <f t="shared" si="0"/>
        <v>0</v>
      </c>
    </row>
    <row r="12" spans="1:8" s="24" customFormat="1" ht="21.75" customHeight="1">
      <c r="A12" s="95"/>
      <c r="B12" s="96"/>
      <c r="C12" s="80">
        <v>4300</v>
      </c>
      <c r="D12" s="42" t="s">
        <v>101</v>
      </c>
      <c r="E12" s="92">
        <v>250000</v>
      </c>
      <c r="F12" s="92">
        <v>250000</v>
      </c>
      <c r="G12" s="92">
        <v>0</v>
      </c>
      <c r="H12" s="104">
        <f t="shared" si="0"/>
        <v>0</v>
      </c>
    </row>
    <row r="13" spans="1:8" s="24" customFormat="1" ht="21.75" customHeight="1">
      <c r="A13" s="95"/>
      <c r="B13" s="79" t="s">
        <v>442</v>
      </c>
      <c r="C13" s="208"/>
      <c r="D13" s="14" t="s">
        <v>19</v>
      </c>
      <c r="E13" s="92">
        <f>SUM(E14:E16)</f>
        <v>0</v>
      </c>
      <c r="F13" s="92">
        <f>SUM(F14:F16)</f>
        <v>98263</v>
      </c>
      <c r="G13" s="92">
        <f>SUM(G14:G16)</f>
        <v>98262.92</v>
      </c>
      <c r="H13" s="104">
        <f t="shared" si="0"/>
        <v>99.99991858583597</v>
      </c>
    </row>
    <row r="14" spans="1:8" s="24" customFormat="1" ht="21.75" customHeight="1">
      <c r="A14" s="95"/>
      <c r="B14" s="85"/>
      <c r="C14" s="208">
        <v>4300</v>
      </c>
      <c r="D14" s="14" t="s">
        <v>101</v>
      </c>
      <c r="E14" s="92">
        <v>0</v>
      </c>
      <c r="F14" s="92">
        <v>1500</v>
      </c>
      <c r="G14" s="92">
        <v>1500</v>
      </c>
      <c r="H14" s="104">
        <f t="shared" si="0"/>
        <v>100</v>
      </c>
    </row>
    <row r="15" spans="1:8" s="24" customFormat="1" ht="21.75" customHeight="1">
      <c r="A15" s="95"/>
      <c r="B15" s="59"/>
      <c r="C15" s="85">
        <v>4430</v>
      </c>
      <c r="D15" s="42" t="s">
        <v>116</v>
      </c>
      <c r="E15" s="92">
        <v>0</v>
      </c>
      <c r="F15" s="92">
        <v>96336</v>
      </c>
      <c r="G15" s="92">
        <v>96336.2</v>
      </c>
      <c r="H15" s="104">
        <f t="shared" si="0"/>
        <v>100.00020760670985</v>
      </c>
    </row>
    <row r="16" spans="1:8" s="24" customFormat="1" ht="33.75">
      <c r="A16" s="95"/>
      <c r="B16" s="96"/>
      <c r="C16" s="59">
        <v>4740</v>
      </c>
      <c r="D16" s="14" t="s">
        <v>291</v>
      </c>
      <c r="E16" s="92">
        <v>0</v>
      </c>
      <c r="F16" s="92">
        <v>427</v>
      </c>
      <c r="G16" s="92">
        <v>426.72</v>
      </c>
      <c r="H16" s="104">
        <f t="shared" si="0"/>
        <v>99.9344262295082</v>
      </c>
    </row>
    <row r="17" spans="1:8" s="7" customFormat="1" ht="21.75" customHeight="1">
      <c r="A17" s="37" t="s">
        <v>96</v>
      </c>
      <c r="B17" s="38"/>
      <c r="C17" s="39"/>
      <c r="D17" s="40" t="s">
        <v>97</v>
      </c>
      <c r="E17" s="41">
        <f>E22+E18+E20</f>
        <v>1514580</v>
      </c>
      <c r="F17" s="41">
        <f>F22+F18+F20</f>
        <v>3134574</v>
      </c>
      <c r="G17" s="41">
        <f>G22+G18+G20</f>
        <v>147266.96</v>
      </c>
      <c r="H17" s="47">
        <f t="shared" si="0"/>
        <v>4.698149094581911</v>
      </c>
    </row>
    <row r="18" spans="1:8" s="24" customFormat="1" ht="21.75" customHeight="1">
      <c r="A18" s="77"/>
      <c r="B18" s="99">
        <v>60013</v>
      </c>
      <c r="C18" s="98"/>
      <c r="D18" s="42" t="s">
        <v>430</v>
      </c>
      <c r="E18" s="92">
        <f>SUM(E19)</f>
        <v>0</v>
      </c>
      <c r="F18" s="92">
        <f>SUM(F19)</f>
        <v>30000</v>
      </c>
      <c r="G18" s="92">
        <f>SUM(G19)</f>
        <v>0</v>
      </c>
      <c r="H18" s="104">
        <f t="shared" si="0"/>
        <v>0</v>
      </c>
    </row>
    <row r="19" spans="1:8" s="24" customFormat="1" ht="60" customHeight="1">
      <c r="A19" s="77"/>
      <c r="B19" s="99"/>
      <c r="C19" s="98">
        <v>6300</v>
      </c>
      <c r="D19" s="42" t="s">
        <v>431</v>
      </c>
      <c r="E19" s="92">
        <v>0</v>
      </c>
      <c r="F19" s="92">
        <v>30000</v>
      </c>
      <c r="G19" s="92">
        <v>0</v>
      </c>
      <c r="H19" s="104">
        <f t="shared" si="0"/>
        <v>0</v>
      </c>
    </row>
    <row r="20" spans="1:8" s="24" customFormat="1" ht="21.75" customHeight="1">
      <c r="A20" s="77"/>
      <c r="B20" s="99">
        <v>60014</v>
      </c>
      <c r="C20" s="98"/>
      <c r="D20" s="42" t="s">
        <v>481</v>
      </c>
      <c r="E20" s="92">
        <f>SUM(E21)</f>
        <v>0</v>
      </c>
      <c r="F20" s="92">
        <f>SUM(F21)</f>
        <v>210000</v>
      </c>
      <c r="G20" s="92">
        <f>SUM(G21)</f>
        <v>0</v>
      </c>
      <c r="H20" s="104">
        <f t="shared" si="0"/>
        <v>0</v>
      </c>
    </row>
    <row r="21" spans="1:8" s="24" customFormat="1" ht="27" customHeight="1">
      <c r="A21" s="77"/>
      <c r="B21" s="99"/>
      <c r="C21" s="98">
        <v>6800</v>
      </c>
      <c r="D21" s="42" t="s">
        <v>398</v>
      </c>
      <c r="E21" s="92">
        <v>0</v>
      </c>
      <c r="F21" s="92">
        <v>210000</v>
      </c>
      <c r="G21" s="92">
        <v>0</v>
      </c>
      <c r="H21" s="104">
        <f t="shared" si="0"/>
        <v>0</v>
      </c>
    </row>
    <row r="22" spans="1:8" s="24" customFormat="1" ht="21.75" customHeight="1">
      <c r="A22" s="77"/>
      <c r="B22" s="94" t="s">
        <v>98</v>
      </c>
      <c r="C22" s="98"/>
      <c r="D22" s="42" t="s">
        <v>99</v>
      </c>
      <c r="E22" s="92">
        <f>SUM(E23:E28)</f>
        <v>1514580</v>
      </c>
      <c r="F22" s="92">
        <f>SUM(F23:F28)</f>
        <v>2894574</v>
      </c>
      <c r="G22" s="92">
        <f>SUM(G23:G28)</f>
        <v>147266.96</v>
      </c>
      <c r="H22" s="104">
        <f t="shared" si="0"/>
        <v>5.087690278431299</v>
      </c>
    </row>
    <row r="23" spans="1:8" s="24" customFormat="1" ht="21.75" customHeight="1">
      <c r="A23" s="77"/>
      <c r="B23" s="99"/>
      <c r="C23" s="77">
        <v>4210</v>
      </c>
      <c r="D23" s="42" t="s">
        <v>94</v>
      </c>
      <c r="E23" s="92">
        <v>33960</v>
      </c>
      <c r="F23" s="81">
        <v>32684</v>
      </c>
      <c r="G23" s="81">
        <v>7069.28</v>
      </c>
      <c r="H23" s="104">
        <f t="shared" si="0"/>
        <v>21.629176355403253</v>
      </c>
    </row>
    <row r="24" spans="1:8" s="24" customFormat="1" ht="21.75" customHeight="1">
      <c r="A24" s="77"/>
      <c r="B24" s="99"/>
      <c r="C24" s="77">
        <v>4270</v>
      </c>
      <c r="D24" s="42" t="s">
        <v>100</v>
      </c>
      <c r="E24" s="92">
        <f>90000+25000+7000</f>
        <v>122000</v>
      </c>
      <c r="F24" s="81">
        <v>122000</v>
      </c>
      <c r="G24" s="81">
        <v>13484.28</v>
      </c>
      <c r="H24" s="104">
        <f t="shared" si="0"/>
        <v>11.052688524590165</v>
      </c>
    </row>
    <row r="25" spans="1:8" s="24" customFormat="1" ht="21.75" customHeight="1">
      <c r="A25" s="77"/>
      <c r="B25" s="99"/>
      <c r="C25" s="77">
        <v>4300</v>
      </c>
      <c r="D25" s="42" t="s">
        <v>101</v>
      </c>
      <c r="E25" s="92">
        <v>251340</v>
      </c>
      <c r="F25" s="81">
        <v>303120</v>
      </c>
      <c r="G25" s="81">
        <v>20845</v>
      </c>
      <c r="H25" s="104">
        <f t="shared" si="0"/>
        <v>6.876814462918976</v>
      </c>
    </row>
    <row r="26" spans="1:8" s="24" customFormat="1" ht="27" customHeight="1">
      <c r="A26" s="77"/>
      <c r="B26" s="99"/>
      <c r="C26" s="77">
        <v>6050</v>
      </c>
      <c r="D26" s="42" t="s">
        <v>95</v>
      </c>
      <c r="E26" s="92">
        <v>1055630</v>
      </c>
      <c r="F26" s="212">
        <v>2404120</v>
      </c>
      <c r="G26" s="212">
        <v>105868.4</v>
      </c>
      <c r="H26" s="104">
        <f t="shared" si="0"/>
        <v>4.4036237791790755</v>
      </c>
    </row>
    <row r="27" spans="1:8" s="24" customFormat="1" ht="27" customHeight="1">
      <c r="A27" s="77"/>
      <c r="B27" s="99"/>
      <c r="C27" s="77">
        <v>6060</v>
      </c>
      <c r="D27" s="42" t="s">
        <v>118</v>
      </c>
      <c r="E27" s="92">
        <v>11650</v>
      </c>
      <c r="F27" s="92">
        <v>22650</v>
      </c>
      <c r="G27" s="92">
        <v>0</v>
      </c>
      <c r="H27" s="104">
        <f t="shared" si="0"/>
        <v>0</v>
      </c>
    </row>
    <row r="28" spans="1:8" s="24" customFormat="1" ht="27" customHeight="1">
      <c r="A28" s="77"/>
      <c r="B28" s="99"/>
      <c r="C28" s="77">
        <v>6800</v>
      </c>
      <c r="D28" s="42" t="s">
        <v>398</v>
      </c>
      <c r="E28" s="92">
        <v>40000</v>
      </c>
      <c r="F28" s="92">
        <v>10000</v>
      </c>
      <c r="G28" s="92">
        <v>0</v>
      </c>
      <c r="H28" s="104">
        <f t="shared" si="0"/>
        <v>0</v>
      </c>
    </row>
    <row r="29" spans="1:8" s="7" customFormat="1" ht="21.75" customHeight="1">
      <c r="A29" s="37" t="s">
        <v>24</v>
      </c>
      <c r="B29" s="38"/>
      <c r="C29" s="39"/>
      <c r="D29" s="40" t="s">
        <v>25</v>
      </c>
      <c r="E29" s="41">
        <f>SUM(E30,E33,E37,E40)</f>
        <v>1188528</v>
      </c>
      <c r="F29" s="41">
        <f>SUM(F30,F33,F37,F40,)</f>
        <v>1427461</v>
      </c>
      <c r="G29" s="41">
        <f>SUM(G30,G33,G37,G40,)</f>
        <v>304150.74</v>
      </c>
      <c r="H29" s="47">
        <f t="shared" si="0"/>
        <v>21.307113819571953</v>
      </c>
    </row>
    <row r="30" spans="1:8" s="24" customFormat="1" ht="27" customHeight="1">
      <c r="A30" s="77"/>
      <c r="B30" s="99">
        <v>70004</v>
      </c>
      <c r="C30" s="98"/>
      <c r="D30" s="42" t="s">
        <v>250</v>
      </c>
      <c r="E30" s="92">
        <f>SUM(E31:E32)</f>
        <v>148000</v>
      </c>
      <c r="F30" s="92">
        <f>SUM(F31:F32)</f>
        <v>222500</v>
      </c>
      <c r="G30" s="92">
        <f>SUM(G31:G32)</f>
        <v>46942.02</v>
      </c>
      <c r="H30" s="104">
        <f t="shared" si="0"/>
        <v>21.097537078651683</v>
      </c>
    </row>
    <row r="31" spans="1:8" s="24" customFormat="1" ht="21.75" customHeight="1">
      <c r="A31" s="77"/>
      <c r="B31" s="99"/>
      <c r="C31" s="98">
        <v>4270</v>
      </c>
      <c r="D31" s="42" t="s">
        <v>100</v>
      </c>
      <c r="E31" s="92">
        <v>0</v>
      </c>
      <c r="F31" s="92">
        <v>4500</v>
      </c>
      <c r="G31" s="92">
        <v>0</v>
      </c>
      <c r="H31" s="104">
        <f t="shared" si="0"/>
        <v>0</v>
      </c>
    </row>
    <row r="32" spans="1:8" s="24" customFormat="1" ht="21.75" customHeight="1">
      <c r="A32" s="77"/>
      <c r="B32" s="99"/>
      <c r="C32" s="98">
        <v>4300</v>
      </c>
      <c r="D32" s="42" t="s">
        <v>101</v>
      </c>
      <c r="E32" s="92">
        <f>18000+30000+100000</f>
        <v>148000</v>
      </c>
      <c r="F32" s="92">
        <v>218000</v>
      </c>
      <c r="G32" s="92">
        <v>46942.02</v>
      </c>
      <c r="H32" s="104">
        <f t="shared" si="0"/>
        <v>21.533036697247702</v>
      </c>
    </row>
    <row r="33" spans="1:8" s="24" customFormat="1" ht="21.75" customHeight="1">
      <c r="A33" s="77"/>
      <c r="B33" s="94" t="s">
        <v>26</v>
      </c>
      <c r="C33" s="98"/>
      <c r="D33" s="42" t="s">
        <v>183</v>
      </c>
      <c r="E33" s="92">
        <f>SUM(E34:E36)</f>
        <v>112168</v>
      </c>
      <c r="F33" s="92">
        <f>SUM(F34:F36)</f>
        <v>112168</v>
      </c>
      <c r="G33" s="92">
        <f>SUM(G34:G36)</f>
        <v>86984.79000000001</v>
      </c>
      <c r="H33" s="104">
        <f t="shared" si="0"/>
        <v>77.54866806932459</v>
      </c>
    </row>
    <row r="34" spans="1:8" s="24" customFormat="1" ht="21.75" customHeight="1">
      <c r="A34" s="77"/>
      <c r="B34" s="94"/>
      <c r="C34" s="98">
        <v>4510</v>
      </c>
      <c r="D34" s="42" t="s">
        <v>180</v>
      </c>
      <c r="E34" s="92">
        <v>28</v>
      </c>
      <c r="F34" s="92">
        <v>28</v>
      </c>
      <c r="G34" s="92">
        <v>27.66</v>
      </c>
      <c r="H34" s="104">
        <f t="shared" si="0"/>
        <v>98.78571428571429</v>
      </c>
    </row>
    <row r="35" spans="1:8" s="24" customFormat="1" ht="21.75" customHeight="1">
      <c r="A35" s="77"/>
      <c r="B35" s="99"/>
      <c r="C35" s="77">
        <v>4300</v>
      </c>
      <c r="D35" s="42" t="s">
        <v>101</v>
      </c>
      <c r="E35" s="92">
        <f>100000+12000</f>
        <v>112000</v>
      </c>
      <c r="F35" s="92">
        <v>112000</v>
      </c>
      <c r="G35" s="92">
        <v>86825.13</v>
      </c>
      <c r="H35" s="104">
        <f t="shared" si="0"/>
        <v>77.52243750000001</v>
      </c>
    </row>
    <row r="36" spans="1:8" s="24" customFormat="1" ht="21.75" customHeight="1">
      <c r="A36" s="77"/>
      <c r="B36" s="99"/>
      <c r="C36" s="77">
        <v>4480</v>
      </c>
      <c r="D36" s="42" t="s">
        <v>48</v>
      </c>
      <c r="E36" s="92">
        <v>140</v>
      </c>
      <c r="F36" s="92">
        <v>140</v>
      </c>
      <c r="G36" s="92">
        <v>132</v>
      </c>
      <c r="H36" s="104">
        <f t="shared" si="0"/>
        <v>94.28571428571428</v>
      </c>
    </row>
    <row r="37" spans="1:8" s="24" customFormat="1" ht="27" customHeight="1">
      <c r="A37" s="77"/>
      <c r="B37" s="99">
        <v>70021</v>
      </c>
      <c r="C37" s="77"/>
      <c r="D37" s="42" t="s">
        <v>222</v>
      </c>
      <c r="E37" s="92">
        <f>SUM(E38:E39)</f>
        <v>600000</v>
      </c>
      <c r="F37" s="92">
        <f>SUM(F38:F39)</f>
        <v>600000</v>
      </c>
      <c r="G37" s="92">
        <f>SUM(G38:G39)</f>
        <v>0</v>
      </c>
      <c r="H37" s="104">
        <f t="shared" si="0"/>
        <v>0</v>
      </c>
    </row>
    <row r="38" spans="1:8" s="24" customFormat="1" ht="21.75" customHeight="1">
      <c r="A38" s="77"/>
      <c r="B38" s="99"/>
      <c r="C38" s="77">
        <v>4270</v>
      </c>
      <c r="D38" s="42" t="s">
        <v>100</v>
      </c>
      <c r="E38" s="92">
        <v>300000</v>
      </c>
      <c r="F38" s="92">
        <v>300000</v>
      </c>
      <c r="G38" s="92">
        <v>0</v>
      </c>
      <c r="H38" s="104">
        <f t="shared" si="0"/>
        <v>0</v>
      </c>
    </row>
    <row r="39" spans="1:8" s="24" customFormat="1" ht="67.5">
      <c r="A39" s="77"/>
      <c r="B39" s="99"/>
      <c r="C39" s="77">
        <v>6010</v>
      </c>
      <c r="D39" s="42" t="s">
        <v>297</v>
      </c>
      <c r="E39" s="92">
        <v>300000</v>
      </c>
      <c r="F39" s="92">
        <v>300000</v>
      </c>
      <c r="G39" s="92">
        <v>0</v>
      </c>
      <c r="H39" s="104">
        <f t="shared" si="0"/>
        <v>0</v>
      </c>
    </row>
    <row r="40" spans="1:8" s="24" customFormat="1" ht="21.75" customHeight="1">
      <c r="A40" s="77"/>
      <c r="B40" s="94">
        <v>70095</v>
      </c>
      <c r="C40" s="98"/>
      <c r="D40" s="42" t="s">
        <v>19</v>
      </c>
      <c r="E40" s="92">
        <f>SUM(E41:E44)</f>
        <v>328360</v>
      </c>
      <c r="F40" s="92">
        <f>SUM(F41:F44)</f>
        <v>492793</v>
      </c>
      <c r="G40" s="92">
        <f>SUM(G41:G44)</f>
        <v>170223.93</v>
      </c>
      <c r="H40" s="104">
        <f t="shared" si="0"/>
        <v>34.5426842507909</v>
      </c>
    </row>
    <row r="41" spans="1:8" s="24" customFormat="1" ht="21.75" customHeight="1">
      <c r="A41" s="77"/>
      <c r="B41" s="94"/>
      <c r="C41" s="98">
        <v>4260</v>
      </c>
      <c r="D41" s="42" t="s">
        <v>117</v>
      </c>
      <c r="E41" s="92">
        <v>300</v>
      </c>
      <c r="F41" s="92">
        <v>300</v>
      </c>
      <c r="G41" s="92">
        <v>135.95</v>
      </c>
      <c r="H41" s="104">
        <f t="shared" si="0"/>
        <v>45.31666666666666</v>
      </c>
    </row>
    <row r="42" spans="1:8" s="24" customFormat="1" ht="21.75" customHeight="1">
      <c r="A42" s="77"/>
      <c r="B42" s="94"/>
      <c r="C42" s="98">
        <v>4300</v>
      </c>
      <c r="D42" s="42" t="s">
        <v>101</v>
      </c>
      <c r="E42" s="92">
        <v>178060</v>
      </c>
      <c r="F42" s="212">
        <v>178060</v>
      </c>
      <c r="G42" s="212">
        <v>55</v>
      </c>
      <c r="H42" s="104">
        <f t="shared" si="0"/>
        <v>0.03088846456250702</v>
      </c>
    </row>
    <row r="43" spans="1:8" s="24" customFormat="1" ht="33.75">
      <c r="A43" s="77"/>
      <c r="B43" s="94"/>
      <c r="C43" s="98">
        <v>4600</v>
      </c>
      <c r="D43" s="42" t="s">
        <v>426</v>
      </c>
      <c r="E43" s="92">
        <v>0</v>
      </c>
      <c r="F43" s="92">
        <v>56410</v>
      </c>
      <c r="G43" s="92">
        <v>56410</v>
      </c>
      <c r="H43" s="104">
        <f t="shared" si="0"/>
        <v>100</v>
      </c>
    </row>
    <row r="44" spans="1:8" s="24" customFormat="1" ht="30" customHeight="1">
      <c r="A44" s="77"/>
      <c r="B44" s="94"/>
      <c r="C44" s="77">
        <v>6050</v>
      </c>
      <c r="D44" s="42" t="s">
        <v>95</v>
      </c>
      <c r="E44" s="92">
        <v>150000</v>
      </c>
      <c r="F44" s="92">
        <v>258023</v>
      </c>
      <c r="G44" s="92">
        <v>113622.98</v>
      </c>
      <c r="H44" s="104">
        <f t="shared" si="0"/>
        <v>44.03598903973677</v>
      </c>
    </row>
    <row r="45" spans="1:8" s="7" customFormat="1" ht="21.75" customHeight="1">
      <c r="A45" s="37" t="s">
        <v>29</v>
      </c>
      <c r="B45" s="38"/>
      <c r="C45" s="39"/>
      <c r="D45" s="40" t="s">
        <v>102</v>
      </c>
      <c r="E45" s="41">
        <f>SUM(E46,E49)</f>
        <v>153400</v>
      </c>
      <c r="F45" s="41">
        <f>SUM(F46,F49,)</f>
        <v>153400</v>
      </c>
      <c r="G45" s="41">
        <f>SUM(G46,G49,)</f>
        <v>2738.3599999999997</v>
      </c>
      <c r="H45" s="47">
        <f t="shared" si="0"/>
        <v>1.7851108213820077</v>
      </c>
    </row>
    <row r="46" spans="1:8" s="24" customFormat="1" ht="27" customHeight="1">
      <c r="A46" s="77"/>
      <c r="B46" s="94" t="s">
        <v>103</v>
      </c>
      <c r="C46" s="98"/>
      <c r="D46" s="42" t="s">
        <v>104</v>
      </c>
      <c r="E46" s="92">
        <f>SUM(E47:E48)</f>
        <v>150000</v>
      </c>
      <c r="F46" s="92">
        <f>SUM(F47:F48)</f>
        <v>150000</v>
      </c>
      <c r="G46" s="92">
        <f>SUM(G47:G48)</f>
        <v>1919.62</v>
      </c>
      <c r="H46" s="104">
        <f t="shared" si="0"/>
        <v>1.2797466666666666</v>
      </c>
    </row>
    <row r="47" spans="1:8" s="24" customFormat="1" ht="21.75" customHeight="1">
      <c r="A47" s="77"/>
      <c r="B47" s="94"/>
      <c r="C47" s="77">
        <v>4300</v>
      </c>
      <c r="D47" s="42" t="s">
        <v>101</v>
      </c>
      <c r="E47" s="92">
        <f>150000-10000</f>
        <v>140000</v>
      </c>
      <c r="F47" s="92">
        <v>140000</v>
      </c>
      <c r="G47" s="92">
        <v>1919.62</v>
      </c>
      <c r="H47" s="104">
        <f t="shared" si="0"/>
        <v>1.3711571428571427</v>
      </c>
    </row>
    <row r="48" spans="1:8" s="24" customFormat="1" ht="27" customHeight="1">
      <c r="A48" s="77"/>
      <c r="B48" s="94"/>
      <c r="C48" s="77">
        <v>4390</v>
      </c>
      <c r="D48" s="42" t="s">
        <v>295</v>
      </c>
      <c r="E48" s="92">
        <v>10000</v>
      </c>
      <c r="F48" s="92">
        <v>10000</v>
      </c>
      <c r="G48" s="92">
        <v>0</v>
      </c>
      <c r="H48" s="104">
        <f t="shared" si="0"/>
        <v>0</v>
      </c>
    </row>
    <row r="49" spans="1:8" s="24" customFormat="1" ht="21.75" customHeight="1">
      <c r="A49" s="77"/>
      <c r="B49" s="94">
        <v>71035</v>
      </c>
      <c r="C49" s="77"/>
      <c r="D49" s="42" t="s">
        <v>30</v>
      </c>
      <c r="E49" s="92">
        <f>SUM(E50:E51)</f>
        <v>3400</v>
      </c>
      <c r="F49" s="92">
        <f>SUM(F50:F51)</f>
        <v>3400</v>
      </c>
      <c r="G49" s="92">
        <f>SUM(G50:G51)</f>
        <v>818.74</v>
      </c>
      <c r="H49" s="104">
        <f t="shared" si="0"/>
        <v>24.08058823529412</v>
      </c>
    </row>
    <row r="50" spans="1:8" s="24" customFormat="1" ht="21.75" customHeight="1">
      <c r="A50" s="77"/>
      <c r="B50" s="94"/>
      <c r="C50" s="77">
        <v>4260</v>
      </c>
      <c r="D50" s="42" t="s">
        <v>117</v>
      </c>
      <c r="E50" s="92">
        <f>400+1500</f>
        <v>1900</v>
      </c>
      <c r="F50" s="92">
        <v>1900</v>
      </c>
      <c r="G50" s="92">
        <v>162.92</v>
      </c>
      <c r="H50" s="104">
        <f t="shared" si="0"/>
        <v>8.574736842105263</v>
      </c>
    </row>
    <row r="51" spans="1:8" s="24" customFormat="1" ht="21.75" customHeight="1">
      <c r="A51" s="77"/>
      <c r="B51" s="94"/>
      <c r="C51" s="77">
        <v>4300</v>
      </c>
      <c r="D51" s="42" t="s">
        <v>101</v>
      </c>
      <c r="E51" s="92">
        <v>1500</v>
      </c>
      <c r="F51" s="92">
        <v>1500</v>
      </c>
      <c r="G51" s="92">
        <v>655.82</v>
      </c>
      <c r="H51" s="104">
        <f t="shared" si="0"/>
        <v>43.721333333333334</v>
      </c>
    </row>
    <row r="52" spans="1:8" s="7" customFormat="1" ht="21.75" customHeight="1">
      <c r="A52" s="37" t="s">
        <v>31</v>
      </c>
      <c r="B52" s="38"/>
      <c r="C52" s="39"/>
      <c r="D52" s="40" t="s">
        <v>105</v>
      </c>
      <c r="E52" s="41">
        <f>SUM(E53,E59,E70,E95,E108)</f>
        <v>5000750</v>
      </c>
      <c r="F52" s="41">
        <f>SUM(F53,F59,F70,F95,F108,)</f>
        <v>5021853</v>
      </c>
      <c r="G52" s="41">
        <f>SUM(G53,G59,G70,G95,G108,)</f>
        <v>2210605.18</v>
      </c>
      <c r="H52" s="47">
        <f t="shared" si="0"/>
        <v>44.01971105088102</v>
      </c>
    </row>
    <row r="53" spans="1:8" s="24" customFormat="1" ht="21.75" customHeight="1">
      <c r="A53" s="77"/>
      <c r="B53" s="94">
        <v>75011</v>
      </c>
      <c r="C53" s="98"/>
      <c r="D53" s="42" t="s">
        <v>33</v>
      </c>
      <c r="E53" s="92">
        <f>SUM(E54:E58)</f>
        <v>144800</v>
      </c>
      <c r="F53" s="92">
        <f>SUM(F54:F58)</f>
        <v>144800</v>
      </c>
      <c r="G53" s="92">
        <f>SUM(G54:G58)</f>
        <v>78621</v>
      </c>
      <c r="H53" s="104">
        <f t="shared" si="0"/>
        <v>54.296270718232044</v>
      </c>
    </row>
    <row r="54" spans="1:8" s="24" customFormat="1" ht="21.75" customHeight="1">
      <c r="A54" s="77"/>
      <c r="B54" s="99"/>
      <c r="C54" s="77">
        <v>4010</v>
      </c>
      <c r="D54" s="42" t="s">
        <v>106</v>
      </c>
      <c r="E54" s="92">
        <v>98200</v>
      </c>
      <c r="F54" s="92">
        <v>98200</v>
      </c>
      <c r="G54" s="92">
        <v>44162.85</v>
      </c>
      <c r="H54" s="104">
        <f t="shared" si="0"/>
        <v>44.97235234215886</v>
      </c>
    </row>
    <row r="55" spans="1:8" s="24" customFormat="1" ht="21.75" customHeight="1">
      <c r="A55" s="77"/>
      <c r="B55" s="99"/>
      <c r="C55" s="77">
        <v>4040</v>
      </c>
      <c r="D55" s="42" t="s">
        <v>107</v>
      </c>
      <c r="E55" s="92">
        <v>16500</v>
      </c>
      <c r="F55" s="92">
        <v>16500</v>
      </c>
      <c r="G55" s="92">
        <v>15860.93</v>
      </c>
      <c r="H55" s="104">
        <f t="shared" si="0"/>
        <v>96.12684848484848</v>
      </c>
    </row>
    <row r="56" spans="1:8" s="24" customFormat="1" ht="21.75" customHeight="1">
      <c r="A56" s="77"/>
      <c r="B56" s="99"/>
      <c r="C56" s="77">
        <v>4110</v>
      </c>
      <c r="D56" s="42" t="s">
        <v>108</v>
      </c>
      <c r="E56" s="92">
        <v>19950</v>
      </c>
      <c r="F56" s="92">
        <v>19950</v>
      </c>
      <c r="G56" s="92">
        <v>11417.88</v>
      </c>
      <c r="H56" s="104">
        <f t="shared" si="0"/>
        <v>57.23248120300751</v>
      </c>
    </row>
    <row r="57" spans="1:8" s="24" customFormat="1" ht="21.75" customHeight="1">
      <c r="A57" s="77"/>
      <c r="B57" s="99"/>
      <c r="C57" s="77">
        <v>4120</v>
      </c>
      <c r="D57" s="42" t="s">
        <v>109</v>
      </c>
      <c r="E57" s="92">
        <v>2800</v>
      </c>
      <c r="F57" s="92">
        <v>2800</v>
      </c>
      <c r="G57" s="92">
        <v>1579.34</v>
      </c>
      <c r="H57" s="104">
        <f t="shared" si="0"/>
        <v>56.404999999999994</v>
      </c>
    </row>
    <row r="58" spans="1:8" s="24" customFormat="1" ht="27" customHeight="1">
      <c r="A58" s="77"/>
      <c r="B58" s="99"/>
      <c r="C58" s="80">
        <v>4440</v>
      </c>
      <c r="D58" s="42" t="s">
        <v>110</v>
      </c>
      <c r="E58" s="92">
        <v>7350</v>
      </c>
      <c r="F58" s="92">
        <v>7350</v>
      </c>
      <c r="G58" s="92">
        <v>5600</v>
      </c>
      <c r="H58" s="104">
        <f t="shared" si="0"/>
        <v>76.19047619047619</v>
      </c>
    </row>
    <row r="59" spans="1:8" s="24" customFormat="1" ht="27" customHeight="1">
      <c r="A59" s="98"/>
      <c r="B59" s="94" t="s">
        <v>113</v>
      </c>
      <c r="C59" s="98"/>
      <c r="D59" s="42" t="s">
        <v>184</v>
      </c>
      <c r="E59" s="92">
        <f>SUM(E60:E69)</f>
        <v>296000</v>
      </c>
      <c r="F59" s="92">
        <f>SUM(F60:F69)</f>
        <v>296000</v>
      </c>
      <c r="G59" s="92">
        <f>SUM(G60:G69)</f>
        <v>116458.43</v>
      </c>
      <c r="H59" s="104">
        <f t="shared" si="0"/>
        <v>39.34406418918919</v>
      </c>
    </row>
    <row r="60" spans="1:8" s="24" customFormat="1" ht="21.75" customHeight="1">
      <c r="A60" s="98"/>
      <c r="B60" s="94"/>
      <c r="C60" s="77">
        <v>3030</v>
      </c>
      <c r="D60" s="42" t="s">
        <v>111</v>
      </c>
      <c r="E60" s="92">
        <v>230200</v>
      </c>
      <c r="F60" s="92">
        <v>230200</v>
      </c>
      <c r="G60" s="92">
        <v>103426.27</v>
      </c>
      <c r="H60" s="104">
        <f t="shared" si="0"/>
        <v>44.928874891398785</v>
      </c>
    </row>
    <row r="61" spans="1:8" s="24" customFormat="1" ht="21.75" customHeight="1">
      <c r="A61" s="98"/>
      <c r="B61" s="94"/>
      <c r="C61" s="77">
        <v>4170</v>
      </c>
      <c r="D61" s="42" t="s">
        <v>239</v>
      </c>
      <c r="E61" s="92">
        <v>2000</v>
      </c>
      <c r="F61" s="92">
        <v>2000</v>
      </c>
      <c r="G61" s="92">
        <v>0</v>
      </c>
      <c r="H61" s="104">
        <f t="shared" si="0"/>
        <v>0</v>
      </c>
    </row>
    <row r="62" spans="1:8" s="24" customFormat="1" ht="21.75" customHeight="1">
      <c r="A62" s="98"/>
      <c r="B62" s="94"/>
      <c r="C62" s="77">
        <v>4210</v>
      </c>
      <c r="D62" s="42" t="s">
        <v>114</v>
      </c>
      <c r="E62" s="92">
        <v>23300</v>
      </c>
      <c r="F62" s="92">
        <v>23300</v>
      </c>
      <c r="G62" s="92">
        <v>6005.89</v>
      </c>
      <c r="H62" s="104">
        <f t="shared" si="0"/>
        <v>25.77635193133047</v>
      </c>
    </row>
    <row r="63" spans="1:8" s="24" customFormat="1" ht="21.75" customHeight="1">
      <c r="A63" s="98"/>
      <c r="B63" s="94"/>
      <c r="C63" s="77">
        <v>4300</v>
      </c>
      <c r="D63" s="42" t="s">
        <v>101</v>
      </c>
      <c r="E63" s="92">
        <v>19000</v>
      </c>
      <c r="F63" s="92">
        <v>24000</v>
      </c>
      <c r="G63" s="92">
        <v>4713.76</v>
      </c>
      <c r="H63" s="104">
        <f t="shared" si="0"/>
        <v>19.640666666666668</v>
      </c>
    </row>
    <row r="64" spans="1:8" s="24" customFormat="1" ht="27" customHeight="1">
      <c r="A64" s="98"/>
      <c r="B64" s="94"/>
      <c r="C64" s="77">
        <v>4370</v>
      </c>
      <c r="D64" s="42" t="s">
        <v>289</v>
      </c>
      <c r="E64" s="92">
        <v>2000</v>
      </c>
      <c r="F64" s="92">
        <v>2000</v>
      </c>
      <c r="G64" s="92">
        <v>991.67</v>
      </c>
      <c r="H64" s="104">
        <f t="shared" si="0"/>
        <v>49.583499999999994</v>
      </c>
    </row>
    <row r="65" spans="1:8" s="24" customFormat="1" ht="21.75" customHeight="1">
      <c r="A65" s="98"/>
      <c r="B65" s="94"/>
      <c r="C65" s="77">
        <v>4410</v>
      </c>
      <c r="D65" s="42" t="s">
        <v>112</v>
      </c>
      <c r="E65" s="92">
        <v>11000</v>
      </c>
      <c r="F65" s="92">
        <v>11000</v>
      </c>
      <c r="G65" s="92">
        <v>1320.84</v>
      </c>
      <c r="H65" s="104">
        <f t="shared" si="0"/>
        <v>12.007636363636363</v>
      </c>
    </row>
    <row r="66" spans="1:8" s="24" customFormat="1" ht="21.75" customHeight="1">
      <c r="A66" s="98"/>
      <c r="B66" s="94"/>
      <c r="C66" s="80">
        <v>4430</v>
      </c>
      <c r="D66" s="42" t="s">
        <v>116</v>
      </c>
      <c r="E66" s="92">
        <v>500</v>
      </c>
      <c r="F66" s="92">
        <v>500</v>
      </c>
      <c r="G66" s="92">
        <v>0</v>
      </c>
      <c r="H66" s="104">
        <f t="shared" si="0"/>
        <v>0</v>
      </c>
    </row>
    <row r="67" spans="1:8" s="24" customFormat="1" ht="27" customHeight="1">
      <c r="A67" s="98"/>
      <c r="B67" s="94"/>
      <c r="C67" s="80">
        <v>4700</v>
      </c>
      <c r="D67" s="42" t="s">
        <v>292</v>
      </c>
      <c r="E67" s="92">
        <v>5000</v>
      </c>
      <c r="F67" s="92">
        <v>0</v>
      </c>
      <c r="G67" s="92">
        <v>0</v>
      </c>
      <c r="H67" s="104">
        <v>0</v>
      </c>
    </row>
    <row r="68" spans="1:8" s="24" customFormat="1" ht="33.75">
      <c r="A68" s="98"/>
      <c r="B68" s="94"/>
      <c r="C68" s="80">
        <v>4740</v>
      </c>
      <c r="D68" s="42" t="s">
        <v>291</v>
      </c>
      <c r="E68" s="92">
        <v>2000</v>
      </c>
      <c r="F68" s="92">
        <v>2000</v>
      </c>
      <c r="G68" s="92">
        <v>0</v>
      </c>
      <c r="H68" s="104">
        <f t="shared" si="0"/>
        <v>0</v>
      </c>
    </row>
    <row r="69" spans="1:8" s="24" customFormat="1" ht="27" customHeight="1">
      <c r="A69" s="98"/>
      <c r="B69" s="94"/>
      <c r="C69" s="80">
        <v>4750</v>
      </c>
      <c r="D69" s="42" t="s">
        <v>518</v>
      </c>
      <c r="E69" s="92">
        <v>1000</v>
      </c>
      <c r="F69" s="92">
        <v>1000</v>
      </c>
      <c r="G69" s="92">
        <v>0</v>
      </c>
      <c r="H69" s="104">
        <f t="shared" si="0"/>
        <v>0</v>
      </c>
    </row>
    <row r="70" spans="1:8" s="24" customFormat="1" ht="27" customHeight="1">
      <c r="A70" s="98"/>
      <c r="B70" s="94" t="s">
        <v>34</v>
      </c>
      <c r="C70" s="98"/>
      <c r="D70" s="42" t="s">
        <v>35</v>
      </c>
      <c r="E70" s="92">
        <f>SUM(E71:E94)</f>
        <v>4365750</v>
      </c>
      <c r="F70" s="92">
        <f>SUM(F71:F94)</f>
        <v>4377203</v>
      </c>
      <c r="G70" s="92">
        <f>SUM(G71:G94)</f>
        <v>1923905.7700000003</v>
      </c>
      <c r="H70" s="104">
        <f t="shared" si="0"/>
        <v>43.95285688143776</v>
      </c>
    </row>
    <row r="71" spans="1:8" s="24" customFormat="1" ht="27" customHeight="1">
      <c r="A71" s="98"/>
      <c r="B71" s="94"/>
      <c r="C71" s="77">
        <v>3020</v>
      </c>
      <c r="D71" s="42" t="s">
        <v>235</v>
      </c>
      <c r="E71" s="92">
        <v>33500</v>
      </c>
      <c r="F71" s="92">
        <v>33500</v>
      </c>
      <c r="G71" s="92">
        <v>5046.52</v>
      </c>
      <c r="H71" s="104">
        <f t="shared" si="0"/>
        <v>15.06423880597015</v>
      </c>
    </row>
    <row r="72" spans="1:8" s="24" customFormat="1" ht="21.75" customHeight="1">
      <c r="A72" s="98"/>
      <c r="B72" s="94"/>
      <c r="C72" s="77">
        <v>3030</v>
      </c>
      <c r="D72" s="42" t="s">
        <v>111</v>
      </c>
      <c r="E72" s="92">
        <v>60000</v>
      </c>
      <c r="F72" s="92">
        <v>60000</v>
      </c>
      <c r="G72" s="92">
        <v>29609.8</v>
      </c>
      <c r="H72" s="104">
        <f t="shared" si="0"/>
        <v>49.349666666666664</v>
      </c>
    </row>
    <row r="73" spans="1:8" s="24" customFormat="1" ht="21.75" customHeight="1">
      <c r="A73" s="98"/>
      <c r="B73" s="94"/>
      <c r="C73" s="77">
        <v>4010</v>
      </c>
      <c r="D73" s="42" t="s">
        <v>106</v>
      </c>
      <c r="E73" s="92">
        <v>2308200</v>
      </c>
      <c r="F73" s="92">
        <v>2317186</v>
      </c>
      <c r="G73" s="92">
        <v>1111171.37</v>
      </c>
      <c r="H73" s="104">
        <f aca="true" t="shared" si="1" ref="H73:H136">G73/F73*100</f>
        <v>47.95348193886896</v>
      </c>
    </row>
    <row r="74" spans="1:8" s="24" customFormat="1" ht="21.75" customHeight="1">
      <c r="A74" s="98"/>
      <c r="B74" s="94"/>
      <c r="C74" s="77">
        <v>4040</v>
      </c>
      <c r="D74" s="42" t="s">
        <v>107</v>
      </c>
      <c r="E74" s="92">
        <v>154000</v>
      </c>
      <c r="F74" s="92">
        <v>154000</v>
      </c>
      <c r="G74" s="92">
        <v>147433.15</v>
      </c>
      <c r="H74" s="104">
        <f t="shared" si="1"/>
        <v>95.73581168831168</v>
      </c>
    </row>
    <row r="75" spans="1:8" s="24" customFormat="1" ht="21.75" customHeight="1">
      <c r="A75" s="98"/>
      <c r="B75" s="94"/>
      <c r="C75" s="77">
        <v>4110</v>
      </c>
      <c r="D75" s="42" t="s">
        <v>108</v>
      </c>
      <c r="E75" s="92">
        <v>428050</v>
      </c>
      <c r="F75" s="92">
        <v>429603</v>
      </c>
      <c r="G75" s="92">
        <v>204317.49</v>
      </c>
      <c r="H75" s="104">
        <f t="shared" si="1"/>
        <v>47.559605030691124</v>
      </c>
    </row>
    <row r="76" spans="1:8" s="24" customFormat="1" ht="21.75" customHeight="1">
      <c r="A76" s="98"/>
      <c r="B76" s="94"/>
      <c r="C76" s="77">
        <v>4120</v>
      </c>
      <c r="D76" s="42" t="s">
        <v>109</v>
      </c>
      <c r="E76" s="92">
        <v>60500</v>
      </c>
      <c r="F76" s="92">
        <v>60721</v>
      </c>
      <c r="G76" s="92">
        <v>31185.47</v>
      </c>
      <c r="H76" s="104">
        <f t="shared" si="1"/>
        <v>51.358623869830865</v>
      </c>
    </row>
    <row r="77" spans="1:8" s="24" customFormat="1" ht="21.75" customHeight="1">
      <c r="A77" s="98"/>
      <c r="B77" s="94"/>
      <c r="C77" s="77">
        <v>4170</v>
      </c>
      <c r="D77" s="42" t="s">
        <v>239</v>
      </c>
      <c r="E77" s="92">
        <v>10000</v>
      </c>
      <c r="F77" s="92">
        <v>10000</v>
      </c>
      <c r="G77" s="92">
        <v>557.91</v>
      </c>
      <c r="H77" s="104">
        <f t="shared" si="1"/>
        <v>5.5790999999999995</v>
      </c>
    </row>
    <row r="78" spans="1:8" s="24" customFormat="1" ht="21.75" customHeight="1">
      <c r="A78" s="98"/>
      <c r="B78" s="94"/>
      <c r="C78" s="77">
        <v>4210</v>
      </c>
      <c r="D78" s="42" t="s">
        <v>114</v>
      </c>
      <c r="E78" s="92">
        <f>177700+1400</f>
        <v>179100</v>
      </c>
      <c r="F78" s="92">
        <v>179160</v>
      </c>
      <c r="G78" s="92">
        <v>60878.54</v>
      </c>
      <c r="H78" s="104">
        <f t="shared" si="1"/>
        <v>33.9799843715115</v>
      </c>
    </row>
    <row r="79" spans="1:8" s="24" customFormat="1" ht="21.75" customHeight="1">
      <c r="A79" s="98"/>
      <c r="B79" s="94"/>
      <c r="C79" s="77">
        <v>4260</v>
      </c>
      <c r="D79" s="42" t="s">
        <v>117</v>
      </c>
      <c r="E79" s="92">
        <v>89500</v>
      </c>
      <c r="F79" s="92">
        <v>87082</v>
      </c>
      <c r="G79" s="92">
        <v>41663.05</v>
      </c>
      <c r="H79" s="104">
        <f t="shared" si="1"/>
        <v>47.843469373693765</v>
      </c>
    </row>
    <row r="80" spans="1:8" s="24" customFormat="1" ht="21.75" customHeight="1">
      <c r="A80" s="98"/>
      <c r="B80" s="94"/>
      <c r="C80" s="77">
        <v>4270</v>
      </c>
      <c r="D80" s="42" t="s">
        <v>100</v>
      </c>
      <c r="E80" s="92">
        <v>411000</v>
      </c>
      <c r="F80" s="92">
        <v>411000</v>
      </c>
      <c r="G80" s="92">
        <v>1570.13</v>
      </c>
      <c r="H80" s="104">
        <f t="shared" si="1"/>
        <v>0.3820267639902677</v>
      </c>
    </row>
    <row r="81" spans="1:8" s="24" customFormat="1" ht="21.75" customHeight="1">
      <c r="A81" s="98"/>
      <c r="B81" s="94"/>
      <c r="C81" s="77">
        <v>4280</v>
      </c>
      <c r="D81" s="42" t="s">
        <v>276</v>
      </c>
      <c r="E81" s="92">
        <v>8000</v>
      </c>
      <c r="F81" s="92">
        <v>8280</v>
      </c>
      <c r="G81" s="92">
        <v>3189</v>
      </c>
      <c r="H81" s="104">
        <f t="shared" si="1"/>
        <v>38.51449275362319</v>
      </c>
    </row>
    <row r="82" spans="1:8" s="24" customFormat="1" ht="21.75" customHeight="1">
      <c r="A82" s="98"/>
      <c r="B82" s="94"/>
      <c r="C82" s="77">
        <v>4300</v>
      </c>
      <c r="D82" s="42" t="s">
        <v>101</v>
      </c>
      <c r="E82" s="92">
        <v>224400</v>
      </c>
      <c r="F82" s="92">
        <v>231185</v>
      </c>
      <c r="G82" s="92">
        <v>77073.95</v>
      </c>
      <c r="H82" s="104">
        <f t="shared" si="1"/>
        <v>33.33864653848649</v>
      </c>
    </row>
    <row r="83" spans="1:8" s="24" customFormat="1" ht="21.75" customHeight="1">
      <c r="A83" s="98"/>
      <c r="B83" s="94"/>
      <c r="C83" s="77">
        <v>4350</v>
      </c>
      <c r="D83" s="42" t="s">
        <v>264</v>
      </c>
      <c r="E83" s="92">
        <v>4000</v>
      </c>
      <c r="F83" s="92">
        <v>4000</v>
      </c>
      <c r="G83" s="92">
        <v>1332.58</v>
      </c>
      <c r="H83" s="104">
        <f t="shared" si="1"/>
        <v>33.314499999999995</v>
      </c>
    </row>
    <row r="84" spans="1:8" s="24" customFormat="1" ht="27" customHeight="1">
      <c r="A84" s="98"/>
      <c r="B84" s="94"/>
      <c r="C84" s="77">
        <v>4360</v>
      </c>
      <c r="D84" s="42" t="s">
        <v>294</v>
      </c>
      <c r="E84" s="92">
        <v>24000</v>
      </c>
      <c r="F84" s="92">
        <v>24000</v>
      </c>
      <c r="G84" s="92">
        <v>9614.59</v>
      </c>
      <c r="H84" s="104">
        <f t="shared" si="1"/>
        <v>40.06079166666667</v>
      </c>
    </row>
    <row r="85" spans="1:8" s="24" customFormat="1" ht="27" customHeight="1">
      <c r="A85" s="98"/>
      <c r="B85" s="94"/>
      <c r="C85" s="77">
        <v>4370</v>
      </c>
      <c r="D85" s="42" t="s">
        <v>289</v>
      </c>
      <c r="E85" s="92">
        <v>48100</v>
      </c>
      <c r="F85" s="92">
        <v>48100</v>
      </c>
      <c r="G85" s="92">
        <v>17426.32</v>
      </c>
      <c r="H85" s="104">
        <f t="shared" si="1"/>
        <v>36.22935550935551</v>
      </c>
    </row>
    <row r="86" spans="1:8" s="24" customFormat="1" ht="33.75">
      <c r="A86" s="98"/>
      <c r="B86" s="94"/>
      <c r="C86" s="77">
        <v>4400</v>
      </c>
      <c r="D86" s="42" t="s">
        <v>454</v>
      </c>
      <c r="E86" s="92">
        <v>0</v>
      </c>
      <c r="F86" s="92">
        <v>535</v>
      </c>
      <c r="G86" s="92">
        <v>267.48</v>
      </c>
      <c r="H86" s="104">
        <f t="shared" si="1"/>
        <v>49.996261682242995</v>
      </c>
    </row>
    <row r="87" spans="1:8" s="24" customFormat="1" ht="21.75" customHeight="1">
      <c r="A87" s="98"/>
      <c r="B87" s="94"/>
      <c r="C87" s="77">
        <v>4410</v>
      </c>
      <c r="D87" s="42" t="s">
        <v>112</v>
      </c>
      <c r="E87" s="92">
        <v>54000</v>
      </c>
      <c r="F87" s="92">
        <v>54000</v>
      </c>
      <c r="G87" s="92">
        <v>24278.62</v>
      </c>
      <c r="H87" s="104">
        <f t="shared" si="1"/>
        <v>44.9604074074074</v>
      </c>
    </row>
    <row r="88" spans="1:8" s="24" customFormat="1" ht="21.75" customHeight="1">
      <c r="A88" s="98"/>
      <c r="B88" s="94"/>
      <c r="C88" s="98">
        <v>4420</v>
      </c>
      <c r="D88" s="42" t="s">
        <v>115</v>
      </c>
      <c r="E88" s="92">
        <v>5000</v>
      </c>
      <c r="F88" s="92">
        <v>5000</v>
      </c>
      <c r="G88" s="92">
        <v>298.92</v>
      </c>
      <c r="H88" s="104">
        <f t="shared" si="1"/>
        <v>5.978400000000001</v>
      </c>
    </row>
    <row r="89" spans="1:8" s="24" customFormat="1" ht="21.75" customHeight="1">
      <c r="A89" s="98"/>
      <c r="B89" s="94"/>
      <c r="C89" s="80">
        <v>4430</v>
      </c>
      <c r="D89" s="42" t="s">
        <v>116</v>
      </c>
      <c r="E89" s="92">
        <v>52800</v>
      </c>
      <c r="F89" s="92">
        <v>47898</v>
      </c>
      <c r="G89" s="92">
        <v>30188.56</v>
      </c>
      <c r="H89" s="104">
        <f t="shared" si="1"/>
        <v>63.026765209403315</v>
      </c>
    </row>
    <row r="90" spans="1:8" s="24" customFormat="1" ht="27" customHeight="1">
      <c r="A90" s="98"/>
      <c r="B90" s="94"/>
      <c r="C90" s="80">
        <v>4440</v>
      </c>
      <c r="D90" s="42" t="s">
        <v>110</v>
      </c>
      <c r="E90" s="92">
        <v>75100</v>
      </c>
      <c r="F90" s="92">
        <v>75453</v>
      </c>
      <c r="G90" s="92">
        <v>66988.48</v>
      </c>
      <c r="H90" s="104">
        <f t="shared" si="1"/>
        <v>88.78173167402224</v>
      </c>
    </row>
    <row r="91" spans="1:8" s="24" customFormat="1" ht="27" customHeight="1">
      <c r="A91" s="98"/>
      <c r="B91" s="94"/>
      <c r="C91" s="80">
        <v>4700</v>
      </c>
      <c r="D91" s="42" t="s">
        <v>292</v>
      </c>
      <c r="E91" s="92">
        <v>28000</v>
      </c>
      <c r="F91" s="92">
        <v>28000</v>
      </c>
      <c r="G91" s="92">
        <v>11557</v>
      </c>
      <c r="H91" s="104">
        <f t="shared" si="1"/>
        <v>41.275</v>
      </c>
    </row>
    <row r="92" spans="1:8" s="24" customFormat="1" ht="33.75">
      <c r="A92" s="98"/>
      <c r="B92" s="94"/>
      <c r="C92" s="80">
        <v>4740</v>
      </c>
      <c r="D92" s="42" t="s">
        <v>291</v>
      </c>
      <c r="E92" s="92">
        <v>20000</v>
      </c>
      <c r="F92" s="92">
        <v>20000</v>
      </c>
      <c r="G92" s="92">
        <v>5264.79</v>
      </c>
      <c r="H92" s="104">
        <f t="shared" si="1"/>
        <v>26.32395</v>
      </c>
    </row>
    <row r="93" spans="1:8" s="24" customFormat="1" ht="27" customHeight="1">
      <c r="A93" s="98"/>
      <c r="B93" s="94"/>
      <c r="C93" s="80">
        <v>4750</v>
      </c>
      <c r="D93" s="42" t="s">
        <v>518</v>
      </c>
      <c r="E93" s="92">
        <v>36700</v>
      </c>
      <c r="F93" s="92">
        <v>36700</v>
      </c>
      <c r="G93" s="92">
        <v>4024.49</v>
      </c>
      <c r="H93" s="104">
        <f t="shared" si="1"/>
        <v>10.965912806539508</v>
      </c>
    </row>
    <row r="94" spans="1:8" s="24" customFormat="1" ht="27" customHeight="1">
      <c r="A94" s="98"/>
      <c r="B94" s="94"/>
      <c r="C94" s="80">
        <v>6060</v>
      </c>
      <c r="D94" s="42" t="s">
        <v>118</v>
      </c>
      <c r="E94" s="92">
        <v>51800</v>
      </c>
      <c r="F94" s="92">
        <v>51800</v>
      </c>
      <c r="G94" s="92">
        <v>38967.56</v>
      </c>
      <c r="H94" s="104">
        <f t="shared" si="1"/>
        <v>75.2269498069498</v>
      </c>
    </row>
    <row r="95" spans="1:8" s="24" customFormat="1" ht="27" customHeight="1">
      <c r="A95" s="98"/>
      <c r="B95" s="94">
        <v>75075</v>
      </c>
      <c r="C95" s="98"/>
      <c r="D95" s="42" t="s">
        <v>258</v>
      </c>
      <c r="E95" s="92">
        <f>SUM(E96:E107)</f>
        <v>174200</v>
      </c>
      <c r="F95" s="92">
        <f>SUM(F96:F107)</f>
        <v>183850</v>
      </c>
      <c r="G95" s="92">
        <f>SUM(G96:G107)</f>
        <v>91619.97999999998</v>
      </c>
      <c r="H95" s="104">
        <f t="shared" si="1"/>
        <v>49.83409301060646</v>
      </c>
    </row>
    <row r="96" spans="1:8" s="24" customFormat="1" ht="27" customHeight="1">
      <c r="A96" s="98"/>
      <c r="B96" s="94"/>
      <c r="C96" s="98">
        <v>3020</v>
      </c>
      <c r="D96" s="42" t="s">
        <v>235</v>
      </c>
      <c r="E96" s="92">
        <f>11000</f>
        <v>11000</v>
      </c>
      <c r="F96" s="92">
        <v>11000</v>
      </c>
      <c r="G96" s="92">
        <v>4800</v>
      </c>
      <c r="H96" s="104">
        <f t="shared" si="1"/>
        <v>43.63636363636363</v>
      </c>
    </row>
    <row r="97" spans="1:8" s="24" customFormat="1" ht="21.75" customHeight="1">
      <c r="A97" s="98"/>
      <c r="B97" s="94"/>
      <c r="C97" s="98">
        <v>4110</v>
      </c>
      <c r="D97" s="42" t="s">
        <v>108</v>
      </c>
      <c r="E97" s="92">
        <v>1000</v>
      </c>
      <c r="F97" s="92">
        <v>1000</v>
      </c>
      <c r="G97" s="92">
        <v>0</v>
      </c>
      <c r="H97" s="104">
        <f t="shared" si="1"/>
        <v>0</v>
      </c>
    </row>
    <row r="98" spans="1:8" s="24" customFormat="1" ht="21.75" customHeight="1">
      <c r="A98" s="98"/>
      <c r="B98" s="94"/>
      <c r="C98" s="98">
        <v>4120</v>
      </c>
      <c r="D98" s="42" t="s">
        <v>109</v>
      </c>
      <c r="E98" s="92">
        <v>100</v>
      </c>
      <c r="F98" s="92">
        <v>100</v>
      </c>
      <c r="G98" s="92">
        <v>0</v>
      </c>
      <c r="H98" s="104">
        <f t="shared" si="1"/>
        <v>0</v>
      </c>
    </row>
    <row r="99" spans="1:8" s="24" customFormat="1" ht="21.75" customHeight="1">
      <c r="A99" s="98"/>
      <c r="B99" s="94"/>
      <c r="C99" s="98">
        <v>4170</v>
      </c>
      <c r="D99" s="42" t="s">
        <v>239</v>
      </c>
      <c r="E99" s="92">
        <v>6000</v>
      </c>
      <c r="F99" s="92">
        <v>6000</v>
      </c>
      <c r="G99" s="92">
        <v>2477</v>
      </c>
      <c r="H99" s="104">
        <f t="shared" si="1"/>
        <v>41.28333333333333</v>
      </c>
    </row>
    <row r="100" spans="1:8" s="24" customFormat="1" ht="21.75" customHeight="1">
      <c r="A100" s="98"/>
      <c r="B100" s="94"/>
      <c r="C100" s="98">
        <v>4210</v>
      </c>
      <c r="D100" s="42" t="s">
        <v>114</v>
      </c>
      <c r="E100" s="92">
        <v>55900</v>
      </c>
      <c r="F100" s="92">
        <v>52950</v>
      </c>
      <c r="G100" s="92">
        <v>30277.25</v>
      </c>
      <c r="H100" s="104">
        <f t="shared" si="1"/>
        <v>57.180830972615674</v>
      </c>
    </row>
    <row r="101" spans="1:8" s="24" customFormat="1" ht="21.75" customHeight="1">
      <c r="A101" s="98"/>
      <c r="B101" s="94"/>
      <c r="C101" s="77">
        <v>4300</v>
      </c>
      <c r="D101" s="42" t="s">
        <v>101</v>
      </c>
      <c r="E101" s="92">
        <v>86200</v>
      </c>
      <c r="F101" s="212">
        <v>97400</v>
      </c>
      <c r="G101" s="212">
        <v>50157.74</v>
      </c>
      <c r="H101" s="104">
        <f t="shared" si="1"/>
        <v>51.49665297741273</v>
      </c>
    </row>
    <row r="102" spans="1:8" s="24" customFormat="1" ht="21.75" customHeight="1">
      <c r="A102" s="98"/>
      <c r="B102" s="94"/>
      <c r="C102" s="77">
        <v>4350</v>
      </c>
      <c r="D102" s="42" t="s">
        <v>260</v>
      </c>
      <c r="E102" s="92">
        <v>5000</v>
      </c>
      <c r="F102" s="92">
        <v>5000</v>
      </c>
      <c r="G102" s="92">
        <v>444</v>
      </c>
      <c r="H102" s="104">
        <f t="shared" si="1"/>
        <v>8.88</v>
      </c>
    </row>
    <row r="103" spans="1:8" s="24" customFormat="1" ht="21.75" customHeight="1">
      <c r="A103" s="98"/>
      <c r="B103" s="94"/>
      <c r="C103" s="77">
        <v>4410</v>
      </c>
      <c r="D103" s="42" t="s">
        <v>112</v>
      </c>
      <c r="E103" s="92">
        <v>3000</v>
      </c>
      <c r="F103" s="92">
        <v>3000</v>
      </c>
      <c r="G103" s="92">
        <v>0</v>
      </c>
      <c r="H103" s="104">
        <f t="shared" si="1"/>
        <v>0</v>
      </c>
    </row>
    <row r="104" spans="1:8" s="24" customFormat="1" ht="21.75" customHeight="1">
      <c r="A104" s="98"/>
      <c r="B104" s="94"/>
      <c r="C104" s="98">
        <v>4420</v>
      </c>
      <c r="D104" s="42" t="s">
        <v>115</v>
      </c>
      <c r="E104" s="92">
        <v>3000</v>
      </c>
      <c r="F104" s="92">
        <v>3000</v>
      </c>
      <c r="G104" s="92">
        <v>2305.25</v>
      </c>
      <c r="H104" s="104">
        <f t="shared" si="1"/>
        <v>76.84166666666667</v>
      </c>
    </row>
    <row r="105" spans="1:8" s="24" customFormat="1" ht="21.75" customHeight="1">
      <c r="A105" s="98"/>
      <c r="B105" s="94"/>
      <c r="C105" s="77">
        <v>4430</v>
      </c>
      <c r="D105" s="42" t="s">
        <v>116</v>
      </c>
      <c r="E105" s="92">
        <v>3000</v>
      </c>
      <c r="F105" s="92">
        <v>3000</v>
      </c>
      <c r="G105" s="92">
        <v>0</v>
      </c>
      <c r="H105" s="104">
        <f t="shared" si="1"/>
        <v>0</v>
      </c>
    </row>
    <row r="106" spans="1:8" s="24" customFormat="1" ht="33.75">
      <c r="A106" s="98"/>
      <c r="B106" s="94"/>
      <c r="C106" s="77">
        <v>4740</v>
      </c>
      <c r="D106" s="42" t="s">
        <v>291</v>
      </c>
      <c r="E106" s="92">
        <v>0</v>
      </c>
      <c r="F106" s="92">
        <v>300</v>
      </c>
      <c r="G106" s="92">
        <v>70.04</v>
      </c>
      <c r="H106" s="104">
        <f t="shared" si="1"/>
        <v>23.346666666666668</v>
      </c>
    </row>
    <row r="107" spans="1:8" s="24" customFormat="1" ht="27" customHeight="1">
      <c r="A107" s="98"/>
      <c r="B107" s="94"/>
      <c r="C107" s="77">
        <v>4750</v>
      </c>
      <c r="D107" s="42" t="s">
        <v>518</v>
      </c>
      <c r="E107" s="92">
        <v>0</v>
      </c>
      <c r="F107" s="92">
        <v>1100</v>
      </c>
      <c r="G107" s="92">
        <v>1088.7</v>
      </c>
      <c r="H107" s="104">
        <f t="shared" si="1"/>
        <v>98.97272727272728</v>
      </c>
    </row>
    <row r="108" spans="1:8" s="24" customFormat="1" ht="21.75" customHeight="1">
      <c r="A108" s="98"/>
      <c r="B108" s="94">
        <v>75095</v>
      </c>
      <c r="C108" s="77"/>
      <c r="D108" s="42" t="s">
        <v>19</v>
      </c>
      <c r="E108" s="92">
        <f>SUM(E109)</f>
        <v>20000</v>
      </c>
      <c r="F108" s="92">
        <f>SUM(F109)</f>
        <v>20000</v>
      </c>
      <c r="G108" s="92">
        <f>SUM(G109)</f>
        <v>0</v>
      </c>
      <c r="H108" s="104">
        <f t="shared" si="1"/>
        <v>0</v>
      </c>
    </row>
    <row r="109" spans="1:8" s="24" customFormat="1" ht="21.75" customHeight="1">
      <c r="A109" s="98"/>
      <c r="B109" s="94"/>
      <c r="C109" s="77">
        <v>4300</v>
      </c>
      <c r="D109" s="42" t="s">
        <v>101</v>
      </c>
      <c r="E109" s="92">
        <v>20000</v>
      </c>
      <c r="F109" s="92">
        <v>20000</v>
      </c>
      <c r="G109" s="92">
        <v>0</v>
      </c>
      <c r="H109" s="104">
        <f t="shared" si="1"/>
        <v>0</v>
      </c>
    </row>
    <row r="110" spans="1:8" s="7" customFormat="1" ht="45" customHeight="1">
      <c r="A110" s="37">
        <v>751</v>
      </c>
      <c r="B110" s="38"/>
      <c r="C110" s="39"/>
      <c r="D110" s="40" t="s">
        <v>120</v>
      </c>
      <c r="E110" s="41">
        <f>SUM(E111)</f>
        <v>3809</v>
      </c>
      <c r="F110" s="41">
        <f>SUM(F111)</f>
        <v>3809</v>
      </c>
      <c r="G110" s="41">
        <f>SUM(G111)</f>
        <v>997.56</v>
      </c>
      <c r="H110" s="47">
        <f t="shared" si="1"/>
        <v>26.1895510632712</v>
      </c>
    </row>
    <row r="111" spans="1:8" s="24" customFormat="1" ht="27" customHeight="1">
      <c r="A111" s="98"/>
      <c r="B111" s="94">
        <v>75101</v>
      </c>
      <c r="C111" s="98"/>
      <c r="D111" s="42" t="s">
        <v>37</v>
      </c>
      <c r="E111" s="92">
        <f>SUM(E112:E114)</f>
        <v>3809</v>
      </c>
      <c r="F111" s="92">
        <f>SUM(F112:F114)</f>
        <v>3809</v>
      </c>
      <c r="G111" s="92">
        <f>SUM(G112:G114)</f>
        <v>997.56</v>
      </c>
      <c r="H111" s="104">
        <f t="shared" si="1"/>
        <v>26.1895510632712</v>
      </c>
    </row>
    <row r="112" spans="1:8" s="24" customFormat="1" ht="21.75" customHeight="1">
      <c r="A112" s="98"/>
      <c r="B112" s="94"/>
      <c r="C112" s="77">
        <v>4210</v>
      </c>
      <c r="D112" s="42" t="s">
        <v>114</v>
      </c>
      <c r="E112" s="92">
        <v>1009</v>
      </c>
      <c r="F112" s="92">
        <v>1809</v>
      </c>
      <c r="G112" s="92">
        <v>747.56</v>
      </c>
      <c r="H112" s="104">
        <f t="shared" si="1"/>
        <v>41.32448866777224</v>
      </c>
    </row>
    <row r="113" spans="1:8" s="24" customFormat="1" ht="27" customHeight="1">
      <c r="A113" s="98"/>
      <c r="B113" s="94"/>
      <c r="C113" s="77">
        <v>4700</v>
      </c>
      <c r="D113" s="42" t="s">
        <v>292</v>
      </c>
      <c r="E113" s="92">
        <v>1600</v>
      </c>
      <c r="F113" s="92">
        <v>800</v>
      </c>
      <c r="G113" s="92">
        <v>250</v>
      </c>
      <c r="H113" s="104">
        <f t="shared" si="1"/>
        <v>31.25</v>
      </c>
    </row>
    <row r="114" spans="1:8" s="24" customFormat="1" ht="33.75">
      <c r="A114" s="98"/>
      <c r="B114" s="94"/>
      <c r="C114" s="77">
        <v>4740</v>
      </c>
      <c r="D114" s="42" t="s">
        <v>291</v>
      </c>
      <c r="E114" s="92">
        <v>1200</v>
      </c>
      <c r="F114" s="92">
        <v>1200</v>
      </c>
      <c r="G114" s="92">
        <v>0</v>
      </c>
      <c r="H114" s="104">
        <f t="shared" si="1"/>
        <v>0</v>
      </c>
    </row>
    <row r="115" spans="1:8" s="7" customFormat="1" ht="30" customHeight="1">
      <c r="A115" s="37" t="s">
        <v>38</v>
      </c>
      <c r="B115" s="38"/>
      <c r="C115" s="39"/>
      <c r="D115" s="40" t="s">
        <v>121</v>
      </c>
      <c r="E115" s="41">
        <f>SUM(E118,E131,E148,E116)</f>
        <v>492000</v>
      </c>
      <c r="F115" s="41">
        <f>SUM(F118,F131,F148,F116)</f>
        <v>517900</v>
      </c>
      <c r="G115" s="41">
        <f>SUM(G118,G131,G148,G116)</f>
        <v>148202.36</v>
      </c>
      <c r="H115" s="47">
        <f t="shared" si="1"/>
        <v>28.616018536396986</v>
      </c>
    </row>
    <row r="116" spans="1:8" s="24" customFormat="1" ht="30" customHeight="1">
      <c r="A116" s="77"/>
      <c r="B116" s="99">
        <v>75411</v>
      </c>
      <c r="C116" s="98"/>
      <c r="D116" s="42" t="s">
        <v>506</v>
      </c>
      <c r="E116" s="92">
        <f>SUM(E117)</f>
        <v>0</v>
      </c>
      <c r="F116" s="92">
        <f>SUM(F117)</f>
        <v>25000</v>
      </c>
      <c r="G116" s="92">
        <f>SUM(G117)</f>
        <v>0</v>
      </c>
      <c r="H116" s="104">
        <f t="shared" si="1"/>
        <v>0</v>
      </c>
    </row>
    <row r="117" spans="1:8" s="24" customFormat="1" ht="56.25">
      <c r="A117" s="77"/>
      <c r="B117" s="99"/>
      <c r="C117" s="98">
        <v>6220</v>
      </c>
      <c r="D117" s="42" t="s">
        <v>510</v>
      </c>
      <c r="E117" s="92">
        <v>0</v>
      </c>
      <c r="F117" s="212">
        <v>25000</v>
      </c>
      <c r="G117" s="212">
        <v>0</v>
      </c>
      <c r="H117" s="104">
        <f t="shared" si="1"/>
        <v>0</v>
      </c>
    </row>
    <row r="118" spans="1:8" s="24" customFormat="1" ht="21.75" customHeight="1">
      <c r="A118" s="98"/>
      <c r="B118" s="94" t="s">
        <v>122</v>
      </c>
      <c r="C118" s="98"/>
      <c r="D118" s="42" t="s">
        <v>123</v>
      </c>
      <c r="E118" s="92">
        <f>SUM(E119:E130)</f>
        <v>202000</v>
      </c>
      <c r="F118" s="92">
        <f>SUM(F119:F130)</f>
        <v>202900</v>
      </c>
      <c r="G118" s="92">
        <f>SUM(G119:G130)</f>
        <v>79031.04999999999</v>
      </c>
      <c r="H118" s="104">
        <f t="shared" si="1"/>
        <v>38.9507392804337</v>
      </c>
    </row>
    <row r="119" spans="1:8" s="24" customFormat="1" ht="27" customHeight="1">
      <c r="A119" s="98"/>
      <c r="B119" s="94"/>
      <c r="C119" s="98">
        <v>3020</v>
      </c>
      <c r="D119" s="42" t="s">
        <v>235</v>
      </c>
      <c r="E119" s="92">
        <v>18800</v>
      </c>
      <c r="F119" s="92">
        <v>18800</v>
      </c>
      <c r="G119" s="92">
        <v>8839.49</v>
      </c>
      <c r="H119" s="104">
        <f t="shared" si="1"/>
        <v>47.01856382978723</v>
      </c>
    </row>
    <row r="120" spans="1:8" s="24" customFormat="1" ht="21.75" customHeight="1">
      <c r="A120" s="98"/>
      <c r="B120" s="94"/>
      <c r="C120" s="98">
        <v>4110</v>
      </c>
      <c r="D120" s="42" t="s">
        <v>108</v>
      </c>
      <c r="E120" s="92">
        <v>4200</v>
      </c>
      <c r="F120" s="92">
        <v>4200</v>
      </c>
      <c r="G120" s="92">
        <v>888.44</v>
      </c>
      <c r="H120" s="104">
        <f t="shared" si="1"/>
        <v>21.153333333333336</v>
      </c>
    </row>
    <row r="121" spans="1:8" s="24" customFormat="1" ht="21.75" customHeight="1">
      <c r="A121" s="98"/>
      <c r="B121" s="94"/>
      <c r="C121" s="98">
        <v>4120</v>
      </c>
      <c r="D121" s="42" t="s">
        <v>277</v>
      </c>
      <c r="E121" s="92">
        <v>600</v>
      </c>
      <c r="F121" s="92">
        <v>600</v>
      </c>
      <c r="G121" s="92">
        <v>0</v>
      </c>
      <c r="H121" s="104">
        <f t="shared" si="1"/>
        <v>0</v>
      </c>
    </row>
    <row r="122" spans="1:8" s="24" customFormat="1" ht="21.75" customHeight="1">
      <c r="A122" s="98"/>
      <c r="B122" s="94"/>
      <c r="C122" s="77">
        <v>4170</v>
      </c>
      <c r="D122" s="42" t="s">
        <v>239</v>
      </c>
      <c r="E122" s="92">
        <v>24000</v>
      </c>
      <c r="F122" s="92">
        <v>24000</v>
      </c>
      <c r="G122" s="92">
        <v>10702.29</v>
      </c>
      <c r="H122" s="104">
        <f t="shared" si="1"/>
        <v>44.59287500000001</v>
      </c>
    </row>
    <row r="123" spans="1:8" s="24" customFormat="1" ht="21.75" customHeight="1">
      <c r="A123" s="98"/>
      <c r="B123" s="94"/>
      <c r="C123" s="77">
        <v>4210</v>
      </c>
      <c r="D123" s="42" t="s">
        <v>114</v>
      </c>
      <c r="E123" s="92">
        <f>23730+5000</f>
        <v>28730</v>
      </c>
      <c r="F123" s="92">
        <v>29730</v>
      </c>
      <c r="G123" s="92">
        <v>10696</v>
      </c>
      <c r="H123" s="104">
        <f t="shared" si="1"/>
        <v>35.97712748065926</v>
      </c>
    </row>
    <row r="124" spans="1:8" s="24" customFormat="1" ht="21.75" customHeight="1">
      <c r="A124" s="98"/>
      <c r="B124" s="94"/>
      <c r="C124" s="77">
        <v>4260</v>
      </c>
      <c r="D124" s="42" t="s">
        <v>117</v>
      </c>
      <c r="E124" s="92">
        <v>10000</v>
      </c>
      <c r="F124" s="92">
        <v>10000</v>
      </c>
      <c r="G124" s="92">
        <v>5379.85</v>
      </c>
      <c r="H124" s="104">
        <f t="shared" si="1"/>
        <v>53.798500000000004</v>
      </c>
    </row>
    <row r="125" spans="1:8" s="24" customFormat="1" ht="21.75" customHeight="1">
      <c r="A125" s="98"/>
      <c r="B125" s="94"/>
      <c r="C125" s="77">
        <v>4270</v>
      </c>
      <c r="D125" s="42" t="s">
        <v>100</v>
      </c>
      <c r="E125" s="92">
        <v>14000</v>
      </c>
      <c r="F125" s="92">
        <v>14000</v>
      </c>
      <c r="G125" s="92">
        <v>906.46</v>
      </c>
      <c r="H125" s="104">
        <f t="shared" si="1"/>
        <v>6.4747142857142865</v>
      </c>
    </row>
    <row r="126" spans="1:8" s="24" customFormat="1" ht="21.75" customHeight="1">
      <c r="A126" s="98"/>
      <c r="B126" s="94"/>
      <c r="C126" s="77">
        <v>4280</v>
      </c>
      <c r="D126" s="42" t="s">
        <v>276</v>
      </c>
      <c r="E126" s="92">
        <v>3600</v>
      </c>
      <c r="F126" s="92">
        <v>3600</v>
      </c>
      <c r="G126" s="92">
        <v>0</v>
      </c>
      <c r="H126" s="104">
        <f t="shared" si="1"/>
        <v>0</v>
      </c>
    </row>
    <row r="127" spans="1:8" s="24" customFormat="1" ht="21.75" customHeight="1">
      <c r="A127" s="98"/>
      <c r="B127" s="94"/>
      <c r="C127" s="77">
        <v>4300</v>
      </c>
      <c r="D127" s="42" t="s">
        <v>101</v>
      </c>
      <c r="E127" s="92">
        <v>16500</v>
      </c>
      <c r="F127" s="92">
        <v>17400</v>
      </c>
      <c r="G127" s="92">
        <v>2768.81</v>
      </c>
      <c r="H127" s="104">
        <f t="shared" si="1"/>
        <v>15.912701149425287</v>
      </c>
    </row>
    <row r="128" spans="1:8" s="24" customFormat="1" ht="21.75" customHeight="1">
      <c r="A128" s="98"/>
      <c r="B128" s="94"/>
      <c r="C128" s="77">
        <v>4410</v>
      </c>
      <c r="D128" s="42" t="s">
        <v>112</v>
      </c>
      <c r="E128" s="92">
        <v>3400</v>
      </c>
      <c r="F128" s="92">
        <v>3400</v>
      </c>
      <c r="G128" s="92">
        <v>1412.28</v>
      </c>
      <c r="H128" s="104">
        <f t="shared" si="1"/>
        <v>41.53764705882353</v>
      </c>
    </row>
    <row r="129" spans="1:8" s="24" customFormat="1" ht="21.75" customHeight="1">
      <c r="A129" s="98"/>
      <c r="B129" s="94"/>
      <c r="C129" s="77">
        <v>4430</v>
      </c>
      <c r="D129" s="42" t="s">
        <v>116</v>
      </c>
      <c r="E129" s="92">
        <v>10000</v>
      </c>
      <c r="F129" s="92">
        <v>9000</v>
      </c>
      <c r="G129" s="92">
        <v>481</v>
      </c>
      <c r="H129" s="104">
        <f t="shared" si="1"/>
        <v>5.344444444444445</v>
      </c>
    </row>
    <row r="130" spans="1:8" s="24" customFormat="1" ht="27" customHeight="1">
      <c r="A130" s="98"/>
      <c r="B130" s="94"/>
      <c r="C130" s="77">
        <v>6050</v>
      </c>
      <c r="D130" s="42" t="s">
        <v>95</v>
      </c>
      <c r="E130" s="92">
        <v>68170</v>
      </c>
      <c r="F130" s="212">
        <v>68170</v>
      </c>
      <c r="G130" s="212">
        <v>36956.43</v>
      </c>
      <c r="H130" s="104">
        <f t="shared" si="1"/>
        <v>54.212160774534254</v>
      </c>
    </row>
    <row r="131" spans="1:8" s="24" customFormat="1" ht="21.75" customHeight="1">
      <c r="A131" s="98"/>
      <c r="B131" s="94">
        <v>75416</v>
      </c>
      <c r="C131" s="98"/>
      <c r="D131" s="42" t="s">
        <v>41</v>
      </c>
      <c r="E131" s="92">
        <f>SUM(E132:E147)</f>
        <v>265000</v>
      </c>
      <c r="F131" s="92">
        <f>SUM(F132:F147)</f>
        <v>265000</v>
      </c>
      <c r="G131" s="92">
        <f>SUM(G132:G147)</f>
        <v>66671.31</v>
      </c>
      <c r="H131" s="104">
        <f t="shared" si="1"/>
        <v>25.158984905660375</v>
      </c>
    </row>
    <row r="132" spans="1:8" s="24" customFormat="1" ht="27" customHeight="1">
      <c r="A132" s="98"/>
      <c r="B132" s="94"/>
      <c r="C132" s="77">
        <v>3020</v>
      </c>
      <c r="D132" s="42" t="s">
        <v>235</v>
      </c>
      <c r="E132" s="92">
        <f>10400+3500</f>
        <v>13900</v>
      </c>
      <c r="F132" s="92">
        <v>13900</v>
      </c>
      <c r="G132" s="92">
        <v>1095.43</v>
      </c>
      <c r="H132" s="104">
        <f t="shared" si="1"/>
        <v>7.880791366906475</v>
      </c>
    </row>
    <row r="133" spans="1:8" s="24" customFormat="1" ht="21.75" customHeight="1">
      <c r="A133" s="98"/>
      <c r="B133" s="94"/>
      <c r="C133" s="77">
        <v>4010</v>
      </c>
      <c r="D133" s="42" t="s">
        <v>106</v>
      </c>
      <c r="E133" s="92">
        <f>126900+43000</f>
        <v>169900</v>
      </c>
      <c r="F133" s="92">
        <v>169900</v>
      </c>
      <c r="G133" s="92">
        <v>41725.35</v>
      </c>
      <c r="H133" s="104">
        <f t="shared" si="1"/>
        <v>24.55876986462625</v>
      </c>
    </row>
    <row r="134" spans="1:8" s="24" customFormat="1" ht="21.75" customHeight="1">
      <c r="A134" s="98"/>
      <c r="B134" s="94"/>
      <c r="C134" s="77">
        <v>4040</v>
      </c>
      <c r="D134" s="42" t="s">
        <v>107</v>
      </c>
      <c r="E134" s="92">
        <v>6300</v>
      </c>
      <c r="F134" s="92">
        <v>6300</v>
      </c>
      <c r="G134" s="92">
        <v>5689.84</v>
      </c>
      <c r="H134" s="104">
        <f t="shared" si="1"/>
        <v>90.31492063492064</v>
      </c>
    </row>
    <row r="135" spans="1:8" s="24" customFormat="1" ht="21.75" customHeight="1">
      <c r="A135" s="98"/>
      <c r="B135" s="94"/>
      <c r="C135" s="77">
        <v>4110</v>
      </c>
      <c r="D135" s="42" t="s">
        <v>108</v>
      </c>
      <c r="E135" s="92">
        <f>23200+7400</f>
        <v>30600</v>
      </c>
      <c r="F135" s="92">
        <v>30600</v>
      </c>
      <c r="G135" s="92">
        <v>8256.16</v>
      </c>
      <c r="H135" s="104">
        <f t="shared" si="1"/>
        <v>26.980915032679736</v>
      </c>
    </row>
    <row r="136" spans="1:8" s="24" customFormat="1" ht="21.75" customHeight="1">
      <c r="A136" s="98"/>
      <c r="B136" s="94"/>
      <c r="C136" s="77">
        <v>4120</v>
      </c>
      <c r="D136" s="42" t="s">
        <v>109</v>
      </c>
      <c r="E136" s="92">
        <f>3300+1000</f>
        <v>4300</v>
      </c>
      <c r="F136" s="92">
        <v>4300</v>
      </c>
      <c r="G136" s="92">
        <v>1166.01</v>
      </c>
      <c r="H136" s="104">
        <f t="shared" si="1"/>
        <v>27.116511627906974</v>
      </c>
    </row>
    <row r="137" spans="1:8" s="24" customFormat="1" ht="21.75" customHeight="1">
      <c r="A137" s="98"/>
      <c r="B137" s="94"/>
      <c r="C137" s="77">
        <v>4210</v>
      </c>
      <c r="D137" s="42" t="s">
        <v>114</v>
      </c>
      <c r="E137" s="92">
        <v>8500</v>
      </c>
      <c r="F137" s="92">
        <v>8500</v>
      </c>
      <c r="G137" s="92">
        <v>2272.53</v>
      </c>
      <c r="H137" s="104">
        <f aca="true" t="shared" si="2" ref="H137:H200">G137/F137*100</f>
        <v>26.73564705882353</v>
      </c>
    </row>
    <row r="138" spans="1:8" s="24" customFormat="1" ht="21.75" customHeight="1">
      <c r="A138" s="98"/>
      <c r="B138" s="94"/>
      <c r="C138" s="77">
        <v>4270</v>
      </c>
      <c r="D138" s="42" t="s">
        <v>100</v>
      </c>
      <c r="E138" s="92">
        <v>4000</v>
      </c>
      <c r="F138" s="92">
        <v>4000</v>
      </c>
      <c r="G138" s="92">
        <v>540</v>
      </c>
      <c r="H138" s="104">
        <f t="shared" si="2"/>
        <v>13.5</v>
      </c>
    </row>
    <row r="139" spans="1:8" s="24" customFormat="1" ht="21.75" customHeight="1">
      <c r="A139" s="98"/>
      <c r="B139" s="94"/>
      <c r="C139" s="77">
        <v>4280</v>
      </c>
      <c r="D139" s="42" t="s">
        <v>276</v>
      </c>
      <c r="E139" s="92">
        <f>1200+500</f>
        <v>1700</v>
      </c>
      <c r="F139" s="92">
        <v>1700</v>
      </c>
      <c r="G139" s="92">
        <v>0</v>
      </c>
      <c r="H139" s="104">
        <f t="shared" si="2"/>
        <v>0</v>
      </c>
    </row>
    <row r="140" spans="1:8" s="24" customFormat="1" ht="21.75" customHeight="1">
      <c r="A140" s="98"/>
      <c r="B140" s="94"/>
      <c r="C140" s="77">
        <v>4300</v>
      </c>
      <c r="D140" s="42" t="s">
        <v>101</v>
      </c>
      <c r="E140" s="92">
        <v>4000</v>
      </c>
      <c r="F140" s="92">
        <v>3442</v>
      </c>
      <c r="G140" s="92">
        <v>223.82</v>
      </c>
      <c r="H140" s="104">
        <f t="shared" si="2"/>
        <v>6.502614758861128</v>
      </c>
    </row>
    <row r="141" spans="1:8" s="24" customFormat="1" ht="27" customHeight="1">
      <c r="A141" s="98"/>
      <c r="B141" s="94"/>
      <c r="C141" s="77">
        <v>4360</v>
      </c>
      <c r="D141" s="42" t="s">
        <v>294</v>
      </c>
      <c r="E141" s="92">
        <v>2000</v>
      </c>
      <c r="F141" s="92">
        <v>2000</v>
      </c>
      <c r="G141" s="92">
        <v>428.52</v>
      </c>
      <c r="H141" s="104">
        <f t="shared" si="2"/>
        <v>21.426</v>
      </c>
    </row>
    <row r="142" spans="1:8" s="24" customFormat="1" ht="27" customHeight="1">
      <c r="A142" s="98"/>
      <c r="B142" s="94"/>
      <c r="C142" s="77">
        <v>4370</v>
      </c>
      <c r="D142" s="42" t="s">
        <v>289</v>
      </c>
      <c r="E142" s="92">
        <v>1000</v>
      </c>
      <c r="F142" s="92">
        <v>1000</v>
      </c>
      <c r="G142" s="92">
        <v>290.52</v>
      </c>
      <c r="H142" s="104">
        <f t="shared" si="2"/>
        <v>29.052</v>
      </c>
    </row>
    <row r="143" spans="1:8" s="24" customFormat="1" ht="33.75">
      <c r="A143" s="98"/>
      <c r="B143" s="94"/>
      <c r="C143" s="77">
        <v>4400</v>
      </c>
      <c r="D143" s="42" t="s">
        <v>454</v>
      </c>
      <c r="E143" s="92">
        <v>0</v>
      </c>
      <c r="F143" s="92">
        <v>558</v>
      </c>
      <c r="G143" s="92">
        <v>558</v>
      </c>
      <c r="H143" s="104">
        <f t="shared" si="2"/>
        <v>100</v>
      </c>
    </row>
    <row r="144" spans="1:8" s="24" customFormat="1" ht="21.75" customHeight="1">
      <c r="A144" s="98"/>
      <c r="B144" s="94"/>
      <c r="C144" s="77">
        <v>4410</v>
      </c>
      <c r="D144" s="42" t="s">
        <v>112</v>
      </c>
      <c r="E144" s="92">
        <v>500</v>
      </c>
      <c r="F144" s="92">
        <v>500</v>
      </c>
      <c r="G144" s="92">
        <v>207.13</v>
      </c>
      <c r="H144" s="104">
        <f t="shared" si="2"/>
        <v>41.426</v>
      </c>
    </row>
    <row r="145" spans="1:8" s="24" customFormat="1" ht="21.75" customHeight="1">
      <c r="A145" s="98"/>
      <c r="B145" s="94"/>
      <c r="C145" s="80">
        <v>4430</v>
      </c>
      <c r="D145" s="42" t="s">
        <v>116</v>
      </c>
      <c r="E145" s="92">
        <v>3500</v>
      </c>
      <c r="F145" s="92">
        <v>3500</v>
      </c>
      <c r="G145" s="92">
        <v>448</v>
      </c>
      <c r="H145" s="104">
        <f t="shared" si="2"/>
        <v>12.8</v>
      </c>
    </row>
    <row r="146" spans="1:8" s="24" customFormat="1" ht="27" customHeight="1">
      <c r="A146" s="98"/>
      <c r="B146" s="94"/>
      <c r="C146" s="80">
        <v>4440</v>
      </c>
      <c r="D146" s="42" t="s">
        <v>110</v>
      </c>
      <c r="E146" s="92">
        <f>4000+800</f>
        <v>4800</v>
      </c>
      <c r="F146" s="92">
        <v>4800</v>
      </c>
      <c r="G146" s="92">
        <v>3600</v>
      </c>
      <c r="H146" s="104">
        <f t="shared" si="2"/>
        <v>75</v>
      </c>
    </row>
    <row r="147" spans="1:8" s="24" customFormat="1" ht="27" customHeight="1">
      <c r="A147" s="98"/>
      <c r="B147" s="94"/>
      <c r="C147" s="80">
        <v>4700</v>
      </c>
      <c r="D147" s="42" t="s">
        <v>292</v>
      </c>
      <c r="E147" s="92">
        <f>7000+3000</f>
        <v>10000</v>
      </c>
      <c r="F147" s="92">
        <v>10000</v>
      </c>
      <c r="G147" s="92">
        <v>170</v>
      </c>
      <c r="H147" s="104">
        <f t="shared" si="2"/>
        <v>1.7000000000000002</v>
      </c>
    </row>
    <row r="148" spans="1:8" s="24" customFormat="1" ht="21.75" customHeight="1">
      <c r="A148" s="98"/>
      <c r="B148" s="94" t="s">
        <v>124</v>
      </c>
      <c r="C148" s="98"/>
      <c r="D148" s="42" t="s">
        <v>19</v>
      </c>
      <c r="E148" s="92">
        <f>SUM(E149:E150)</f>
        <v>25000</v>
      </c>
      <c r="F148" s="92">
        <f>SUM(F149:F150)</f>
        <v>25000</v>
      </c>
      <c r="G148" s="92">
        <f>SUM(G149:G150)</f>
        <v>2500</v>
      </c>
      <c r="H148" s="104">
        <f t="shared" si="2"/>
        <v>10</v>
      </c>
    </row>
    <row r="149" spans="1:8" s="24" customFormat="1" ht="21.75" customHeight="1">
      <c r="A149" s="98"/>
      <c r="B149" s="94"/>
      <c r="C149" s="98">
        <v>4300</v>
      </c>
      <c r="D149" s="42" t="s">
        <v>101</v>
      </c>
      <c r="E149" s="92">
        <v>20000</v>
      </c>
      <c r="F149" s="92">
        <v>20000</v>
      </c>
      <c r="G149" s="92">
        <v>0</v>
      </c>
      <c r="H149" s="104">
        <f t="shared" si="2"/>
        <v>0</v>
      </c>
    </row>
    <row r="150" spans="1:8" s="24" customFormat="1" ht="21.75" customHeight="1">
      <c r="A150" s="98"/>
      <c r="B150" s="94"/>
      <c r="C150" s="80">
        <v>4430</v>
      </c>
      <c r="D150" s="42" t="s">
        <v>116</v>
      </c>
      <c r="E150" s="92">
        <v>5000</v>
      </c>
      <c r="F150" s="92">
        <v>5000</v>
      </c>
      <c r="G150" s="92">
        <v>2500</v>
      </c>
      <c r="H150" s="104">
        <f t="shared" si="2"/>
        <v>50</v>
      </c>
    </row>
    <row r="151" spans="1:8" s="45" customFormat="1" ht="60">
      <c r="A151" s="39">
        <v>756</v>
      </c>
      <c r="B151" s="71"/>
      <c r="C151" s="70"/>
      <c r="D151" s="40" t="s">
        <v>188</v>
      </c>
      <c r="E151" s="41">
        <f>SUM(E152)</f>
        <v>82800</v>
      </c>
      <c r="F151" s="41">
        <f>SUM(F152)</f>
        <v>82800</v>
      </c>
      <c r="G151" s="41">
        <f>SUM(G152)</f>
        <v>32521.65</v>
      </c>
      <c r="H151" s="47">
        <f t="shared" si="2"/>
        <v>39.27735507246377</v>
      </c>
    </row>
    <row r="152" spans="1:8" s="24" customFormat="1" ht="27" customHeight="1">
      <c r="A152" s="98"/>
      <c r="B152" s="94">
        <v>75647</v>
      </c>
      <c r="C152" s="80"/>
      <c r="D152" s="42" t="s">
        <v>221</v>
      </c>
      <c r="E152" s="92">
        <f>SUM(E153:E159)</f>
        <v>82800</v>
      </c>
      <c r="F152" s="92">
        <f>SUM(F153:F159)</f>
        <v>82800</v>
      </c>
      <c r="G152" s="92">
        <f>SUM(G153:G159)</f>
        <v>32521.65</v>
      </c>
      <c r="H152" s="104">
        <f t="shared" si="2"/>
        <v>39.27735507246377</v>
      </c>
    </row>
    <row r="153" spans="1:8" s="24" customFormat="1" ht="21.75" customHeight="1">
      <c r="A153" s="98"/>
      <c r="B153" s="94"/>
      <c r="C153" s="80">
        <v>4100</v>
      </c>
      <c r="D153" s="42" t="s">
        <v>119</v>
      </c>
      <c r="E153" s="92">
        <v>39000</v>
      </c>
      <c r="F153" s="92">
        <v>39000</v>
      </c>
      <c r="G153" s="92">
        <v>15774.64</v>
      </c>
      <c r="H153" s="104">
        <f t="shared" si="2"/>
        <v>40.44779487179487</v>
      </c>
    </row>
    <row r="154" spans="1:8" s="24" customFormat="1" ht="21.75" customHeight="1">
      <c r="A154" s="98"/>
      <c r="B154" s="94"/>
      <c r="C154" s="80">
        <v>4170</v>
      </c>
      <c r="D154" s="42" t="s">
        <v>239</v>
      </c>
      <c r="E154" s="92">
        <v>10800</v>
      </c>
      <c r="F154" s="92">
        <v>10800</v>
      </c>
      <c r="G154" s="92">
        <v>35.25</v>
      </c>
      <c r="H154" s="104">
        <f t="shared" si="2"/>
        <v>0.3263888888888889</v>
      </c>
    </row>
    <row r="155" spans="1:8" s="24" customFormat="1" ht="21.75" customHeight="1">
      <c r="A155" s="98"/>
      <c r="B155" s="94"/>
      <c r="C155" s="80">
        <v>4210</v>
      </c>
      <c r="D155" s="42" t="s">
        <v>94</v>
      </c>
      <c r="E155" s="92">
        <v>2000</v>
      </c>
      <c r="F155" s="92">
        <v>2000</v>
      </c>
      <c r="G155" s="92">
        <v>0</v>
      </c>
      <c r="H155" s="104">
        <f t="shared" si="2"/>
        <v>0</v>
      </c>
    </row>
    <row r="156" spans="1:8" s="24" customFormat="1" ht="21.75" customHeight="1">
      <c r="A156" s="98"/>
      <c r="B156" s="94"/>
      <c r="C156" s="80">
        <v>4300</v>
      </c>
      <c r="D156" s="42" t="s">
        <v>101</v>
      </c>
      <c r="E156" s="92">
        <v>18000</v>
      </c>
      <c r="F156" s="92">
        <v>18000</v>
      </c>
      <c r="G156" s="92">
        <v>12000</v>
      </c>
      <c r="H156" s="104">
        <f t="shared" si="2"/>
        <v>66.66666666666666</v>
      </c>
    </row>
    <row r="157" spans="1:8" s="24" customFormat="1" ht="21.75" customHeight="1">
      <c r="A157" s="98"/>
      <c r="B157" s="94"/>
      <c r="C157" s="80">
        <v>4430</v>
      </c>
      <c r="D157" s="42" t="s">
        <v>116</v>
      </c>
      <c r="E157" s="92">
        <v>1000</v>
      </c>
      <c r="F157" s="92">
        <v>1000</v>
      </c>
      <c r="G157" s="92">
        <v>0</v>
      </c>
      <c r="H157" s="104">
        <f t="shared" si="2"/>
        <v>0</v>
      </c>
    </row>
    <row r="158" spans="1:8" s="24" customFormat="1" ht="27" customHeight="1">
      <c r="A158" s="98"/>
      <c r="B158" s="94"/>
      <c r="C158" s="80">
        <v>4610</v>
      </c>
      <c r="D158" s="42" t="s">
        <v>223</v>
      </c>
      <c r="E158" s="92">
        <v>8000</v>
      </c>
      <c r="F158" s="92">
        <v>8000</v>
      </c>
      <c r="G158" s="92">
        <v>4711.76</v>
      </c>
      <c r="H158" s="104">
        <f t="shared" si="2"/>
        <v>58.897</v>
      </c>
    </row>
    <row r="159" spans="1:8" s="24" customFormat="1" ht="33.75">
      <c r="A159" s="98"/>
      <c r="B159" s="94"/>
      <c r="C159" s="80">
        <v>4740</v>
      </c>
      <c r="D159" s="42" t="s">
        <v>291</v>
      </c>
      <c r="E159" s="92">
        <v>4000</v>
      </c>
      <c r="F159" s="92">
        <v>4000</v>
      </c>
      <c r="G159" s="92">
        <v>0</v>
      </c>
      <c r="H159" s="104">
        <f t="shared" si="2"/>
        <v>0</v>
      </c>
    </row>
    <row r="160" spans="1:8" s="7" customFormat="1" ht="21.75" customHeight="1">
      <c r="A160" s="37" t="s">
        <v>125</v>
      </c>
      <c r="B160" s="38"/>
      <c r="C160" s="39"/>
      <c r="D160" s="40" t="s">
        <v>126</v>
      </c>
      <c r="E160" s="41">
        <f>SUM(E161)</f>
        <v>573410</v>
      </c>
      <c r="F160" s="41">
        <f>SUM(F161)</f>
        <v>585647</v>
      </c>
      <c r="G160" s="41">
        <f>SUM(G161)</f>
        <v>374322.92</v>
      </c>
      <c r="H160" s="47">
        <f t="shared" si="2"/>
        <v>63.91613378024646</v>
      </c>
    </row>
    <row r="161" spans="1:8" s="24" customFormat="1" ht="33.75">
      <c r="A161" s="77"/>
      <c r="B161" s="94" t="s">
        <v>127</v>
      </c>
      <c r="C161" s="98"/>
      <c r="D161" s="42" t="s">
        <v>128</v>
      </c>
      <c r="E161" s="92">
        <f>SUM(E162:E162)</f>
        <v>573410</v>
      </c>
      <c r="F161" s="92">
        <f>SUM(F162)</f>
        <v>585647</v>
      </c>
      <c r="G161" s="92">
        <f>SUM(G162)</f>
        <v>374322.92</v>
      </c>
      <c r="H161" s="104">
        <f t="shared" si="2"/>
        <v>63.91613378024646</v>
      </c>
    </row>
    <row r="162" spans="1:8" s="24" customFormat="1" ht="36" customHeight="1">
      <c r="A162" s="77"/>
      <c r="B162" s="99"/>
      <c r="C162" s="98">
        <v>8070</v>
      </c>
      <c r="D162" s="42" t="s">
        <v>129</v>
      </c>
      <c r="E162" s="92">
        <f>563410+10000</f>
        <v>573410</v>
      </c>
      <c r="F162" s="92">
        <v>585647</v>
      </c>
      <c r="G162" s="92">
        <v>374322.92</v>
      </c>
      <c r="H162" s="104">
        <f t="shared" si="2"/>
        <v>63.91613378024646</v>
      </c>
    </row>
    <row r="163" spans="1:8" s="7" customFormat="1" ht="21.75" customHeight="1">
      <c r="A163" s="37" t="s">
        <v>66</v>
      </c>
      <c r="B163" s="38"/>
      <c r="C163" s="39"/>
      <c r="D163" s="40" t="s">
        <v>67</v>
      </c>
      <c r="E163" s="41">
        <f aca="true" t="shared" si="3" ref="E163:G164">SUM(E164)</f>
        <v>300000</v>
      </c>
      <c r="F163" s="41">
        <f t="shared" si="3"/>
        <v>300000</v>
      </c>
      <c r="G163" s="41">
        <f t="shared" si="3"/>
        <v>0</v>
      </c>
      <c r="H163" s="47">
        <f t="shared" si="2"/>
        <v>0</v>
      </c>
    </row>
    <row r="164" spans="1:8" s="24" customFormat="1" ht="21.75" customHeight="1">
      <c r="A164" s="77"/>
      <c r="B164" s="94" t="s">
        <v>130</v>
      </c>
      <c r="C164" s="98"/>
      <c r="D164" s="42" t="s">
        <v>131</v>
      </c>
      <c r="E164" s="92">
        <f t="shared" si="3"/>
        <v>300000</v>
      </c>
      <c r="F164" s="92">
        <f t="shared" si="3"/>
        <v>300000</v>
      </c>
      <c r="G164" s="92">
        <f t="shared" si="3"/>
        <v>0</v>
      </c>
      <c r="H164" s="104">
        <f t="shared" si="2"/>
        <v>0</v>
      </c>
    </row>
    <row r="165" spans="1:8" s="24" customFormat="1" ht="21.75" customHeight="1">
      <c r="A165" s="77"/>
      <c r="B165" s="99"/>
      <c r="C165" s="98">
        <v>4810</v>
      </c>
      <c r="D165" s="42" t="s">
        <v>132</v>
      </c>
      <c r="E165" s="92">
        <f>158429+141571</f>
        <v>300000</v>
      </c>
      <c r="F165" s="92">
        <v>300000</v>
      </c>
      <c r="G165" s="92">
        <v>0</v>
      </c>
      <c r="H165" s="104">
        <f t="shared" si="2"/>
        <v>0</v>
      </c>
    </row>
    <row r="166" spans="1:8" s="8" customFormat="1" ht="21.75" customHeight="1">
      <c r="A166" s="37" t="s">
        <v>133</v>
      </c>
      <c r="B166" s="38"/>
      <c r="C166" s="39"/>
      <c r="D166" s="40" t="s">
        <v>134</v>
      </c>
      <c r="E166" s="41">
        <f>SUM(E167,E193,E206,E210,E238,E245,E249)</f>
        <v>18636553</v>
      </c>
      <c r="F166" s="41">
        <f>SUM(F167,F193,F206,F210,F238,F245,F249,)</f>
        <v>18644373</v>
      </c>
      <c r="G166" s="41">
        <f>SUM(G167,G193,G206,G210,G238,G245,G249,)</f>
        <v>9240239.629999999</v>
      </c>
      <c r="H166" s="47">
        <f t="shared" si="2"/>
        <v>49.56047398322271</v>
      </c>
    </row>
    <row r="167" spans="1:8" s="24" customFormat="1" ht="21.75" customHeight="1">
      <c r="A167" s="77"/>
      <c r="B167" s="94" t="s">
        <v>135</v>
      </c>
      <c r="C167" s="98"/>
      <c r="D167" s="42" t="s">
        <v>72</v>
      </c>
      <c r="E167" s="92">
        <f>SUM(E168:E192)</f>
        <v>10099032</v>
      </c>
      <c r="F167" s="92">
        <f>SUM(F168:F192)</f>
        <v>10010436</v>
      </c>
      <c r="G167" s="92">
        <f>SUM(G168:G192)</f>
        <v>5062943.319999999</v>
      </c>
      <c r="H167" s="104">
        <f t="shared" si="2"/>
        <v>50.57665140659208</v>
      </c>
    </row>
    <row r="168" spans="1:8" s="24" customFormat="1" ht="32.25" customHeight="1">
      <c r="A168" s="77"/>
      <c r="B168" s="94"/>
      <c r="C168" s="98">
        <v>2540</v>
      </c>
      <c r="D168" s="42" t="s">
        <v>225</v>
      </c>
      <c r="E168" s="92">
        <v>262446</v>
      </c>
      <c r="F168" s="92">
        <v>284668</v>
      </c>
      <c r="G168" s="92">
        <v>131226</v>
      </c>
      <c r="H168" s="104">
        <f t="shared" si="2"/>
        <v>46.097910548428345</v>
      </c>
    </row>
    <row r="169" spans="1:8" s="24" customFormat="1" ht="27" customHeight="1">
      <c r="A169" s="77"/>
      <c r="B169" s="94"/>
      <c r="C169" s="77">
        <v>3020</v>
      </c>
      <c r="D169" s="42" t="s">
        <v>268</v>
      </c>
      <c r="E169" s="92">
        <v>168777</v>
      </c>
      <c r="F169" s="92">
        <v>168777</v>
      </c>
      <c r="G169" s="92">
        <v>85321.9</v>
      </c>
      <c r="H169" s="104">
        <f t="shared" si="2"/>
        <v>50.55303743993554</v>
      </c>
    </row>
    <row r="170" spans="1:8" s="24" customFormat="1" ht="21.75" customHeight="1">
      <c r="A170" s="77"/>
      <c r="B170" s="94"/>
      <c r="C170" s="77">
        <v>4010</v>
      </c>
      <c r="D170" s="42" t="s">
        <v>106</v>
      </c>
      <c r="E170" s="92">
        <v>5948500</v>
      </c>
      <c r="F170" s="92">
        <v>5976144</v>
      </c>
      <c r="G170" s="92">
        <v>2877533.03</v>
      </c>
      <c r="H170" s="104">
        <f t="shared" si="2"/>
        <v>48.15032954359868</v>
      </c>
    </row>
    <row r="171" spans="1:8" s="24" customFormat="1" ht="21.75" customHeight="1">
      <c r="A171" s="77"/>
      <c r="B171" s="94"/>
      <c r="C171" s="77">
        <v>4040</v>
      </c>
      <c r="D171" s="42" t="s">
        <v>107</v>
      </c>
      <c r="E171" s="92">
        <v>462147</v>
      </c>
      <c r="F171" s="92">
        <v>437825</v>
      </c>
      <c r="G171" s="92">
        <v>437819.72</v>
      </c>
      <c r="H171" s="104">
        <f t="shared" si="2"/>
        <v>99.9987940387141</v>
      </c>
    </row>
    <row r="172" spans="1:8" s="24" customFormat="1" ht="21.75" customHeight="1">
      <c r="A172" s="77"/>
      <c r="B172" s="94"/>
      <c r="C172" s="77">
        <v>4110</v>
      </c>
      <c r="D172" s="42" t="s">
        <v>108</v>
      </c>
      <c r="E172" s="92">
        <v>1109510</v>
      </c>
      <c r="F172" s="92">
        <v>1114296</v>
      </c>
      <c r="G172" s="92">
        <v>589258.43</v>
      </c>
      <c r="H172" s="104">
        <f t="shared" si="2"/>
        <v>52.88167865629959</v>
      </c>
    </row>
    <row r="173" spans="1:8" s="24" customFormat="1" ht="21.75" customHeight="1">
      <c r="A173" s="77"/>
      <c r="B173" s="94"/>
      <c r="C173" s="77">
        <v>4120</v>
      </c>
      <c r="D173" s="42" t="s">
        <v>109</v>
      </c>
      <c r="E173" s="92">
        <v>156481</v>
      </c>
      <c r="F173" s="92">
        <v>157161</v>
      </c>
      <c r="G173" s="92">
        <v>82529.31</v>
      </c>
      <c r="H173" s="104">
        <f t="shared" si="2"/>
        <v>52.51258900108805</v>
      </c>
    </row>
    <row r="174" spans="1:8" s="24" customFormat="1" ht="21.75" customHeight="1">
      <c r="A174" s="77"/>
      <c r="B174" s="94"/>
      <c r="C174" s="77">
        <v>4170</v>
      </c>
      <c r="D174" s="42" t="s">
        <v>239</v>
      </c>
      <c r="E174" s="92">
        <v>30986</v>
      </c>
      <c r="F174" s="92">
        <v>30986</v>
      </c>
      <c r="G174" s="92">
        <v>14396.13</v>
      </c>
      <c r="H174" s="104">
        <f t="shared" si="2"/>
        <v>46.46011101787904</v>
      </c>
    </row>
    <row r="175" spans="1:8" s="24" customFormat="1" ht="21.75" customHeight="1">
      <c r="A175" s="77"/>
      <c r="B175" s="94"/>
      <c r="C175" s="77">
        <v>4210</v>
      </c>
      <c r="D175" s="42" t="s">
        <v>114</v>
      </c>
      <c r="E175" s="92">
        <f>3000+329460</f>
        <v>332460</v>
      </c>
      <c r="F175" s="92">
        <v>349107</v>
      </c>
      <c r="G175" s="92">
        <v>165868.61</v>
      </c>
      <c r="H175" s="104">
        <f t="shared" si="2"/>
        <v>47.512255554887176</v>
      </c>
    </row>
    <row r="176" spans="1:8" s="24" customFormat="1" ht="27" customHeight="1">
      <c r="A176" s="77"/>
      <c r="B176" s="94"/>
      <c r="C176" s="98">
        <v>4230</v>
      </c>
      <c r="D176" s="42" t="s">
        <v>446</v>
      </c>
      <c r="E176" s="92">
        <v>1360</v>
      </c>
      <c r="F176" s="92">
        <v>1360</v>
      </c>
      <c r="G176" s="92">
        <v>474.34</v>
      </c>
      <c r="H176" s="104">
        <f t="shared" si="2"/>
        <v>34.877941176470586</v>
      </c>
    </row>
    <row r="177" spans="1:8" s="24" customFormat="1" ht="27" customHeight="1">
      <c r="A177" s="77"/>
      <c r="B177" s="94"/>
      <c r="C177" s="98">
        <v>4240</v>
      </c>
      <c r="D177" s="42" t="s">
        <v>147</v>
      </c>
      <c r="E177" s="92">
        <f>14050+50000</f>
        <v>64050</v>
      </c>
      <c r="F177" s="92">
        <v>65140</v>
      </c>
      <c r="G177" s="92">
        <v>4747.22</v>
      </c>
      <c r="H177" s="104">
        <f t="shared" si="2"/>
        <v>7.2877187595947195</v>
      </c>
    </row>
    <row r="178" spans="1:8" s="24" customFormat="1" ht="21.75" customHeight="1">
      <c r="A178" s="77"/>
      <c r="B178" s="94"/>
      <c r="C178" s="77">
        <v>4260</v>
      </c>
      <c r="D178" s="42" t="s">
        <v>117</v>
      </c>
      <c r="E178" s="92">
        <v>471760</v>
      </c>
      <c r="F178" s="92">
        <v>471760</v>
      </c>
      <c r="G178" s="92">
        <v>263350.05</v>
      </c>
      <c r="H178" s="104">
        <f t="shared" si="2"/>
        <v>55.822886637273186</v>
      </c>
    </row>
    <row r="179" spans="1:8" s="24" customFormat="1" ht="21.75" customHeight="1">
      <c r="A179" s="77"/>
      <c r="B179" s="94"/>
      <c r="C179" s="77">
        <v>4270</v>
      </c>
      <c r="D179" s="42" t="s">
        <v>100</v>
      </c>
      <c r="E179" s="92">
        <f>300000+71200</f>
        <v>371200</v>
      </c>
      <c r="F179" s="212">
        <v>387359</v>
      </c>
      <c r="G179" s="212">
        <v>41051.54</v>
      </c>
      <c r="H179" s="104">
        <f t="shared" si="2"/>
        <v>10.597802038935459</v>
      </c>
    </row>
    <row r="180" spans="1:8" s="24" customFormat="1" ht="21.75" customHeight="1">
      <c r="A180" s="77"/>
      <c r="B180" s="94"/>
      <c r="C180" s="77">
        <v>4280</v>
      </c>
      <c r="D180" s="42" t="s">
        <v>248</v>
      </c>
      <c r="E180" s="92">
        <v>21650</v>
      </c>
      <c r="F180" s="92">
        <v>21650</v>
      </c>
      <c r="G180" s="92">
        <v>8155</v>
      </c>
      <c r="H180" s="104">
        <f t="shared" si="2"/>
        <v>37.66743648960739</v>
      </c>
    </row>
    <row r="181" spans="1:8" s="24" customFormat="1" ht="21.75" customHeight="1">
      <c r="A181" s="77"/>
      <c r="B181" s="94"/>
      <c r="C181" s="77">
        <v>4300</v>
      </c>
      <c r="D181" s="42" t="s">
        <v>101</v>
      </c>
      <c r="E181" s="92">
        <f>4000+85000</f>
        <v>89000</v>
      </c>
      <c r="F181" s="92">
        <v>86663</v>
      </c>
      <c r="G181" s="92">
        <v>52883.18</v>
      </c>
      <c r="H181" s="104">
        <f t="shared" si="2"/>
        <v>61.021635530733995</v>
      </c>
    </row>
    <row r="182" spans="1:8" s="24" customFormat="1" ht="21.75" customHeight="1">
      <c r="A182" s="77"/>
      <c r="B182" s="94"/>
      <c r="C182" s="77">
        <v>4350</v>
      </c>
      <c r="D182" s="42" t="s">
        <v>260</v>
      </c>
      <c r="E182" s="92">
        <v>6150</v>
      </c>
      <c r="F182" s="92">
        <v>6150</v>
      </c>
      <c r="G182" s="92">
        <v>1561.19</v>
      </c>
      <c r="H182" s="104">
        <f t="shared" si="2"/>
        <v>25.38520325203252</v>
      </c>
    </row>
    <row r="183" spans="1:8" s="24" customFormat="1" ht="27" customHeight="1">
      <c r="A183" s="77"/>
      <c r="B183" s="94"/>
      <c r="C183" s="77">
        <v>4370</v>
      </c>
      <c r="D183" s="14" t="s">
        <v>289</v>
      </c>
      <c r="E183" s="92">
        <v>15150</v>
      </c>
      <c r="F183" s="92">
        <v>16701</v>
      </c>
      <c r="G183" s="92">
        <v>6950.41</v>
      </c>
      <c r="H183" s="104">
        <f t="shared" si="2"/>
        <v>41.61672953715346</v>
      </c>
    </row>
    <row r="184" spans="1:8" s="24" customFormat="1" ht="27" customHeight="1">
      <c r="A184" s="77"/>
      <c r="B184" s="94"/>
      <c r="C184" s="77">
        <v>4390</v>
      </c>
      <c r="D184" s="42" t="s">
        <v>295</v>
      </c>
      <c r="E184" s="92">
        <v>14500</v>
      </c>
      <c r="F184" s="92">
        <v>14500</v>
      </c>
      <c r="G184" s="92">
        <v>0</v>
      </c>
      <c r="H184" s="104">
        <f t="shared" si="2"/>
        <v>0</v>
      </c>
    </row>
    <row r="185" spans="1:8" s="24" customFormat="1" ht="21.75" customHeight="1">
      <c r="A185" s="77"/>
      <c r="B185" s="94"/>
      <c r="C185" s="77">
        <v>4410</v>
      </c>
      <c r="D185" s="42" t="s">
        <v>112</v>
      </c>
      <c r="E185" s="92">
        <v>13800</v>
      </c>
      <c r="F185" s="92">
        <v>13800</v>
      </c>
      <c r="G185" s="92">
        <v>6115</v>
      </c>
      <c r="H185" s="104">
        <f t="shared" si="2"/>
        <v>44.311594202898554</v>
      </c>
    </row>
    <row r="186" spans="1:8" s="24" customFormat="1" ht="21.75" customHeight="1">
      <c r="A186" s="77"/>
      <c r="B186" s="94"/>
      <c r="C186" s="80">
        <v>4430</v>
      </c>
      <c r="D186" s="42" t="s">
        <v>116</v>
      </c>
      <c r="E186" s="92">
        <v>6100</v>
      </c>
      <c r="F186" s="92">
        <v>7204</v>
      </c>
      <c r="G186" s="92">
        <v>4056.3</v>
      </c>
      <c r="H186" s="104">
        <f t="shared" si="2"/>
        <v>56.30621876735148</v>
      </c>
    </row>
    <row r="187" spans="1:8" s="24" customFormat="1" ht="27" customHeight="1">
      <c r="A187" s="77"/>
      <c r="B187" s="94"/>
      <c r="C187" s="80">
        <v>4440</v>
      </c>
      <c r="D187" s="42" t="s">
        <v>110</v>
      </c>
      <c r="E187" s="92">
        <v>347245</v>
      </c>
      <c r="F187" s="92">
        <v>347245</v>
      </c>
      <c r="G187" s="92">
        <v>260435</v>
      </c>
      <c r="H187" s="104">
        <f t="shared" si="2"/>
        <v>75.00035997638554</v>
      </c>
    </row>
    <row r="188" spans="1:8" s="24" customFormat="1" ht="27" customHeight="1">
      <c r="A188" s="77"/>
      <c r="B188" s="94"/>
      <c r="C188" s="80">
        <v>4700</v>
      </c>
      <c r="D188" s="42" t="s">
        <v>292</v>
      </c>
      <c r="E188" s="92">
        <v>0</v>
      </c>
      <c r="F188" s="92">
        <v>6240</v>
      </c>
      <c r="G188" s="92">
        <v>4110</v>
      </c>
      <c r="H188" s="104">
        <f t="shared" si="2"/>
        <v>65.86538461538461</v>
      </c>
    </row>
    <row r="189" spans="1:8" s="24" customFormat="1" ht="33.75">
      <c r="A189" s="77"/>
      <c r="B189" s="94"/>
      <c r="C189" s="80">
        <v>4740</v>
      </c>
      <c r="D189" s="14" t="s">
        <v>291</v>
      </c>
      <c r="E189" s="92">
        <v>6800</v>
      </c>
      <c r="F189" s="92">
        <v>6800</v>
      </c>
      <c r="G189" s="92">
        <v>1994.21</v>
      </c>
      <c r="H189" s="104">
        <f t="shared" si="2"/>
        <v>29.32661764705882</v>
      </c>
    </row>
    <row r="190" spans="1:8" s="24" customFormat="1" ht="27" customHeight="1">
      <c r="A190" s="77"/>
      <c r="B190" s="94"/>
      <c r="C190" s="80">
        <v>4750</v>
      </c>
      <c r="D190" s="14" t="s">
        <v>560</v>
      </c>
      <c r="E190" s="92">
        <v>14400</v>
      </c>
      <c r="F190" s="92">
        <v>23400</v>
      </c>
      <c r="G190" s="92">
        <v>16348.75</v>
      </c>
      <c r="H190" s="104">
        <f t="shared" si="2"/>
        <v>69.86645299145299</v>
      </c>
    </row>
    <row r="191" spans="1:8" s="24" customFormat="1" ht="27" customHeight="1">
      <c r="A191" s="77"/>
      <c r="B191" s="94"/>
      <c r="C191" s="80">
        <v>6050</v>
      </c>
      <c r="D191" s="42" t="s">
        <v>95</v>
      </c>
      <c r="E191" s="92">
        <v>150000</v>
      </c>
      <c r="F191" s="92">
        <v>0</v>
      </c>
      <c r="G191" s="92">
        <v>0</v>
      </c>
      <c r="H191" s="104">
        <v>0</v>
      </c>
    </row>
    <row r="192" spans="1:8" s="24" customFormat="1" ht="27" customHeight="1">
      <c r="A192" s="77"/>
      <c r="B192" s="94"/>
      <c r="C192" s="93">
        <v>6060</v>
      </c>
      <c r="D192" s="14" t="s">
        <v>118</v>
      </c>
      <c r="E192" s="81">
        <f>34560</f>
        <v>34560</v>
      </c>
      <c r="F192" s="81">
        <v>15500</v>
      </c>
      <c r="G192" s="81">
        <v>6758</v>
      </c>
      <c r="H192" s="104">
        <f t="shared" si="2"/>
        <v>43.6</v>
      </c>
    </row>
    <row r="193" spans="1:8" s="24" customFormat="1" ht="27" customHeight="1">
      <c r="A193" s="77"/>
      <c r="B193" s="94">
        <v>80103</v>
      </c>
      <c r="C193" s="80"/>
      <c r="D193" s="42" t="s">
        <v>257</v>
      </c>
      <c r="E193" s="92">
        <f>SUM(E194:E205)</f>
        <v>356706</v>
      </c>
      <c r="F193" s="92">
        <f>SUM(F194:F205)</f>
        <v>370164</v>
      </c>
      <c r="G193" s="92">
        <f>SUM(G194:G205)</f>
        <v>182313.81</v>
      </c>
      <c r="H193" s="104">
        <f t="shared" si="2"/>
        <v>49.2521720102441</v>
      </c>
    </row>
    <row r="194" spans="1:8" s="24" customFormat="1" ht="27" customHeight="1">
      <c r="A194" s="77"/>
      <c r="B194" s="94"/>
      <c r="C194" s="98">
        <v>2540</v>
      </c>
      <c r="D194" s="42" t="s">
        <v>225</v>
      </c>
      <c r="E194" s="92">
        <v>67245</v>
      </c>
      <c r="F194" s="92">
        <v>67245</v>
      </c>
      <c r="G194" s="92">
        <v>33645</v>
      </c>
      <c r="H194" s="104">
        <f t="shared" si="2"/>
        <v>50.033459736783406</v>
      </c>
    </row>
    <row r="195" spans="1:8" s="24" customFormat="1" ht="27" customHeight="1">
      <c r="A195" s="77"/>
      <c r="B195" s="94"/>
      <c r="C195" s="98">
        <v>3020</v>
      </c>
      <c r="D195" s="42" t="s">
        <v>235</v>
      </c>
      <c r="E195" s="92">
        <v>16845</v>
      </c>
      <c r="F195" s="92">
        <v>17880</v>
      </c>
      <c r="G195" s="92">
        <v>8952.87</v>
      </c>
      <c r="H195" s="104">
        <f t="shared" si="2"/>
        <v>50.07197986577182</v>
      </c>
    </row>
    <row r="196" spans="1:8" s="24" customFormat="1" ht="21.75" customHeight="1">
      <c r="A196" s="77"/>
      <c r="B196" s="94"/>
      <c r="C196" s="98">
        <v>4010</v>
      </c>
      <c r="D196" s="42" t="s">
        <v>106</v>
      </c>
      <c r="E196" s="92">
        <v>190216</v>
      </c>
      <c r="F196" s="92">
        <v>202136</v>
      </c>
      <c r="G196" s="92">
        <v>90502.54</v>
      </c>
      <c r="H196" s="104">
        <f t="shared" si="2"/>
        <v>44.77309336288439</v>
      </c>
    </row>
    <row r="197" spans="1:8" s="24" customFormat="1" ht="21.75" customHeight="1">
      <c r="A197" s="77"/>
      <c r="B197" s="94"/>
      <c r="C197" s="98">
        <v>4040</v>
      </c>
      <c r="D197" s="42" t="s">
        <v>107</v>
      </c>
      <c r="E197" s="92">
        <v>14968</v>
      </c>
      <c r="F197" s="92">
        <v>12922</v>
      </c>
      <c r="G197" s="92">
        <v>12918.72</v>
      </c>
      <c r="H197" s="104">
        <f t="shared" si="2"/>
        <v>99.9746169323634</v>
      </c>
    </row>
    <row r="198" spans="1:8" s="24" customFormat="1" ht="21.75" customHeight="1">
      <c r="A198" s="77"/>
      <c r="B198" s="94"/>
      <c r="C198" s="98">
        <v>4110</v>
      </c>
      <c r="D198" s="42" t="s">
        <v>108</v>
      </c>
      <c r="E198" s="92">
        <v>37470</v>
      </c>
      <c r="F198" s="92">
        <v>39701</v>
      </c>
      <c r="G198" s="92">
        <v>19295.46</v>
      </c>
      <c r="H198" s="104">
        <f t="shared" si="2"/>
        <v>48.60194957305861</v>
      </c>
    </row>
    <row r="199" spans="1:8" s="24" customFormat="1" ht="21.75" customHeight="1">
      <c r="A199" s="77"/>
      <c r="B199" s="94"/>
      <c r="C199" s="98">
        <v>4120</v>
      </c>
      <c r="D199" s="42" t="s">
        <v>109</v>
      </c>
      <c r="E199" s="92">
        <v>5276</v>
      </c>
      <c r="F199" s="92">
        <v>5594</v>
      </c>
      <c r="G199" s="92">
        <v>2616.95</v>
      </c>
      <c r="H199" s="104">
        <f t="shared" si="2"/>
        <v>46.781372899535214</v>
      </c>
    </row>
    <row r="200" spans="1:8" s="24" customFormat="1" ht="21.75" customHeight="1">
      <c r="A200" s="77"/>
      <c r="B200" s="94"/>
      <c r="C200" s="98">
        <v>4210</v>
      </c>
      <c r="D200" s="42" t="s">
        <v>94</v>
      </c>
      <c r="E200" s="92">
        <f>1000+3800</f>
        <v>4800</v>
      </c>
      <c r="F200" s="92">
        <v>4800</v>
      </c>
      <c r="G200" s="92">
        <v>2196.84</v>
      </c>
      <c r="H200" s="104">
        <f t="shared" si="2"/>
        <v>45.767500000000005</v>
      </c>
    </row>
    <row r="201" spans="1:8" s="24" customFormat="1" ht="27" customHeight="1">
      <c r="A201" s="77"/>
      <c r="B201" s="94"/>
      <c r="C201" s="98">
        <v>4240</v>
      </c>
      <c r="D201" s="42" t="s">
        <v>147</v>
      </c>
      <c r="E201" s="92">
        <v>2350</v>
      </c>
      <c r="F201" s="92">
        <v>2350</v>
      </c>
      <c r="G201" s="92">
        <v>239.9</v>
      </c>
      <c r="H201" s="104">
        <f aca="true" t="shared" si="4" ref="H201:H262">G201/F201*100</f>
        <v>10.208510638297872</v>
      </c>
    </row>
    <row r="202" spans="1:8" s="24" customFormat="1" ht="21.75" customHeight="1">
      <c r="A202" s="77"/>
      <c r="B202" s="94"/>
      <c r="C202" s="98">
        <v>4260</v>
      </c>
      <c r="D202" s="42" t="s">
        <v>117</v>
      </c>
      <c r="E202" s="92">
        <v>500</v>
      </c>
      <c r="F202" s="92">
        <v>500</v>
      </c>
      <c r="G202" s="92">
        <v>163.53</v>
      </c>
      <c r="H202" s="104">
        <f t="shared" si="4"/>
        <v>32.706</v>
      </c>
    </row>
    <row r="203" spans="1:8" s="24" customFormat="1" ht="21.75" customHeight="1">
      <c r="A203" s="77"/>
      <c r="B203" s="94"/>
      <c r="C203" s="98">
        <v>4270</v>
      </c>
      <c r="D203" s="42" t="s">
        <v>100</v>
      </c>
      <c r="E203" s="92">
        <v>1100</v>
      </c>
      <c r="F203" s="92">
        <v>1100</v>
      </c>
      <c r="G203" s="92">
        <v>0</v>
      </c>
      <c r="H203" s="104">
        <f t="shared" si="4"/>
        <v>0</v>
      </c>
    </row>
    <row r="204" spans="1:8" s="24" customFormat="1" ht="21.75" customHeight="1">
      <c r="A204" s="77"/>
      <c r="B204" s="94"/>
      <c r="C204" s="98">
        <v>4280</v>
      </c>
      <c r="D204" s="42" t="s">
        <v>248</v>
      </c>
      <c r="E204" s="92">
        <v>400</v>
      </c>
      <c r="F204" s="92">
        <v>400</v>
      </c>
      <c r="G204" s="92">
        <v>130</v>
      </c>
      <c r="H204" s="104">
        <f t="shared" si="4"/>
        <v>32.5</v>
      </c>
    </row>
    <row r="205" spans="1:8" s="24" customFormat="1" ht="27" customHeight="1">
      <c r="A205" s="77"/>
      <c r="B205" s="94"/>
      <c r="C205" s="98">
        <v>4440</v>
      </c>
      <c r="D205" s="42" t="s">
        <v>138</v>
      </c>
      <c r="E205" s="92">
        <v>15536</v>
      </c>
      <c r="F205" s="92">
        <v>15536</v>
      </c>
      <c r="G205" s="92">
        <v>11652</v>
      </c>
      <c r="H205" s="104">
        <f t="shared" si="4"/>
        <v>75</v>
      </c>
    </row>
    <row r="206" spans="1:8" s="24" customFormat="1" ht="21.75" customHeight="1">
      <c r="A206" s="100"/>
      <c r="B206" s="94" t="s">
        <v>137</v>
      </c>
      <c r="C206" s="98"/>
      <c r="D206" s="42" t="s">
        <v>148</v>
      </c>
      <c r="E206" s="92">
        <f>SUM(E207:E209)</f>
        <v>2725008</v>
      </c>
      <c r="F206" s="92">
        <f>SUM(F207:F209)</f>
        <v>2811847</v>
      </c>
      <c r="G206" s="92">
        <f>SUM(G207:G209)</f>
        <v>1375885.73</v>
      </c>
      <c r="H206" s="104">
        <f t="shared" si="4"/>
        <v>48.931742374318375</v>
      </c>
    </row>
    <row r="207" spans="1:8" s="24" customFormat="1" ht="27" customHeight="1">
      <c r="A207" s="100"/>
      <c r="B207" s="94"/>
      <c r="C207" s="98">
        <v>2510</v>
      </c>
      <c r="D207" s="42" t="s">
        <v>149</v>
      </c>
      <c r="E207" s="92">
        <v>2624508</v>
      </c>
      <c r="F207" s="92">
        <v>2711847</v>
      </c>
      <c r="G207" s="92">
        <v>1375502</v>
      </c>
      <c r="H207" s="104">
        <f t="shared" si="4"/>
        <v>50.721961821592444</v>
      </c>
    </row>
    <row r="208" spans="1:8" s="24" customFormat="1" ht="21.75" customHeight="1">
      <c r="A208" s="100"/>
      <c r="B208" s="94"/>
      <c r="C208" s="98">
        <v>4210</v>
      </c>
      <c r="D208" s="42" t="s">
        <v>94</v>
      </c>
      <c r="E208" s="92">
        <v>500</v>
      </c>
      <c r="F208" s="92">
        <v>0</v>
      </c>
      <c r="G208" s="92">
        <v>0</v>
      </c>
      <c r="H208" s="104">
        <v>0</v>
      </c>
    </row>
    <row r="209" spans="1:8" s="24" customFormat="1" ht="21.75" customHeight="1">
      <c r="A209" s="100"/>
      <c r="B209" s="94"/>
      <c r="C209" s="98">
        <v>4270</v>
      </c>
      <c r="D209" s="42" t="s">
        <v>100</v>
      </c>
      <c r="E209" s="92">
        <v>100000</v>
      </c>
      <c r="F209" s="92">
        <v>100000</v>
      </c>
      <c r="G209" s="92">
        <v>383.73</v>
      </c>
      <c r="H209" s="104">
        <f t="shared" si="4"/>
        <v>0.38373</v>
      </c>
    </row>
    <row r="210" spans="1:8" s="24" customFormat="1" ht="21.75" customHeight="1">
      <c r="A210" s="100"/>
      <c r="B210" s="94" t="s">
        <v>139</v>
      </c>
      <c r="C210" s="98"/>
      <c r="D210" s="42" t="s">
        <v>73</v>
      </c>
      <c r="E210" s="92">
        <f>SUM(E211:E237)</f>
        <v>4860168</v>
      </c>
      <c r="F210" s="92">
        <f>SUM(F211:F237)</f>
        <v>4856378</v>
      </c>
      <c r="G210" s="92">
        <f>SUM(G211:G237)</f>
        <v>2344171.69</v>
      </c>
      <c r="H210" s="104">
        <f t="shared" si="4"/>
        <v>48.26995942243376</v>
      </c>
    </row>
    <row r="211" spans="1:8" s="24" customFormat="1" ht="27" customHeight="1">
      <c r="A211" s="77"/>
      <c r="B211" s="94"/>
      <c r="C211" s="98">
        <v>3020</v>
      </c>
      <c r="D211" s="42" t="s">
        <v>235</v>
      </c>
      <c r="E211" s="92">
        <v>28916</v>
      </c>
      <c r="F211" s="92">
        <v>28916</v>
      </c>
      <c r="G211" s="92">
        <v>11644.93</v>
      </c>
      <c r="H211" s="104">
        <f t="shared" si="4"/>
        <v>40.27157974823627</v>
      </c>
    </row>
    <row r="212" spans="1:8" s="24" customFormat="1" ht="21.75" customHeight="1">
      <c r="A212" s="77"/>
      <c r="B212" s="94"/>
      <c r="C212" s="98">
        <v>4010</v>
      </c>
      <c r="D212" s="42" t="s">
        <v>106</v>
      </c>
      <c r="E212" s="92">
        <v>2920180</v>
      </c>
      <c r="F212" s="92">
        <v>2920180</v>
      </c>
      <c r="G212" s="92">
        <v>1390571.59</v>
      </c>
      <c r="H212" s="104">
        <f t="shared" si="4"/>
        <v>47.61937928483861</v>
      </c>
    </row>
    <row r="213" spans="1:8" s="24" customFormat="1" ht="21.75" customHeight="1">
      <c r="A213" s="77"/>
      <c r="B213" s="94"/>
      <c r="C213" s="98">
        <v>4040</v>
      </c>
      <c r="D213" s="42" t="s">
        <v>107</v>
      </c>
      <c r="E213" s="92">
        <v>233840</v>
      </c>
      <c r="F213" s="92">
        <v>219681</v>
      </c>
      <c r="G213" s="92">
        <v>219679.16</v>
      </c>
      <c r="H213" s="104">
        <f t="shared" si="4"/>
        <v>99.99916242187535</v>
      </c>
    </row>
    <row r="214" spans="1:8" s="24" customFormat="1" ht="21.75" customHeight="1">
      <c r="A214" s="77"/>
      <c r="B214" s="94"/>
      <c r="C214" s="98">
        <v>4110</v>
      </c>
      <c r="D214" s="42" t="s">
        <v>108</v>
      </c>
      <c r="E214" s="92">
        <v>539098</v>
      </c>
      <c r="F214" s="92">
        <v>539098</v>
      </c>
      <c r="G214" s="92">
        <v>284845.98</v>
      </c>
      <c r="H214" s="104">
        <f t="shared" si="4"/>
        <v>52.837513773006016</v>
      </c>
    </row>
    <row r="215" spans="1:8" s="24" customFormat="1" ht="21.75" customHeight="1">
      <c r="A215" s="77"/>
      <c r="B215" s="94"/>
      <c r="C215" s="98">
        <v>4120</v>
      </c>
      <c r="D215" s="42" t="s">
        <v>109</v>
      </c>
      <c r="E215" s="92">
        <v>76111</v>
      </c>
      <c r="F215" s="92">
        <v>76111</v>
      </c>
      <c r="G215" s="92">
        <v>39818.13</v>
      </c>
      <c r="H215" s="104">
        <f t="shared" si="4"/>
        <v>52.31586761440528</v>
      </c>
    </row>
    <row r="216" spans="1:8" s="24" customFormat="1" ht="21.75" customHeight="1">
      <c r="A216" s="77"/>
      <c r="B216" s="94"/>
      <c r="C216" s="98">
        <v>4170</v>
      </c>
      <c r="D216" s="42" t="s">
        <v>239</v>
      </c>
      <c r="E216" s="92">
        <v>11400</v>
      </c>
      <c r="F216" s="92">
        <v>12200</v>
      </c>
      <c r="G216" s="92">
        <v>6808.42</v>
      </c>
      <c r="H216" s="104">
        <f t="shared" si="4"/>
        <v>55.806721311475414</v>
      </c>
    </row>
    <row r="217" spans="1:8" s="24" customFormat="1" ht="21.75" customHeight="1">
      <c r="A217" s="77"/>
      <c r="B217" s="94"/>
      <c r="C217" s="98">
        <v>4210</v>
      </c>
      <c r="D217" s="42" t="s">
        <v>114</v>
      </c>
      <c r="E217" s="92">
        <v>129060</v>
      </c>
      <c r="F217" s="92">
        <v>132574</v>
      </c>
      <c r="G217" s="92">
        <v>55624.14</v>
      </c>
      <c r="H217" s="104">
        <f t="shared" si="4"/>
        <v>41.95705040203961</v>
      </c>
    </row>
    <row r="218" spans="1:8" s="24" customFormat="1" ht="21.75" customHeight="1">
      <c r="A218" s="77"/>
      <c r="B218" s="94"/>
      <c r="C218" s="98">
        <v>4215</v>
      </c>
      <c r="D218" s="42" t="s">
        <v>114</v>
      </c>
      <c r="E218" s="92">
        <v>0</v>
      </c>
      <c r="F218" s="92">
        <v>521</v>
      </c>
      <c r="G218" s="92">
        <v>230.21</v>
      </c>
      <c r="H218" s="104">
        <f t="shared" si="4"/>
        <v>44.186180422264876</v>
      </c>
    </row>
    <row r="219" spans="1:8" s="24" customFormat="1" ht="27" customHeight="1">
      <c r="A219" s="77"/>
      <c r="B219" s="94"/>
      <c r="C219" s="98">
        <v>4230</v>
      </c>
      <c r="D219" s="42" t="s">
        <v>446</v>
      </c>
      <c r="E219" s="92">
        <v>1400</v>
      </c>
      <c r="F219" s="92">
        <v>1400</v>
      </c>
      <c r="G219" s="92">
        <v>313.03</v>
      </c>
      <c r="H219" s="104">
        <f t="shared" si="4"/>
        <v>22.35928571428571</v>
      </c>
    </row>
    <row r="220" spans="1:8" s="24" customFormat="1" ht="27" customHeight="1">
      <c r="A220" s="77"/>
      <c r="B220" s="94"/>
      <c r="C220" s="98">
        <v>4240</v>
      </c>
      <c r="D220" s="42" t="s">
        <v>147</v>
      </c>
      <c r="E220" s="92">
        <f>4500+50000</f>
        <v>54500</v>
      </c>
      <c r="F220" s="92">
        <v>54500</v>
      </c>
      <c r="G220" s="92">
        <v>1301.39</v>
      </c>
      <c r="H220" s="104">
        <f t="shared" si="4"/>
        <v>2.387871559633028</v>
      </c>
    </row>
    <row r="221" spans="1:8" s="24" customFormat="1" ht="21.75" customHeight="1">
      <c r="A221" s="77"/>
      <c r="B221" s="94"/>
      <c r="C221" s="98">
        <v>4260</v>
      </c>
      <c r="D221" s="42" t="s">
        <v>117</v>
      </c>
      <c r="E221" s="92">
        <v>288300</v>
      </c>
      <c r="F221" s="92">
        <v>288804</v>
      </c>
      <c r="G221" s="92">
        <v>159488.27</v>
      </c>
      <c r="H221" s="104">
        <f t="shared" si="4"/>
        <v>55.223705350341405</v>
      </c>
    </row>
    <row r="222" spans="1:8" s="24" customFormat="1" ht="21.75" customHeight="1">
      <c r="A222" s="77"/>
      <c r="B222" s="94"/>
      <c r="C222" s="98">
        <v>4270</v>
      </c>
      <c r="D222" s="42" t="s">
        <v>100</v>
      </c>
      <c r="E222" s="92">
        <f>150000+18600</f>
        <v>168600</v>
      </c>
      <c r="F222" s="92">
        <v>168600</v>
      </c>
      <c r="G222" s="92">
        <v>11289.78</v>
      </c>
      <c r="H222" s="104">
        <f t="shared" si="4"/>
        <v>6.696192170818506</v>
      </c>
    </row>
    <row r="223" spans="1:8" s="24" customFormat="1" ht="21.75" customHeight="1">
      <c r="A223" s="77"/>
      <c r="B223" s="94"/>
      <c r="C223" s="98">
        <v>4280</v>
      </c>
      <c r="D223" s="42" t="s">
        <v>248</v>
      </c>
      <c r="E223" s="92">
        <v>7200</v>
      </c>
      <c r="F223" s="92">
        <v>7200</v>
      </c>
      <c r="G223" s="92">
        <v>3110</v>
      </c>
      <c r="H223" s="104">
        <f t="shared" si="4"/>
        <v>43.19444444444444</v>
      </c>
    </row>
    <row r="224" spans="1:8" s="24" customFormat="1" ht="21.75" customHeight="1">
      <c r="A224" s="77"/>
      <c r="B224" s="94"/>
      <c r="C224" s="98">
        <v>4300</v>
      </c>
      <c r="D224" s="42" t="s">
        <v>101</v>
      </c>
      <c r="E224" s="92">
        <v>88940</v>
      </c>
      <c r="F224" s="212">
        <v>87440</v>
      </c>
      <c r="G224" s="212">
        <v>19057.64</v>
      </c>
      <c r="H224" s="104">
        <f t="shared" si="4"/>
        <v>21.795105215004572</v>
      </c>
    </row>
    <row r="225" spans="1:8" s="24" customFormat="1" ht="21.75" customHeight="1">
      <c r="A225" s="77"/>
      <c r="B225" s="94"/>
      <c r="C225" s="98">
        <v>4305</v>
      </c>
      <c r="D225" s="42" t="s">
        <v>101</v>
      </c>
      <c r="E225" s="92">
        <v>0</v>
      </c>
      <c r="F225" s="92">
        <v>465</v>
      </c>
      <c r="G225" s="92">
        <v>411.5</v>
      </c>
      <c r="H225" s="104">
        <f t="shared" si="4"/>
        <v>88.49462365591397</v>
      </c>
    </row>
    <row r="226" spans="1:8" s="24" customFormat="1" ht="21.75" customHeight="1">
      <c r="A226" s="77"/>
      <c r="B226" s="94"/>
      <c r="C226" s="98">
        <v>4350</v>
      </c>
      <c r="D226" s="42" t="s">
        <v>260</v>
      </c>
      <c r="E226" s="92">
        <v>4400</v>
      </c>
      <c r="F226" s="92">
        <v>4400</v>
      </c>
      <c r="G226" s="92">
        <v>1876.08</v>
      </c>
      <c r="H226" s="104">
        <f t="shared" si="4"/>
        <v>42.63818181818181</v>
      </c>
    </row>
    <row r="227" spans="1:8" s="24" customFormat="1" ht="27" customHeight="1">
      <c r="A227" s="77"/>
      <c r="B227" s="94"/>
      <c r="C227" s="98">
        <v>4370</v>
      </c>
      <c r="D227" s="14" t="s">
        <v>289</v>
      </c>
      <c r="E227" s="92">
        <v>8000</v>
      </c>
      <c r="F227" s="92">
        <v>8000</v>
      </c>
      <c r="G227" s="92">
        <v>3452.68</v>
      </c>
      <c r="H227" s="104">
        <f t="shared" si="4"/>
        <v>43.1585</v>
      </c>
    </row>
    <row r="228" spans="1:8" s="24" customFormat="1" ht="27" customHeight="1">
      <c r="A228" s="77"/>
      <c r="B228" s="94"/>
      <c r="C228" s="98">
        <v>4390</v>
      </c>
      <c r="D228" s="42" t="s">
        <v>295</v>
      </c>
      <c r="E228" s="92">
        <v>3800</v>
      </c>
      <c r="F228" s="92">
        <v>3800</v>
      </c>
      <c r="G228" s="92">
        <v>0</v>
      </c>
      <c r="H228" s="104">
        <f t="shared" si="4"/>
        <v>0</v>
      </c>
    </row>
    <row r="229" spans="1:8" s="24" customFormat="1" ht="21.75" customHeight="1">
      <c r="A229" s="77"/>
      <c r="B229" s="94"/>
      <c r="C229" s="98">
        <v>4410</v>
      </c>
      <c r="D229" s="42" t="s">
        <v>112</v>
      </c>
      <c r="E229" s="92">
        <v>6000</v>
      </c>
      <c r="F229" s="92">
        <v>6000</v>
      </c>
      <c r="G229" s="92">
        <v>3318.56</v>
      </c>
      <c r="H229" s="104">
        <f t="shared" si="4"/>
        <v>55.309333333333335</v>
      </c>
    </row>
    <row r="230" spans="1:8" s="24" customFormat="1" ht="21.75" customHeight="1">
      <c r="A230" s="77"/>
      <c r="B230" s="94"/>
      <c r="C230" s="98">
        <v>4425</v>
      </c>
      <c r="D230" s="42" t="s">
        <v>115</v>
      </c>
      <c r="E230" s="92">
        <v>0</v>
      </c>
      <c r="F230" s="92">
        <v>2565</v>
      </c>
      <c r="G230" s="92">
        <v>2120.84</v>
      </c>
      <c r="H230" s="104">
        <f t="shared" si="4"/>
        <v>82.68382066276804</v>
      </c>
    </row>
    <row r="231" spans="1:8" s="24" customFormat="1" ht="21.75" customHeight="1">
      <c r="A231" s="77"/>
      <c r="B231" s="94"/>
      <c r="C231" s="98">
        <v>4430</v>
      </c>
      <c r="D231" s="42" t="s">
        <v>116</v>
      </c>
      <c r="E231" s="92">
        <v>3300</v>
      </c>
      <c r="F231" s="92">
        <v>3300</v>
      </c>
      <c r="G231" s="92">
        <v>1618.7</v>
      </c>
      <c r="H231" s="104">
        <f t="shared" si="4"/>
        <v>49.051515151515154</v>
      </c>
    </row>
    <row r="232" spans="1:8" s="24" customFormat="1" ht="27" customHeight="1">
      <c r="A232" s="77"/>
      <c r="B232" s="94"/>
      <c r="C232" s="98">
        <v>4440</v>
      </c>
      <c r="D232" s="42" t="s">
        <v>110</v>
      </c>
      <c r="E232" s="92">
        <v>166073</v>
      </c>
      <c r="F232" s="92">
        <v>166073</v>
      </c>
      <c r="G232" s="92">
        <v>124556</v>
      </c>
      <c r="H232" s="104">
        <f t="shared" si="4"/>
        <v>75.0007526810499</v>
      </c>
    </row>
    <row r="233" spans="1:8" s="24" customFormat="1" ht="27" customHeight="1">
      <c r="A233" s="77"/>
      <c r="B233" s="94"/>
      <c r="C233" s="98">
        <v>4700</v>
      </c>
      <c r="D233" s="42" t="s">
        <v>292</v>
      </c>
      <c r="E233" s="92">
        <v>0</v>
      </c>
      <c r="F233" s="92">
        <v>3500</v>
      </c>
      <c r="G233" s="92">
        <v>0</v>
      </c>
      <c r="H233" s="104">
        <f t="shared" si="4"/>
        <v>0</v>
      </c>
    </row>
    <row r="234" spans="1:8" s="24" customFormat="1" ht="33.75">
      <c r="A234" s="77"/>
      <c r="B234" s="94"/>
      <c r="C234" s="98">
        <v>4740</v>
      </c>
      <c r="D234" s="14" t="s">
        <v>291</v>
      </c>
      <c r="E234" s="92">
        <v>3500</v>
      </c>
      <c r="F234" s="92">
        <v>3500</v>
      </c>
      <c r="G234" s="92">
        <v>778.73</v>
      </c>
      <c r="H234" s="104">
        <f t="shared" si="4"/>
        <v>22.249428571428574</v>
      </c>
    </row>
    <row r="235" spans="1:8" s="24" customFormat="1" ht="27" customHeight="1">
      <c r="A235" s="77"/>
      <c r="B235" s="94"/>
      <c r="C235" s="98">
        <v>4750</v>
      </c>
      <c r="D235" s="14" t="s">
        <v>293</v>
      </c>
      <c r="E235" s="92">
        <v>8050</v>
      </c>
      <c r="F235" s="92">
        <v>8050</v>
      </c>
      <c r="G235" s="92">
        <v>2255.93</v>
      </c>
      <c r="H235" s="104">
        <f t="shared" si="4"/>
        <v>28.0239751552795</v>
      </c>
    </row>
    <row r="236" spans="1:8" s="24" customFormat="1" ht="27" customHeight="1">
      <c r="A236" s="77"/>
      <c r="B236" s="94"/>
      <c r="C236" s="98">
        <v>6050</v>
      </c>
      <c r="D236" s="14" t="s">
        <v>95</v>
      </c>
      <c r="E236" s="92">
        <v>100000</v>
      </c>
      <c r="F236" s="212">
        <v>100000</v>
      </c>
      <c r="G236" s="212">
        <v>0</v>
      </c>
      <c r="H236" s="104">
        <f t="shared" si="4"/>
        <v>0</v>
      </c>
    </row>
    <row r="237" spans="1:8" s="24" customFormat="1" ht="30" customHeight="1">
      <c r="A237" s="77"/>
      <c r="B237" s="94"/>
      <c r="C237" s="98">
        <v>6060</v>
      </c>
      <c r="D237" s="42" t="s">
        <v>118</v>
      </c>
      <c r="E237" s="92">
        <v>9500</v>
      </c>
      <c r="F237" s="92">
        <v>9500</v>
      </c>
      <c r="G237" s="92">
        <v>0</v>
      </c>
      <c r="H237" s="104">
        <f t="shared" si="4"/>
        <v>0</v>
      </c>
    </row>
    <row r="238" spans="1:8" s="24" customFormat="1" ht="21.75" customHeight="1">
      <c r="A238" s="77"/>
      <c r="B238" s="82" t="s">
        <v>140</v>
      </c>
      <c r="C238" s="59"/>
      <c r="D238" s="14" t="s">
        <v>141</v>
      </c>
      <c r="E238" s="81">
        <f>SUM(E239:E244)</f>
        <v>327983</v>
      </c>
      <c r="F238" s="92">
        <f>SUM(F239:F244)</f>
        <v>326748</v>
      </c>
      <c r="G238" s="92">
        <f>SUM(G239:G244)</f>
        <v>107196.73</v>
      </c>
      <c r="H238" s="104">
        <f t="shared" si="4"/>
        <v>32.8071571975957</v>
      </c>
    </row>
    <row r="239" spans="1:8" s="24" customFormat="1" ht="21.75" customHeight="1">
      <c r="A239" s="77"/>
      <c r="B239" s="82"/>
      <c r="C239" s="59">
        <v>4110</v>
      </c>
      <c r="D239" s="42" t="s">
        <v>108</v>
      </c>
      <c r="E239" s="81">
        <v>245</v>
      </c>
      <c r="F239" s="81">
        <v>2100</v>
      </c>
      <c r="G239" s="81">
        <v>776.96</v>
      </c>
      <c r="H239" s="104">
        <f t="shared" si="4"/>
        <v>36.99809523809524</v>
      </c>
    </row>
    <row r="240" spans="1:8" s="24" customFormat="1" ht="21.75" customHeight="1">
      <c r="A240" s="77"/>
      <c r="B240" s="82"/>
      <c r="C240" s="59">
        <v>4120</v>
      </c>
      <c r="D240" s="42" t="s">
        <v>109</v>
      </c>
      <c r="E240" s="81">
        <v>1738</v>
      </c>
      <c r="F240" s="81">
        <v>300</v>
      </c>
      <c r="G240" s="81">
        <v>12.35</v>
      </c>
      <c r="H240" s="104">
        <f t="shared" si="4"/>
        <v>4.116666666666666</v>
      </c>
    </row>
    <row r="241" spans="1:8" s="24" customFormat="1" ht="21.75" customHeight="1">
      <c r="A241" s="77"/>
      <c r="B241" s="82"/>
      <c r="C241" s="59">
        <v>4170</v>
      </c>
      <c r="D241" s="42" t="s">
        <v>239</v>
      </c>
      <c r="E241" s="81">
        <v>20000</v>
      </c>
      <c r="F241" s="81">
        <v>19583</v>
      </c>
      <c r="G241" s="81">
        <v>9920.63</v>
      </c>
      <c r="H241" s="104">
        <f t="shared" si="4"/>
        <v>50.65939845784608</v>
      </c>
    </row>
    <row r="242" spans="1:8" s="24" customFormat="1" ht="21.75" customHeight="1">
      <c r="A242" s="77"/>
      <c r="B242" s="82"/>
      <c r="C242" s="59">
        <v>4210</v>
      </c>
      <c r="D242" s="14" t="s">
        <v>114</v>
      </c>
      <c r="E242" s="81">
        <v>64000</v>
      </c>
      <c r="F242" s="81">
        <v>62765</v>
      </c>
      <c r="G242" s="81">
        <v>17664.5</v>
      </c>
      <c r="H242" s="104">
        <f t="shared" si="4"/>
        <v>28.143869991237153</v>
      </c>
    </row>
    <row r="243" spans="1:8" s="24" customFormat="1" ht="21.75" customHeight="1">
      <c r="A243" s="77"/>
      <c r="B243" s="82"/>
      <c r="C243" s="59">
        <v>4300</v>
      </c>
      <c r="D243" s="14" t="s">
        <v>101</v>
      </c>
      <c r="E243" s="81">
        <v>236000</v>
      </c>
      <c r="F243" s="81">
        <v>236000</v>
      </c>
      <c r="G243" s="81">
        <v>78820.29</v>
      </c>
      <c r="H243" s="104">
        <f t="shared" si="4"/>
        <v>33.39842796610169</v>
      </c>
    </row>
    <row r="244" spans="1:8" s="24" customFormat="1" ht="21.75" customHeight="1">
      <c r="A244" s="77"/>
      <c r="B244" s="82"/>
      <c r="C244" s="59">
        <v>4430</v>
      </c>
      <c r="D244" s="42" t="s">
        <v>116</v>
      </c>
      <c r="E244" s="81">
        <v>6000</v>
      </c>
      <c r="F244" s="81">
        <v>6000</v>
      </c>
      <c r="G244" s="81">
        <v>2</v>
      </c>
      <c r="H244" s="104">
        <f t="shared" si="4"/>
        <v>0.03333333333333333</v>
      </c>
    </row>
    <row r="245" spans="1:8" s="24" customFormat="1" ht="21.75" customHeight="1">
      <c r="A245" s="77"/>
      <c r="B245" s="99">
        <v>80146</v>
      </c>
      <c r="C245" s="80"/>
      <c r="D245" s="42" t="s">
        <v>182</v>
      </c>
      <c r="E245" s="92">
        <f>SUM(E246:E248)</f>
        <v>87684</v>
      </c>
      <c r="F245" s="92">
        <f>SUM(F246:F248)</f>
        <v>87684</v>
      </c>
      <c r="G245" s="92">
        <f>SUM(G246:G248)</f>
        <v>47900.41</v>
      </c>
      <c r="H245" s="104">
        <f t="shared" si="4"/>
        <v>54.62844988823503</v>
      </c>
    </row>
    <row r="246" spans="1:8" s="24" customFormat="1" ht="27" customHeight="1">
      <c r="A246" s="77"/>
      <c r="B246" s="99"/>
      <c r="C246" s="80">
        <v>2510</v>
      </c>
      <c r="D246" s="42" t="s">
        <v>149</v>
      </c>
      <c r="E246" s="92">
        <v>9289</v>
      </c>
      <c r="F246" s="92">
        <v>9289</v>
      </c>
      <c r="G246" s="92">
        <v>4078</v>
      </c>
      <c r="H246" s="104">
        <f t="shared" si="4"/>
        <v>43.901388739369146</v>
      </c>
    </row>
    <row r="247" spans="1:8" s="24" customFormat="1" ht="21.75" customHeight="1">
      <c r="A247" s="77"/>
      <c r="B247" s="99"/>
      <c r="C247" s="80">
        <v>4300</v>
      </c>
      <c r="D247" s="42" t="s">
        <v>101</v>
      </c>
      <c r="E247" s="92">
        <v>78395</v>
      </c>
      <c r="F247" s="92">
        <v>57429</v>
      </c>
      <c r="G247" s="92">
        <v>28229.95</v>
      </c>
      <c r="H247" s="104">
        <f t="shared" si="4"/>
        <v>49.15626251545386</v>
      </c>
    </row>
    <row r="248" spans="1:8" s="24" customFormat="1" ht="21.75" customHeight="1">
      <c r="A248" s="77"/>
      <c r="B248" s="99"/>
      <c r="C248" s="80">
        <v>4410</v>
      </c>
      <c r="D248" s="42" t="s">
        <v>112</v>
      </c>
      <c r="E248" s="92">
        <v>0</v>
      </c>
      <c r="F248" s="92">
        <v>20966</v>
      </c>
      <c r="G248" s="92">
        <v>15592.46</v>
      </c>
      <c r="H248" s="104">
        <f t="shared" si="4"/>
        <v>74.37021844891729</v>
      </c>
    </row>
    <row r="249" spans="1:8" s="24" customFormat="1" ht="21.75" customHeight="1">
      <c r="A249" s="77"/>
      <c r="B249" s="94">
        <v>80195</v>
      </c>
      <c r="C249" s="77"/>
      <c r="D249" s="42" t="s">
        <v>19</v>
      </c>
      <c r="E249" s="92">
        <f>SUM(E250:E253)</f>
        <v>179972</v>
      </c>
      <c r="F249" s="92">
        <f>SUM(F250:F253)</f>
        <v>181116</v>
      </c>
      <c r="G249" s="92">
        <f>SUM(G250:G253)</f>
        <v>119827.94</v>
      </c>
      <c r="H249" s="104">
        <f t="shared" si="4"/>
        <v>66.16088031979504</v>
      </c>
    </row>
    <row r="250" spans="1:8" s="24" customFormat="1" ht="21.75" customHeight="1">
      <c r="A250" s="77"/>
      <c r="B250" s="94"/>
      <c r="C250" s="77">
        <v>4210</v>
      </c>
      <c r="D250" s="14" t="s">
        <v>114</v>
      </c>
      <c r="E250" s="92">
        <v>0</v>
      </c>
      <c r="F250" s="92">
        <v>1235</v>
      </c>
      <c r="G250" s="92">
        <v>1235</v>
      </c>
      <c r="H250" s="104">
        <f t="shared" si="4"/>
        <v>100</v>
      </c>
    </row>
    <row r="251" spans="1:8" s="24" customFormat="1" ht="27" customHeight="1">
      <c r="A251" s="77"/>
      <c r="B251" s="94"/>
      <c r="C251" s="77">
        <v>4440</v>
      </c>
      <c r="D251" s="42" t="s">
        <v>110</v>
      </c>
      <c r="E251" s="92">
        <v>144752</v>
      </c>
      <c r="F251" s="92">
        <v>144661</v>
      </c>
      <c r="G251" s="92">
        <v>108565</v>
      </c>
      <c r="H251" s="104">
        <f t="shared" si="4"/>
        <v>75.04787053870774</v>
      </c>
    </row>
    <row r="252" spans="1:8" s="24" customFormat="1" ht="27" customHeight="1">
      <c r="A252" s="77"/>
      <c r="B252" s="94"/>
      <c r="C252" s="77">
        <v>4700</v>
      </c>
      <c r="D252" s="42" t="s">
        <v>292</v>
      </c>
      <c r="E252" s="92">
        <v>22660</v>
      </c>
      <c r="F252" s="92">
        <v>22660</v>
      </c>
      <c r="G252" s="92">
        <v>0</v>
      </c>
      <c r="H252" s="104">
        <f t="shared" si="4"/>
        <v>0</v>
      </c>
    </row>
    <row r="253" spans="1:8" s="24" customFormat="1" ht="27" customHeight="1">
      <c r="A253" s="77"/>
      <c r="B253" s="94"/>
      <c r="C253" s="77">
        <v>4750</v>
      </c>
      <c r="D253" s="42" t="s">
        <v>293</v>
      </c>
      <c r="E253" s="92">
        <v>12560</v>
      </c>
      <c r="F253" s="92">
        <v>12560</v>
      </c>
      <c r="G253" s="92">
        <v>10027.94</v>
      </c>
      <c r="H253" s="104">
        <f t="shared" si="4"/>
        <v>79.84028662420383</v>
      </c>
    </row>
    <row r="254" spans="1:8" s="7" customFormat="1" ht="21.75" customHeight="1">
      <c r="A254" s="37" t="s">
        <v>142</v>
      </c>
      <c r="B254" s="38"/>
      <c r="C254" s="39"/>
      <c r="D254" s="40" t="s">
        <v>74</v>
      </c>
      <c r="E254" s="41">
        <f>SUM(E257,E268,E255)</f>
        <v>123720</v>
      </c>
      <c r="F254" s="41">
        <f>SUM(F255,F257,F268,)</f>
        <v>123720</v>
      </c>
      <c r="G254" s="41">
        <f>SUM(G255,G257,G268,)</f>
        <v>32487.030000000006</v>
      </c>
      <c r="H254" s="47">
        <f t="shared" si="4"/>
        <v>26.25851115421921</v>
      </c>
    </row>
    <row r="255" spans="1:8" s="7" customFormat="1" ht="21.75" customHeight="1">
      <c r="A255" s="37"/>
      <c r="B255" s="99">
        <v>85153</v>
      </c>
      <c r="C255" s="98"/>
      <c r="D255" s="42" t="s">
        <v>285</v>
      </c>
      <c r="E255" s="92">
        <f>SUM(E256:E256)</f>
        <v>20000</v>
      </c>
      <c r="F255" s="92">
        <f>SUM(F256)</f>
        <v>20000</v>
      </c>
      <c r="G255" s="92">
        <f>SUM(G256)</f>
        <v>0</v>
      </c>
      <c r="H255" s="104">
        <f t="shared" si="4"/>
        <v>0</v>
      </c>
    </row>
    <row r="256" spans="1:8" s="7" customFormat="1" ht="27" customHeight="1">
      <c r="A256" s="37"/>
      <c r="B256" s="99"/>
      <c r="C256" s="98">
        <v>6060</v>
      </c>
      <c r="D256" s="42" t="s">
        <v>118</v>
      </c>
      <c r="E256" s="92">
        <v>20000</v>
      </c>
      <c r="F256" s="92">
        <v>20000</v>
      </c>
      <c r="G256" s="92">
        <v>0</v>
      </c>
      <c r="H256" s="104">
        <f t="shared" si="4"/>
        <v>0</v>
      </c>
    </row>
    <row r="257" spans="1:8" s="24" customFormat="1" ht="21.75" customHeight="1">
      <c r="A257" s="77"/>
      <c r="B257" s="94" t="s">
        <v>143</v>
      </c>
      <c r="C257" s="98"/>
      <c r="D257" s="42" t="s">
        <v>75</v>
      </c>
      <c r="E257" s="92">
        <f>SUM(E258:E267)</f>
        <v>98720</v>
      </c>
      <c r="F257" s="92">
        <f>SUM(F258:F267)</f>
        <v>98720</v>
      </c>
      <c r="G257" s="92">
        <f>SUM(G258:G267)</f>
        <v>32487.030000000006</v>
      </c>
      <c r="H257" s="104">
        <f t="shared" si="4"/>
        <v>32.90825567260941</v>
      </c>
    </row>
    <row r="258" spans="1:8" s="24" customFormat="1" ht="33.75">
      <c r="A258" s="77"/>
      <c r="B258" s="99"/>
      <c r="C258" s="98">
        <v>2630</v>
      </c>
      <c r="D258" s="42" t="s">
        <v>283</v>
      </c>
      <c r="E258" s="92">
        <f>10000+16000+40000</f>
        <v>66000</v>
      </c>
      <c r="F258" s="92">
        <v>0</v>
      </c>
      <c r="G258" s="92">
        <v>0</v>
      </c>
      <c r="H258" s="104">
        <v>0</v>
      </c>
    </row>
    <row r="259" spans="1:8" s="24" customFormat="1" ht="45">
      <c r="A259" s="77"/>
      <c r="B259" s="99"/>
      <c r="C259" s="98">
        <v>2710</v>
      </c>
      <c r="D259" s="42" t="s">
        <v>437</v>
      </c>
      <c r="E259" s="92">
        <v>0</v>
      </c>
      <c r="F259" s="92">
        <v>11551</v>
      </c>
      <c r="G259" s="92">
        <v>0</v>
      </c>
      <c r="H259" s="104">
        <f t="shared" si="4"/>
        <v>0</v>
      </c>
    </row>
    <row r="260" spans="1:8" s="24" customFormat="1" ht="45">
      <c r="A260" s="77"/>
      <c r="B260" s="99"/>
      <c r="C260" s="98">
        <v>2820</v>
      </c>
      <c r="D260" s="42" t="s">
        <v>406</v>
      </c>
      <c r="E260" s="92">
        <v>0</v>
      </c>
      <c r="F260" s="92">
        <v>7953</v>
      </c>
      <c r="G260" s="92">
        <v>1988.25</v>
      </c>
      <c r="H260" s="104">
        <f t="shared" si="4"/>
        <v>25</v>
      </c>
    </row>
    <row r="261" spans="1:8" s="24" customFormat="1" ht="56.25">
      <c r="A261" s="77"/>
      <c r="B261" s="99"/>
      <c r="C261" s="98">
        <v>2830</v>
      </c>
      <c r="D261" s="42" t="s">
        <v>405</v>
      </c>
      <c r="E261" s="92">
        <v>0</v>
      </c>
      <c r="F261" s="92">
        <v>39147</v>
      </c>
      <c r="G261" s="92">
        <v>19573.5</v>
      </c>
      <c r="H261" s="104">
        <f t="shared" si="4"/>
        <v>50</v>
      </c>
    </row>
    <row r="262" spans="1:8" s="24" customFormat="1" ht="21.75" customHeight="1">
      <c r="A262" s="77"/>
      <c r="B262" s="99"/>
      <c r="C262" s="98">
        <v>4110</v>
      </c>
      <c r="D262" s="14" t="s">
        <v>108</v>
      </c>
      <c r="E262" s="92">
        <v>0</v>
      </c>
      <c r="F262" s="92">
        <v>338</v>
      </c>
      <c r="G262" s="92">
        <v>0</v>
      </c>
      <c r="H262" s="104">
        <f t="shared" si="4"/>
        <v>0</v>
      </c>
    </row>
    <row r="263" spans="1:8" s="24" customFormat="1" ht="21.75" customHeight="1">
      <c r="A263" s="77"/>
      <c r="B263" s="99"/>
      <c r="C263" s="98">
        <v>4170</v>
      </c>
      <c r="D263" s="42" t="s">
        <v>239</v>
      </c>
      <c r="E263" s="92">
        <v>16000</v>
      </c>
      <c r="F263" s="92">
        <v>21616</v>
      </c>
      <c r="G263" s="92">
        <v>7114.88</v>
      </c>
      <c r="H263" s="104">
        <f aca="true" t="shared" si="5" ref="H263:H326">G263/F263*100</f>
        <v>32.914877868245746</v>
      </c>
    </row>
    <row r="264" spans="1:8" s="24" customFormat="1" ht="21.75" customHeight="1">
      <c r="A264" s="77"/>
      <c r="B264" s="99"/>
      <c r="C264" s="98">
        <v>4210</v>
      </c>
      <c r="D264" s="14" t="s">
        <v>114</v>
      </c>
      <c r="E264" s="92">
        <v>0</v>
      </c>
      <c r="F264" s="92">
        <v>3293</v>
      </c>
      <c r="G264" s="92">
        <v>2996.24</v>
      </c>
      <c r="H264" s="104">
        <f t="shared" si="5"/>
        <v>90.98815669602186</v>
      </c>
    </row>
    <row r="265" spans="1:8" s="24" customFormat="1" ht="21.75" customHeight="1">
      <c r="A265" s="77"/>
      <c r="B265" s="99"/>
      <c r="C265" s="98">
        <v>4300</v>
      </c>
      <c r="D265" s="42" t="s">
        <v>101</v>
      </c>
      <c r="E265" s="92">
        <f>11000+860+860+4000</f>
        <v>16720</v>
      </c>
      <c r="F265" s="92">
        <v>12250</v>
      </c>
      <c r="G265" s="92">
        <v>685.08</v>
      </c>
      <c r="H265" s="104">
        <f t="shared" si="5"/>
        <v>5.592489795918368</v>
      </c>
    </row>
    <row r="266" spans="1:8" s="24" customFormat="1" ht="21.75" customHeight="1">
      <c r="A266" s="77"/>
      <c r="B266" s="99"/>
      <c r="C266" s="98">
        <v>4350</v>
      </c>
      <c r="D266" s="14" t="s">
        <v>278</v>
      </c>
      <c r="E266" s="92">
        <v>0</v>
      </c>
      <c r="F266" s="92">
        <v>672</v>
      </c>
      <c r="G266" s="92">
        <v>129.08</v>
      </c>
      <c r="H266" s="104">
        <f t="shared" si="5"/>
        <v>19.208333333333336</v>
      </c>
    </row>
    <row r="267" spans="1:8" s="24" customFormat="1" ht="21.75" customHeight="1">
      <c r="A267" s="77"/>
      <c r="B267" s="99"/>
      <c r="C267" s="98">
        <v>4410</v>
      </c>
      <c r="D267" s="14" t="s">
        <v>112</v>
      </c>
      <c r="E267" s="92">
        <v>0</v>
      </c>
      <c r="F267" s="92">
        <v>1900</v>
      </c>
      <c r="G267" s="92">
        <v>0</v>
      </c>
      <c r="H267" s="104">
        <f t="shared" si="5"/>
        <v>0</v>
      </c>
    </row>
    <row r="268" spans="1:8" s="24" customFormat="1" ht="21.75" customHeight="1">
      <c r="A268" s="77"/>
      <c r="B268" s="99">
        <v>85195</v>
      </c>
      <c r="C268" s="98"/>
      <c r="D268" s="42" t="s">
        <v>19</v>
      </c>
      <c r="E268" s="92">
        <f>SUM(E269)</f>
        <v>5000</v>
      </c>
      <c r="F268" s="92">
        <f>SUM(F269)</f>
        <v>5000</v>
      </c>
      <c r="G268" s="92">
        <f>SUM(G269)</f>
        <v>0</v>
      </c>
      <c r="H268" s="104">
        <f t="shared" si="5"/>
        <v>0</v>
      </c>
    </row>
    <row r="269" spans="1:8" s="24" customFormat="1" ht="21.75" customHeight="1">
      <c r="A269" s="77"/>
      <c r="B269" s="99"/>
      <c r="C269" s="98">
        <v>4430</v>
      </c>
      <c r="D269" s="42" t="s">
        <v>116</v>
      </c>
      <c r="E269" s="92">
        <v>5000</v>
      </c>
      <c r="F269" s="92">
        <v>5000</v>
      </c>
      <c r="G269" s="92">
        <v>0</v>
      </c>
      <c r="H269" s="104">
        <f t="shared" si="5"/>
        <v>0</v>
      </c>
    </row>
    <row r="270" spans="1:8" s="7" customFormat="1" ht="21.75" customHeight="1">
      <c r="A270" s="70">
        <v>852</v>
      </c>
      <c r="B270" s="38"/>
      <c r="C270" s="39"/>
      <c r="D270" s="40" t="s">
        <v>232</v>
      </c>
      <c r="E270" s="41">
        <f>SUM(E271,E292,E294,E297,E299,E324,E326,)</f>
        <v>12388325</v>
      </c>
      <c r="F270" s="41">
        <f>SUM(F271,F292,F294,F297,F299,F324,F326,)</f>
        <v>12451751</v>
      </c>
      <c r="G270" s="41">
        <f>SUM(G271,G292,G294,G297,G299,G324,G326,)</f>
        <v>5709337.839999998</v>
      </c>
      <c r="H270" s="47">
        <f t="shared" si="5"/>
        <v>45.851686561994356</v>
      </c>
    </row>
    <row r="271" spans="1:8" s="24" customFormat="1" ht="45">
      <c r="A271" s="109"/>
      <c r="B271" s="59">
        <v>85212</v>
      </c>
      <c r="C271" s="90"/>
      <c r="D271" s="88" t="s">
        <v>282</v>
      </c>
      <c r="E271" s="81">
        <f>SUM(E272:E291)</f>
        <v>7804800</v>
      </c>
      <c r="F271" s="92">
        <f>SUM(F272:F291)</f>
        <v>7812700</v>
      </c>
      <c r="G271" s="92">
        <f>SUM(G272:G291)</f>
        <v>3336841.069999999</v>
      </c>
      <c r="H271" s="104">
        <f t="shared" si="5"/>
        <v>42.7104723079089</v>
      </c>
    </row>
    <row r="272" spans="1:8" s="24" customFormat="1" ht="27" customHeight="1">
      <c r="A272" s="109"/>
      <c r="B272" s="59"/>
      <c r="C272" s="90">
        <v>3020</v>
      </c>
      <c r="D272" s="42" t="s">
        <v>235</v>
      </c>
      <c r="E272" s="81">
        <v>1000</v>
      </c>
      <c r="F272" s="81">
        <v>1000</v>
      </c>
      <c r="G272" s="81">
        <v>0</v>
      </c>
      <c r="H272" s="104">
        <f t="shared" si="5"/>
        <v>0</v>
      </c>
    </row>
    <row r="273" spans="1:8" s="24" customFormat="1" ht="21.75" customHeight="1">
      <c r="A273" s="109"/>
      <c r="B273" s="59"/>
      <c r="C273" s="90">
        <v>3110</v>
      </c>
      <c r="D273" s="88" t="s">
        <v>136</v>
      </c>
      <c r="E273" s="81">
        <v>7510656</v>
      </c>
      <c r="F273" s="81">
        <v>7518319</v>
      </c>
      <c r="G273" s="81">
        <v>3194676.4</v>
      </c>
      <c r="H273" s="104">
        <f t="shared" si="5"/>
        <v>42.49189745739706</v>
      </c>
    </row>
    <row r="274" spans="1:8" s="24" customFormat="1" ht="21.75" customHeight="1">
      <c r="A274" s="109"/>
      <c r="B274" s="59"/>
      <c r="C274" s="59">
        <v>4010</v>
      </c>
      <c r="D274" s="14" t="s">
        <v>106</v>
      </c>
      <c r="E274" s="81">
        <v>123700</v>
      </c>
      <c r="F274" s="81">
        <v>123700</v>
      </c>
      <c r="G274" s="81">
        <v>66962.55</v>
      </c>
      <c r="H274" s="104">
        <f t="shared" si="5"/>
        <v>54.13302344381569</v>
      </c>
    </row>
    <row r="275" spans="1:8" s="24" customFormat="1" ht="21.75" customHeight="1">
      <c r="A275" s="109"/>
      <c r="B275" s="59"/>
      <c r="C275" s="59">
        <v>4040</v>
      </c>
      <c r="D275" s="14" t="s">
        <v>107</v>
      </c>
      <c r="E275" s="81">
        <v>11000</v>
      </c>
      <c r="F275" s="81">
        <v>11000</v>
      </c>
      <c r="G275" s="81">
        <v>10126.47</v>
      </c>
      <c r="H275" s="104">
        <f t="shared" si="5"/>
        <v>92.05881818181818</v>
      </c>
    </row>
    <row r="276" spans="1:8" s="24" customFormat="1" ht="21.75" customHeight="1">
      <c r="A276" s="109"/>
      <c r="B276" s="59"/>
      <c r="C276" s="59">
        <v>4110</v>
      </c>
      <c r="D276" s="14" t="s">
        <v>108</v>
      </c>
      <c r="E276" s="81">
        <f>23500+60000</f>
        <v>83500</v>
      </c>
      <c r="F276" s="81">
        <v>83500</v>
      </c>
      <c r="G276" s="81">
        <v>42299.96</v>
      </c>
      <c r="H276" s="104">
        <f t="shared" si="5"/>
        <v>50.65863473053892</v>
      </c>
    </row>
    <row r="277" spans="1:8" s="24" customFormat="1" ht="21.75" customHeight="1">
      <c r="A277" s="109"/>
      <c r="B277" s="59"/>
      <c r="C277" s="59">
        <v>4120</v>
      </c>
      <c r="D277" s="14" t="s">
        <v>109</v>
      </c>
      <c r="E277" s="81">
        <v>3400</v>
      </c>
      <c r="F277" s="81">
        <v>3400</v>
      </c>
      <c r="G277" s="81">
        <v>1988.26</v>
      </c>
      <c r="H277" s="104">
        <f t="shared" si="5"/>
        <v>58.47823529411764</v>
      </c>
    </row>
    <row r="278" spans="1:8" s="24" customFormat="1" ht="21.75" customHeight="1">
      <c r="A278" s="109"/>
      <c r="B278" s="89"/>
      <c r="C278" s="59">
        <v>4170</v>
      </c>
      <c r="D278" s="42" t="s">
        <v>239</v>
      </c>
      <c r="E278" s="81">
        <v>4000</v>
      </c>
      <c r="F278" s="81">
        <v>4000</v>
      </c>
      <c r="G278" s="81">
        <v>0</v>
      </c>
      <c r="H278" s="104">
        <f t="shared" si="5"/>
        <v>0</v>
      </c>
    </row>
    <row r="279" spans="1:8" s="24" customFormat="1" ht="21.75" customHeight="1">
      <c r="A279" s="109"/>
      <c r="B279" s="89"/>
      <c r="C279" s="59">
        <v>4210</v>
      </c>
      <c r="D279" s="14" t="s">
        <v>114</v>
      </c>
      <c r="E279" s="81">
        <f>8000+3410</f>
        <v>11410</v>
      </c>
      <c r="F279" s="81">
        <v>11647</v>
      </c>
      <c r="G279" s="81">
        <v>147.01</v>
      </c>
      <c r="H279" s="104">
        <f t="shared" si="5"/>
        <v>1.262213445522452</v>
      </c>
    </row>
    <row r="280" spans="1:8" s="24" customFormat="1" ht="21.75" customHeight="1">
      <c r="A280" s="109"/>
      <c r="B280" s="89"/>
      <c r="C280" s="59">
        <v>4270</v>
      </c>
      <c r="D280" s="14" t="s">
        <v>100</v>
      </c>
      <c r="E280" s="81">
        <v>1000</v>
      </c>
      <c r="F280" s="81">
        <v>1000</v>
      </c>
      <c r="G280" s="81">
        <v>274.5</v>
      </c>
      <c r="H280" s="104">
        <f t="shared" si="5"/>
        <v>27.450000000000003</v>
      </c>
    </row>
    <row r="281" spans="1:8" s="24" customFormat="1" ht="21.75" customHeight="1">
      <c r="A281" s="109"/>
      <c r="B281" s="89"/>
      <c r="C281" s="59">
        <v>4280</v>
      </c>
      <c r="D281" s="14" t="s">
        <v>276</v>
      </c>
      <c r="E281" s="81">
        <v>500</v>
      </c>
      <c r="F281" s="81">
        <v>500</v>
      </c>
      <c r="G281" s="81">
        <v>196</v>
      </c>
      <c r="H281" s="104">
        <f t="shared" si="5"/>
        <v>39.2</v>
      </c>
    </row>
    <row r="282" spans="1:8" s="24" customFormat="1" ht="21.75" customHeight="1">
      <c r="A282" s="109"/>
      <c r="B282" s="89"/>
      <c r="C282" s="59">
        <v>4300</v>
      </c>
      <c r="D282" s="14" t="s">
        <v>101</v>
      </c>
      <c r="E282" s="81">
        <f>24150+3410</f>
        <v>27560</v>
      </c>
      <c r="F282" s="81">
        <v>27560</v>
      </c>
      <c r="G282" s="81">
        <v>9154.29</v>
      </c>
      <c r="H282" s="104">
        <f t="shared" si="5"/>
        <v>33.215856313497824</v>
      </c>
    </row>
    <row r="283" spans="1:8" s="24" customFormat="1" ht="21.75" customHeight="1">
      <c r="A283" s="109"/>
      <c r="B283" s="89"/>
      <c r="C283" s="59">
        <v>4350</v>
      </c>
      <c r="D283" s="14" t="s">
        <v>278</v>
      </c>
      <c r="E283" s="81">
        <v>3500</v>
      </c>
      <c r="F283" s="81">
        <v>3500</v>
      </c>
      <c r="G283" s="81">
        <v>1493.28</v>
      </c>
      <c r="H283" s="104">
        <f t="shared" si="5"/>
        <v>42.665142857142854</v>
      </c>
    </row>
    <row r="284" spans="1:8" s="24" customFormat="1" ht="27" customHeight="1">
      <c r="A284" s="109"/>
      <c r="B284" s="89"/>
      <c r="C284" s="59">
        <v>4360</v>
      </c>
      <c r="D284" s="14" t="s">
        <v>294</v>
      </c>
      <c r="E284" s="81">
        <v>1000</v>
      </c>
      <c r="F284" s="81">
        <v>1000</v>
      </c>
      <c r="G284" s="81">
        <v>418.77</v>
      </c>
      <c r="H284" s="104">
        <f t="shared" si="5"/>
        <v>41.876999999999995</v>
      </c>
    </row>
    <row r="285" spans="1:8" s="24" customFormat="1" ht="27" customHeight="1">
      <c r="A285" s="109"/>
      <c r="B285" s="89"/>
      <c r="C285" s="59">
        <v>4370</v>
      </c>
      <c r="D285" s="14" t="s">
        <v>289</v>
      </c>
      <c r="E285" s="81">
        <v>4000</v>
      </c>
      <c r="F285" s="81">
        <v>4000</v>
      </c>
      <c r="G285" s="81">
        <v>1839.82</v>
      </c>
      <c r="H285" s="104">
        <f t="shared" si="5"/>
        <v>45.9955</v>
      </c>
    </row>
    <row r="286" spans="1:8" s="24" customFormat="1" ht="21.75" customHeight="1">
      <c r="A286" s="109"/>
      <c r="B286" s="89"/>
      <c r="C286" s="59">
        <v>4410</v>
      </c>
      <c r="D286" s="14" t="s">
        <v>112</v>
      </c>
      <c r="E286" s="81">
        <v>2500</v>
      </c>
      <c r="F286" s="81">
        <v>2500</v>
      </c>
      <c r="G286" s="81">
        <v>1366.78</v>
      </c>
      <c r="H286" s="104">
        <f t="shared" si="5"/>
        <v>54.6712</v>
      </c>
    </row>
    <row r="287" spans="1:8" s="24" customFormat="1" ht="21.75" customHeight="1">
      <c r="A287" s="109"/>
      <c r="B287" s="89"/>
      <c r="C287" s="59">
        <v>4430</v>
      </c>
      <c r="D287" s="42" t="s">
        <v>116</v>
      </c>
      <c r="E287" s="81">
        <v>2000</v>
      </c>
      <c r="F287" s="81">
        <v>2000</v>
      </c>
      <c r="G287" s="81">
        <v>0</v>
      </c>
      <c r="H287" s="104">
        <f t="shared" si="5"/>
        <v>0</v>
      </c>
    </row>
    <row r="288" spans="1:8" s="24" customFormat="1" ht="27" customHeight="1">
      <c r="A288" s="109"/>
      <c r="B288" s="89"/>
      <c r="C288" s="59">
        <v>4440</v>
      </c>
      <c r="D288" s="14" t="s">
        <v>110</v>
      </c>
      <c r="E288" s="81">
        <v>4000</v>
      </c>
      <c r="F288" s="81">
        <v>4000</v>
      </c>
      <c r="G288" s="81">
        <v>3000</v>
      </c>
      <c r="H288" s="104">
        <f t="shared" si="5"/>
        <v>75</v>
      </c>
    </row>
    <row r="289" spans="1:8" s="24" customFormat="1" ht="30" customHeight="1">
      <c r="A289" s="109"/>
      <c r="B289" s="89"/>
      <c r="C289" s="59">
        <v>4700</v>
      </c>
      <c r="D289" s="14" t="s">
        <v>292</v>
      </c>
      <c r="E289" s="81">
        <v>3000</v>
      </c>
      <c r="F289" s="81">
        <v>3000</v>
      </c>
      <c r="G289" s="81">
        <v>1230</v>
      </c>
      <c r="H289" s="104">
        <f t="shared" si="5"/>
        <v>41</v>
      </c>
    </row>
    <row r="290" spans="1:8" s="24" customFormat="1" ht="33.75">
      <c r="A290" s="109"/>
      <c r="B290" s="89"/>
      <c r="C290" s="59">
        <v>4740</v>
      </c>
      <c r="D290" s="14" t="s">
        <v>291</v>
      </c>
      <c r="E290" s="81">
        <v>4000</v>
      </c>
      <c r="F290" s="81">
        <v>4000</v>
      </c>
      <c r="G290" s="81">
        <v>0</v>
      </c>
      <c r="H290" s="104">
        <f t="shared" si="5"/>
        <v>0</v>
      </c>
    </row>
    <row r="291" spans="1:8" s="24" customFormat="1" ht="27" customHeight="1">
      <c r="A291" s="109"/>
      <c r="B291" s="89"/>
      <c r="C291" s="59">
        <v>4750</v>
      </c>
      <c r="D291" s="14" t="s">
        <v>293</v>
      </c>
      <c r="E291" s="81">
        <v>3074</v>
      </c>
      <c r="F291" s="81">
        <v>3074</v>
      </c>
      <c r="G291" s="81">
        <v>1666.98</v>
      </c>
      <c r="H291" s="104">
        <f t="shared" si="5"/>
        <v>54.22836694860117</v>
      </c>
    </row>
    <row r="292" spans="1:8" s="24" customFormat="1" ht="56.25">
      <c r="A292" s="77"/>
      <c r="B292" s="99">
        <v>85213</v>
      </c>
      <c r="C292" s="98"/>
      <c r="D292" s="42" t="s">
        <v>254</v>
      </c>
      <c r="E292" s="92">
        <f>SUM(E293)</f>
        <v>99900</v>
      </c>
      <c r="F292" s="92">
        <f>SUM(F293)</f>
        <v>78400</v>
      </c>
      <c r="G292" s="92">
        <f>SUM(G293)</f>
        <v>23982.16</v>
      </c>
      <c r="H292" s="104">
        <f t="shared" si="5"/>
        <v>30.589489795918368</v>
      </c>
    </row>
    <row r="293" spans="1:8" s="24" customFormat="1" ht="21.75" customHeight="1">
      <c r="A293" s="77"/>
      <c r="B293" s="99"/>
      <c r="C293" s="98">
        <v>4130</v>
      </c>
      <c r="D293" s="42" t="s">
        <v>144</v>
      </c>
      <c r="E293" s="92">
        <v>99900</v>
      </c>
      <c r="F293" s="92">
        <v>78400</v>
      </c>
      <c r="G293" s="92">
        <v>23982.16</v>
      </c>
      <c r="H293" s="104">
        <f t="shared" si="5"/>
        <v>30.589489795918368</v>
      </c>
    </row>
    <row r="294" spans="1:8" s="24" customFormat="1" ht="27" customHeight="1">
      <c r="A294" s="77"/>
      <c r="B294" s="94">
        <v>85214</v>
      </c>
      <c r="C294" s="98"/>
      <c r="D294" s="42" t="s">
        <v>259</v>
      </c>
      <c r="E294" s="92">
        <f>SUM(E295:E296)</f>
        <v>1514100</v>
      </c>
      <c r="F294" s="92">
        <f>SUM(F295:F296)</f>
        <v>1546348</v>
      </c>
      <c r="G294" s="92">
        <f>SUM(G295:G296)</f>
        <v>748081.3999999999</v>
      </c>
      <c r="H294" s="104">
        <f t="shared" si="5"/>
        <v>48.37729928838786</v>
      </c>
    </row>
    <row r="295" spans="1:8" s="24" customFormat="1" ht="21.75" customHeight="1">
      <c r="A295" s="77"/>
      <c r="B295" s="94"/>
      <c r="C295" s="98">
        <v>3110</v>
      </c>
      <c r="D295" s="42" t="s">
        <v>136</v>
      </c>
      <c r="E295" s="92">
        <f>3000+500000+439200-3000+571900</f>
        <v>1511100</v>
      </c>
      <c r="F295" s="92">
        <v>1543348</v>
      </c>
      <c r="G295" s="92">
        <v>747168.2</v>
      </c>
      <c r="H295" s="104">
        <f t="shared" si="5"/>
        <v>48.412166277469495</v>
      </c>
    </row>
    <row r="296" spans="1:8" s="24" customFormat="1" ht="21.75" customHeight="1">
      <c r="A296" s="77"/>
      <c r="B296" s="94"/>
      <c r="C296" s="98">
        <v>4110</v>
      </c>
      <c r="D296" s="42" t="s">
        <v>108</v>
      </c>
      <c r="E296" s="92">
        <v>3000</v>
      </c>
      <c r="F296" s="92">
        <v>3000</v>
      </c>
      <c r="G296" s="92">
        <v>913.2</v>
      </c>
      <c r="H296" s="104">
        <f t="shared" si="5"/>
        <v>30.44</v>
      </c>
    </row>
    <row r="297" spans="1:8" s="24" customFormat="1" ht="21.75" customHeight="1">
      <c r="A297" s="77"/>
      <c r="B297" s="94">
        <v>85215</v>
      </c>
      <c r="C297" s="98"/>
      <c r="D297" s="42" t="s">
        <v>79</v>
      </c>
      <c r="E297" s="92">
        <f>SUM(E298)</f>
        <v>1450000</v>
      </c>
      <c r="F297" s="92">
        <f>SUM(F298)</f>
        <v>1250000</v>
      </c>
      <c r="G297" s="92">
        <f>SUM(G298)</f>
        <v>570612.94</v>
      </c>
      <c r="H297" s="104">
        <f t="shared" si="5"/>
        <v>45.64903519999999</v>
      </c>
    </row>
    <row r="298" spans="1:8" s="24" customFormat="1" ht="21.75" customHeight="1">
      <c r="A298" s="77"/>
      <c r="B298" s="94"/>
      <c r="C298" s="98">
        <v>3110</v>
      </c>
      <c r="D298" s="42" t="s">
        <v>136</v>
      </c>
      <c r="E298" s="92">
        <v>1450000</v>
      </c>
      <c r="F298" s="212">
        <v>1250000</v>
      </c>
      <c r="G298" s="212">
        <v>570612.94</v>
      </c>
      <c r="H298" s="104">
        <f t="shared" si="5"/>
        <v>45.64903519999999</v>
      </c>
    </row>
    <row r="299" spans="1:8" s="24" customFormat="1" ht="21.75" customHeight="1">
      <c r="A299" s="77"/>
      <c r="B299" s="94">
        <v>85219</v>
      </c>
      <c r="C299" s="98"/>
      <c r="D299" s="42" t="s">
        <v>80</v>
      </c>
      <c r="E299" s="92">
        <f>SUM(E300:E323)</f>
        <v>1045805</v>
      </c>
      <c r="F299" s="92">
        <f>SUM(F300:F323)</f>
        <v>1045805</v>
      </c>
      <c r="G299" s="92">
        <f>SUM(G300:G323)</f>
        <v>510633.57999999996</v>
      </c>
      <c r="H299" s="104">
        <f t="shared" si="5"/>
        <v>48.82684439259709</v>
      </c>
    </row>
    <row r="300" spans="1:8" s="24" customFormat="1" ht="27" customHeight="1">
      <c r="A300" s="77"/>
      <c r="B300" s="94"/>
      <c r="C300" s="98">
        <v>3020</v>
      </c>
      <c r="D300" s="42" t="s">
        <v>268</v>
      </c>
      <c r="E300" s="92">
        <f>2100+550</f>
        <v>2650</v>
      </c>
      <c r="F300" s="92">
        <v>2650</v>
      </c>
      <c r="G300" s="92">
        <v>56</v>
      </c>
      <c r="H300" s="104">
        <f t="shared" si="5"/>
        <v>2.1132075471698113</v>
      </c>
    </row>
    <row r="301" spans="1:8" s="24" customFormat="1" ht="21.75" customHeight="1">
      <c r="A301" s="77"/>
      <c r="B301" s="94"/>
      <c r="C301" s="98">
        <v>4010</v>
      </c>
      <c r="D301" s="42" t="s">
        <v>106</v>
      </c>
      <c r="E301" s="92">
        <f>19769+463372+44252</f>
        <v>527393</v>
      </c>
      <c r="F301" s="92">
        <v>529054</v>
      </c>
      <c r="G301" s="92">
        <v>248056.19</v>
      </c>
      <c r="H301" s="104">
        <f t="shared" si="5"/>
        <v>46.88674313019087</v>
      </c>
    </row>
    <row r="302" spans="1:8" s="24" customFormat="1" ht="21.75" customHeight="1">
      <c r="A302" s="77"/>
      <c r="B302" s="94"/>
      <c r="C302" s="98">
        <v>4040</v>
      </c>
      <c r="D302" s="42" t="s">
        <v>107</v>
      </c>
      <c r="E302" s="92">
        <f>1500+32700+2985</f>
        <v>37185</v>
      </c>
      <c r="F302" s="92">
        <v>37185</v>
      </c>
      <c r="G302" s="92">
        <v>36739.83</v>
      </c>
      <c r="H302" s="104">
        <f t="shared" si="5"/>
        <v>98.80282371924164</v>
      </c>
    </row>
    <row r="303" spans="1:8" s="24" customFormat="1" ht="21.75" customHeight="1">
      <c r="A303" s="77"/>
      <c r="B303" s="94"/>
      <c r="C303" s="98">
        <v>4110</v>
      </c>
      <c r="D303" s="42" t="s">
        <v>108</v>
      </c>
      <c r="E303" s="92">
        <f>3771+86738+8141</f>
        <v>98650</v>
      </c>
      <c r="F303" s="92">
        <v>98929</v>
      </c>
      <c r="G303" s="92">
        <v>48865.11</v>
      </c>
      <c r="H303" s="104">
        <f t="shared" si="5"/>
        <v>49.39412103629876</v>
      </c>
    </row>
    <row r="304" spans="1:8" s="24" customFormat="1" ht="21.75" customHeight="1">
      <c r="A304" s="77"/>
      <c r="B304" s="94"/>
      <c r="C304" s="98">
        <v>4120</v>
      </c>
      <c r="D304" s="42" t="s">
        <v>109</v>
      </c>
      <c r="E304" s="92">
        <f>522+1125+11986</f>
        <v>13633</v>
      </c>
      <c r="F304" s="92">
        <v>13671</v>
      </c>
      <c r="G304" s="92">
        <v>6413.85</v>
      </c>
      <c r="H304" s="104">
        <f t="shared" si="5"/>
        <v>46.915734035549704</v>
      </c>
    </row>
    <row r="305" spans="1:8" s="24" customFormat="1" ht="21.75" customHeight="1">
      <c r="A305" s="77"/>
      <c r="B305" s="94"/>
      <c r="C305" s="98">
        <v>4170</v>
      </c>
      <c r="D305" s="42" t="s">
        <v>239</v>
      </c>
      <c r="E305" s="92">
        <f>13200+9240</f>
        <v>22440</v>
      </c>
      <c r="F305" s="92">
        <v>22440</v>
      </c>
      <c r="G305" s="92">
        <v>8631.74</v>
      </c>
      <c r="H305" s="104">
        <f t="shared" si="5"/>
        <v>38.465864527629236</v>
      </c>
    </row>
    <row r="306" spans="1:8" s="24" customFormat="1" ht="21.75" customHeight="1">
      <c r="A306" s="77"/>
      <c r="B306" s="94"/>
      <c r="C306" s="98">
        <v>4210</v>
      </c>
      <c r="D306" s="42" t="s">
        <v>114</v>
      </c>
      <c r="E306" s="92">
        <f>9300+5600+20500</f>
        <v>35400</v>
      </c>
      <c r="F306" s="92">
        <v>35400</v>
      </c>
      <c r="G306" s="92">
        <v>18365.4</v>
      </c>
      <c r="H306" s="104">
        <f t="shared" si="5"/>
        <v>51.87966101694915</v>
      </c>
    </row>
    <row r="307" spans="1:8" s="24" customFormat="1" ht="21.75" customHeight="1">
      <c r="A307" s="77"/>
      <c r="B307" s="94"/>
      <c r="C307" s="98">
        <v>4220</v>
      </c>
      <c r="D307" s="42" t="s">
        <v>220</v>
      </c>
      <c r="E307" s="92">
        <v>85000</v>
      </c>
      <c r="F307" s="92">
        <v>85000</v>
      </c>
      <c r="G307" s="92">
        <v>63364.94</v>
      </c>
      <c r="H307" s="104">
        <f t="shared" si="5"/>
        <v>74.54698823529412</v>
      </c>
    </row>
    <row r="308" spans="1:8" s="24" customFormat="1" ht="27" customHeight="1">
      <c r="A308" s="77"/>
      <c r="B308" s="94"/>
      <c r="C308" s="98">
        <v>4230</v>
      </c>
      <c r="D308" s="42" t="s">
        <v>446</v>
      </c>
      <c r="E308" s="92">
        <v>200</v>
      </c>
      <c r="F308" s="92">
        <v>200</v>
      </c>
      <c r="G308" s="92">
        <v>34.85</v>
      </c>
      <c r="H308" s="104">
        <f t="shared" si="5"/>
        <v>17.425</v>
      </c>
    </row>
    <row r="309" spans="1:8" s="24" customFormat="1" ht="21.75" customHeight="1">
      <c r="A309" s="77"/>
      <c r="B309" s="94"/>
      <c r="C309" s="98">
        <v>4260</v>
      </c>
      <c r="D309" s="42" t="s">
        <v>117</v>
      </c>
      <c r="E309" s="92">
        <f>4000+5200</f>
        <v>9200</v>
      </c>
      <c r="F309" s="92">
        <v>9200</v>
      </c>
      <c r="G309" s="92">
        <v>4603.68</v>
      </c>
      <c r="H309" s="104">
        <f t="shared" si="5"/>
        <v>50.040000000000006</v>
      </c>
    </row>
    <row r="310" spans="1:8" s="24" customFormat="1" ht="21.75" customHeight="1">
      <c r="A310" s="77"/>
      <c r="B310" s="94"/>
      <c r="C310" s="98">
        <v>4270</v>
      </c>
      <c r="D310" s="42" t="s">
        <v>100</v>
      </c>
      <c r="E310" s="92">
        <v>3244</v>
      </c>
      <c r="F310" s="92">
        <v>3244</v>
      </c>
      <c r="G310" s="92">
        <v>315.5</v>
      </c>
      <c r="H310" s="104">
        <f t="shared" si="5"/>
        <v>9.725647348951911</v>
      </c>
    </row>
    <row r="311" spans="1:8" s="24" customFormat="1" ht="21.75" customHeight="1">
      <c r="A311" s="77"/>
      <c r="B311" s="94"/>
      <c r="C311" s="98">
        <v>4280</v>
      </c>
      <c r="D311" s="42" t="s">
        <v>248</v>
      </c>
      <c r="E311" s="92">
        <f>150+350+300</f>
        <v>800</v>
      </c>
      <c r="F311" s="92">
        <v>1100</v>
      </c>
      <c r="G311" s="92">
        <v>300</v>
      </c>
      <c r="H311" s="104">
        <f t="shared" si="5"/>
        <v>27.27272727272727</v>
      </c>
    </row>
    <row r="312" spans="1:8" s="24" customFormat="1" ht="21.75" customHeight="1">
      <c r="A312" s="77"/>
      <c r="B312" s="94"/>
      <c r="C312" s="98">
        <v>4300</v>
      </c>
      <c r="D312" s="42" t="s">
        <v>101</v>
      </c>
      <c r="E312" s="92">
        <f>46605+23261+4400</f>
        <v>74266</v>
      </c>
      <c r="F312" s="92">
        <v>71188</v>
      </c>
      <c r="G312" s="92">
        <v>16937.43</v>
      </c>
      <c r="H312" s="104">
        <f t="shared" si="5"/>
        <v>23.792535258751478</v>
      </c>
    </row>
    <row r="313" spans="1:8" s="24" customFormat="1" ht="21.75" customHeight="1">
      <c r="A313" s="77"/>
      <c r="B313" s="94"/>
      <c r="C313" s="98">
        <v>4350</v>
      </c>
      <c r="D313" s="42" t="s">
        <v>260</v>
      </c>
      <c r="E313" s="92">
        <f>665+627</f>
        <v>1292</v>
      </c>
      <c r="F313" s="92">
        <v>1148</v>
      </c>
      <c r="G313" s="92">
        <v>474.34</v>
      </c>
      <c r="H313" s="104">
        <f t="shared" si="5"/>
        <v>41.31881533101045</v>
      </c>
    </row>
    <row r="314" spans="1:8" s="24" customFormat="1" ht="27" customHeight="1">
      <c r="A314" s="77"/>
      <c r="B314" s="94"/>
      <c r="C314" s="98">
        <v>4360</v>
      </c>
      <c r="D314" s="42" t="s">
        <v>294</v>
      </c>
      <c r="E314" s="92">
        <v>366</v>
      </c>
      <c r="F314" s="92">
        <v>641</v>
      </c>
      <c r="G314" s="92">
        <v>274.5</v>
      </c>
      <c r="H314" s="104">
        <f t="shared" si="5"/>
        <v>42.82371294851794</v>
      </c>
    </row>
    <row r="315" spans="1:8" s="24" customFormat="1" ht="33.75">
      <c r="A315" s="77"/>
      <c r="B315" s="94"/>
      <c r="C315" s="98">
        <v>4370</v>
      </c>
      <c r="D315" s="42" t="s">
        <v>289</v>
      </c>
      <c r="E315" s="92">
        <f>2400+10200+360</f>
        <v>12960</v>
      </c>
      <c r="F315" s="92">
        <v>13404</v>
      </c>
      <c r="G315" s="92">
        <v>4056.37</v>
      </c>
      <c r="H315" s="104">
        <f t="shared" si="5"/>
        <v>30.262384362876755</v>
      </c>
    </row>
    <row r="316" spans="1:8" s="24" customFormat="1" ht="33.75">
      <c r="A316" s="77"/>
      <c r="B316" s="94"/>
      <c r="C316" s="98">
        <v>4400</v>
      </c>
      <c r="D316" s="42" t="s">
        <v>454</v>
      </c>
      <c r="E316" s="92">
        <f>1922+54307+11378</f>
        <v>67607</v>
      </c>
      <c r="F316" s="92">
        <v>67607</v>
      </c>
      <c r="G316" s="92">
        <v>30561.72</v>
      </c>
      <c r="H316" s="104">
        <f t="shared" si="5"/>
        <v>45.20496398301951</v>
      </c>
    </row>
    <row r="317" spans="1:8" s="24" customFormat="1" ht="21.75" customHeight="1">
      <c r="A317" s="77"/>
      <c r="B317" s="94"/>
      <c r="C317" s="98">
        <v>4410</v>
      </c>
      <c r="D317" s="42" t="s">
        <v>112</v>
      </c>
      <c r="E317" s="92">
        <f>500+10260</f>
        <v>10760</v>
      </c>
      <c r="F317" s="92">
        <v>11060</v>
      </c>
      <c r="G317" s="92">
        <v>2433.12</v>
      </c>
      <c r="H317" s="104">
        <f t="shared" si="5"/>
        <v>21.999276672694393</v>
      </c>
    </row>
    <row r="318" spans="1:8" s="24" customFormat="1" ht="21.75" customHeight="1">
      <c r="A318" s="77"/>
      <c r="B318" s="94"/>
      <c r="C318" s="98">
        <v>4430</v>
      </c>
      <c r="D318" s="42" t="s">
        <v>116</v>
      </c>
      <c r="E318" s="92">
        <v>600</v>
      </c>
      <c r="F318" s="92">
        <v>600</v>
      </c>
      <c r="G318" s="92">
        <v>275</v>
      </c>
      <c r="H318" s="104">
        <f t="shared" si="5"/>
        <v>45.83333333333333</v>
      </c>
    </row>
    <row r="319" spans="1:8" s="24" customFormat="1" ht="27" customHeight="1">
      <c r="A319" s="77"/>
      <c r="B319" s="94"/>
      <c r="C319" s="98">
        <v>4440</v>
      </c>
      <c r="D319" s="42" t="s">
        <v>110</v>
      </c>
      <c r="E319" s="92">
        <f>776+2327+14690</f>
        <v>17793</v>
      </c>
      <c r="F319" s="92">
        <v>17793</v>
      </c>
      <c r="G319" s="92">
        <v>13345</v>
      </c>
      <c r="H319" s="104">
        <f t="shared" si="5"/>
        <v>75.00140504692857</v>
      </c>
    </row>
    <row r="320" spans="1:8" s="24" customFormat="1" ht="27" customHeight="1">
      <c r="A320" s="77"/>
      <c r="B320" s="94"/>
      <c r="C320" s="98">
        <v>4700</v>
      </c>
      <c r="D320" s="42" t="s">
        <v>292</v>
      </c>
      <c r="E320" s="92">
        <v>3500</v>
      </c>
      <c r="F320" s="92">
        <v>2425</v>
      </c>
      <c r="G320" s="92">
        <v>285</v>
      </c>
      <c r="H320" s="104">
        <f t="shared" si="5"/>
        <v>11.752577319587628</v>
      </c>
    </row>
    <row r="321" spans="1:8" s="24" customFormat="1" ht="33.75">
      <c r="A321" s="77"/>
      <c r="B321" s="94"/>
      <c r="C321" s="98">
        <v>4740</v>
      </c>
      <c r="D321" s="42" t="s">
        <v>291</v>
      </c>
      <c r="E321" s="92">
        <f>200+1406</f>
        <v>1606</v>
      </c>
      <c r="F321" s="92">
        <v>1606</v>
      </c>
      <c r="G321" s="92">
        <v>549</v>
      </c>
      <c r="H321" s="104">
        <f t="shared" si="5"/>
        <v>34.184308841843084</v>
      </c>
    </row>
    <row r="322" spans="1:8" s="24" customFormat="1" ht="27" customHeight="1">
      <c r="A322" s="77"/>
      <c r="B322" s="94"/>
      <c r="C322" s="98">
        <v>4750</v>
      </c>
      <c r="D322" s="42" t="s">
        <v>293</v>
      </c>
      <c r="E322" s="92">
        <v>710</v>
      </c>
      <c r="F322" s="92">
        <v>1710</v>
      </c>
      <c r="G322" s="92">
        <v>183</v>
      </c>
      <c r="H322" s="104">
        <f t="shared" si="5"/>
        <v>10.701754385964913</v>
      </c>
    </row>
    <row r="323" spans="1:8" s="24" customFormat="1" ht="27" customHeight="1">
      <c r="A323" s="77"/>
      <c r="B323" s="94"/>
      <c r="C323" s="98">
        <v>6060</v>
      </c>
      <c r="D323" s="42" t="s">
        <v>118</v>
      </c>
      <c r="E323" s="92">
        <f>9750+8800</f>
        <v>18550</v>
      </c>
      <c r="F323" s="92">
        <v>18550</v>
      </c>
      <c r="G323" s="92">
        <v>5512.01</v>
      </c>
      <c r="H323" s="104">
        <f t="shared" si="5"/>
        <v>29.71433962264151</v>
      </c>
    </row>
    <row r="324" spans="1:8" s="24" customFormat="1" ht="27" customHeight="1">
      <c r="A324" s="77"/>
      <c r="B324" s="94">
        <v>85228</v>
      </c>
      <c r="C324" s="98"/>
      <c r="D324" s="42" t="s">
        <v>145</v>
      </c>
      <c r="E324" s="92">
        <f>SUM(E325)</f>
        <v>140000</v>
      </c>
      <c r="F324" s="92">
        <f>SUM(F325)</f>
        <v>140000</v>
      </c>
      <c r="G324" s="92">
        <f>SUM(G325)</f>
        <v>72569.1</v>
      </c>
      <c r="H324" s="104">
        <f t="shared" si="5"/>
        <v>51.83507142857143</v>
      </c>
    </row>
    <row r="325" spans="1:8" s="24" customFormat="1" ht="21.75" customHeight="1">
      <c r="A325" s="77"/>
      <c r="B325" s="94"/>
      <c r="C325" s="98">
        <v>4300</v>
      </c>
      <c r="D325" s="42" t="s">
        <v>101</v>
      </c>
      <c r="E325" s="92">
        <v>140000</v>
      </c>
      <c r="F325" s="92">
        <v>140000</v>
      </c>
      <c r="G325" s="92">
        <v>72569.1</v>
      </c>
      <c r="H325" s="104">
        <f t="shared" si="5"/>
        <v>51.83507142857143</v>
      </c>
    </row>
    <row r="326" spans="1:8" s="24" customFormat="1" ht="21.75" customHeight="1">
      <c r="A326" s="77"/>
      <c r="B326" s="94" t="s">
        <v>193</v>
      </c>
      <c r="C326" s="98"/>
      <c r="D326" s="42" t="s">
        <v>19</v>
      </c>
      <c r="E326" s="92">
        <f>SUM(E327:E328)</f>
        <v>333720</v>
      </c>
      <c r="F326" s="92">
        <f>SUM(F327:F328)</f>
        <v>578498</v>
      </c>
      <c r="G326" s="92">
        <f>SUM(G327:G328)</f>
        <v>446617.59</v>
      </c>
      <c r="H326" s="104">
        <f t="shared" si="5"/>
        <v>77.20296180799242</v>
      </c>
    </row>
    <row r="327" spans="1:8" s="24" customFormat="1" ht="21.75" customHeight="1">
      <c r="A327" s="77"/>
      <c r="B327" s="94"/>
      <c r="C327" s="98">
        <v>3110</v>
      </c>
      <c r="D327" s="42" t="s">
        <v>136</v>
      </c>
      <c r="E327" s="92">
        <v>328200</v>
      </c>
      <c r="F327" s="92">
        <v>572978</v>
      </c>
      <c r="G327" s="92">
        <v>445237.59</v>
      </c>
      <c r="H327" s="104">
        <f aca="true" t="shared" si="6" ref="H327:H390">G327/F327*100</f>
        <v>77.70587875974296</v>
      </c>
    </row>
    <row r="328" spans="1:8" s="24" customFormat="1" ht="21.75" customHeight="1">
      <c r="A328" s="77"/>
      <c r="B328" s="94"/>
      <c r="C328" s="98">
        <v>4430</v>
      </c>
      <c r="D328" s="42" t="s">
        <v>116</v>
      </c>
      <c r="E328" s="92">
        <v>5520</v>
      </c>
      <c r="F328" s="92">
        <v>5520</v>
      </c>
      <c r="G328" s="92">
        <v>1380</v>
      </c>
      <c r="H328" s="104">
        <f t="shared" si="6"/>
        <v>25</v>
      </c>
    </row>
    <row r="329" spans="1:8" s="45" customFormat="1" ht="30" customHeight="1">
      <c r="A329" s="37">
        <v>853</v>
      </c>
      <c r="B329" s="71"/>
      <c r="C329" s="39"/>
      <c r="D329" s="40" t="s">
        <v>475</v>
      </c>
      <c r="E329" s="41">
        <f aca="true" t="shared" si="7" ref="E329:G330">SUM(E330)</f>
        <v>0</v>
      </c>
      <c r="F329" s="41">
        <f t="shared" si="7"/>
        <v>5352</v>
      </c>
      <c r="G329" s="41">
        <f t="shared" si="7"/>
        <v>0</v>
      </c>
      <c r="H329" s="47">
        <f t="shared" si="6"/>
        <v>0</v>
      </c>
    </row>
    <row r="330" spans="1:8" s="24" customFormat="1" ht="30" customHeight="1">
      <c r="A330" s="77"/>
      <c r="B330" s="94">
        <v>85311</v>
      </c>
      <c r="C330" s="98"/>
      <c r="D330" s="42" t="s">
        <v>476</v>
      </c>
      <c r="E330" s="92">
        <f t="shared" si="7"/>
        <v>0</v>
      </c>
      <c r="F330" s="92">
        <f t="shared" si="7"/>
        <v>5352</v>
      </c>
      <c r="G330" s="92">
        <f t="shared" si="7"/>
        <v>0</v>
      </c>
      <c r="H330" s="104">
        <f t="shared" si="6"/>
        <v>0</v>
      </c>
    </row>
    <row r="331" spans="1:8" s="24" customFormat="1" ht="45">
      <c r="A331" s="77"/>
      <c r="B331" s="94"/>
      <c r="C331" s="98">
        <v>2710</v>
      </c>
      <c r="D331" s="42" t="s">
        <v>432</v>
      </c>
      <c r="E331" s="92">
        <v>0</v>
      </c>
      <c r="F331" s="92">
        <v>5352</v>
      </c>
      <c r="G331" s="92">
        <v>0</v>
      </c>
      <c r="H331" s="104">
        <f t="shared" si="6"/>
        <v>0</v>
      </c>
    </row>
    <row r="332" spans="1:8" s="8" customFormat="1" ht="21.75" customHeight="1">
      <c r="A332" s="37" t="s">
        <v>146</v>
      </c>
      <c r="B332" s="38"/>
      <c r="C332" s="39"/>
      <c r="D332" s="40" t="s">
        <v>81</v>
      </c>
      <c r="E332" s="41">
        <f>SUM(E333,E346,E358,E355,E353)</f>
        <v>1103390</v>
      </c>
      <c r="F332" s="41">
        <f>SUM(F333,F346,F353,F355,F358,)</f>
        <v>1415311</v>
      </c>
      <c r="G332" s="41">
        <f>SUM(G333,G346,G353,G355,G358,)</f>
        <v>788546.35</v>
      </c>
      <c r="H332" s="47">
        <f t="shared" si="6"/>
        <v>55.71541166570457</v>
      </c>
    </row>
    <row r="333" spans="1:8" s="24" customFormat="1" ht="21.75" customHeight="1">
      <c r="A333" s="77"/>
      <c r="B333" s="94">
        <v>85401</v>
      </c>
      <c r="C333" s="98"/>
      <c r="D333" s="42" t="s">
        <v>82</v>
      </c>
      <c r="E333" s="92">
        <f>SUM(E334:E345)</f>
        <v>675335</v>
      </c>
      <c r="F333" s="92">
        <f>SUM(F334:F345)</f>
        <v>670523</v>
      </c>
      <c r="G333" s="92">
        <f>SUM(G334:G345)</f>
        <v>322235.3</v>
      </c>
      <c r="H333" s="104">
        <f t="shared" si="6"/>
        <v>48.05730750473884</v>
      </c>
    </row>
    <row r="334" spans="1:8" s="24" customFormat="1" ht="27" customHeight="1">
      <c r="A334" s="77"/>
      <c r="B334" s="94"/>
      <c r="C334" s="98">
        <v>3020</v>
      </c>
      <c r="D334" s="42" t="s">
        <v>268</v>
      </c>
      <c r="E334" s="92">
        <v>10983</v>
      </c>
      <c r="F334" s="92">
        <v>10983</v>
      </c>
      <c r="G334" s="92">
        <v>4959.72</v>
      </c>
      <c r="H334" s="104">
        <f t="shared" si="6"/>
        <v>45.15815350996996</v>
      </c>
    </row>
    <row r="335" spans="1:8" s="24" customFormat="1" ht="21.75" customHeight="1">
      <c r="A335" s="77"/>
      <c r="B335" s="94"/>
      <c r="C335" s="98">
        <v>4010</v>
      </c>
      <c r="D335" s="42" t="s">
        <v>106</v>
      </c>
      <c r="E335" s="92">
        <v>485405</v>
      </c>
      <c r="F335" s="92">
        <v>485405</v>
      </c>
      <c r="G335" s="92">
        <v>212742.89</v>
      </c>
      <c r="H335" s="104">
        <f t="shared" si="6"/>
        <v>43.827914834004595</v>
      </c>
    </row>
    <row r="336" spans="1:8" s="24" customFormat="1" ht="21.75" customHeight="1">
      <c r="A336" s="77"/>
      <c r="B336" s="94"/>
      <c r="C336" s="98">
        <v>4040</v>
      </c>
      <c r="D336" s="42" t="s">
        <v>107</v>
      </c>
      <c r="E336" s="92">
        <v>34981</v>
      </c>
      <c r="F336" s="92">
        <v>30169</v>
      </c>
      <c r="G336" s="92">
        <v>30163.67</v>
      </c>
      <c r="H336" s="104">
        <f t="shared" si="6"/>
        <v>99.98233285823196</v>
      </c>
    </row>
    <row r="337" spans="1:8" s="24" customFormat="1" ht="21.75" customHeight="1">
      <c r="A337" s="77"/>
      <c r="B337" s="94"/>
      <c r="C337" s="98">
        <v>4110</v>
      </c>
      <c r="D337" s="42" t="s">
        <v>108</v>
      </c>
      <c r="E337" s="92">
        <v>84863</v>
      </c>
      <c r="F337" s="92">
        <v>84863</v>
      </c>
      <c r="G337" s="92">
        <v>42515.09</v>
      </c>
      <c r="H337" s="104">
        <f t="shared" si="6"/>
        <v>50.09849993518966</v>
      </c>
    </row>
    <row r="338" spans="1:8" s="24" customFormat="1" ht="21.75" customHeight="1">
      <c r="A338" s="77"/>
      <c r="B338" s="94"/>
      <c r="C338" s="98">
        <v>4120</v>
      </c>
      <c r="D338" s="42" t="s">
        <v>109</v>
      </c>
      <c r="E338" s="92">
        <v>11990</v>
      </c>
      <c r="F338" s="92">
        <v>11990</v>
      </c>
      <c r="G338" s="92">
        <v>5854.49</v>
      </c>
      <c r="H338" s="104">
        <f t="shared" si="6"/>
        <v>48.82810675562969</v>
      </c>
    </row>
    <row r="339" spans="1:8" s="24" customFormat="1" ht="21.75" customHeight="1">
      <c r="A339" s="77"/>
      <c r="B339" s="94"/>
      <c r="C339" s="98">
        <v>4210</v>
      </c>
      <c r="D339" s="42" t="s">
        <v>114</v>
      </c>
      <c r="E339" s="92">
        <v>14070</v>
      </c>
      <c r="F339" s="92">
        <v>14070</v>
      </c>
      <c r="G339" s="92">
        <v>3049.44</v>
      </c>
      <c r="H339" s="104">
        <f t="shared" si="6"/>
        <v>21.673347547974416</v>
      </c>
    </row>
    <row r="340" spans="1:8" s="24" customFormat="1" ht="27" customHeight="1">
      <c r="A340" s="77"/>
      <c r="B340" s="94"/>
      <c r="C340" s="98">
        <v>4230</v>
      </c>
      <c r="D340" s="42" t="s">
        <v>446</v>
      </c>
      <c r="E340" s="92">
        <v>100</v>
      </c>
      <c r="F340" s="92">
        <v>100</v>
      </c>
      <c r="G340" s="92">
        <v>0</v>
      </c>
      <c r="H340" s="104">
        <f t="shared" si="6"/>
        <v>0</v>
      </c>
    </row>
    <row r="341" spans="1:8" s="24" customFormat="1" ht="27" customHeight="1">
      <c r="A341" s="77"/>
      <c r="B341" s="94"/>
      <c r="C341" s="98">
        <v>4240</v>
      </c>
      <c r="D341" s="42" t="s">
        <v>147</v>
      </c>
      <c r="E341" s="92">
        <v>1100</v>
      </c>
      <c r="F341" s="92">
        <v>1100</v>
      </c>
      <c r="G341" s="92">
        <v>0</v>
      </c>
      <c r="H341" s="104">
        <f t="shared" si="6"/>
        <v>0</v>
      </c>
    </row>
    <row r="342" spans="1:8" s="24" customFormat="1" ht="21.75" customHeight="1">
      <c r="A342" s="77"/>
      <c r="B342" s="94"/>
      <c r="C342" s="98">
        <v>4270</v>
      </c>
      <c r="D342" s="42" t="s">
        <v>100</v>
      </c>
      <c r="E342" s="92">
        <v>600</v>
      </c>
      <c r="F342" s="92">
        <v>600</v>
      </c>
      <c r="G342" s="92">
        <v>0</v>
      </c>
      <c r="H342" s="104">
        <f t="shared" si="6"/>
        <v>0</v>
      </c>
    </row>
    <row r="343" spans="1:8" s="24" customFormat="1" ht="21.75" customHeight="1">
      <c r="A343" s="77"/>
      <c r="B343" s="94"/>
      <c r="C343" s="98">
        <v>4280</v>
      </c>
      <c r="D343" s="42" t="s">
        <v>248</v>
      </c>
      <c r="E343" s="92">
        <v>610</v>
      </c>
      <c r="F343" s="92">
        <v>610</v>
      </c>
      <c r="G343" s="92">
        <v>0</v>
      </c>
      <c r="H343" s="104">
        <f t="shared" si="6"/>
        <v>0</v>
      </c>
    </row>
    <row r="344" spans="1:8" s="24" customFormat="1" ht="21.75" customHeight="1">
      <c r="A344" s="77"/>
      <c r="B344" s="94"/>
      <c r="C344" s="98">
        <v>4300</v>
      </c>
      <c r="D344" s="42" t="s">
        <v>101</v>
      </c>
      <c r="E344" s="92">
        <v>300</v>
      </c>
      <c r="F344" s="92">
        <v>300</v>
      </c>
      <c r="G344" s="92">
        <v>202</v>
      </c>
      <c r="H344" s="104">
        <f t="shared" si="6"/>
        <v>67.33333333333333</v>
      </c>
    </row>
    <row r="345" spans="1:8" s="24" customFormat="1" ht="27" customHeight="1">
      <c r="A345" s="77"/>
      <c r="B345" s="94"/>
      <c r="C345" s="98">
        <v>4440</v>
      </c>
      <c r="D345" s="42" t="s">
        <v>110</v>
      </c>
      <c r="E345" s="92">
        <v>30333</v>
      </c>
      <c r="F345" s="92">
        <v>30333</v>
      </c>
      <c r="G345" s="92">
        <v>22748</v>
      </c>
      <c r="H345" s="104">
        <f t="shared" si="6"/>
        <v>74.99423070583194</v>
      </c>
    </row>
    <row r="346" spans="1:8" s="24" customFormat="1" ht="33.75">
      <c r="A346" s="77"/>
      <c r="B346" s="94" t="s">
        <v>150</v>
      </c>
      <c r="C346" s="98"/>
      <c r="D346" s="42" t="s">
        <v>194</v>
      </c>
      <c r="E346" s="92">
        <f>SUM(E347:E352)</f>
        <v>79500</v>
      </c>
      <c r="F346" s="92">
        <f>SUM(F347:F352)</f>
        <v>148808</v>
      </c>
      <c r="G346" s="92">
        <f>SUM(G347:G352)</f>
        <v>20045.05</v>
      </c>
      <c r="H346" s="104">
        <f t="shared" si="6"/>
        <v>13.470411537014137</v>
      </c>
    </row>
    <row r="347" spans="1:8" s="24" customFormat="1" ht="33.75">
      <c r="A347" s="77"/>
      <c r="B347" s="94"/>
      <c r="C347" s="98">
        <v>2630</v>
      </c>
      <c r="D347" s="42" t="s">
        <v>283</v>
      </c>
      <c r="E347" s="92">
        <v>36000</v>
      </c>
      <c r="F347" s="92">
        <v>0</v>
      </c>
      <c r="G347" s="92">
        <v>0</v>
      </c>
      <c r="H347" s="104">
        <v>0</v>
      </c>
    </row>
    <row r="348" spans="1:8" s="24" customFormat="1" ht="45">
      <c r="A348" s="77"/>
      <c r="B348" s="94"/>
      <c r="C348" s="98">
        <v>2820</v>
      </c>
      <c r="D348" s="42" t="s">
        <v>406</v>
      </c>
      <c r="E348" s="92">
        <v>0</v>
      </c>
      <c r="F348" s="92">
        <v>9290</v>
      </c>
      <c r="G348" s="92">
        <v>0</v>
      </c>
      <c r="H348" s="104">
        <f t="shared" si="6"/>
        <v>0</v>
      </c>
    </row>
    <row r="349" spans="1:8" s="24" customFormat="1" ht="56.25">
      <c r="A349" s="77"/>
      <c r="B349" s="94"/>
      <c r="C349" s="98">
        <v>2830</v>
      </c>
      <c r="D349" s="42" t="s">
        <v>405</v>
      </c>
      <c r="E349" s="92">
        <v>0</v>
      </c>
      <c r="F349" s="92">
        <v>26710</v>
      </c>
      <c r="G349" s="92">
        <v>0</v>
      </c>
      <c r="H349" s="104">
        <f t="shared" si="6"/>
        <v>0</v>
      </c>
    </row>
    <row r="350" spans="1:8" s="24" customFormat="1" ht="21.75" customHeight="1">
      <c r="A350" s="77"/>
      <c r="B350" s="94"/>
      <c r="C350" s="98">
        <v>4210</v>
      </c>
      <c r="D350" s="42" t="s">
        <v>114</v>
      </c>
      <c r="E350" s="92">
        <f>5500+1500</f>
        <v>7000</v>
      </c>
      <c r="F350" s="92">
        <v>9653</v>
      </c>
      <c r="G350" s="92">
        <v>500</v>
      </c>
      <c r="H350" s="104">
        <f t="shared" si="6"/>
        <v>5.179736869367036</v>
      </c>
    </row>
    <row r="351" spans="1:8" s="24" customFormat="1" ht="21.75" customHeight="1">
      <c r="A351" s="98"/>
      <c r="B351" s="99"/>
      <c r="C351" s="98">
        <v>4300</v>
      </c>
      <c r="D351" s="42" t="s">
        <v>101</v>
      </c>
      <c r="E351" s="92">
        <f>5500+1000</f>
        <v>6500</v>
      </c>
      <c r="F351" s="92">
        <v>2155</v>
      </c>
      <c r="G351" s="92">
        <v>0</v>
      </c>
      <c r="H351" s="104">
        <f t="shared" si="6"/>
        <v>0</v>
      </c>
    </row>
    <row r="352" spans="1:8" s="24" customFormat="1" ht="30" customHeight="1">
      <c r="A352" s="98"/>
      <c r="B352" s="99"/>
      <c r="C352" s="98">
        <v>6050</v>
      </c>
      <c r="D352" s="211" t="s">
        <v>95</v>
      </c>
      <c r="E352" s="212">
        <v>30000</v>
      </c>
      <c r="F352" s="212">
        <v>101000</v>
      </c>
      <c r="G352" s="212">
        <v>19545.05</v>
      </c>
      <c r="H352" s="104">
        <f t="shared" si="6"/>
        <v>19.351534653465347</v>
      </c>
    </row>
    <row r="353" spans="1:8" s="24" customFormat="1" ht="21.75" customHeight="1">
      <c r="A353" s="98"/>
      <c r="B353" s="99">
        <v>85415</v>
      </c>
      <c r="C353" s="98"/>
      <c r="D353" s="42" t="s">
        <v>298</v>
      </c>
      <c r="E353" s="92">
        <f>SUM(E354)</f>
        <v>117924</v>
      </c>
      <c r="F353" s="92">
        <f>SUM(F354)</f>
        <v>365349</v>
      </c>
      <c r="G353" s="92">
        <f>SUM(G354)</f>
        <v>332736</v>
      </c>
      <c r="H353" s="104">
        <f t="shared" si="6"/>
        <v>91.07346674002117</v>
      </c>
    </row>
    <row r="354" spans="1:8" s="24" customFormat="1" ht="21.75" customHeight="1">
      <c r="A354" s="98"/>
      <c r="B354" s="99"/>
      <c r="C354" s="98">
        <v>3240</v>
      </c>
      <c r="D354" s="42" t="s">
        <v>299</v>
      </c>
      <c r="E354" s="92">
        <v>117924</v>
      </c>
      <c r="F354" s="81">
        <v>365349</v>
      </c>
      <c r="G354" s="81">
        <v>332736</v>
      </c>
      <c r="H354" s="104">
        <f t="shared" si="6"/>
        <v>91.07346674002117</v>
      </c>
    </row>
    <row r="355" spans="1:8" s="24" customFormat="1" ht="21.75" customHeight="1">
      <c r="A355" s="98"/>
      <c r="B355" s="99">
        <v>85446</v>
      </c>
      <c r="C355" s="98"/>
      <c r="D355" s="42" t="s">
        <v>182</v>
      </c>
      <c r="E355" s="92">
        <f>SUM(E356:E357)</f>
        <v>3981</v>
      </c>
      <c r="F355" s="92">
        <f>SUM(F356:F357)</f>
        <v>3981</v>
      </c>
      <c r="G355" s="92">
        <f>SUM(G356:G357)</f>
        <v>0</v>
      </c>
      <c r="H355" s="104">
        <f t="shared" si="6"/>
        <v>0</v>
      </c>
    </row>
    <row r="356" spans="1:8" s="24" customFormat="1" ht="21.75" customHeight="1">
      <c r="A356" s="98"/>
      <c r="B356" s="99"/>
      <c r="C356" s="98">
        <v>4300</v>
      </c>
      <c r="D356" s="42" t="s">
        <v>101</v>
      </c>
      <c r="E356" s="92">
        <v>3981</v>
      </c>
      <c r="F356" s="92">
        <v>2983</v>
      </c>
      <c r="G356" s="92">
        <v>0</v>
      </c>
      <c r="H356" s="104">
        <f t="shared" si="6"/>
        <v>0</v>
      </c>
    </row>
    <row r="357" spans="1:8" s="24" customFormat="1" ht="21.75" customHeight="1">
      <c r="A357" s="98"/>
      <c r="B357" s="99"/>
      <c r="C357" s="98">
        <v>4410</v>
      </c>
      <c r="D357" s="42" t="s">
        <v>112</v>
      </c>
      <c r="E357" s="92">
        <v>0</v>
      </c>
      <c r="F357" s="92">
        <v>998</v>
      </c>
      <c r="G357" s="92">
        <v>0</v>
      </c>
      <c r="H357" s="104">
        <f t="shared" si="6"/>
        <v>0</v>
      </c>
    </row>
    <row r="358" spans="1:8" s="24" customFormat="1" ht="21.75" customHeight="1">
      <c r="A358" s="98"/>
      <c r="B358" s="99">
        <v>85495</v>
      </c>
      <c r="C358" s="98"/>
      <c r="D358" s="42" t="s">
        <v>19</v>
      </c>
      <c r="E358" s="92">
        <f>SUM(E359:E359)</f>
        <v>226650</v>
      </c>
      <c r="F358" s="92">
        <f>SUM(F359)</f>
        <v>226650</v>
      </c>
      <c r="G358" s="92">
        <f>SUM(G359)</f>
        <v>113530</v>
      </c>
      <c r="H358" s="104">
        <f t="shared" si="6"/>
        <v>50.090447827046106</v>
      </c>
    </row>
    <row r="359" spans="1:8" s="24" customFormat="1" ht="45">
      <c r="A359" s="98"/>
      <c r="B359" s="99"/>
      <c r="C359" s="98">
        <v>2320</v>
      </c>
      <c r="D359" s="42" t="s">
        <v>185</v>
      </c>
      <c r="E359" s="92">
        <f>200000+26650</f>
        <v>226650</v>
      </c>
      <c r="F359" s="92">
        <v>226650</v>
      </c>
      <c r="G359" s="92">
        <v>113530</v>
      </c>
      <c r="H359" s="104">
        <f t="shared" si="6"/>
        <v>50.090447827046106</v>
      </c>
    </row>
    <row r="360" spans="1:8" s="8" customFormat="1" ht="27" customHeight="1">
      <c r="A360" s="37" t="s">
        <v>152</v>
      </c>
      <c r="B360" s="38"/>
      <c r="C360" s="39"/>
      <c r="D360" s="40" t="s">
        <v>83</v>
      </c>
      <c r="E360" s="41">
        <f>SUM(E361,E366,E368,E372,E374,E376,E381,)</f>
        <v>2412241</v>
      </c>
      <c r="F360" s="41">
        <f>SUM(F361,F366,F368,F372,F374,F376,F381,)</f>
        <v>3855869</v>
      </c>
      <c r="G360" s="41">
        <f>SUM(G361,G366,G368,G372,G374,G376,G381,)</f>
        <v>899569.99</v>
      </c>
      <c r="H360" s="47">
        <f t="shared" si="6"/>
        <v>23.329889838062446</v>
      </c>
    </row>
    <row r="361" spans="1:8" s="24" customFormat="1" ht="21.75" customHeight="1">
      <c r="A361" s="77"/>
      <c r="B361" s="94" t="s">
        <v>153</v>
      </c>
      <c r="C361" s="98"/>
      <c r="D361" s="42" t="s">
        <v>84</v>
      </c>
      <c r="E361" s="92">
        <f>SUM(E362:E365)</f>
        <v>603075</v>
      </c>
      <c r="F361" s="92">
        <f>SUM(F362:F365)</f>
        <v>1906045</v>
      </c>
      <c r="G361" s="92">
        <f>SUM(G362:G365)</f>
        <v>14319.55</v>
      </c>
      <c r="H361" s="104">
        <f t="shared" si="6"/>
        <v>0.7512703005437962</v>
      </c>
    </row>
    <row r="362" spans="1:8" s="24" customFormat="1" ht="21.75" customHeight="1">
      <c r="A362" s="77"/>
      <c r="B362" s="94"/>
      <c r="C362" s="77">
        <v>4300</v>
      </c>
      <c r="D362" s="42" t="s">
        <v>101</v>
      </c>
      <c r="E362" s="92">
        <v>93000</v>
      </c>
      <c r="F362" s="92">
        <v>93720</v>
      </c>
      <c r="G362" s="92">
        <v>6661.2</v>
      </c>
      <c r="H362" s="104">
        <f t="shared" si="6"/>
        <v>7.1075544174135725</v>
      </c>
    </row>
    <row r="363" spans="1:8" s="24" customFormat="1" ht="21.75" customHeight="1">
      <c r="A363" s="77"/>
      <c r="B363" s="94"/>
      <c r="C363" s="77">
        <v>4430</v>
      </c>
      <c r="D363" s="42" t="s">
        <v>116</v>
      </c>
      <c r="E363" s="92">
        <v>75</v>
      </c>
      <c r="F363" s="92">
        <v>75</v>
      </c>
      <c r="G363" s="92">
        <v>75</v>
      </c>
      <c r="H363" s="104">
        <f t="shared" si="6"/>
        <v>100</v>
      </c>
    </row>
    <row r="364" spans="1:8" s="24" customFormat="1" ht="67.5">
      <c r="A364" s="77"/>
      <c r="B364" s="94"/>
      <c r="C364" s="77">
        <v>6010</v>
      </c>
      <c r="D364" s="42" t="s">
        <v>297</v>
      </c>
      <c r="E364" s="92">
        <v>0</v>
      </c>
      <c r="F364" s="92">
        <v>750</v>
      </c>
      <c r="G364" s="92">
        <v>0</v>
      </c>
      <c r="H364" s="104">
        <f t="shared" si="6"/>
        <v>0</v>
      </c>
    </row>
    <row r="365" spans="1:8" s="24" customFormat="1" ht="27" customHeight="1">
      <c r="A365" s="77"/>
      <c r="B365" s="94"/>
      <c r="C365" s="77">
        <v>6050</v>
      </c>
      <c r="D365" s="42" t="s">
        <v>95</v>
      </c>
      <c r="E365" s="92">
        <v>510000</v>
      </c>
      <c r="F365" s="92">
        <v>1811500</v>
      </c>
      <c r="G365" s="92">
        <v>7583.35</v>
      </c>
      <c r="H365" s="104">
        <f t="shared" si="6"/>
        <v>0.41862268837979577</v>
      </c>
    </row>
    <row r="366" spans="1:8" s="24" customFormat="1" ht="21.75" customHeight="1">
      <c r="A366" s="77"/>
      <c r="B366" s="94" t="s">
        <v>154</v>
      </c>
      <c r="C366" s="98"/>
      <c r="D366" s="42" t="s">
        <v>155</v>
      </c>
      <c r="E366" s="92">
        <f>SUM(E367:E367)</f>
        <v>650946</v>
      </c>
      <c r="F366" s="92">
        <f>SUM(F367)</f>
        <v>688946</v>
      </c>
      <c r="G366" s="92">
        <f>SUM(G367)</f>
        <v>349228.37</v>
      </c>
      <c r="H366" s="104">
        <f t="shared" si="6"/>
        <v>50.69023842216952</v>
      </c>
    </row>
    <row r="367" spans="1:8" s="24" customFormat="1" ht="21.75" customHeight="1">
      <c r="A367" s="77"/>
      <c r="B367" s="94"/>
      <c r="C367" s="98">
        <v>4300</v>
      </c>
      <c r="D367" s="102" t="s">
        <v>101</v>
      </c>
      <c r="E367" s="92">
        <f>2500+648446</f>
        <v>650946</v>
      </c>
      <c r="F367" s="92">
        <v>688946</v>
      </c>
      <c r="G367" s="92">
        <v>349228.37</v>
      </c>
      <c r="H367" s="104">
        <f t="shared" si="6"/>
        <v>50.69023842216952</v>
      </c>
    </row>
    <row r="368" spans="1:8" s="24" customFormat="1" ht="21.75" customHeight="1">
      <c r="A368" s="77"/>
      <c r="B368" s="94" t="s">
        <v>156</v>
      </c>
      <c r="C368" s="98"/>
      <c r="D368" s="42" t="s">
        <v>187</v>
      </c>
      <c r="E368" s="92">
        <f>SUM(E369:E371)</f>
        <v>209620</v>
      </c>
      <c r="F368" s="92">
        <f>SUM(F369:F371)</f>
        <v>202278</v>
      </c>
      <c r="G368" s="92">
        <f>SUM(G369:G371)</f>
        <v>66983.19</v>
      </c>
      <c r="H368" s="104">
        <f t="shared" si="6"/>
        <v>33.11442173642215</v>
      </c>
    </row>
    <row r="369" spans="1:8" s="24" customFormat="1" ht="21.75" customHeight="1">
      <c r="A369" s="77"/>
      <c r="B369" s="94"/>
      <c r="C369" s="77">
        <v>4210</v>
      </c>
      <c r="D369" s="42" t="s">
        <v>114</v>
      </c>
      <c r="E369" s="92">
        <f>20420+18000+10000</f>
        <v>48420</v>
      </c>
      <c r="F369" s="92">
        <v>53378</v>
      </c>
      <c r="G369" s="92">
        <v>14828.33</v>
      </c>
      <c r="H369" s="104">
        <f t="shared" si="6"/>
        <v>27.77985312300948</v>
      </c>
    </row>
    <row r="370" spans="1:8" s="24" customFormat="1" ht="21.75" customHeight="1">
      <c r="A370" s="77"/>
      <c r="B370" s="94"/>
      <c r="C370" s="77">
        <v>4270</v>
      </c>
      <c r="D370" s="42" t="s">
        <v>100</v>
      </c>
      <c r="E370" s="92">
        <v>5000</v>
      </c>
      <c r="F370" s="92">
        <v>0</v>
      </c>
      <c r="G370" s="92">
        <v>0</v>
      </c>
      <c r="H370" s="104">
        <v>0</v>
      </c>
    </row>
    <row r="371" spans="1:8" s="24" customFormat="1" ht="21.75" customHeight="1">
      <c r="A371" s="77"/>
      <c r="B371" s="94"/>
      <c r="C371" s="77">
        <v>4300</v>
      </c>
      <c r="D371" s="42" t="s">
        <v>101</v>
      </c>
      <c r="E371" s="92">
        <f>12940+143260</f>
        <v>156200</v>
      </c>
      <c r="F371" s="92">
        <v>148900</v>
      </c>
      <c r="G371" s="92">
        <v>52154.86</v>
      </c>
      <c r="H371" s="104">
        <f t="shared" si="6"/>
        <v>35.026769644056415</v>
      </c>
    </row>
    <row r="372" spans="1:8" s="24" customFormat="1" ht="27" customHeight="1">
      <c r="A372" s="77"/>
      <c r="B372" s="94" t="s">
        <v>157</v>
      </c>
      <c r="C372" s="98"/>
      <c r="D372" s="42" t="s">
        <v>158</v>
      </c>
      <c r="E372" s="92">
        <f>SUM(E373:E373)</f>
        <v>12000</v>
      </c>
      <c r="F372" s="92">
        <f>SUM(F373)</f>
        <v>12000</v>
      </c>
      <c r="G372" s="92">
        <f>SUM(G373)</f>
        <v>7343.16</v>
      </c>
      <c r="H372" s="104">
        <f t="shared" si="6"/>
        <v>61.193</v>
      </c>
    </row>
    <row r="373" spans="1:8" s="24" customFormat="1" ht="27" customHeight="1">
      <c r="A373" s="77"/>
      <c r="B373" s="94"/>
      <c r="C373" s="98">
        <v>4520</v>
      </c>
      <c r="D373" s="42" t="s">
        <v>159</v>
      </c>
      <c r="E373" s="92">
        <v>12000</v>
      </c>
      <c r="F373" s="92">
        <v>12000</v>
      </c>
      <c r="G373" s="92">
        <v>7343.16</v>
      </c>
      <c r="H373" s="104">
        <f t="shared" si="6"/>
        <v>61.193</v>
      </c>
    </row>
    <row r="374" spans="1:8" s="24" customFormat="1" ht="18.75" customHeight="1">
      <c r="A374" s="77"/>
      <c r="B374" s="94" t="s">
        <v>160</v>
      </c>
      <c r="C374" s="98"/>
      <c r="D374" s="42" t="s">
        <v>161</v>
      </c>
      <c r="E374" s="92">
        <f>SUM(E375)</f>
        <v>84000</v>
      </c>
      <c r="F374" s="92">
        <f>SUM(F375)</f>
        <v>104000</v>
      </c>
      <c r="G374" s="92">
        <f>SUM(G375)</f>
        <v>44552.43</v>
      </c>
      <c r="H374" s="104">
        <f t="shared" si="6"/>
        <v>42.838875</v>
      </c>
    </row>
    <row r="375" spans="1:8" s="24" customFormat="1" ht="21.75" customHeight="1">
      <c r="A375" s="77"/>
      <c r="B375" s="94"/>
      <c r="C375" s="98">
        <v>4300</v>
      </c>
      <c r="D375" s="102" t="s">
        <v>101</v>
      </c>
      <c r="E375" s="92">
        <f>84000</f>
        <v>84000</v>
      </c>
      <c r="F375" s="92">
        <v>104000</v>
      </c>
      <c r="G375" s="92">
        <v>44552.43</v>
      </c>
      <c r="H375" s="104">
        <f t="shared" si="6"/>
        <v>42.838875</v>
      </c>
    </row>
    <row r="376" spans="1:8" s="24" customFormat="1" ht="18.75" customHeight="1">
      <c r="A376" s="77"/>
      <c r="B376" s="94" t="s">
        <v>162</v>
      </c>
      <c r="C376" s="98"/>
      <c r="D376" s="42" t="s">
        <v>163</v>
      </c>
      <c r="E376" s="92">
        <f>SUM(E377:E380)</f>
        <v>760400</v>
      </c>
      <c r="F376" s="92">
        <f>SUM(F377:F380)</f>
        <v>850400</v>
      </c>
      <c r="G376" s="92">
        <f>SUM(G377:G380)</f>
        <v>406527.88</v>
      </c>
      <c r="H376" s="104">
        <f t="shared" si="6"/>
        <v>47.80431326434619</v>
      </c>
    </row>
    <row r="377" spans="1:8" s="24" customFormat="1" ht="21.75" customHeight="1">
      <c r="A377" s="77"/>
      <c r="B377" s="99"/>
      <c r="C377" s="77">
        <v>4260</v>
      </c>
      <c r="D377" s="42" t="s">
        <v>117</v>
      </c>
      <c r="E377" s="92">
        <v>450000</v>
      </c>
      <c r="F377" s="92">
        <v>450000</v>
      </c>
      <c r="G377" s="92">
        <v>260917.94</v>
      </c>
      <c r="H377" s="104">
        <f t="shared" si="6"/>
        <v>57.98176444444445</v>
      </c>
    </row>
    <row r="378" spans="1:8" s="24" customFormat="1" ht="21.75" customHeight="1">
      <c r="A378" s="77"/>
      <c r="B378" s="99"/>
      <c r="C378" s="77">
        <v>4270</v>
      </c>
      <c r="D378" s="42" t="s">
        <v>100</v>
      </c>
      <c r="E378" s="92">
        <v>130000</v>
      </c>
      <c r="F378" s="92">
        <v>130000</v>
      </c>
      <c r="G378" s="92">
        <v>76368.49</v>
      </c>
      <c r="H378" s="104">
        <f t="shared" si="6"/>
        <v>58.744992307692314</v>
      </c>
    </row>
    <row r="379" spans="1:8" s="24" customFormat="1" ht="21.75" customHeight="1">
      <c r="A379" s="77"/>
      <c r="B379" s="99"/>
      <c r="C379" s="77">
        <v>4300</v>
      </c>
      <c r="D379" s="42" t="s">
        <v>101</v>
      </c>
      <c r="E379" s="92">
        <v>25000</v>
      </c>
      <c r="F379" s="92">
        <v>25000</v>
      </c>
      <c r="G379" s="92">
        <v>0</v>
      </c>
      <c r="H379" s="104">
        <f t="shared" si="6"/>
        <v>0</v>
      </c>
    </row>
    <row r="380" spans="1:8" s="24" customFormat="1" ht="22.5" customHeight="1">
      <c r="A380" s="77"/>
      <c r="B380" s="99"/>
      <c r="C380" s="77">
        <v>6050</v>
      </c>
      <c r="D380" s="42" t="s">
        <v>95</v>
      </c>
      <c r="E380" s="92">
        <f>20400+85000+20000+10000+20000</f>
        <v>155400</v>
      </c>
      <c r="F380" s="212">
        <v>245400</v>
      </c>
      <c r="G380" s="212">
        <v>69241.45</v>
      </c>
      <c r="H380" s="104">
        <f t="shared" si="6"/>
        <v>28.215749796251018</v>
      </c>
    </row>
    <row r="381" spans="1:8" s="24" customFormat="1" ht="18.75" customHeight="1">
      <c r="A381" s="77"/>
      <c r="B381" s="94" t="s">
        <v>164</v>
      </c>
      <c r="C381" s="98"/>
      <c r="D381" s="42" t="s">
        <v>19</v>
      </c>
      <c r="E381" s="92">
        <f>SUM(E382:E385)</f>
        <v>92200</v>
      </c>
      <c r="F381" s="92">
        <f>SUM(F382:F385)</f>
        <v>92200</v>
      </c>
      <c r="G381" s="92">
        <f>SUM(G382:G385)</f>
        <v>10615.41</v>
      </c>
      <c r="H381" s="104">
        <f t="shared" si="6"/>
        <v>11.513459869848155</v>
      </c>
    </row>
    <row r="382" spans="1:8" s="24" customFormat="1" ht="19.5" customHeight="1">
      <c r="A382" s="77"/>
      <c r="B382" s="99"/>
      <c r="C382" s="98">
        <v>4210</v>
      </c>
      <c r="D382" s="42" t="s">
        <v>114</v>
      </c>
      <c r="E382" s="92">
        <v>2700</v>
      </c>
      <c r="F382" s="92">
        <v>2700</v>
      </c>
      <c r="G382" s="92">
        <v>2600.97</v>
      </c>
      <c r="H382" s="104">
        <f t="shared" si="6"/>
        <v>96.33222222222221</v>
      </c>
    </row>
    <row r="383" spans="1:8" s="24" customFormat="1" ht="19.5" customHeight="1">
      <c r="A383" s="77"/>
      <c r="B383" s="99"/>
      <c r="C383" s="77">
        <v>4260</v>
      </c>
      <c r="D383" s="42" t="s">
        <v>117</v>
      </c>
      <c r="E383" s="92">
        <v>5500</v>
      </c>
      <c r="F383" s="92">
        <v>5500</v>
      </c>
      <c r="G383" s="92">
        <v>0</v>
      </c>
      <c r="H383" s="104">
        <f t="shared" si="6"/>
        <v>0</v>
      </c>
    </row>
    <row r="384" spans="1:8" s="24" customFormat="1" ht="18.75" customHeight="1">
      <c r="A384" s="77"/>
      <c r="B384" s="99"/>
      <c r="C384" s="98">
        <v>4300</v>
      </c>
      <c r="D384" s="102" t="s">
        <v>101</v>
      </c>
      <c r="E384" s="92">
        <f>67000+5000+2000</f>
        <v>74000</v>
      </c>
      <c r="F384" s="92">
        <v>74000</v>
      </c>
      <c r="G384" s="92">
        <v>6751.74</v>
      </c>
      <c r="H384" s="104">
        <f t="shared" si="6"/>
        <v>9.123972972972973</v>
      </c>
    </row>
    <row r="385" spans="1:8" s="24" customFormat="1" ht="27" customHeight="1">
      <c r="A385" s="77"/>
      <c r="B385" s="99"/>
      <c r="C385" s="98">
        <v>4390</v>
      </c>
      <c r="D385" s="42" t="s">
        <v>295</v>
      </c>
      <c r="E385" s="92">
        <f>6000+4000</f>
        <v>10000</v>
      </c>
      <c r="F385" s="92">
        <v>10000</v>
      </c>
      <c r="G385" s="92">
        <v>1262.7</v>
      </c>
      <c r="H385" s="104">
        <f t="shared" si="6"/>
        <v>12.626999999999999</v>
      </c>
    </row>
    <row r="386" spans="1:8" s="7" customFormat="1" ht="27" customHeight="1">
      <c r="A386" s="37" t="s">
        <v>85</v>
      </c>
      <c r="B386" s="38"/>
      <c r="C386" s="39"/>
      <c r="D386" s="40" t="s">
        <v>165</v>
      </c>
      <c r="E386" s="41">
        <f>SUM(E387,E396,E398,)</f>
        <v>1874030</v>
      </c>
      <c r="F386" s="41">
        <f>SUM(F387,F396,F398,)</f>
        <v>1901898</v>
      </c>
      <c r="G386" s="41">
        <f>SUM(G387,G396,G398,)</f>
        <v>915587.94</v>
      </c>
      <c r="H386" s="47">
        <f t="shared" si="6"/>
        <v>48.14074887296795</v>
      </c>
    </row>
    <row r="387" spans="1:8" s="24" customFormat="1" ht="18.75" customHeight="1">
      <c r="A387" s="77"/>
      <c r="B387" s="94" t="s">
        <v>166</v>
      </c>
      <c r="C387" s="98"/>
      <c r="D387" s="42" t="s">
        <v>186</v>
      </c>
      <c r="E387" s="92">
        <f>SUM(E388:E395)</f>
        <v>580660</v>
      </c>
      <c r="F387" s="92">
        <f>SUM(F388:F395)</f>
        <v>606528</v>
      </c>
      <c r="G387" s="92">
        <f>SUM(G388:G395)</f>
        <v>304277.94</v>
      </c>
      <c r="H387" s="104">
        <f t="shared" si="6"/>
        <v>50.167171177587846</v>
      </c>
    </row>
    <row r="388" spans="1:8" s="24" customFormat="1" ht="27" customHeight="1">
      <c r="A388" s="77"/>
      <c r="B388" s="94"/>
      <c r="C388" s="98">
        <v>2480</v>
      </c>
      <c r="D388" s="42" t="s">
        <v>234</v>
      </c>
      <c r="E388" s="92">
        <v>526590</v>
      </c>
      <c r="F388" s="212">
        <v>556090</v>
      </c>
      <c r="G388" s="212">
        <v>294510</v>
      </c>
      <c r="H388" s="104">
        <f t="shared" si="6"/>
        <v>52.9608516607024</v>
      </c>
    </row>
    <row r="389" spans="1:8" s="24" customFormat="1" ht="21.75" customHeight="1">
      <c r="A389" s="77"/>
      <c r="B389" s="94"/>
      <c r="C389" s="77">
        <v>4210</v>
      </c>
      <c r="D389" s="42" t="s">
        <v>114</v>
      </c>
      <c r="E389" s="92">
        <v>16610</v>
      </c>
      <c r="F389" s="92">
        <v>18230</v>
      </c>
      <c r="G389" s="92">
        <v>5911.8</v>
      </c>
      <c r="H389" s="104">
        <f t="shared" si="6"/>
        <v>32.42896324739441</v>
      </c>
    </row>
    <row r="390" spans="1:8" s="24" customFormat="1" ht="21.75" customHeight="1">
      <c r="A390" s="77"/>
      <c r="B390" s="94"/>
      <c r="C390" s="77">
        <v>4260</v>
      </c>
      <c r="D390" s="42" t="s">
        <v>117</v>
      </c>
      <c r="E390" s="92">
        <v>9540</v>
      </c>
      <c r="F390" s="92">
        <v>9498</v>
      </c>
      <c r="G390" s="92">
        <v>3856.14</v>
      </c>
      <c r="H390" s="104">
        <f t="shared" si="6"/>
        <v>40.59949463044851</v>
      </c>
    </row>
    <row r="391" spans="1:8" s="24" customFormat="1" ht="21.75" customHeight="1">
      <c r="A391" s="77"/>
      <c r="B391" s="94"/>
      <c r="C391" s="77">
        <v>4270</v>
      </c>
      <c r="D391" s="42" t="s">
        <v>100</v>
      </c>
      <c r="E391" s="92">
        <v>20680</v>
      </c>
      <c r="F391" s="92">
        <v>16190</v>
      </c>
      <c r="G391" s="92">
        <v>0</v>
      </c>
      <c r="H391" s="104">
        <f aca="true" t="shared" si="8" ref="H391:H418">G391/F391*100</f>
        <v>0</v>
      </c>
    </row>
    <row r="392" spans="1:8" s="24" customFormat="1" ht="21.75" customHeight="1">
      <c r="A392" s="77"/>
      <c r="B392" s="94"/>
      <c r="C392" s="98">
        <v>4300</v>
      </c>
      <c r="D392" s="102" t="s">
        <v>101</v>
      </c>
      <c r="E392" s="92">
        <v>980</v>
      </c>
      <c r="F392" s="92">
        <v>260</v>
      </c>
      <c r="G392" s="92">
        <v>0</v>
      </c>
      <c r="H392" s="104">
        <f t="shared" si="8"/>
        <v>0</v>
      </c>
    </row>
    <row r="393" spans="1:8" s="24" customFormat="1" ht="21.75" customHeight="1">
      <c r="A393" s="77"/>
      <c r="B393" s="94"/>
      <c r="C393" s="98">
        <v>4430</v>
      </c>
      <c r="D393" s="102" t="s">
        <v>116</v>
      </c>
      <c r="E393" s="92">
        <v>1280</v>
      </c>
      <c r="F393" s="92">
        <v>1280</v>
      </c>
      <c r="G393" s="92">
        <v>0</v>
      </c>
      <c r="H393" s="104">
        <f t="shared" si="8"/>
        <v>0</v>
      </c>
    </row>
    <row r="394" spans="1:8" s="24" customFormat="1" ht="27" customHeight="1">
      <c r="A394" s="77"/>
      <c r="B394" s="94"/>
      <c r="C394" s="98">
        <v>6050</v>
      </c>
      <c r="D394" s="42" t="s">
        <v>95</v>
      </c>
      <c r="E394" s="92">
        <v>4980</v>
      </c>
      <c r="F394" s="92">
        <v>0</v>
      </c>
      <c r="G394" s="92">
        <v>0</v>
      </c>
      <c r="H394" s="104">
        <v>0</v>
      </c>
    </row>
    <row r="395" spans="1:8" s="24" customFormat="1" ht="27" customHeight="1">
      <c r="A395" s="77"/>
      <c r="B395" s="94"/>
      <c r="C395" s="98">
        <v>6060</v>
      </c>
      <c r="D395" s="42" t="s">
        <v>118</v>
      </c>
      <c r="E395" s="92">
        <v>0</v>
      </c>
      <c r="F395" s="92">
        <v>4980</v>
      </c>
      <c r="G395" s="92">
        <v>0</v>
      </c>
      <c r="H395" s="104">
        <f t="shared" si="8"/>
        <v>0</v>
      </c>
    </row>
    <row r="396" spans="1:8" s="24" customFormat="1" ht="18" customHeight="1">
      <c r="A396" s="77"/>
      <c r="B396" s="94" t="s">
        <v>86</v>
      </c>
      <c r="C396" s="98"/>
      <c r="D396" s="42" t="s">
        <v>87</v>
      </c>
      <c r="E396" s="92">
        <f>E397</f>
        <v>916900</v>
      </c>
      <c r="F396" s="92">
        <f>SUM(F397)</f>
        <v>916900</v>
      </c>
      <c r="G396" s="92">
        <f>SUM(G397)</f>
        <v>425540</v>
      </c>
      <c r="H396" s="104">
        <f t="shared" si="8"/>
        <v>46.41073181372015</v>
      </c>
    </row>
    <row r="397" spans="1:8" s="24" customFormat="1" ht="27" customHeight="1">
      <c r="A397" s="77"/>
      <c r="B397" s="94"/>
      <c r="C397" s="98">
        <v>2480</v>
      </c>
      <c r="D397" s="42" t="s">
        <v>234</v>
      </c>
      <c r="E397" s="92">
        <v>916900</v>
      </c>
      <c r="F397" s="92">
        <v>916900</v>
      </c>
      <c r="G397" s="92">
        <v>425540</v>
      </c>
      <c r="H397" s="104">
        <f t="shared" si="8"/>
        <v>46.41073181372015</v>
      </c>
    </row>
    <row r="398" spans="1:8" s="24" customFormat="1" ht="18" customHeight="1">
      <c r="A398" s="77"/>
      <c r="B398" s="94" t="s">
        <v>168</v>
      </c>
      <c r="C398" s="98"/>
      <c r="D398" s="42" t="s">
        <v>169</v>
      </c>
      <c r="E398" s="92">
        <f>E399</f>
        <v>376470</v>
      </c>
      <c r="F398" s="92">
        <f>SUM(F399)</f>
        <v>378470</v>
      </c>
      <c r="G398" s="92">
        <f>SUM(G399)</f>
        <v>185770</v>
      </c>
      <c r="H398" s="104">
        <f t="shared" si="8"/>
        <v>49.08447168864111</v>
      </c>
    </row>
    <row r="399" spans="1:8" s="24" customFormat="1" ht="27" customHeight="1">
      <c r="A399" s="77"/>
      <c r="B399" s="94"/>
      <c r="C399" s="98">
        <v>2480</v>
      </c>
      <c r="D399" s="42" t="s">
        <v>234</v>
      </c>
      <c r="E399" s="92">
        <f>368470+8000</f>
        <v>376470</v>
      </c>
      <c r="F399" s="92">
        <v>378470</v>
      </c>
      <c r="G399" s="92">
        <v>185770</v>
      </c>
      <c r="H399" s="104">
        <f t="shared" si="8"/>
        <v>49.08447168864111</v>
      </c>
    </row>
    <row r="400" spans="1:8" s="7" customFormat="1" ht="21.75" customHeight="1">
      <c r="A400" s="37" t="s">
        <v>170</v>
      </c>
      <c r="B400" s="38"/>
      <c r="C400" s="39"/>
      <c r="D400" s="40" t="s">
        <v>88</v>
      </c>
      <c r="E400" s="41">
        <f>SUM(E406,E403,E401)</f>
        <v>521580</v>
      </c>
      <c r="F400" s="41">
        <f>SUM(F401,F403,F406,)</f>
        <v>982820</v>
      </c>
      <c r="G400" s="41">
        <f>SUM(G401,G403,G406,)</f>
        <v>226800.84</v>
      </c>
      <c r="H400" s="47">
        <f t="shared" si="8"/>
        <v>23.07653893897153</v>
      </c>
    </row>
    <row r="401" spans="1:8" s="24" customFormat="1" ht="18.75" customHeight="1">
      <c r="A401" s="77"/>
      <c r="B401" s="99">
        <v>92601</v>
      </c>
      <c r="C401" s="98"/>
      <c r="D401" s="42" t="s">
        <v>301</v>
      </c>
      <c r="E401" s="92">
        <f>SUM(E402)</f>
        <v>100000</v>
      </c>
      <c r="F401" s="92">
        <f>SUM(F402)</f>
        <v>100000</v>
      </c>
      <c r="G401" s="92">
        <f>SUM(G402)</f>
        <v>0</v>
      </c>
      <c r="H401" s="104">
        <f t="shared" si="8"/>
        <v>0</v>
      </c>
    </row>
    <row r="402" spans="1:8" s="24" customFormat="1" ht="27" customHeight="1">
      <c r="A402" s="77"/>
      <c r="B402" s="99"/>
      <c r="C402" s="98">
        <v>6050</v>
      </c>
      <c r="D402" s="42" t="s">
        <v>95</v>
      </c>
      <c r="E402" s="92">
        <f>100000</f>
        <v>100000</v>
      </c>
      <c r="F402" s="92">
        <v>100000</v>
      </c>
      <c r="G402" s="92">
        <v>0</v>
      </c>
      <c r="H402" s="104">
        <f t="shared" si="8"/>
        <v>0</v>
      </c>
    </row>
    <row r="403" spans="1:8" s="24" customFormat="1" ht="18.75" customHeight="1">
      <c r="A403" s="77"/>
      <c r="B403" s="99">
        <v>92604</v>
      </c>
      <c r="C403" s="98"/>
      <c r="D403" s="42" t="s">
        <v>245</v>
      </c>
      <c r="E403" s="92">
        <f>SUM(E404:E405)</f>
        <v>108000</v>
      </c>
      <c r="F403" s="92">
        <f>SUM(F404:F405)</f>
        <v>108000</v>
      </c>
      <c r="G403" s="92">
        <f>SUM(G404:G405)</f>
        <v>30500</v>
      </c>
      <c r="H403" s="104">
        <f t="shared" si="8"/>
        <v>28.240740740740737</v>
      </c>
    </row>
    <row r="404" spans="1:8" s="24" customFormat="1" ht="19.5" customHeight="1">
      <c r="A404" s="77"/>
      <c r="B404" s="99"/>
      <c r="C404" s="98">
        <v>4270</v>
      </c>
      <c r="D404" s="42" t="s">
        <v>100</v>
      </c>
      <c r="E404" s="92">
        <v>28000</v>
      </c>
      <c r="F404" s="92">
        <v>28000</v>
      </c>
      <c r="G404" s="92">
        <v>0</v>
      </c>
      <c r="H404" s="104">
        <f t="shared" si="8"/>
        <v>0</v>
      </c>
    </row>
    <row r="405" spans="1:8" s="24" customFormat="1" ht="18" customHeight="1">
      <c r="A405" s="77"/>
      <c r="B405" s="99"/>
      <c r="C405" s="98">
        <v>4300</v>
      </c>
      <c r="D405" s="102" t="s">
        <v>101</v>
      </c>
      <c r="E405" s="92">
        <f>60000+20000</f>
        <v>80000</v>
      </c>
      <c r="F405" s="92">
        <v>80000</v>
      </c>
      <c r="G405" s="92">
        <v>30500</v>
      </c>
      <c r="H405" s="104">
        <f t="shared" si="8"/>
        <v>38.125</v>
      </c>
    </row>
    <row r="406" spans="1:8" s="24" customFormat="1" ht="27" customHeight="1">
      <c r="A406" s="98"/>
      <c r="B406" s="101">
        <v>92605</v>
      </c>
      <c r="C406" s="98"/>
      <c r="D406" s="42" t="s">
        <v>89</v>
      </c>
      <c r="E406" s="92">
        <f>SUM(E407:E417)</f>
        <v>313580</v>
      </c>
      <c r="F406" s="92">
        <f>SUM(F407:F417)</f>
        <v>774820</v>
      </c>
      <c r="G406" s="92">
        <f>SUM(G407:G417)</f>
        <v>196300.84</v>
      </c>
      <c r="H406" s="104">
        <f t="shared" si="8"/>
        <v>25.33502490901112</v>
      </c>
    </row>
    <row r="407" spans="1:8" s="24" customFormat="1" ht="45">
      <c r="A407" s="98"/>
      <c r="B407" s="101"/>
      <c r="C407" s="98">
        <v>2320</v>
      </c>
      <c r="D407" s="42" t="s">
        <v>185</v>
      </c>
      <c r="E407" s="92">
        <v>0</v>
      </c>
      <c r="F407" s="92">
        <v>7000</v>
      </c>
      <c r="G407" s="92">
        <v>0</v>
      </c>
      <c r="H407" s="104">
        <f t="shared" si="8"/>
        <v>0</v>
      </c>
    </row>
    <row r="408" spans="1:8" s="24" customFormat="1" ht="33.75">
      <c r="A408" s="98"/>
      <c r="B408" s="101"/>
      <c r="C408" s="98">
        <v>2630</v>
      </c>
      <c r="D408" s="42" t="s">
        <v>283</v>
      </c>
      <c r="E408" s="92">
        <v>250000</v>
      </c>
      <c r="F408" s="212">
        <v>70500</v>
      </c>
      <c r="G408" s="212">
        <v>0</v>
      </c>
      <c r="H408" s="104">
        <f t="shared" si="8"/>
        <v>0</v>
      </c>
    </row>
    <row r="409" spans="1:8" s="24" customFormat="1" ht="45">
      <c r="A409" s="98"/>
      <c r="B409" s="101"/>
      <c r="C409" s="98">
        <v>2820</v>
      </c>
      <c r="D409" s="42" t="s">
        <v>406</v>
      </c>
      <c r="E409" s="92">
        <v>0</v>
      </c>
      <c r="F409" s="212">
        <v>246900</v>
      </c>
      <c r="G409" s="212">
        <v>143400</v>
      </c>
      <c r="H409" s="104">
        <f t="shared" si="8"/>
        <v>58.080194410692584</v>
      </c>
    </row>
    <row r="410" spans="1:8" s="24" customFormat="1" ht="56.25">
      <c r="A410" s="98"/>
      <c r="B410" s="101"/>
      <c r="C410" s="98">
        <v>2830</v>
      </c>
      <c r="D410" s="42" t="s">
        <v>405</v>
      </c>
      <c r="E410" s="92">
        <v>0</v>
      </c>
      <c r="F410" s="212">
        <v>600</v>
      </c>
      <c r="G410" s="212">
        <v>0</v>
      </c>
      <c r="H410" s="104">
        <f t="shared" si="8"/>
        <v>0</v>
      </c>
    </row>
    <row r="411" spans="1:8" s="24" customFormat="1" ht="21.75" customHeight="1">
      <c r="A411" s="98"/>
      <c r="B411" s="101"/>
      <c r="C411" s="98">
        <v>4110</v>
      </c>
      <c r="D411" s="42" t="s">
        <v>108</v>
      </c>
      <c r="E411" s="92">
        <v>0</v>
      </c>
      <c r="F411" s="212">
        <v>386</v>
      </c>
      <c r="G411" s="212">
        <v>0</v>
      </c>
      <c r="H411" s="104">
        <f t="shared" si="8"/>
        <v>0</v>
      </c>
    </row>
    <row r="412" spans="1:8" s="24" customFormat="1" ht="18" customHeight="1">
      <c r="A412" s="98"/>
      <c r="B412" s="101"/>
      <c r="C412" s="98">
        <v>4120</v>
      </c>
      <c r="D412" s="42" t="s">
        <v>109</v>
      </c>
      <c r="E412" s="92">
        <v>0</v>
      </c>
      <c r="F412" s="212">
        <v>49</v>
      </c>
      <c r="G412" s="212">
        <v>0</v>
      </c>
      <c r="H412" s="104">
        <f t="shared" si="8"/>
        <v>0</v>
      </c>
    </row>
    <row r="413" spans="1:8" s="24" customFormat="1" ht="18" customHeight="1">
      <c r="A413" s="98"/>
      <c r="B413" s="101"/>
      <c r="C413" s="98">
        <v>4170</v>
      </c>
      <c r="D413" s="42" t="s">
        <v>243</v>
      </c>
      <c r="E413" s="92">
        <f>20000+11000</f>
        <v>31000</v>
      </c>
      <c r="F413" s="212">
        <v>34465</v>
      </c>
      <c r="G413" s="212">
        <v>4400.3</v>
      </c>
      <c r="H413" s="104">
        <f t="shared" si="8"/>
        <v>12.767445234295662</v>
      </c>
    </row>
    <row r="414" spans="1:8" s="24" customFormat="1" ht="18" customHeight="1">
      <c r="A414" s="98"/>
      <c r="B414" s="94"/>
      <c r="C414" s="77">
        <v>4210</v>
      </c>
      <c r="D414" s="42" t="s">
        <v>114</v>
      </c>
      <c r="E414" s="92">
        <f>7780+10000</f>
        <v>17780</v>
      </c>
      <c r="F414" s="212">
        <v>12380</v>
      </c>
      <c r="G414" s="212">
        <v>6521.94</v>
      </c>
      <c r="H414" s="104">
        <f t="shared" si="8"/>
        <v>52.68126009693053</v>
      </c>
    </row>
    <row r="415" spans="1:8" s="24" customFormat="1" ht="21.75" customHeight="1">
      <c r="A415" s="98"/>
      <c r="B415" s="94"/>
      <c r="C415" s="77">
        <v>4260</v>
      </c>
      <c r="D415" s="42" t="s">
        <v>117</v>
      </c>
      <c r="E415" s="92">
        <v>600</v>
      </c>
      <c r="F415" s="212">
        <v>600</v>
      </c>
      <c r="G415" s="212">
        <v>101.6</v>
      </c>
      <c r="H415" s="104">
        <f t="shared" si="8"/>
        <v>16.933333333333334</v>
      </c>
    </row>
    <row r="416" spans="1:8" s="24" customFormat="1" ht="21.75" customHeight="1">
      <c r="A416" s="98"/>
      <c r="B416" s="94"/>
      <c r="C416" s="98">
        <v>4300</v>
      </c>
      <c r="D416" s="102" t="s">
        <v>101</v>
      </c>
      <c r="E416" s="92">
        <f>2200+10000+2000</f>
        <v>14200</v>
      </c>
      <c r="F416" s="212">
        <v>45200</v>
      </c>
      <c r="G416" s="212">
        <v>2593</v>
      </c>
      <c r="H416" s="104">
        <f t="shared" si="8"/>
        <v>5.736725663716815</v>
      </c>
    </row>
    <row r="417" spans="1:8" s="24" customFormat="1" ht="27" customHeight="1">
      <c r="A417" s="98"/>
      <c r="B417" s="77"/>
      <c r="C417" s="98">
        <v>6050</v>
      </c>
      <c r="D417" s="42" t="s">
        <v>95</v>
      </c>
      <c r="E417" s="92">
        <v>0</v>
      </c>
      <c r="F417" s="165">
        <v>356740</v>
      </c>
      <c r="G417" s="165">
        <v>39284</v>
      </c>
      <c r="H417" s="104">
        <f t="shared" si="8"/>
        <v>11.011941469978135</v>
      </c>
    </row>
    <row r="418" spans="1:8" s="8" customFormat="1" ht="22.5" customHeight="1">
      <c r="A418" s="10"/>
      <c r="B418" s="10"/>
      <c r="C418" s="10"/>
      <c r="D418" s="39" t="s">
        <v>90</v>
      </c>
      <c r="E418" s="41">
        <f>SUM(E400,E386,E360,E332,E270,E254,E166,E163,E160,E151,E115,E110,E52,E45,E29,E17,E8,)</f>
        <v>46627016</v>
      </c>
      <c r="F418" s="41">
        <f>SUM(F400,F386,F360,F332,F270,F254,F166,F163,F160,F151,F115,F110,F52,F45,F29,F17,F8,F329)</f>
        <v>50964701</v>
      </c>
      <c r="G418" s="41">
        <f>SUM(G400,G386,G360,G332,G270,G254,G166,G163,G160,G151,G115,G110,G52,G45,G29,G17,G8,G329)</f>
        <v>21135879.439999994</v>
      </c>
      <c r="H418" s="47">
        <f t="shared" si="8"/>
        <v>41.47160490552077</v>
      </c>
    </row>
    <row r="419" spans="1:6" ht="12.75">
      <c r="A419" s="66"/>
      <c r="B419" s="66"/>
      <c r="C419" s="66"/>
      <c r="D419" s="66"/>
      <c r="E419" s="141"/>
      <c r="F419" s="141"/>
    </row>
    <row r="420" spans="4:6" ht="12.75">
      <c r="D420" s="66"/>
      <c r="E420" s="141"/>
      <c r="F420" s="141"/>
    </row>
    <row r="421" spans="4:6" ht="12.75">
      <c r="D421" s="66"/>
      <c r="E421" s="141"/>
      <c r="F421" s="141"/>
    </row>
    <row r="422" spans="4:6" ht="12.75">
      <c r="D422" s="66"/>
      <c r="E422" s="141"/>
      <c r="F422" s="141"/>
    </row>
    <row r="423" spans="4:6" ht="12.75">
      <c r="D423" s="66"/>
      <c r="E423" s="141"/>
      <c r="F423" s="68"/>
    </row>
    <row r="424" spans="1:8" s="21" customFormat="1" ht="12.75">
      <c r="A424" s="23"/>
      <c r="B424" s="23"/>
      <c r="C424" s="23"/>
      <c r="D424" s="125"/>
      <c r="E424" s="115"/>
      <c r="F424" s="115"/>
      <c r="G424" s="256"/>
      <c r="H424" s="255"/>
    </row>
    <row r="425" spans="1:8" s="21" customFormat="1" ht="12.75">
      <c r="A425" s="23"/>
      <c r="B425" s="23"/>
      <c r="C425" s="23"/>
      <c r="D425" s="125"/>
      <c r="E425" s="115"/>
      <c r="F425" s="115"/>
      <c r="G425" s="256"/>
      <c r="H425" s="255"/>
    </row>
    <row r="426" spans="1:8" s="21" customFormat="1" ht="12.75">
      <c r="A426" s="23"/>
      <c r="B426" s="23"/>
      <c r="C426" s="23"/>
      <c r="D426" s="23"/>
      <c r="E426" s="22"/>
      <c r="F426" s="22"/>
      <c r="G426" s="256"/>
      <c r="H426" s="255"/>
    </row>
    <row r="427" spans="1:8" s="21" customFormat="1" ht="12.75">
      <c r="A427" s="23"/>
      <c r="B427" s="23"/>
      <c r="C427" s="23"/>
      <c r="D427" s="23"/>
      <c r="E427" s="22"/>
      <c r="F427" s="22"/>
      <c r="G427" s="256"/>
      <c r="H427" s="255"/>
    </row>
    <row r="428" spans="1:8" s="21" customFormat="1" ht="12.75">
      <c r="A428" s="23"/>
      <c r="B428" s="23"/>
      <c r="C428" s="23"/>
      <c r="D428" s="23"/>
      <c r="E428" s="22"/>
      <c r="F428" s="22"/>
      <c r="G428" s="256"/>
      <c r="H428" s="255"/>
    </row>
    <row r="429" spans="1:8" s="21" customFormat="1" ht="12.75">
      <c r="A429" s="23"/>
      <c r="B429" s="23"/>
      <c r="C429" s="23"/>
      <c r="D429" s="23"/>
      <c r="E429" s="22"/>
      <c r="F429" s="22"/>
      <c r="G429" s="256"/>
      <c r="H429" s="255"/>
    </row>
    <row r="430" spans="1:8" s="21" customFormat="1" ht="12.75">
      <c r="A430" s="23"/>
      <c r="B430" s="23"/>
      <c r="C430" s="23"/>
      <c r="D430" s="23"/>
      <c r="E430" s="22"/>
      <c r="F430" s="22"/>
      <c r="G430" s="256"/>
      <c r="H430" s="255"/>
    </row>
    <row r="431" spans="1:8" s="21" customFormat="1" ht="12.75">
      <c r="A431" s="23"/>
      <c r="B431" s="23"/>
      <c r="C431" s="23"/>
      <c r="D431" s="23"/>
      <c r="E431" s="22"/>
      <c r="F431" s="22"/>
      <c r="G431" s="256"/>
      <c r="H431" s="255"/>
    </row>
    <row r="432" spans="1:8" s="21" customFormat="1" ht="12.75">
      <c r="A432" s="23"/>
      <c r="B432" s="23"/>
      <c r="C432" s="23"/>
      <c r="D432" s="23"/>
      <c r="E432" s="22"/>
      <c r="F432" s="22"/>
      <c r="G432" s="256"/>
      <c r="H432" s="255"/>
    </row>
    <row r="433" spans="1:8" s="21" customFormat="1" ht="12.75">
      <c r="A433" s="23"/>
      <c r="B433" s="23"/>
      <c r="C433" s="23"/>
      <c r="D433" s="23"/>
      <c r="E433" s="22"/>
      <c r="F433" s="22"/>
      <c r="G433" s="256"/>
      <c r="H433" s="255"/>
    </row>
    <row r="434" spans="1:8" s="21" customFormat="1" ht="12.75">
      <c r="A434" s="23"/>
      <c r="B434" s="23"/>
      <c r="C434" s="23"/>
      <c r="D434" s="23"/>
      <c r="E434" s="22"/>
      <c r="F434" s="22"/>
      <c r="G434" s="256"/>
      <c r="H434" s="255"/>
    </row>
    <row r="435" spans="1:8" s="21" customFormat="1" ht="12.75">
      <c r="A435" s="23"/>
      <c r="B435" s="23"/>
      <c r="C435" s="23"/>
      <c r="D435" s="23"/>
      <c r="E435" s="22"/>
      <c r="F435" s="22"/>
      <c r="G435" s="256"/>
      <c r="H435" s="255"/>
    </row>
    <row r="436" spans="1:8" s="21" customFormat="1" ht="12.75">
      <c r="A436" s="23"/>
      <c r="B436" s="23"/>
      <c r="C436" s="23"/>
      <c r="D436" s="23"/>
      <c r="E436" s="22"/>
      <c r="F436" s="22"/>
      <c r="G436" s="256"/>
      <c r="H436" s="255"/>
    </row>
    <row r="437" spans="1:8" s="21" customFormat="1" ht="12.75">
      <c r="A437" s="23"/>
      <c r="B437" s="23"/>
      <c r="C437" s="23"/>
      <c r="D437" s="23"/>
      <c r="E437" s="22"/>
      <c r="F437" s="22"/>
      <c r="G437" s="256"/>
      <c r="H437" s="255"/>
    </row>
    <row r="438" spans="1:8" s="21" customFormat="1" ht="12.75">
      <c r="A438" s="23"/>
      <c r="B438" s="23"/>
      <c r="C438" s="23"/>
      <c r="D438" s="23"/>
      <c r="E438" s="22"/>
      <c r="F438" s="22"/>
      <c r="G438" s="256"/>
      <c r="H438" s="255"/>
    </row>
    <row r="439" spans="1:8" s="21" customFormat="1" ht="12.75">
      <c r="A439" s="23"/>
      <c r="B439" s="23"/>
      <c r="C439" s="23"/>
      <c r="D439" s="23"/>
      <c r="E439" s="22"/>
      <c r="F439" s="22"/>
      <c r="G439" s="256"/>
      <c r="H439" s="255"/>
    </row>
    <row r="440" spans="1:8" s="21" customFormat="1" ht="12.75">
      <c r="A440" s="23"/>
      <c r="B440" s="23"/>
      <c r="C440" s="23"/>
      <c r="D440" s="23"/>
      <c r="E440" s="22"/>
      <c r="F440" s="22"/>
      <c r="G440" s="256"/>
      <c r="H440" s="255"/>
    </row>
    <row r="441" spans="1:8" s="21" customFormat="1" ht="12.75">
      <c r="A441" s="23"/>
      <c r="B441" s="23"/>
      <c r="C441" s="23"/>
      <c r="D441" s="23"/>
      <c r="E441" s="22"/>
      <c r="F441" s="22"/>
      <c r="G441" s="256"/>
      <c r="H441" s="255"/>
    </row>
    <row r="442" spans="1:8" s="21" customFormat="1" ht="12.75">
      <c r="A442" s="23"/>
      <c r="B442" s="23"/>
      <c r="C442" s="23"/>
      <c r="D442" s="23"/>
      <c r="E442" s="22"/>
      <c r="F442" s="22"/>
      <c r="G442" s="256"/>
      <c r="H442" s="255"/>
    </row>
    <row r="443" spans="1:8" s="21" customFormat="1" ht="12.75">
      <c r="A443" s="23"/>
      <c r="B443" s="23"/>
      <c r="C443" s="23"/>
      <c r="D443" s="23"/>
      <c r="E443" s="22"/>
      <c r="F443" s="22"/>
      <c r="G443" s="256"/>
      <c r="H443" s="255"/>
    </row>
    <row r="444" spans="1:8" s="21" customFormat="1" ht="12.75">
      <c r="A444" s="23"/>
      <c r="B444" s="23"/>
      <c r="C444" s="23"/>
      <c r="D444" s="23"/>
      <c r="E444" s="22"/>
      <c r="F444" s="22"/>
      <c r="G444" s="256"/>
      <c r="H444" s="255"/>
    </row>
    <row r="445" spans="1:8" s="21" customFormat="1" ht="12.75">
      <c r="A445" s="23"/>
      <c r="B445" s="23"/>
      <c r="C445" s="23"/>
      <c r="D445" s="23"/>
      <c r="E445" s="22"/>
      <c r="F445" s="22"/>
      <c r="G445" s="256"/>
      <c r="H445" s="255"/>
    </row>
    <row r="446" spans="1:8" s="21" customFormat="1" ht="12.75">
      <c r="A446" s="23"/>
      <c r="B446" s="23"/>
      <c r="C446" s="23"/>
      <c r="D446" s="23"/>
      <c r="E446" s="22"/>
      <c r="F446" s="22"/>
      <c r="G446" s="256"/>
      <c r="H446" s="255"/>
    </row>
    <row r="447" spans="1:8" s="21" customFormat="1" ht="12.75">
      <c r="A447" s="23"/>
      <c r="B447" s="23"/>
      <c r="C447" s="23"/>
      <c r="D447" s="23"/>
      <c r="E447" s="22"/>
      <c r="F447" s="22"/>
      <c r="G447" s="256"/>
      <c r="H447" s="255"/>
    </row>
    <row r="448" spans="1:8" s="21" customFormat="1" ht="12.75">
      <c r="A448" s="23"/>
      <c r="B448" s="23"/>
      <c r="C448" s="23"/>
      <c r="D448" s="23"/>
      <c r="E448" s="22"/>
      <c r="F448" s="22"/>
      <c r="G448" s="256"/>
      <c r="H448" s="255"/>
    </row>
    <row r="449" spans="1:8" s="21" customFormat="1" ht="12.75">
      <c r="A449" s="23"/>
      <c r="B449" s="23"/>
      <c r="C449" s="23"/>
      <c r="D449" s="23"/>
      <c r="E449" s="22"/>
      <c r="F449" s="22"/>
      <c r="G449" s="256"/>
      <c r="H449" s="255"/>
    </row>
    <row r="450" spans="1:8" s="21" customFormat="1" ht="12.75">
      <c r="A450" s="23"/>
      <c r="B450" s="23"/>
      <c r="C450" s="23"/>
      <c r="D450" s="23"/>
      <c r="E450" s="22"/>
      <c r="F450" s="22"/>
      <c r="G450" s="256"/>
      <c r="H450" s="255"/>
    </row>
    <row r="451" spans="1:8" s="21" customFormat="1" ht="12.75">
      <c r="A451" s="23"/>
      <c r="B451" s="23"/>
      <c r="C451" s="23"/>
      <c r="D451" s="23"/>
      <c r="E451" s="22"/>
      <c r="F451" s="22"/>
      <c r="G451" s="256"/>
      <c r="H451" s="255"/>
    </row>
    <row r="452" spans="1:8" s="21" customFormat="1" ht="12.75">
      <c r="A452" s="23"/>
      <c r="B452" s="23"/>
      <c r="C452" s="23"/>
      <c r="D452" s="23"/>
      <c r="E452" s="22"/>
      <c r="F452" s="136"/>
      <c r="G452" s="256"/>
      <c r="H452" s="255"/>
    </row>
    <row r="453" spans="1:8" s="21" customFormat="1" ht="12.75">
      <c r="A453" s="23"/>
      <c r="B453" s="23"/>
      <c r="C453" s="23"/>
      <c r="D453" s="23"/>
      <c r="E453" s="22"/>
      <c r="F453" s="136"/>
      <c r="G453" s="256"/>
      <c r="H453" s="255"/>
    </row>
    <row r="454" spans="1:8" s="21" customFormat="1" ht="12.75">
      <c r="A454" s="23"/>
      <c r="B454" s="23"/>
      <c r="C454" s="23"/>
      <c r="D454" s="23"/>
      <c r="E454" s="22"/>
      <c r="F454" s="22"/>
      <c r="G454" s="256"/>
      <c r="H454" s="255"/>
    </row>
    <row r="455" spans="1:8" s="21" customFormat="1" ht="12.75">
      <c r="A455" s="23"/>
      <c r="B455" s="23"/>
      <c r="C455" s="23"/>
      <c r="D455" s="23"/>
      <c r="E455" s="22"/>
      <c r="F455" s="136"/>
      <c r="G455" s="256"/>
      <c r="H455" s="255"/>
    </row>
    <row r="456" spans="1:8" s="21" customFormat="1" ht="12.75">
      <c r="A456" s="23"/>
      <c r="B456" s="23"/>
      <c r="C456" s="23"/>
      <c r="D456" s="23"/>
      <c r="E456" s="22"/>
      <c r="F456" s="136"/>
      <c r="G456" s="256"/>
      <c r="H456" s="255"/>
    </row>
    <row r="457" spans="1:8" s="21" customFormat="1" ht="12.75">
      <c r="A457" s="23"/>
      <c r="B457" s="23"/>
      <c r="C457" s="23"/>
      <c r="D457" s="23"/>
      <c r="E457" s="22"/>
      <c r="F457" s="22"/>
      <c r="G457" s="256"/>
      <c r="H457" s="255"/>
    </row>
    <row r="458" spans="1:8" s="21" customFormat="1" ht="12.75">
      <c r="A458" s="23"/>
      <c r="B458" s="23"/>
      <c r="C458" s="23"/>
      <c r="D458" s="23"/>
      <c r="E458" s="22"/>
      <c r="F458" s="22"/>
      <c r="G458" s="256"/>
      <c r="H458" s="255"/>
    </row>
    <row r="459" spans="1:8" s="21" customFormat="1" ht="12.75">
      <c r="A459" s="23"/>
      <c r="B459" s="23"/>
      <c r="C459" s="23"/>
      <c r="D459" s="23"/>
      <c r="E459" s="22"/>
      <c r="F459" s="22"/>
      <c r="G459" s="256"/>
      <c r="H459" s="255"/>
    </row>
    <row r="460" spans="1:8" s="21" customFormat="1" ht="12.75">
      <c r="A460" s="23"/>
      <c r="B460" s="23"/>
      <c r="C460" s="23"/>
      <c r="D460" s="23"/>
      <c r="E460" s="22"/>
      <c r="F460" s="136"/>
      <c r="G460" s="256"/>
      <c r="H460" s="255"/>
    </row>
    <row r="461" spans="1:8" s="21" customFormat="1" ht="12.75">
      <c r="A461" s="23"/>
      <c r="B461" s="23"/>
      <c r="C461" s="23"/>
      <c r="D461" s="23"/>
      <c r="E461" s="22"/>
      <c r="F461" s="22"/>
      <c r="G461" s="256"/>
      <c r="H461" s="255"/>
    </row>
    <row r="462" spans="1:8" s="21" customFormat="1" ht="12.75">
      <c r="A462" s="23"/>
      <c r="B462" s="23"/>
      <c r="C462" s="23"/>
      <c r="D462" s="23"/>
      <c r="E462" s="22"/>
      <c r="F462" s="22"/>
      <c r="G462" s="256"/>
      <c r="H462" s="255"/>
    </row>
    <row r="463" spans="1:8" s="21" customFormat="1" ht="12.75">
      <c r="A463" s="23"/>
      <c r="B463" s="23"/>
      <c r="C463" s="23"/>
      <c r="D463" s="23"/>
      <c r="E463" s="22"/>
      <c r="F463" s="22"/>
      <c r="G463" s="256"/>
      <c r="H463" s="255"/>
    </row>
    <row r="464" spans="1:8" s="21" customFormat="1" ht="12.75">
      <c r="A464" s="23"/>
      <c r="B464" s="23"/>
      <c r="C464" s="23"/>
      <c r="D464" s="23"/>
      <c r="E464" s="22"/>
      <c r="F464" s="22"/>
      <c r="G464" s="256"/>
      <c r="H464" s="255"/>
    </row>
    <row r="465" spans="1:8" s="21" customFormat="1" ht="12.75">
      <c r="A465" s="23"/>
      <c r="B465" s="23"/>
      <c r="C465" s="23"/>
      <c r="D465" s="23"/>
      <c r="E465" s="22"/>
      <c r="F465" s="22"/>
      <c r="G465" s="256"/>
      <c r="H465" s="255"/>
    </row>
    <row r="466" spans="1:8" s="21" customFormat="1" ht="12.75">
      <c r="A466" s="23"/>
      <c r="B466" s="23"/>
      <c r="C466" s="23"/>
      <c r="D466" s="23"/>
      <c r="E466" s="22"/>
      <c r="F466" s="22"/>
      <c r="G466" s="256"/>
      <c r="H466" s="255"/>
    </row>
    <row r="467" spans="1:8" s="21" customFormat="1" ht="12.75">
      <c r="A467" s="23"/>
      <c r="B467" s="23"/>
      <c r="C467" s="23"/>
      <c r="D467" s="23"/>
      <c r="E467" s="22"/>
      <c r="F467" s="22"/>
      <c r="G467" s="256"/>
      <c r="H467" s="255"/>
    </row>
    <row r="468" spans="1:8" s="21" customFormat="1" ht="12.75">
      <c r="A468" s="23"/>
      <c r="B468" s="23"/>
      <c r="C468" s="23"/>
      <c r="D468" s="23"/>
      <c r="E468" s="22"/>
      <c r="F468" s="22"/>
      <c r="G468" s="256"/>
      <c r="H468" s="255"/>
    </row>
    <row r="469" spans="1:8" s="21" customFormat="1" ht="12.75">
      <c r="A469" s="23"/>
      <c r="B469" s="23"/>
      <c r="C469" s="23"/>
      <c r="D469" s="23"/>
      <c r="E469" s="22"/>
      <c r="F469" s="22"/>
      <c r="G469" s="256"/>
      <c r="H469" s="255"/>
    </row>
    <row r="470" spans="1:8" s="21" customFormat="1" ht="12.75">
      <c r="A470" s="23"/>
      <c r="B470" s="23"/>
      <c r="C470" s="23"/>
      <c r="D470" s="23"/>
      <c r="E470" s="22"/>
      <c r="F470" s="22"/>
      <c r="G470" s="256"/>
      <c r="H470" s="255"/>
    </row>
    <row r="471" spans="1:8" s="21" customFormat="1" ht="12.75">
      <c r="A471" s="23"/>
      <c r="B471" s="23"/>
      <c r="C471" s="23"/>
      <c r="D471" s="23"/>
      <c r="E471" s="22"/>
      <c r="F471" s="22"/>
      <c r="G471" s="256"/>
      <c r="H471" s="255"/>
    </row>
    <row r="472" spans="1:8" s="21" customFormat="1" ht="12.75">
      <c r="A472" s="23"/>
      <c r="B472" s="23"/>
      <c r="C472" s="23"/>
      <c r="D472" s="23"/>
      <c r="E472" s="22"/>
      <c r="F472" s="22"/>
      <c r="G472" s="256"/>
      <c r="H472" s="255"/>
    </row>
    <row r="473" spans="1:8" s="21" customFormat="1" ht="12.75">
      <c r="A473" s="23"/>
      <c r="B473" s="23"/>
      <c r="C473" s="23"/>
      <c r="D473" s="23"/>
      <c r="E473" s="22"/>
      <c r="F473" s="22"/>
      <c r="G473" s="256"/>
      <c r="H473" s="255"/>
    </row>
    <row r="474" spans="1:8" s="21" customFormat="1" ht="12.75">
      <c r="A474" s="23"/>
      <c r="B474" s="23"/>
      <c r="C474" s="23"/>
      <c r="D474" s="23"/>
      <c r="E474" s="22"/>
      <c r="F474" s="22"/>
      <c r="G474" s="256"/>
      <c r="H474" s="255"/>
    </row>
    <row r="475" spans="1:8" s="21" customFormat="1" ht="12.75">
      <c r="A475" s="23"/>
      <c r="B475" s="23"/>
      <c r="C475" s="23"/>
      <c r="D475" s="23"/>
      <c r="E475" s="22"/>
      <c r="F475" s="136"/>
      <c r="G475" s="256"/>
      <c r="H475" s="255"/>
    </row>
    <row r="476" spans="1:8" s="21" customFormat="1" ht="12.75">
      <c r="A476" s="23"/>
      <c r="B476" s="23"/>
      <c r="C476" s="23"/>
      <c r="D476" s="23"/>
      <c r="E476" s="22"/>
      <c r="F476" s="22"/>
      <c r="G476" s="256"/>
      <c r="H476" s="255"/>
    </row>
    <row r="477" spans="1:8" s="21" customFormat="1" ht="12.75">
      <c r="A477" s="23"/>
      <c r="B477" s="23"/>
      <c r="C477" s="23"/>
      <c r="D477" s="23"/>
      <c r="E477" s="22"/>
      <c r="F477" s="22"/>
      <c r="G477" s="256"/>
      <c r="H477" s="255"/>
    </row>
    <row r="478" spans="1:8" s="21" customFormat="1" ht="12.75">
      <c r="A478" s="23"/>
      <c r="B478" s="23"/>
      <c r="C478" s="23"/>
      <c r="D478" s="23"/>
      <c r="E478" s="22"/>
      <c r="F478" s="22"/>
      <c r="G478" s="256"/>
      <c r="H478" s="255"/>
    </row>
    <row r="479" spans="1:8" s="21" customFormat="1" ht="12.75">
      <c r="A479" s="23"/>
      <c r="B479" s="23"/>
      <c r="C479" s="23"/>
      <c r="D479" s="23"/>
      <c r="E479" s="22"/>
      <c r="F479" s="22"/>
      <c r="G479" s="256"/>
      <c r="H479" s="255"/>
    </row>
    <row r="480" spans="1:8" s="21" customFormat="1" ht="12.75">
      <c r="A480" s="23"/>
      <c r="B480" s="23"/>
      <c r="C480" s="23"/>
      <c r="D480" s="23"/>
      <c r="E480" s="22"/>
      <c r="F480" s="22"/>
      <c r="G480" s="256"/>
      <c r="H480" s="255"/>
    </row>
    <row r="481" spans="1:8" s="21" customFormat="1" ht="12.75">
      <c r="A481" s="23"/>
      <c r="B481" s="23"/>
      <c r="C481" s="23"/>
      <c r="D481" s="23"/>
      <c r="E481" s="22"/>
      <c r="F481" s="136"/>
      <c r="G481" s="256"/>
      <c r="H481" s="255"/>
    </row>
    <row r="482" spans="1:8" s="21" customFormat="1" ht="12.75">
      <c r="A482" s="23"/>
      <c r="B482" s="23"/>
      <c r="C482" s="23"/>
      <c r="D482" s="23"/>
      <c r="E482" s="22"/>
      <c r="F482" s="22"/>
      <c r="G482" s="256"/>
      <c r="H482" s="255"/>
    </row>
    <row r="483" spans="1:8" s="21" customFormat="1" ht="12.75">
      <c r="A483" s="23"/>
      <c r="B483" s="23"/>
      <c r="C483" s="23"/>
      <c r="D483" s="23"/>
      <c r="E483" s="22"/>
      <c r="F483" s="22"/>
      <c r="G483" s="256"/>
      <c r="H483" s="255"/>
    </row>
    <row r="484" spans="1:8" s="21" customFormat="1" ht="12.75">
      <c r="A484" s="23"/>
      <c r="B484" s="23"/>
      <c r="C484" s="23"/>
      <c r="D484" s="23"/>
      <c r="E484" s="22"/>
      <c r="F484" s="22"/>
      <c r="G484" s="256"/>
      <c r="H484" s="255"/>
    </row>
    <row r="485" spans="1:8" s="21" customFormat="1" ht="12.75">
      <c r="A485" s="23"/>
      <c r="B485" s="23"/>
      <c r="C485" s="23"/>
      <c r="D485" s="23"/>
      <c r="E485" s="22"/>
      <c r="F485" s="22"/>
      <c r="G485" s="256"/>
      <c r="H485" s="255"/>
    </row>
    <row r="486" spans="1:8" s="21" customFormat="1" ht="12.75">
      <c r="A486" s="23"/>
      <c r="B486" s="23"/>
      <c r="C486" s="23"/>
      <c r="D486" s="23"/>
      <c r="E486" s="22"/>
      <c r="F486" s="22"/>
      <c r="G486" s="256"/>
      <c r="H486" s="255"/>
    </row>
    <row r="487" spans="1:8" s="21" customFormat="1" ht="12.75">
      <c r="A487" s="23"/>
      <c r="B487" s="23"/>
      <c r="C487" s="23"/>
      <c r="D487" s="23"/>
      <c r="E487" s="22"/>
      <c r="F487" s="22"/>
      <c r="G487" s="256"/>
      <c r="H487" s="255"/>
    </row>
    <row r="488" spans="1:8" s="21" customFormat="1" ht="12.75">
      <c r="A488" s="23"/>
      <c r="B488" s="23"/>
      <c r="C488" s="23"/>
      <c r="D488" s="23"/>
      <c r="E488" s="22"/>
      <c r="F488" s="22"/>
      <c r="G488" s="256"/>
      <c r="H488" s="255"/>
    </row>
    <row r="489" spans="1:8" s="21" customFormat="1" ht="12.75">
      <c r="A489" s="23"/>
      <c r="B489" s="23"/>
      <c r="C489" s="23"/>
      <c r="D489" s="23"/>
      <c r="E489" s="22"/>
      <c r="F489" s="22"/>
      <c r="G489" s="256"/>
      <c r="H489" s="255"/>
    </row>
    <row r="490" spans="1:8" s="21" customFormat="1" ht="12.75">
      <c r="A490" s="23"/>
      <c r="B490" s="23"/>
      <c r="C490" s="23"/>
      <c r="D490" s="23"/>
      <c r="E490" s="22"/>
      <c r="F490" s="22"/>
      <c r="G490" s="256"/>
      <c r="H490" s="255"/>
    </row>
    <row r="491" spans="1:8" s="21" customFormat="1" ht="12.75">
      <c r="A491" s="23"/>
      <c r="B491" s="23"/>
      <c r="C491" s="23"/>
      <c r="D491" s="23"/>
      <c r="E491" s="136"/>
      <c r="F491" s="136"/>
      <c r="G491" s="256"/>
      <c r="H491" s="255"/>
    </row>
    <row r="492" spans="1:8" s="21" customFormat="1" ht="12.75">
      <c r="A492" s="23"/>
      <c r="B492" s="23"/>
      <c r="C492" s="23"/>
      <c r="D492" s="23"/>
      <c r="E492" s="22"/>
      <c r="F492" s="22"/>
      <c r="G492" s="256"/>
      <c r="H492" s="255"/>
    </row>
    <row r="493" spans="1:8" s="21" customFormat="1" ht="12.75">
      <c r="A493" s="23"/>
      <c r="B493" s="23"/>
      <c r="C493" s="23"/>
      <c r="D493" s="23"/>
      <c r="E493" s="22"/>
      <c r="F493" s="22"/>
      <c r="G493" s="256"/>
      <c r="H493" s="255"/>
    </row>
    <row r="494" spans="1:8" s="21" customFormat="1" ht="12.75">
      <c r="A494" s="23"/>
      <c r="B494" s="23"/>
      <c r="C494" s="23"/>
      <c r="D494" s="23"/>
      <c r="E494" s="22"/>
      <c r="F494" s="22"/>
      <c r="G494" s="256"/>
      <c r="H494" s="255"/>
    </row>
    <row r="495" spans="1:8" s="21" customFormat="1" ht="12.75">
      <c r="A495" s="23"/>
      <c r="B495" s="23"/>
      <c r="C495" s="23"/>
      <c r="D495" s="23"/>
      <c r="E495" s="22"/>
      <c r="F495" s="22"/>
      <c r="G495" s="256"/>
      <c r="H495" s="255"/>
    </row>
    <row r="496" spans="1:8" s="21" customFormat="1" ht="12.75">
      <c r="A496" s="23"/>
      <c r="B496" s="23"/>
      <c r="C496" s="23"/>
      <c r="D496" s="23"/>
      <c r="E496" s="22"/>
      <c r="F496" s="22"/>
      <c r="G496" s="256"/>
      <c r="H496" s="255"/>
    </row>
    <row r="497" spans="1:8" s="21" customFormat="1" ht="12.75">
      <c r="A497" s="23"/>
      <c r="B497" s="23"/>
      <c r="C497" s="23"/>
      <c r="D497" s="23"/>
      <c r="E497" s="22"/>
      <c r="F497" s="22"/>
      <c r="G497" s="256"/>
      <c r="H497" s="255"/>
    </row>
    <row r="498" spans="1:8" s="21" customFormat="1" ht="12.75">
      <c r="A498" s="23"/>
      <c r="B498" s="23"/>
      <c r="C498" s="23"/>
      <c r="D498" s="23"/>
      <c r="E498" s="22"/>
      <c r="F498" s="22"/>
      <c r="G498" s="256"/>
      <c r="H498" s="255"/>
    </row>
    <row r="499" spans="1:8" s="21" customFormat="1" ht="12.75">
      <c r="A499" s="23"/>
      <c r="B499" s="23"/>
      <c r="C499" s="23"/>
      <c r="D499" s="23"/>
      <c r="E499" s="22"/>
      <c r="F499" s="22"/>
      <c r="G499" s="256"/>
      <c r="H499" s="255"/>
    </row>
    <row r="500" spans="1:8" s="21" customFormat="1" ht="12.75">
      <c r="A500" s="23"/>
      <c r="B500" s="23"/>
      <c r="C500" s="23"/>
      <c r="D500" s="23"/>
      <c r="E500" s="22"/>
      <c r="F500" s="22"/>
      <c r="G500" s="256"/>
      <c r="H500" s="255"/>
    </row>
    <row r="501" spans="1:8" s="21" customFormat="1" ht="12.75">
      <c r="A501" s="23"/>
      <c r="B501" s="23"/>
      <c r="C501" s="23"/>
      <c r="D501" s="23"/>
      <c r="E501" s="22"/>
      <c r="F501" s="22"/>
      <c r="G501" s="256"/>
      <c r="H501" s="255"/>
    </row>
    <row r="502" spans="1:8" s="21" customFormat="1" ht="12.75">
      <c r="A502" s="23"/>
      <c r="B502" s="23"/>
      <c r="C502" s="23"/>
      <c r="D502" s="23"/>
      <c r="E502" s="22"/>
      <c r="F502" s="22"/>
      <c r="G502" s="256"/>
      <c r="H502" s="255"/>
    </row>
    <row r="503" spans="1:8" s="21" customFormat="1" ht="12.75">
      <c r="A503" s="23"/>
      <c r="B503" s="23"/>
      <c r="C503" s="23"/>
      <c r="D503" s="23"/>
      <c r="E503" s="22"/>
      <c r="F503" s="22"/>
      <c r="G503" s="256"/>
      <c r="H503" s="255"/>
    </row>
    <row r="504" spans="1:8" s="21" customFormat="1" ht="12.75">
      <c r="A504" s="23"/>
      <c r="B504" s="23"/>
      <c r="C504" s="23"/>
      <c r="D504" s="23"/>
      <c r="E504" s="22"/>
      <c r="F504" s="22"/>
      <c r="G504" s="256"/>
      <c r="H504" s="255"/>
    </row>
    <row r="505" spans="1:8" s="21" customFormat="1" ht="12.75">
      <c r="A505" s="23"/>
      <c r="B505" s="23"/>
      <c r="C505" s="23"/>
      <c r="D505" s="23"/>
      <c r="E505" s="22"/>
      <c r="F505" s="22"/>
      <c r="G505" s="256"/>
      <c r="H505" s="255"/>
    </row>
    <row r="506" spans="1:8" s="21" customFormat="1" ht="12.75">
      <c r="A506" s="23"/>
      <c r="B506" s="23"/>
      <c r="C506" s="23"/>
      <c r="D506" s="23"/>
      <c r="E506" s="22"/>
      <c r="F506" s="22"/>
      <c r="G506" s="256"/>
      <c r="H506" s="255"/>
    </row>
    <row r="507" spans="1:8" s="21" customFormat="1" ht="12.75">
      <c r="A507" s="23"/>
      <c r="B507" s="23"/>
      <c r="C507" s="23"/>
      <c r="D507" s="23"/>
      <c r="E507" s="22"/>
      <c r="F507" s="22"/>
      <c r="G507" s="256"/>
      <c r="H507" s="255"/>
    </row>
    <row r="508" spans="1:8" s="21" customFormat="1" ht="12.75">
      <c r="A508" s="23"/>
      <c r="B508" s="23"/>
      <c r="C508" s="23"/>
      <c r="D508" s="23"/>
      <c r="E508" s="22"/>
      <c r="F508" s="22"/>
      <c r="G508" s="256"/>
      <c r="H508" s="255"/>
    </row>
    <row r="509" spans="1:8" s="21" customFormat="1" ht="12.75">
      <c r="A509" s="23"/>
      <c r="B509" s="23"/>
      <c r="C509" s="23"/>
      <c r="D509" s="23"/>
      <c r="E509" s="22"/>
      <c r="F509" s="22"/>
      <c r="G509" s="256"/>
      <c r="H509" s="255"/>
    </row>
    <row r="510" spans="1:8" s="21" customFormat="1" ht="12.75">
      <c r="A510" s="23"/>
      <c r="B510" s="23"/>
      <c r="C510" s="23"/>
      <c r="D510" s="23"/>
      <c r="E510" s="22"/>
      <c r="F510" s="22"/>
      <c r="G510" s="256"/>
      <c r="H510" s="255"/>
    </row>
    <row r="511" spans="1:8" s="21" customFormat="1" ht="12.75">
      <c r="A511" s="23"/>
      <c r="B511" s="23"/>
      <c r="C511" s="23"/>
      <c r="D511" s="23"/>
      <c r="E511" s="22"/>
      <c r="F511" s="22"/>
      <c r="G511" s="256"/>
      <c r="H511" s="255"/>
    </row>
    <row r="512" spans="1:8" s="21" customFormat="1" ht="12.75">
      <c r="A512" s="23"/>
      <c r="B512" s="23"/>
      <c r="C512" s="23"/>
      <c r="D512" s="23"/>
      <c r="E512" s="22"/>
      <c r="F512" s="22"/>
      <c r="G512" s="256"/>
      <c r="H512" s="255"/>
    </row>
    <row r="513" spans="1:8" s="21" customFormat="1" ht="12.75">
      <c r="A513" s="23"/>
      <c r="B513" s="23"/>
      <c r="C513" s="23"/>
      <c r="D513" s="23"/>
      <c r="E513" s="22"/>
      <c r="F513" s="22"/>
      <c r="G513" s="256"/>
      <c r="H513" s="255"/>
    </row>
    <row r="514" spans="1:8" s="21" customFormat="1" ht="12.75">
      <c r="A514" s="23"/>
      <c r="B514" s="23"/>
      <c r="C514" s="23"/>
      <c r="D514" s="23"/>
      <c r="E514" s="22"/>
      <c r="F514" s="22"/>
      <c r="G514" s="256"/>
      <c r="H514" s="255"/>
    </row>
    <row r="515" spans="1:8" s="21" customFormat="1" ht="12.75">
      <c r="A515" s="23"/>
      <c r="B515" s="23"/>
      <c r="C515" s="23"/>
      <c r="D515" s="23"/>
      <c r="E515" s="22"/>
      <c r="F515" s="22"/>
      <c r="G515" s="256"/>
      <c r="H515" s="255"/>
    </row>
    <row r="516" spans="1:8" s="21" customFormat="1" ht="12.75">
      <c r="A516" s="23"/>
      <c r="B516" s="23"/>
      <c r="C516" s="23"/>
      <c r="D516" s="23"/>
      <c r="E516" s="22"/>
      <c r="F516" s="22"/>
      <c r="G516" s="256"/>
      <c r="H516" s="255"/>
    </row>
    <row r="517" spans="1:8" s="21" customFormat="1" ht="12.75">
      <c r="A517" s="23"/>
      <c r="B517" s="23"/>
      <c r="C517" s="23"/>
      <c r="D517" s="23"/>
      <c r="E517" s="22"/>
      <c r="F517" s="22"/>
      <c r="G517" s="256"/>
      <c r="H517" s="255"/>
    </row>
    <row r="518" spans="1:8" s="21" customFormat="1" ht="12.75">
      <c r="A518" s="23"/>
      <c r="B518" s="23"/>
      <c r="C518" s="23"/>
      <c r="D518" s="23"/>
      <c r="E518" s="22"/>
      <c r="F518" s="22"/>
      <c r="G518" s="256"/>
      <c r="H518" s="255"/>
    </row>
    <row r="519" spans="1:8" s="21" customFormat="1" ht="12.75">
      <c r="A519" s="23"/>
      <c r="B519" s="23"/>
      <c r="C519" s="23"/>
      <c r="D519" s="23"/>
      <c r="E519" s="22"/>
      <c r="F519" s="22"/>
      <c r="G519" s="256"/>
      <c r="H519" s="255"/>
    </row>
    <row r="520" spans="1:8" s="21" customFormat="1" ht="12.75">
      <c r="A520" s="23"/>
      <c r="B520" s="23"/>
      <c r="C520" s="23"/>
      <c r="D520" s="23"/>
      <c r="E520" s="22"/>
      <c r="F520" s="22"/>
      <c r="G520" s="256"/>
      <c r="H520" s="255"/>
    </row>
    <row r="521" spans="1:8" s="21" customFormat="1" ht="12.75">
      <c r="A521" s="23"/>
      <c r="B521" s="23"/>
      <c r="C521" s="23"/>
      <c r="D521" s="23"/>
      <c r="E521" s="22"/>
      <c r="F521" s="22"/>
      <c r="G521" s="256"/>
      <c r="H521" s="255"/>
    </row>
    <row r="522" spans="1:8" s="21" customFormat="1" ht="12.75">
      <c r="A522" s="23"/>
      <c r="B522" s="23"/>
      <c r="C522" s="23"/>
      <c r="D522" s="23"/>
      <c r="E522" s="22"/>
      <c r="F522" s="22"/>
      <c r="G522" s="256"/>
      <c r="H522" s="255"/>
    </row>
    <row r="523" spans="1:8" s="21" customFormat="1" ht="12.75">
      <c r="A523" s="23"/>
      <c r="B523" s="23"/>
      <c r="C523" s="23"/>
      <c r="D523" s="23"/>
      <c r="E523" s="22"/>
      <c r="F523" s="22"/>
      <c r="G523" s="256"/>
      <c r="H523" s="255"/>
    </row>
    <row r="524" spans="1:8" s="21" customFormat="1" ht="12.75">
      <c r="A524" s="23"/>
      <c r="B524" s="23"/>
      <c r="C524" s="23"/>
      <c r="D524" s="23"/>
      <c r="E524" s="22"/>
      <c r="F524" s="22"/>
      <c r="G524" s="256"/>
      <c r="H524" s="255"/>
    </row>
    <row r="525" spans="1:8" s="21" customFormat="1" ht="12.75">
      <c r="A525" s="23"/>
      <c r="B525" s="23"/>
      <c r="C525" s="23"/>
      <c r="D525" s="23"/>
      <c r="E525" s="22"/>
      <c r="F525" s="22"/>
      <c r="G525" s="256"/>
      <c r="H525" s="255"/>
    </row>
    <row r="526" spans="1:8" s="21" customFormat="1" ht="12.75">
      <c r="A526" s="23"/>
      <c r="B526" s="23"/>
      <c r="C526" s="23"/>
      <c r="D526" s="23"/>
      <c r="E526" s="22"/>
      <c r="F526" s="22"/>
      <c r="G526" s="256"/>
      <c r="H526" s="255"/>
    </row>
    <row r="527" spans="1:8" s="21" customFormat="1" ht="12.75">
      <c r="A527" s="23"/>
      <c r="B527" s="23"/>
      <c r="C527" s="23"/>
      <c r="D527" s="23"/>
      <c r="E527" s="22"/>
      <c r="F527" s="22"/>
      <c r="G527" s="256"/>
      <c r="H527" s="255"/>
    </row>
    <row r="528" spans="1:8" s="21" customFormat="1" ht="12.75">
      <c r="A528" s="23"/>
      <c r="B528" s="23"/>
      <c r="C528" s="23"/>
      <c r="D528" s="23"/>
      <c r="E528" s="22"/>
      <c r="F528" s="22"/>
      <c r="G528" s="256"/>
      <c r="H528" s="255"/>
    </row>
    <row r="529" spans="1:8" s="21" customFormat="1" ht="12.75">
      <c r="A529" s="23"/>
      <c r="B529" s="23"/>
      <c r="C529" s="23"/>
      <c r="D529" s="23"/>
      <c r="E529" s="22"/>
      <c r="F529" s="22"/>
      <c r="G529" s="256"/>
      <c r="H529" s="255"/>
    </row>
    <row r="530" spans="1:8" s="21" customFormat="1" ht="12.75">
      <c r="A530" s="23"/>
      <c r="B530" s="23"/>
      <c r="C530" s="23"/>
      <c r="D530" s="23"/>
      <c r="E530" s="22"/>
      <c r="F530" s="22"/>
      <c r="G530" s="256"/>
      <c r="H530" s="255"/>
    </row>
    <row r="531" spans="1:8" s="21" customFormat="1" ht="12.75">
      <c r="A531" s="23"/>
      <c r="B531" s="23"/>
      <c r="C531" s="23"/>
      <c r="D531" s="23"/>
      <c r="E531" s="22"/>
      <c r="F531" s="22"/>
      <c r="G531" s="256"/>
      <c r="H531" s="255"/>
    </row>
    <row r="532" spans="1:8" s="21" customFormat="1" ht="12.75">
      <c r="A532" s="23"/>
      <c r="B532" s="23"/>
      <c r="C532" s="23"/>
      <c r="D532" s="23"/>
      <c r="E532" s="22"/>
      <c r="F532" s="22"/>
      <c r="G532" s="256"/>
      <c r="H532" s="255"/>
    </row>
    <row r="533" spans="1:8" s="21" customFormat="1" ht="12.75">
      <c r="A533" s="23"/>
      <c r="B533" s="23"/>
      <c r="C533" s="23"/>
      <c r="D533" s="23"/>
      <c r="E533" s="22"/>
      <c r="F533" s="22"/>
      <c r="G533" s="256"/>
      <c r="H533" s="255"/>
    </row>
    <row r="534" spans="1:8" s="21" customFormat="1" ht="12.75">
      <c r="A534" s="23"/>
      <c r="B534" s="23"/>
      <c r="C534" s="23"/>
      <c r="D534" s="23"/>
      <c r="E534" s="22"/>
      <c r="F534" s="22"/>
      <c r="G534" s="256"/>
      <c r="H534" s="255"/>
    </row>
    <row r="535" spans="1:8" s="21" customFormat="1" ht="12.75">
      <c r="A535" s="23"/>
      <c r="B535" s="23"/>
      <c r="C535" s="23"/>
      <c r="D535" s="23"/>
      <c r="E535" s="22"/>
      <c r="F535" s="22"/>
      <c r="G535" s="256"/>
      <c r="H535" s="255"/>
    </row>
    <row r="536" spans="1:8" s="21" customFormat="1" ht="12.75">
      <c r="A536" s="23"/>
      <c r="B536" s="23"/>
      <c r="C536" s="23"/>
      <c r="D536" s="23"/>
      <c r="E536" s="22"/>
      <c r="F536" s="22"/>
      <c r="G536" s="256"/>
      <c r="H536" s="255"/>
    </row>
    <row r="537" spans="1:8" s="21" customFormat="1" ht="12.75">
      <c r="A537" s="23"/>
      <c r="B537" s="23"/>
      <c r="C537" s="23"/>
      <c r="D537" s="23"/>
      <c r="E537" s="22"/>
      <c r="F537" s="22"/>
      <c r="G537" s="256"/>
      <c r="H537" s="255"/>
    </row>
    <row r="538" spans="1:8" s="21" customFormat="1" ht="12.75">
      <c r="A538" s="23"/>
      <c r="B538" s="23"/>
      <c r="C538" s="23"/>
      <c r="D538" s="23"/>
      <c r="E538" s="22"/>
      <c r="F538" s="22"/>
      <c r="G538" s="256"/>
      <c r="H538" s="255"/>
    </row>
    <row r="539" spans="1:8" s="21" customFormat="1" ht="12.75">
      <c r="A539" s="23"/>
      <c r="B539" s="23"/>
      <c r="C539" s="23"/>
      <c r="D539" s="23"/>
      <c r="E539" s="22"/>
      <c r="F539" s="22"/>
      <c r="G539" s="256"/>
      <c r="H539" s="255"/>
    </row>
    <row r="540" spans="1:8" s="21" customFormat="1" ht="12.75">
      <c r="A540" s="23"/>
      <c r="B540" s="23"/>
      <c r="C540" s="23"/>
      <c r="D540" s="23"/>
      <c r="E540" s="22"/>
      <c r="F540" s="22"/>
      <c r="G540" s="256"/>
      <c r="H540" s="255"/>
    </row>
    <row r="541" spans="1:8" s="21" customFormat="1" ht="12.75">
      <c r="A541" s="23"/>
      <c r="B541" s="23"/>
      <c r="C541" s="23"/>
      <c r="D541" s="23"/>
      <c r="E541" s="22"/>
      <c r="F541" s="22"/>
      <c r="G541" s="256"/>
      <c r="H541" s="255"/>
    </row>
    <row r="542" spans="1:8" s="21" customFormat="1" ht="12.75">
      <c r="A542" s="23"/>
      <c r="B542" s="23"/>
      <c r="C542" s="23"/>
      <c r="D542" s="23"/>
      <c r="E542" s="22"/>
      <c r="F542" s="22"/>
      <c r="G542" s="256"/>
      <c r="H542" s="255"/>
    </row>
    <row r="543" spans="1:8" s="21" customFormat="1" ht="12.75">
      <c r="A543" s="23"/>
      <c r="B543" s="23"/>
      <c r="C543" s="23"/>
      <c r="D543" s="23"/>
      <c r="E543" s="22"/>
      <c r="F543" s="22"/>
      <c r="G543" s="256"/>
      <c r="H543" s="255"/>
    </row>
    <row r="544" spans="1:8" s="21" customFormat="1" ht="12.75">
      <c r="A544" s="23"/>
      <c r="B544" s="23"/>
      <c r="C544" s="23"/>
      <c r="D544" s="23"/>
      <c r="E544" s="22"/>
      <c r="F544" s="22"/>
      <c r="G544" s="256"/>
      <c r="H544" s="255"/>
    </row>
    <row r="545" spans="1:8" s="21" customFormat="1" ht="12.75">
      <c r="A545" s="23"/>
      <c r="B545" s="23"/>
      <c r="C545" s="23"/>
      <c r="D545" s="23"/>
      <c r="E545" s="22"/>
      <c r="F545" s="22"/>
      <c r="G545" s="256"/>
      <c r="H545" s="255"/>
    </row>
    <row r="546" spans="1:8" s="21" customFormat="1" ht="12.75">
      <c r="A546" s="23"/>
      <c r="B546" s="23"/>
      <c r="C546" s="23"/>
      <c r="D546" s="23"/>
      <c r="E546" s="22"/>
      <c r="F546" s="22"/>
      <c r="G546" s="256"/>
      <c r="H546" s="255"/>
    </row>
    <row r="547" spans="1:8" s="21" customFormat="1" ht="12.75">
      <c r="A547" s="23"/>
      <c r="B547" s="23"/>
      <c r="C547" s="23"/>
      <c r="D547" s="23"/>
      <c r="E547" s="22"/>
      <c r="F547" s="22"/>
      <c r="G547" s="256"/>
      <c r="H547" s="255"/>
    </row>
    <row r="548" spans="1:8" s="21" customFormat="1" ht="12.75">
      <c r="A548" s="23"/>
      <c r="B548" s="23"/>
      <c r="C548" s="23"/>
      <c r="D548" s="23"/>
      <c r="E548" s="22"/>
      <c r="F548" s="22"/>
      <c r="G548" s="256"/>
      <c r="H548" s="255"/>
    </row>
    <row r="549" spans="1:8" s="21" customFormat="1" ht="12.75">
      <c r="A549" s="23"/>
      <c r="B549" s="23"/>
      <c r="C549" s="23"/>
      <c r="D549" s="23"/>
      <c r="E549" s="22"/>
      <c r="F549" s="22"/>
      <c r="G549" s="256"/>
      <c r="H549" s="255"/>
    </row>
    <row r="550" spans="1:8" s="21" customFormat="1" ht="12.75">
      <c r="A550" s="23"/>
      <c r="B550" s="23"/>
      <c r="C550" s="23"/>
      <c r="D550" s="23"/>
      <c r="E550" s="22"/>
      <c r="F550" s="22"/>
      <c r="G550" s="256"/>
      <c r="H550" s="255"/>
    </row>
    <row r="551" spans="1:8" s="21" customFormat="1" ht="12.75">
      <c r="A551" s="23"/>
      <c r="B551" s="23"/>
      <c r="C551" s="23"/>
      <c r="D551" s="23"/>
      <c r="E551" s="22"/>
      <c r="F551" s="22"/>
      <c r="G551" s="256"/>
      <c r="H551" s="255"/>
    </row>
    <row r="552" spans="1:8" s="21" customFormat="1" ht="12.75">
      <c r="A552" s="23"/>
      <c r="B552" s="23"/>
      <c r="C552" s="23"/>
      <c r="D552" s="23"/>
      <c r="E552" s="22"/>
      <c r="F552" s="22"/>
      <c r="G552" s="256"/>
      <c r="H552" s="255"/>
    </row>
    <row r="553" spans="1:8" s="21" customFormat="1" ht="12.75">
      <c r="A553" s="23"/>
      <c r="B553" s="23"/>
      <c r="C553" s="23"/>
      <c r="D553" s="23"/>
      <c r="E553" s="22"/>
      <c r="F553" s="22"/>
      <c r="G553" s="256"/>
      <c r="H553" s="255"/>
    </row>
    <row r="554" spans="1:8" s="21" customFormat="1" ht="12.75">
      <c r="A554" s="23"/>
      <c r="B554" s="23"/>
      <c r="C554" s="23"/>
      <c r="D554" s="23"/>
      <c r="E554" s="22"/>
      <c r="F554" s="22"/>
      <c r="G554" s="256"/>
      <c r="H554" s="255"/>
    </row>
    <row r="555" spans="1:8" s="21" customFormat="1" ht="12.75">
      <c r="A555" s="23"/>
      <c r="B555" s="23"/>
      <c r="C555" s="23"/>
      <c r="D555" s="23"/>
      <c r="E555" s="22"/>
      <c r="F555" s="22"/>
      <c r="G555" s="256"/>
      <c r="H555" s="255"/>
    </row>
    <row r="556" spans="1:8" s="21" customFormat="1" ht="12.75">
      <c r="A556" s="23"/>
      <c r="B556" s="23"/>
      <c r="C556" s="23"/>
      <c r="D556" s="23"/>
      <c r="E556" s="22"/>
      <c r="F556" s="22"/>
      <c r="G556" s="256"/>
      <c r="H556" s="255"/>
    </row>
    <row r="557" spans="1:8" s="21" customFormat="1" ht="12.75">
      <c r="A557" s="23"/>
      <c r="B557" s="23"/>
      <c r="C557" s="23"/>
      <c r="D557" s="23"/>
      <c r="E557" s="22"/>
      <c r="F557" s="22"/>
      <c r="G557" s="256"/>
      <c r="H557" s="255"/>
    </row>
    <row r="558" spans="1:8" s="21" customFormat="1" ht="12.75">
      <c r="A558" s="23"/>
      <c r="B558" s="23"/>
      <c r="C558" s="23"/>
      <c r="D558" s="23"/>
      <c r="E558" s="22"/>
      <c r="F558" s="22"/>
      <c r="G558" s="256"/>
      <c r="H558" s="255"/>
    </row>
    <row r="559" spans="1:8" s="21" customFormat="1" ht="12.75">
      <c r="A559" s="23"/>
      <c r="B559" s="23"/>
      <c r="C559" s="23"/>
      <c r="D559" s="23"/>
      <c r="E559" s="22"/>
      <c r="F559" s="22"/>
      <c r="G559" s="256"/>
      <c r="H559" s="255"/>
    </row>
    <row r="560" spans="1:8" s="21" customFormat="1" ht="12.75">
      <c r="A560" s="23"/>
      <c r="B560" s="23"/>
      <c r="C560" s="23"/>
      <c r="D560" s="23"/>
      <c r="E560" s="22"/>
      <c r="F560" s="22"/>
      <c r="G560" s="256"/>
      <c r="H560" s="255"/>
    </row>
    <row r="561" spans="1:8" s="21" customFormat="1" ht="12.75">
      <c r="A561" s="23"/>
      <c r="B561" s="23"/>
      <c r="C561" s="23"/>
      <c r="D561" s="23"/>
      <c r="E561" s="22"/>
      <c r="F561" s="22"/>
      <c r="G561" s="256"/>
      <c r="H561" s="255"/>
    </row>
    <row r="562" spans="1:8" s="21" customFormat="1" ht="12.75">
      <c r="A562" s="23"/>
      <c r="B562" s="23"/>
      <c r="C562" s="23"/>
      <c r="D562" s="23"/>
      <c r="E562" s="22"/>
      <c r="F562" s="22"/>
      <c r="G562" s="256"/>
      <c r="H562" s="255"/>
    </row>
    <row r="563" spans="1:8" s="21" customFormat="1" ht="12.75">
      <c r="A563" s="23"/>
      <c r="B563" s="23"/>
      <c r="C563" s="23"/>
      <c r="D563" s="23"/>
      <c r="E563" s="22"/>
      <c r="F563" s="22"/>
      <c r="G563" s="256"/>
      <c r="H563" s="255"/>
    </row>
    <row r="564" spans="1:8" s="21" customFormat="1" ht="12.75">
      <c r="A564" s="23"/>
      <c r="B564" s="23"/>
      <c r="C564" s="23"/>
      <c r="D564" s="23"/>
      <c r="E564" s="22"/>
      <c r="F564" s="22"/>
      <c r="G564" s="256"/>
      <c r="H564" s="255"/>
    </row>
    <row r="565" spans="1:8" s="21" customFormat="1" ht="12.75">
      <c r="A565" s="23"/>
      <c r="B565" s="23"/>
      <c r="C565" s="23"/>
      <c r="D565" s="23"/>
      <c r="E565" s="22"/>
      <c r="F565" s="22"/>
      <c r="G565" s="256"/>
      <c r="H565" s="255"/>
    </row>
    <row r="566" spans="1:8" s="21" customFormat="1" ht="12.75">
      <c r="A566" s="23"/>
      <c r="B566" s="23"/>
      <c r="C566" s="23"/>
      <c r="D566" s="23"/>
      <c r="E566" s="22"/>
      <c r="F566" s="22"/>
      <c r="G566" s="256"/>
      <c r="H566" s="255"/>
    </row>
    <row r="567" spans="1:8" s="21" customFormat="1" ht="12.75">
      <c r="A567" s="23"/>
      <c r="B567" s="23"/>
      <c r="C567" s="23"/>
      <c r="D567" s="23"/>
      <c r="E567" s="22"/>
      <c r="F567" s="22"/>
      <c r="G567" s="256"/>
      <c r="H567" s="255"/>
    </row>
    <row r="568" spans="1:8" s="21" customFormat="1" ht="12.75">
      <c r="A568" s="23"/>
      <c r="B568" s="23"/>
      <c r="C568" s="23"/>
      <c r="D568" s="23"/>
      <c r="E568" s="22"/>
      <c r="F568" s="22"/>
      <c r="G568" s="256"/>
      <c r="H568" s="255"/>
    </row>
    <row r="569" spans="1:8" s="21" customFormat="1" ht="12.75">
      <c r="A569" s="23"/>
      <c r="B569" s="23"/>
      <c r="C569" s="23"/>
      <c r="D569" s="23"/>
      <c r="E569" s="22"/>
      <c r="F569" s="22"/>
      <c r="G569" s="256"/>
      <c r="H569" s="255"/>
    </row>
    <row r="570" spans="1:8" s="21" customFormat="1" ht="12.75">
      <c r="A570" s="23"/>
      <c r="B570" s="23"/>
      <c r="C570" s="23"/>
      <c r="D570" s="23"/>
      <c r="E570" s="22"/>
      <c r="F570" s="22"/>
      <c r="G570" s="256"/>
      <c r="H570" s="255"/>
    </row>
    <row r="571" spans="1:8" s="21" customFormat="1" ht="12.75">
      <c r="A571" s="23"/>
      <c r="B571" s="23"/>
      <c r="C571" s="23"/>
      <c r="D571" s="23"/>
      <c r="E571" s="22"/>
      <c r="F571" s="22"/>
      <c r="G571" s="256"/>
      <c r="H571" s="255"/>
    </row>
    <row r="572" spans="1:8" s="21" customFormat="1" ht="12.75">
      <c r="A572" s="23"/>
      <c r="B572" s="23"/>
      <c r="C572" s="23"/>
      <c r="D572" s="23"/>
      <c r="E572" s="22"/>
      <c r="F572" s="22"/>
      <c r="G572" s="256"/>
      <c r="H572" s="255"/>
    </row>
    <row r="573" spans="1:8" s="21" customFormat="1" ht="12.75">
      <c r="A573" s="23"/>
      <c r="B573" s="23"/>
      <c r="C573" s="23"/>
      <c r="D573" s="23"/>
      <c r="E573" s="22"/>
      <c r="F573" s="22"/>
      <c r="G573" s="256"/>
      <c r="H573" s="255"/>
    </row>
    <row r="574" spans="1:8" s="21" customFormat="1" ht="12.75">
      <c r="A574" s="23"/>
      <c r="B574" s="23"/>
      <c r="C574" s="23"/>
      <c r="D574" s="23"/>
      <c r="E574" s="22"/>
      <c r="F574" s="22"/>
      <c r="G574" s="256"/>
      <c r="H574" s="255"/>
    </row>
    <row r="575" spans="1:8" s="21" customFormat="1" ht="12.75">
      <c r="A575" s="23"/>
      <c r="B575" s="23"/>
      <c r="C575" s="23"/>
      <c r="D575" s="23"/>
      <c r="E575" s="22"/>
      <c r="F575" s="22"/>
      <c r="G575" s="256"/>
      <c r="H575" s="255"/>
    </row>
    <row r="576" spans="1:8" s="21" customFormat="1" ht="12.75">
      <c r="A576" s="23"/>
      <c r="B576" s="23"/>
      <c r="C576" s="23"/>
      <c r="D576" s="23"/>
      <c r="E576" s="22"/>
      <c r="F576" s="22"/>
      <c r="G576" s="256"/>
      <c r="H576" s="255"/>
    </row>
    <row r="577" spans="1:8" s="21" customFormat="1" ht="12.75">
      <c r="A577" s="23"/>
      <c r="B577" s="23"/>
      <c r="C577" s="23"/>
      <c r="D577" s="23"/>
      <c r="E577" s="22"/>
      <c r="F577" s="22"/>
      <c r="G577" s="256"/>
      <c r="H577" s="255"/>
    </row>
    <row r="578" spans="1:8" s="21" customFormat="1" ht="12.75">
      <c r="A578" s="23"/>
      <c r="B578" s="23"/>
      <c r="C578" s="23"/>
      <c r="D578" s="23"/>
      <c r="E578" s="22"/>
      <c r="F578" s="22"/>
      <c r="G578" s="256"/>
      <c r="H578" s="255"/>
    </row>
    <row r="579" spans="1:8" s="21" customFormat="1" ht="12.75">
      <c r="A579" s="23"/>
      <c r="B579" s="23"/>
      <c r="C579" s="23"/>
      <c r="D579" s="23"/>
      <c r="E579" s="22"/>
      <c r="F579" s="22"/>
      <c r="G579" s="256"/>
      <c r="H579" s="255"/>
    </row>
    <row r="580" spans="1:8" s="21" customFormat="1" ht="12.75">
      <c r="A580" s="23"/>
      <c r="B580" s="23"/>
      <c r="C580" s="23"/>
      <c r="D580" s="23"/>
      <c r="E580" s="22"/>
      <c r="F580" s="22"/>
      <c r="G580" s="256"/>
      <c r="H580" s="255"/>
    </row>
    <row r="581" spans="1:8" s="21" customFormat="1" ht="12.75">
      <c r="A581" s="23"/>
      <c r="B581" s="23"/>
      <c r="C581" s="23"/>
      <c r="D581" s="23"/>
      <c r="E581" s="22"/>
      <c r="F581" s="22"/>
      <c r="G581" s="256"/>
      <c r="H581" s="255"/>
    </row>
    <row r="582" spans="1:8" s="21" customFormat="1" ht="12.75">
      <c r="A582" s="23"/>
      <c r="B582" s="23"/>
      <c r="C582" s="23"/>
      <c r="D582" s="23"/>
      <c r="E582" s="22"/>
      <c r="F582" s="22"/>
      <c r="G582" s="256"/>
      <c r="H582" s="255"/>
    </row>
    <row r="583" spans="1:8" s="21" customFormat="1" ht="12.75">
      <c r="A583" s="23"/>
      <c r="B583" s="23"/>
      <c r="C583" s="23"/>
      <c r="D583" s="23"/>
      <c r="E583" s="22"/>
      <c r="F583" s="22"/>
      <c r="G583" s="256"/>
      <c r="H583" s="255"/>
    </row>
    <row r="584" spans="1:8" s="21" customFormat="1" ht="12.75">
      <c r="A584" s="23"/>
      <c r="B584" s="23"/>
      <c r="C584" s="23"/>
      <c r="D584" s="23"/>
      <c r="E584" s="22"/>
      <c r="F584" s="22"/>
      <c r="G584" s="256"/>
      <c r="H584" s="255"/>
    </row>
    <row r="585" spans="1:8" s="21" customFormat="1" ht="12.75">
      <c r="A585" s="23"/>
      <c r="B585" s="23"/>
      <c r="C585" s="23"/>
      <c r="D585" s="23"/>
      <c r="E585" s="22"/>
      <c r="F585" s="22"/>
      <c r="G585" s="256"/>
      <c r="H585" s="255"/>
    </row>
    <row r="586" spans="1:8" s="21" customFormat="1" ht="12.75">
      <c r="A586" s="23"/>
      <c r="B586" s="23"/>
      <c r="C586" s="23"/>
      <c r="D586" s="23"/>
      <c r="E586" s="22"/>
      <c r="F586" s="22"/>
      <c r="G586" s="256"/>
      <c r="H586" s="255"/>
    </row>
    <row r="587" spans="1:8" s="21" customFormat="1" ht="12.75">
      <c r="A587" s="23"/>
      <c r="B587" s="23"/>
      <c r="C587" s="23"/>
      <c r="D587" s="23"/>
      <c r="E587" s="22"/>
      <c r="F587" s="22"/>
      <c r="G587" s="256"/>
      <c r="H587" s="255"/>
    </row>
    <row r="588" spans="1:8" s="21" customFormat="1" ht="12.75">
      <c r="A588" s="23"/>
      <c r="B588" s="23"/>
      <c r="C588" s="23"/>
      <c r="D588" s="23"/>
      <c r="E588" s="22"/>
      <c r="F588" s="22"/>
      <c r="G588" s="256"/>
      <c r="H588" s="255"/>
    </row>
    <row r="589" spans="1:8" s="21" customFormat="1" ht="12.75">
      <c r="A589" s="23"/>
      <c r="B589" s="23"/>
      <c r="C589" s="23"/>
      <c r="D589" s="23"/>
      <c r="E589" s="22"/>
      <c r="F589" s="22"/>
      <c r="G589" s="256"/>
      <c r="H589" s="255"/>
    </row>
    <row r="590" spans="1:8" s="21" customFormat="1" ht="12.75">
      <c r="A590" s="23"/>
      <c r="B590" s="23"/>
      <c r="C590" s="23"/>
      <c r="D590" s="23"/>
      <c r="E590" s="22"/>
      <c r="F590" s="22"/>
      <c r="G590" s="256"/>
      <c r="H590" s="255"/>
    </row>
    <row r="591" spans="1:8" s="21" customFormat="1" ht="12.75">
      <c r="A591" s="23"/>
      <c r="B591" s="23"/>
      <c r="C591" s="23"/>
      <c r="D591" s="23"/>
      <c r="E591" s="22"/>
      <c r="F591" s="22"/>
      <c r="G591" s="256"/>
      <c r="H591" s="255"/>
    </row>
    <row r="592" spans="1:8" s="21" customFormat="1" ht="12.75">
      <c r="A592" s="23"/>
      <c r="B592" s="23"/>
      <c r="C592" s="23"/>
      <c r="D592" s="23"/>
      <c r="E592" s="22"/>
      <c r="F592" s="22"/>
      <c r="G592" s="256"/>
      <c r="H592" s="255"/>
    </row>
    <row r="593" spans="1:8" s="21" customFormat="1" ht="12.75">
      <c r="A593" s="23"/>
      <c r="B593" s="23"/>
      <c r="C593" s="23"/>
      <c r="D593" s="23"/>
      <c r="E593" s="22"/>
      <c r="F593" s="22"/>
      <c r="G593" s="256"/>
      <c r="H593" s="255"/>
    </row>
    <row r="594" spans="1:8" s="21" customFormat="1" ht="12.75">
      <c r="A594" s="23"/>
      <c r="B594" s="23"/>
      <c r="C594" s="23"/>
      <c r="D594" s="23"/>
      <c r="E594" s="22"/>
      <c r="F594" s="22"/>
      <c r="G594" s="256"/>
      <c r="H594" s="255"/>
    </row>
    <row r="595" spans="1:8" s="21" customFormat="1" ht="12.75">
      <c r="A595" s="23"/>
      <c r="B595" s="23"/>
      <c r="C595" s="23"/>
      <c r="D595" s="23"/>
      <c r="E595" s="22"/>
      <c r="F595" s="22"/>
      <c r="G595" s="256"/>
      <c r="H595" s="255"/>
    </row>
    <row r="596" spans="1:8" s="21" customFormat="1" ht="12.75">
      <c r="A596" s="23"/>
      <c r="B596" s="23"/>
      <c r="C596" s="23"/>
      <c r="D596" s="23"/>
      <c r="E596" s="22"/>
      <c r="F596" s="22"/>
      <c r="G596" s="256"/>
      <c r="H596" s="255"/>
    </row>
    <row r="597" spans="1:8" s="21" customFormat="1" ht="12.75">
      <c r="A597" s="23"/>
      <c r="B597" s="23"/>
      <c r="C597" s="23"/>
      <c r="D597" s="23"/>
      <c r="E597" s="22"/>
      <c r="F597" s="22"/>
      <c r="G597" s="256"/>
      <c r="H597" s="255"/>
    </row>
    <row r="598" spans="1:8" s="21" customFormat="1" ht="12.75">
      <c r="A598" s="23"/>
      <c r="B598" s="23"/>
      <c r="C598" s="23"/>
      <c r="D598" s="23"/>
      <c r="E598" s="22"/>
      <c r="F598" s="22"/>
      <c r="G598" s="256"/>
      <c r="H598" s="255"/>
    </row>
    <row r="599" spans="1:8" s="21" customFormat="1" ht="12.75">
      <c r="A599" s="23"/>
      <c r="B599" s="23"/>
      <c r="C599" s="23"/>
      <c r="D599" s="23"/>
      <c r="E599" s="22"/>
      <c r="F599" s="22"/>
      <c r="G599" s="256"/>
      <c r="H599" s="255"/>
    </row>
    <row r="600" spans="1:8" s="21" customFormat="1" ht="12.75">
      <c r="A600" s="23"/>
      <c r="B600" s="23"/>
      <c r="C600" s="23"/>
      <c r="D600" s="23"/>
      <c r="E600" s="22"/>
      <c r="F600" s="22"/>
      <c r="G600" s="256"/>
      <c r="H600" s="255"/>
    </row>
    <row r="601" spans="1:8" s="21" customFormat="1" ht="12.75">
      <c r="A601" s="23"/>
      <c r="B601" s="23"/>
      <c r="C601" s="23"/>
      <c r="D601" s="23"/>
      <c r="E601" s="22"/>
      <c r="F601" s="22"/>
      <c r="G601" s="256"/>
      <c r="H601" s="255"/>
    </row>
    <row r="602" spans="1:8" s="21" customFormat="1" ht="12.75">
      <c r="A602" s="23"/>
      <c r="B602" s="23"/>
      <c r="C602" s="23"/>
      <c r="D602" s="23"/>
      <c r="E602" s="22"/>
      <c r="F602" s="22"/>
      <c r="G602" s="256"/>
      <c r="H602" s="255"/>
    </row>
    <row r="603" spans="1:8" s="21" customFormat="1" ht="12.75">
      <c r="A603" s="23"/>
      <c r="B603" s="23"/>
      <c r="C603" s="23"/>
      <c r="D603" s="23"/>
      <c r="E603" s="22"/>
      <c r="F603" s="22"/>
      <c r="G603" s="256"/>
      <c r="H603" s="255"/>
    </row>
    <row r="604" spans="1:8" s="21" customFormat="1" ht="12.75">
      <c r="A604" s="23"/>
      <c r="B604" s="23"/>
      <c r="C604" s="23"/>
      <c r="D604" s="23"/>
      <c r="E604" s="22"/>
      <c r="F604" s="22"/>
      <c r="G604" s="256"/>
      <c r="H604" s="255"/>
    </row>
    <row r="605" spans="1:8" s="21" customFormat="1" ht="12.75">
      <c r="A605" s="23"/>
      <c r="B605" s="23"/>
      <c r="C605" s="23"/>
      <c r="D605" s="23"/>
      <c r="E605" s="22"/>
      <c r="F605" s="22"/>
      <c r="G605" s="256"/>
      <c r="H605" s="255"/>
    </row>
    <row r="606" spans="1:8" s="21" customFormat="1" ht="12.75">
      <c r="A606" s="23"/>
      <c r="B606" s="23"/>
      <c r="C606" s="23"/>
      <c r="D606" s="23"/>
      <c r="E606" s="22"/>
      <c r="F606" s="22"/>
      <c r="G606" s="256"/>
      <c r="H606" s="255"/>
    </row>
    <row r="607" spans="1:8" s="21" customFormat="1" ht="12.75">
      <c r="A607" s="23"/>
      <c r="B607" s="23"/>
      <c r="C607" s="23"/>
      <c r="D607" s="23"/>
      <c r="E607" s="22"/>
      <c r="F607" s="22"/>
      <c r="G607" s="256"/>
      <c r="H607" s="255"/>
    </row>
    <row r="608" spans="1:8" s="21" customFormat="1" ht="12.75">
      <c r="A608" s="23"/>
      <c r="B608" s="23"/>
      <c r="C608" s="23"/>
      <c r="D608" s="23"/>
      <c r="E608" s="22"/>
      <c r="F608" s="22"/>
      <c r="G608" s="256"/>
      <c r="H608" s="255"/>
    </row>
    <row r="609" spans="1:8" s="21" customFormat="1" ht="12.75">
      <c r="A609" s="23"/>
      <c r="B609" s="23"/>
      <c r="C609" s="23"/>
      <c r="D609" s="23"/>
      <c r="E609" s="22"/>
      <c r="F609" s="22"/>
      <c r="G609" s="256"/>
      <c r="H609" s="255"/>
    </row>
    <row r="610" spans="1:8" s="21" customFormat="1" ht="12.75">
      <c r="A610" s="23"/>
      <c r="B610" s="23"/>
      <c r="C610" s="23"/>
      <c r="D610" s="23"/>
      <c r="E610" s="22"/>
      <c r="F610" s="22"/>
      <c r="G610" s="256"/>
      <c r="H610" s="255"/>
    </row>
    <row r="611" spans="1:8" s="21" customFormat="1" ht="12.75">
      <c r="A611" s="23"/>
      <c r="B611" s="23"/>
      <c r="C611" s="23"/>
      <c r="D611" s="23"/>
      <c r="E611" s="22"/>
      <c r="F611" s="22"/>
      <c r="G611" s="256"/>
      <c r="H611" s="255"/>
    </row>
    <row r="612" spans="1:8" s="21" customFormat="1" ht="12.75">
      <c r="A612" s="23"/>
      <c r="B612" s="23"/>
      <c r="C612" s="23"/>
      <c r="D612" s="23"/>
      <c r="E612" s="22"/>
      <c r="F612" s="22"/>
      <c r="G612" s="256"/>
      <c r="H612" s="255"/>
    </row>
    <row r="613" spans="1:8" s="21" customFormat="1" ht="12.75">
      <c r="A613" s="23"/>
      <c r="B613" s="23"/>
      <c r="C613" s="23"/>
      <c r="D613" s="23"/>
      <c r="E613" s="22"/>
      <c r="F613" s="22"/>
      <c r="G613" s="256"/>
      <c r="H613" s="255"/>
    </row>
    <row r="614" spans="1:8" s="21" customFormat="1" ht="12.75">
      <c r="A614" s="23"/>
      <c r="B614" s="23"/>
      <c r="C614" s="23"/>
      <c r="D614" s="23"/>
      <c r="E614" s="22"/>
      <c r="F614" s="22"/>
      <c r="G614" s="256"/>
      <c r="H614" s="255"/>
    </row>
    <row r="615" spans="1:8" s="21" customFormat="1" ht="12.75">
      <c r="A615" s="23"/>
      <c r="B615" s="23"/>
      <c r="C615" s="23"/>
      <c r="D615" s="23"/>
      <c r="E615" s="22"/>
      <c r="F615" s="22"/>
      <c r="G615" s="256"/>
      <c r="H615" s="255"/>
    </row>
    <row r="616" spans="1:8" s="21" customFormat="1" ht="12.75">
      <c r="A616" s="23"/>
      <c r="B616" s="23"/>
      <c r="C616" s="23"/>
      <c r="D616" s="23"/>
      <c r="E616" s="22"/>
      <c r="F616" s="22"/>
      <c r="G616" s="256"/>
      <c r="H616" s="255"/>
    </row>
    <row r="617" spans="1:8" s="21" customFormat="1" ht="12.75">
      <c r="A617" s="23"/>
      <c r="B617" s="23"/>
      <c r="C617" s="23"/>
      <c r="D617" s="23"/>
      <c r="E617" s="22"/>
      <c r="F617" s="22"/>
      <c r="G617" s="256"/>
      <c r="H617" s="255"/>
    </row>
    <row r="618" spans="1:8" s="21" customFormat="1" ht="12.75">
      <c r="A618" s="23"/>
      <c r="B618" s="23"/>
      <c r="C618" s="23"/>
      <c r="D618" s="23"/>
      <c r="E618" s="22"/>
      <c r="F618" s="22"/>
      <c r="G618" s="256"/>
      <c r="H618" s="255"/>
    </row>
    <row r="619" spans="1:8" s="21" customFormat="1" ht="12.75">
      <c r="A619" s="23"/>
      <c r="B619" s="23"/>
      <c r="C619" s="23"/>
      <c r="D619" s="23"/>
      <c r="E619" s="22"/>
      <c r="F619" s="22"/>
      <c r="G619" s="256"/>
      <c r="H619" s="255"/>
    </row>
    <row r="620" spans="1:8" s="21" customFormat="1" ht="12.75">
      <c r="A620" s="23"/>
      <c r="B620" s="23"/>
      <c r="C620" s="23"/>
      <c r="D620" s="23"/>
      <c r="E620" s="22"/>
      <c r="F620" s="22"/>
      <c r="G620" s="256"/>
      <c r="H620" s="255"/>
    </row>
    <row r="621" spans="1:8" s="21" customFormat="1" ht="12.75">
      <c r="A621" s="23"/>
      <c r="B621" s="23"/>
      <c r="C621" s="23"/>
      <c r="D621" s="23"/>
      <c r="E621" s="22"/>
      <c r="F621" s="22"/>
      <c r="G621" s="256"/>
      <c r="H621" s="255"/>
    </row>
    <row r="622" spans="1:8" s="21" customFormat="1" ht="12.75">
      <c r="A622" s="23"/>
      <c r="B622" s="23"/>
      <c r="C622" s="23"/>
      <c r="D622" s="23"/>
      <c r="E622" s="22"/>
      <c r="F622" s="22"/>
      <c r="G622" s="256"/>
      <c r="H622" s="255"/>
    </row>
    <row r="623" spans="1:8" s="21" customFormat="1" ht="12.75">
      <c r="A623" s="23"/>
      <c r="B623" s="23"/>
      <c r="C623" s="23"/>
      <c r="D623" s="23"/>
      <c r="E623" s="22"/>
      <c r="F623" s="22"/>
      <c r="G623" s="256"/>
      <c r="H623" s="255"/>
    </row>
    <row r="624" spans="1:8" s="21" customFormat="1" ht="12.75">
      <c r="A624" s="23"/>
      <c r="B624" s="23"/>
      <c r="C624" s="23"/>
      <c r="D624" s="23"/>
      <c r="E624" s="22"/>
      <c r="F624" s="22"/>
      <c r="G624" s="256"/>
      <c r="H624" s="255"/>
    </row>
    <row r="625" spans="1:8" s="21" customFormat="1" ht="12.75">
      <c r="A625" s="23"/>
      <c r="B625" s="23"/>
      <c r="C625" s="23"/>
      <c r="D625" s="23"/>
      <c r="E625" s="22"/>
      <c r="F625" s="22"/>
      <c r="G625" s="256"/>
      <c r="H625" s="255"/>
    </row>
    <row r="626" spans="1:8" s="21" customFormat="1" ht="12.75">
      <c r="A626" s="23"/>
      <c r="B626" s="23"/>
      <c r="C626" s="23"/>
      <c r="D626" s="23"/>
      <c r="E626" s="22"/>
      <c r="F626" s="22"/>
      <c r="G626" s="256"/>
      <c r="H626" s="255"/>
    </row>
    <row r="627" spans="1:8" s="21" customFormat="1" ht="12.75">
      <c r="A627" s="23"/>
      <c r="B627" s="23"/>
      <c r="C627" s="23"/>
      <c r="D627" s="23"/>
      <c r="E627" s="22"/>
      <c r="F627" s="22"/>
      <c r="G627" s="256"/>
      <c r="H627" s="255"/>
    </row>
    <row r="628" spans="1:8" s="21" customFormat="1" ht="12.75">
      <c r="A628" s="23"/>
      <c r="B628" s="23"/>
      <c r="C628" s="23"/>
      <c r="D628" s="23"/>
      <c r="E628" s="22"/>
      <c r="F628" s="22"/>
      <c r="G628" s="256"/>
      <c r="H628" s="255"/>
    </row>
    <row r="629" spans="1:8" s="21" customFormat="1" ht="12.75">
      <c r="A629" s="23"/>
      <c r="B629" s="23"/>
      <c r="C629" s="23"/>
      <c r="D629" s="23"/>
      <c r="E629" s="22"/>
      <c r="F629" s="22"/>
      <c r="G629" s="256"/>
      <c r="H629" s="255"/>
    </row>
    <row r="630" spans="1:8" s="21" customFormat="1" ht="12.75">
      <c r="A630" s="23"/>
      <c r="B630" s="23"/>
      <c r="C630" s="23"/>
      <c r="D630" s="23"/>
      <c r="E630" s="22"/>
      <c r="F630" s="22"/>
      <c r="G630" s="256"/>
      <c r="H630" s="255"/>
    </row>
    <row r="631" spans="1:8" s="21" customFormat="1" ht="12.75">
      <c r="A631" s="23"/>
      <c r="B631" s="23"/>
      <c r="C631" s="23"/>
      <c r="D631" s="23"/>
      <c r="E631" s="22"/>
      <c r="F631" s="22"/>
      <c r="G631" s="256"/>
      <c r="H631" s="255"/>
    </row>
    <row r="632" spans="1:8" s="21" customFormat="1" ht="12.75">
      <c r="A632" s="23"/>
      <c r="B632" s="23"/>
      <c r="C632" s="23"/>
      <c r="D632" s="23"/>
      <c r="E632" s="22"/>
      <c r="F632" s="22"/>
      <c r="G632" s="256"/>
      <c r="H632" s="255"/>
    </row>
    <row r="633" spans="1:8" s="21" customFormat="1" ht="12.75">
      <c r="A633" s="23"/>
      <c r="B633" s="23"/>
      <c r="C633" s="23"/>
      <c r="D633" s="23"/>
      <c r="E633" s="22"/>
      <c r="F633" s="22"/>
      <c r="G633" s="256"/>
      <c r="H633" s="255"/>
    </row>
    <row r="634" spans="1:8" s="21" customFormat="1" ht="12.75">
      <c r="A634" s="23"/>
      <c r="B634" s="23"/>
      <c r="C634" s="23"/>
      <c r="D634" s="23"/>
      <c r="E634" s="22"/>
      <c r="F634" s="22"/>
      <c r="G634" s="256"/>
      <c r="H634" s="255"/>
    </row>
    <row r="635" spans="1:8" s="21" customFormat="1" ht="12.75">
      <c r="A635" s="23"/>
      <c r="B635" s="23"/>
      <c r="C635" s="23"/>
      <c r="D635" s="23"/>
      <c r="E635" s="22"/>
      <c r="F635" s="22"/>
      <c r="G635" s="256"/>
      <c r="H635" s="255"/>
    </row>
    <row r="636" spans="1:8" s="21" customFormat="1" ht="12.75">
      <c r="A636" s="23"/>
      <c r="B636" s="23"/>
      <c r="C636" s="23"/>
      <c r="D636" s="23"/>
      <c r="E636" s="22"/>
      <c r="F636" s="22"/>
      <c r="G636" s="256"/>
      <c r="H636" s="255"/>
    </row>
    <row r="637" spans="1:8" s="21" customFormat="1" ht="12.75">
      <c r="A637" s="23"/>
      <c r="B637" s="23"/>
      <c r="C637" s="23"/>
      <c r="D637" s="23"/>
      <c r="E637" s="22"/>
      <c r="F637" s="22"/>
      <c r="G637" s="256"/>
      <c r="H637" s="255"/>
    </row>
    <row r="638" spans="1:8" s="21" customFormat="1" ht="12.75">
      <c r="A638" s="23"/>
      <c r="B638" s="23"/>
      <c r="C638" s="23"/>
      <c r="D638" s="23"/>
      <c r="E638" s="22"/>
      <c r="F638" s="22"/>
      <c r="G638" s="256"/>
      <c r="H638" s="255"/>
    </row>
    <row r="639" spans="1:8" s="21" customFormat="1" ht="12.75">
      <c r="A639" s="23"/>
      <c r="B639" s="23"/>
      <c r="C639" s="23"/>
      <c r="D639" s="23"/>
      <c r="E639" s="22"/>
      <c r="F639" s="22"/>
      <c r="G639" s="256"/>
      <c r="H639" s="255"/>
    </row>
    <row r="640" spans="1:8" s="21" customFormat="1" ht="12.75">
      <c r="A640" s="23"/>
      <c r="B640" s="23"/>
      <c r="C640" s="23"/>
      <c r="D640" s="23"/>
      <c r="E640" s="22"/>
      <c r="F640" s="22"/>
      <c r="G640" s="256"/>
      <c r="H640" s="255"/>
    </row>
    <row r="641" spans="1:8" s="21" customFormat="1" ht="12.75">
      <c r="A641" s="23"/>
      <c r="B641" s="23"/>
      <c r="C641" s="23"/>
      <c r="D641" s="23"/>
      <c r="E641" s="22"/>
      <c r="F641" s="22"/>
      <c r="G641" s="256"/>
      <c r="H641" s="255"/>
    </row>
    <row r="642" spans="1:8" s="21" customFormat="1" ht="12.75">
      <c r="A642" s="23"/>
      <c r="B642" s="23"/>
      <c r="C642" s="23"/>
      <c r="D642" s="23"/>
      <c r="E642" s="22"/>
      <c r="F642" s="22"/>
      <c r="G642" s="256"/>
      <c r="H642" s="255"/>
    </row>
    <row r="643" spans="1:8" s="21" customFormat="1" ht="12.75">
      <c r="A643" s="23"/>
      <c r="B643" s="23"/>
      <c r="C643" s="23"/>
      <c r="D643" s="23"/>
      <c r="E643" s="22"/>
      <c r="F643" s="22"/>
      <c r="G643" s="256"/>
      <c r="H643" s="255"/>
    </row>
    <row r="644" spans="1:8" s="21" customFormat="1" ht="12.75">
      <c r="A644" s="23"/>
      <c r="B644" s="23"/>
      <c r="C644" s="23"/>
      <c r="D644" s="23"/>
      <c r="E644" s="22"/>
      <c r="F644" s="22"/>
      <c r="G644" s="256"/>
      <c r="H644" s="255"/>
    </row>
    <row r="645" spans="1:8" s="21" customFormat="1" ht="12.75">
      <c r="A645" s="23"/>
      <c r="B645" s="23"/>
      <c r="C645" s="23"/>
      <c r="D645" s="23"/>
      <c r="E645" s="22"/>
      <c r="F645" s="22"/>
      <c r="G645" s="256"/>
      <c r="H645" s="255"/>
    </row>
    <row r="646" spans="1:8" s="21" customFormat="1" ht="12.75">
      <c r="A646" s="23"/>
      <c r="B646" s="23"/>
      <c r="C646" s="23"/>
      <c r="D646" s="23"/>
      <c r="E646" s="22"/>
      <c r="F646" s="22"/>
      <c r="G646" s="256"/>
      <c r="H646" s="255"/>
    </row>
    <row r="647" spans="1:8" s="21" customFormat="1" ht="12.75">
      <c r="A647" s="23"/>
      <c r="B647" s="23"/>
      <c r="C647" s="23"/>
      <c r="D647" s="23"/>
      <c r="E647" s="22"/>
      <c r="F647" s="22"/>
      <c r="G647" s="256"/>
      <c r="H647" s="255"/>
    </row>
    <row r="648" spans="1:8" s="21" customFormat="1" ht="12.75">
      <c r="A648" s="23"/>
      <c r="B648" s="23"/>
      <c r="C648" s="23"/>
      <c r="D648" s="23"/>
      <c r="E648" s="22"/>
      <c r="F648" s="22"/>
      <c r="G648" s="256"/>
      <c r="H648" s="255"/>
    </row>
    <row r="649" spans="1:8" s="21" customFormat="1" ht="12.75">
      <c r="A649" s="23"/>
      <c r="B649" s="23"/>
      <c r="C649" s="23"/>
      <c r="D649" s="23"/>
      <c r="E649" s="22"/>
      <c r="F649" s="22"/>
      <c r="G649" s="256"/>
      <c r="H649" s="255"/>
    </row>
    <row r="650" spans="1:8" s="21" customFormat="1" ht="12.75">
      <c r="A650" s="23"/>
      <c r="B650" s="23"/>
      <c r="C650" s="23"/>
      <c r="D650" s="23"/>
      <c r="E650" s="22"/>
      <c r="F650" s="22"/>
      <c r="G650" s="256"/>
      <c r="H650" s="255"/>
    </row>
    <row r="651" spans="1:8" s="21" customFormat="1" ht="12.75">
      <c r="A651" s="23"/>
      <c r="B651" s="23"/>
      <c r="C651" s="23"/>
      <c r="D651" s="23"/>
      <c r="E651" s="22"/>
      <c r="F651" s="22"/>
      <c r="G651" s="256"/>
      <c r="H651" s="255"/>
    </row>
    <row r="652" spans="1:8" s="21" customFormat="1" ht="12.75">
      <c r="A652" s="23"/>
      <c r="B652" s="23"/>
      <c r="C652" s="23"/>
      <c r="D652" s="23"/>
      <c r="E652" s="22"/>
      <c r="F652" s="22"/>
      <c r="G652" s="256"/>
      <c r="H652" s="255"/>
    </row>
    <row r="653" spans="1:8" s="21" customFormat="1" ht="12.75">
      <c r="A653" s="23"/>
      <c r="B653" s="23"/>
      <c r="C653" s="23"/>
      <c r="D653" s="23"/>
      <c r="E653" s="22"/>
      <c r="F653" s="22"/>
      <c r="G653" s="256"/>
      <c r="H653" s="255"/>
    </row>
    <row r="654" spans="1:8" s="21" customFormat="1" ht="12.75">
      <c r="A654" s="23"/>
      <c r="B654" s="23"/>
      <c r="C654" s="23"/>
      <c r="D654" s="23"/>
      <c r="E654" s="22"/>
      <c r="F654" s="22"/>
      <c r="G654" s="256"/>
      <c r="H654" s="255"/>
    </row>
    <row r="655" spans="1:8" s="21" customFormat="1" ht="12.75">
      <c r="A655" s="23"/>
      <c r="B655" s="23"/>
      <c r="C655" s="23"/>
      <c r="D655" s="23"/>
      <c r="E655" s="22"/>
      <c r="F655" s="22"/>
      <c r="G655" s="256"/>
      <c r="H655" s="255"/>
    </row>
    <row r="656" spans="1:8" s="21" customFormat="1" ht="12.75">
      <c r="A656" s="23"/>
      <c r="B656" s="23"/>
      <c r="C656" s="23"/>
      <c r="D656" s="23"/>
      <c r="E656" s="22"/>
      <c r="F656" s="22"/>
      <c r="G656" s="256"/>
      <c r="H656" s="255"/>
    </row>
    <row r="657" spans="1:8" s="21" customFormat="1" ht="12.75">
      <c r="A657" s="23"/>
      <c r="B657" s="23"/>
      <c r="C657" s="23"/>
      <c r="D657" s="23"/>
      <c r="E657" s="22"/>
      <c r="F657" s="22"/>
      <c r="G657" s="256"/>
      <c r="H657" s="255"/>
    </row>
    <row r="658" spans="1:8" s="21" customFormat="1" ht="12.75">
      <c r="A658" s="23"/>
      <c r="B658" s="23"/>
      <c r="C658" s="23"/>
      <c r="D658" s="23"/>
      <c r="E658" s="22"/>
      <c r="F658" s="22"/>
      <c r="G658" s="256"/>
      <c r="H658" s="255"/>
    </row>
    <row r="659" spans="1:8" s="21" customFormat="1" ht="12.75">
      <c r="A659" s="23"/>
      <c r="B659" s="23"/>
      <c r="C659" s="23"/>
      <c r="D659" s="23"/>
      <c r="E659" s="22"/>
      <c r="F659" s="22"/>
      <c r="G659" s="256"/>
      <c r="H659" s="255"/>
    </row>
    <row r="660" spans="1:8" s="21" customFormat="1" ht="12.75">
      <c r="A660" s="23"/>
      <c r="B660" s="23"/>
      <c r="C660" s="23"/>
      <c r="D660" s="23"/>
      <c r="E660" s="22"/>
      <c r="F660" s="22"/>
      <c r="G660" s="256"/>
      <c r="H660" s="255"/>
    </row>
    <row r="661" spans="1:8" s="21" customFormat="1" ht="12.75">
      <c r="A661" s="23"/>
      <c r="B661" s="23"/>
      <c r="C661" s="23"/>
      <c r="D661" s="23"/>
      <c r="E661" s="22"/>
      <c r="F661" s="22"/>
      <c r="G661" s="256"/>
      <c r="H661" s="255"/>
    </row>
    <row r="662" spans="1:8" s="21" customFormat="1" ht="12.75">
      <c r="A662" s="23"/>
      <c r="B662" s="23"/>
      <c r="C662" s="23"/>
      <c r="D662" s="23"/>
      <c r="E662" s="22"/>
      <c r="F662" s="22"/>
      <c r="G662" s="256"/>
      <c r="H662" s="255"/>
    </row>
    <row r="663" spans="1:8" s="21" customFormat="1" ht="12.75">
      <c r="A663" s="23"/>
      <c r="B663" s="23"/>
      <c r="C663" s="23"/>
      <c r="D663" s="23"/>
      <c r="E663" s="22"/>
      <c r="F663" s="22"/>
      <c r="G663" s="256"/>
      <c r="H663" s="255"/>
    </row>
    <row r="664" spans="1:8" s="21" customFormat="1" ht="12.75">
      <c r="A664" s="23"/>
      <c r="B664" s="23"/>
      <c r="C664" s="23"/>
      <c r="D664" s="23"/>
      <c r="E664" s="22"/>
      <c r="F664" s="22"/>
      <c r="G664" s="256"/>
      <c r="H664" s="255"/>
    </row>
    <row r="665" spans="1:8" s="21" customFormat="1" ht="12.75">
      <c r="A665" s="23"/>
      <c r="B665" s="23"/>
      <c r="C665" s="23"/>
      <c r="D665" s="23"/>
      <c r="E665" s="22"/>
      <c r="F665" s="22"/>
      <c r="G665" s="256"/>
      <c r="H665" s="255"/>
    </row>
    <row r="666" spans="1:8" s="21" customFormat="1" ht="12.75">
      <c r="A666" s="23"/>
      <c r="B666" s="23"/>
      <c r="C666" s="23"/>
      <c r="D666" s="23"/>
      <c r="E666" s="22"/>
      <c r="F666" s="22"/>
      <c r="G666" s="256"/>
      <c r="H666" s="255"/>
    </row>
    <row r="667" spans="1:8" s="21" customFormat="1" ht="12.75">
      <c r="A667" s="23"/>
      <c r="B667" s="23"/>
      <c r="C667" s="23"/>
      <c r="D667" s="23"/>
      <c r="E667" s="22"/>
      <c r="F667" s="22"/>
      <c r="G667" s="256"/>
      <c r="H667" s="255"/>
    </row>
    <row r="668" spans="1:8" s="21" customFormat="1" ht="12.75">
      <c r="A668" s="23"/>
      <c r="B668" s="23"/>
      <c r="C668" s="23"/>
      <c r="D668" s="23"/>
      <c r="E668" s="22"/>
      <c r="F668" s="22"/>
      <c r="G668" s="256"/>
      <c r="H668" s="255"/>
    </row>
    <row r="669" spans="1:8" s="21" customFormat="1" ht="12.75">
      <c r="A669" s="23"/>
      <c r="B669" s="23"/>
      <c r="C669" s="23"/>
      <c r="D669" s="23"/>
      <c r="E669" s="22"/>
      <c r="F669" s="22"/>
      <c r="G669" s="256"/>
      <c r="H669" s="255"/>
    </row>
    <row r="670" spans="1:8" s="21" customFormat="1" ht="12.75">
      <c r="A670" s="23"/>
      <c r="B670" s="23"/>
      <c r="C670" s="23"/>
      <c r="D670" s="23"/>
      <c r="E670" s="22"/>
      <c r="F670" s="22"/>
      <c r="G670" s="256"/>
      <c r="H670" s="255"/>
    </row>
    <row r="671" spans="1:8" s="21" customFormat="1" ht="12.75">
      <c r="A671" s="23"/>
      <c r="B671" s="23"/>
      <c r="C671" s="23"/>
      <c r="D671" s="23"/>
      <c r="E671" s="22"/>
      <c r="F671" s="22"/>
      <c r="G671" s="256"/>
      <c r="H671" s="255"/>
    </row>
    <row r="672" spans="1:8" s="21" customFormat="1" ht="12.75">
      <c r="A672" s="23"/>
      <c r="B672" s="23"/>
      <c r="C672" s="23"/>
      <c r="D672" s="23"/>
      <c r="E672" s="22"/>
      <c r="F672" s="22"/>
      <c r="G672" s="256"/>
      <c r="H672" s="255"/>
    </row>
    <row r="673" spans="1:8" s="21" customFormat="1" ht="12.75">
      <c r="A673" s="23"/>
      <c r="B673" s="23"/>
      <c r="C673" s="23"/>
      <c r="D673" s="23"/>
      <c r="E673" s="22"/>
      <c r="F673" s="22"/>
      <c r="G673" s="256"/>
      <c r="H673" s="255"/>
    </row>
    <row r="674" spans="1:8" s="21" customFormat="1" ht="12.75">
      <c r="A674" s="23"/>
      <c r="B674" s="23"/>
      <c r="C674" s="23"/>
      <c r="D674" s="23"/>
      <c r="E674" s="22"/>
      <c r="F674" s="22"/>
      <c r="G674" s="256"/>
      <c r="H674" s="255"/>
    </row>
    <row r="675" spans="1:8" s="21" customFormat="1" ht="12.75">
      <c r="A675" s="23"/>
      <c r="B675" s="23"/>
      <c r="C675" s="23"/>
      <c r="D675" s="23"/>
      <c r="E675" s="22"/>
      <c r="F675" s="22"/>
      <c r="G675" s="256"/>
      <c r="H675" s="255"/>
    </row>
    <row r="676" spans="1:8" s="21" customFormat="1" ht="12.75">
      <c r="A676" s="23"/>
      <c r="B676" s="23"/>
      <c r="C676" s="23"/>
      <c r="D676" s="23"/>
      <c r="E676" s="22"/>
      <c r="F676" s="22"/>
      <c r="G676" s="256"/>
      <c r="H676" s="255"/>
    </row>
    <row r="677" spans="1:8" s="21" customFormat="1" ht="12.75">
      <c r="A677" s="23"/>
      <c r="B677" s="23"/>
      <c r="C677" s="23"/>
      <c r="D677" s="23"/>
      <c r="E677" s="22"/>
      <c r="F677" s="22"/>
      <c r="G677" s="256"/>
      <c r="H677" s="255"/>
    </row>
    <row r="678" spans="1:8" s="21" customFormat="1" ht="12.75">
      <c r="A678" s="23"/>
      <c r="B678" s="23"/>
      <c r="C678" s="23"/>
      <c r="D678" s="23"/>
      <c r="E678" s="22"/>
      <c r="F678" s="22"/>
      <c r="G678" s="256"/>
      <c r="H678" s="255"/>
    </row>
    <row r="679" spans="1:8" s="21" customFormat="1" ht="12.75">
      <c r="A679" s="23"/>
      <c r="B679" s="23"/>
      <c r="C679" s="23"/>
      <c r="D679" s="23"/>
      <c r="E679" s="22"/>
      <c r="F679" s="22"/>
      <c r="G679" s="256"/>
      <c r="H679" s="255"/>
    </row>
    <row r="680" spans="1:8" s="21" customFormat="1" ht="12.75">
      <c r="A680" s="23"/>
      <c r="B680" s="23"/>
      <c r="C680" s="23"/>
      <c r="D680" s="23"/>
      <c r="E680" s="22"/>
      <c r="F680" s="22"/>
      <c r="G680" s="256"/>
      <c r="H680" s="255"/>
    </row>
    <row r="681" spans="1:8" s="21" customFormat="1" ht="12.75">
      <c r="A681" s="23"/>
      <c r="B681" s="23"/>
      <c r="C681" s="23"/>
      <c r="D681" s="23"/>
      <c r="E681" s="22"/>
      <c r="F681" s="22"/>
      <c r="G681" s="256"/>
      <c r="H681" s="255"/>
    </row>
    <row r="682" spans="1:8" s="21" customFormat="1" ht="12.75">
      <c r="A682" s="23"/>
      <c r="B682" s="23"/>
      <c r="C682" s="23"/>
      <c r="D682" s="23"/>
      <c r="E682" s="22"/>
      <c r="F682" s="22"/>
      <c r="G682" s="256"/>
      <c r="H682" s="255"/>
    </row>
    <row r="683" spans="1:8" s="21" customFormat="1" ht="12.75">
      <c r="A683" s="23"/>
      <c r="B683" s="23"/>
      <c r="C683" s="23"/>
      <c r="D683" s="23"/>
      <c r="E683" s="22"/>
      <c r="F683" s="22"/>
      <c r="G683" s="256"/>
      <c r="H683" s="255"/>
    </row>
    <row r="684" spans="1:8" s="21" customFormat="1" ht="12.75">
      <c r="A684" s="23"/>
      <c r="B684" s="23"/>
      <c r="C684" s="23"/>
      <c r="D684" s="23"/>
      <c r="E684" s="22"/>
      <c r="F684" s="22"/>
      <c r="G684" s="256"/>
      <c r="H684" s="255"/>
    </row>
    <row r="685" spans="1:8" s="21" customFormat="1" ht="12.75">
      <c r="A685" s="23"/>
      <c r="B685" s="23"/>
      <c r="C685" s="23"/>
      <c r="D685" s="23"/>
      <c r="E685" s="22"/>
      <c r="F685" s="22"/>
      <c r="G685" s="256"/>
      <c r="H685" s="255"/>
    </row>
    <row r="686" spans="1:8" s="21" customFormat="1" ht="12.75">
      <c r="A686" s="23"/>
      <c r="B686" s="23"/>
      <c r="C686" s="23"/>
      <c r="D686" s="23"/>
      <c r="E686" s="22"/>
      <c r="F686" s="22"/>
      <c r="G686" s="256"/>
      <c r="H686" s="255"/>
    </row>
    <row r="687" spans="1:8" s="21" customFormat="1" ht="12.75">
      <c r="A687" s="23"/>
      <c r="B687" s="23"/>
      <c r="C687" s="23"/>
      <c r="D687" s="23"/>
      <c r="E687" s="22"/>
      <c r="F687" s="22"/>
      <c r="G687" s="256"/>
      <c r="H687" s="255"/>
    </row>
    <row r="688" spans="1:8" s="21" customFormat="1" ht="12.75">
      <c r="A688" s="23"/>
      <c r="B688" s="23"/>
      <c r="C688" s="23"/>
      <c r="D688" s="23"/>
      <c r="E688" s="22"/>
      <c r="F688" s="22"/>
      <c r="G688" s="256"/>
      <c r="H688" s="255"/>
    </row>
    <row r="689" spans="1:8" s="21" customFormat="1" ht="12.75">
      <c r="A689" s="23"/>
      <c r="B689" s="23"/>
      <c r="C689" s="23"/>
      <c r="D689" s="23"/>
      <c r="E689" s="22"/>
      <c r="F689" s="22"/>
      <c r="G689" s="256"/>
      <c r="H689" s="255"/>
    </row>
    <row r="690" spans="1:8" s="21" customFormat="1" ht="12.75">
      <c r="A690" s="23"/>
      <c r="B690" s="23"/>
      <c r="C690" s="23"/>
      <c r="D690" s="23"/>
      <c r="E690" s="22"/>
      <c r="F690" s="22"/>
      <c r="G690" s="256"/>
      <c r="H690" s="255"/>
    </row>
    <row r="691" spans="1:8" s="21" customFormat="1" ht="12.75">
      <c r="A691" s="23"/>
      <c r="B691" s="23"/>
      <c r="C691" s="23"/>
      <c r="D691" s="23"/>
      <c r="E691" s="22"/>
      <c r="F691" s="22"/>
      <c r="G691" s="256"/>
      <c r="H691" s="255"/>
    </row>
    <row r="692" spans="1:8" s="21" customFormat="1" ht="12.75">
      <c r="A692" s="23"/>
      <c r="B692" s="23"/>
      <c r="C692" s="23"/>
      <c r="D692" s="23"/>
      <c r="E692" s="22"/>
      <c r="F692" s="22"/>
      <c r="G692" s="256"/>
      <c r="H692" s="255"/>
    </row>
    <row r="693" spans="1:8" s="21" customFormat="1" ht="12.75">
      <c r="A693" s="23"/>
      <c r="B693" s="23"/>
      <c r="C693" s="23"/>
      <c r="D693" s="23"/>
      <c r="E693" s="22"/>
      <c r="F693" s="22"/>
      <c r="G693" s="256"/>
      <c r="H693" s="255"/>
    </row>
    <row r="694" spans="1:8" s="21" customFormat="1" ht="12.75">
      <c r="A694" s="23"/>
      <c r="B694" s="23"/>
      <c r="C694" s="23"/>
      <c r="D694" s="23"/>
      <c r="E694" s="22"/>
      <c r="F694" s="22"/>
      <c r="G694" s="256"/>
      <c r="H694" s="255"/>
    </row>
    <row r="695" spans="1:8" s="21" customFormat="1" ht="12.75">
      <c r="A695" s="23"/>
      <c r="B695" s="23"/>
      <c r="C695" s="23"/>
      <c r="D695" s="23"/>
      <c r="E695" s="22"/>
      <c r="F695" s="22"/>
      <c r="G695" s="256"/>
      <c r="H695" s="255"/>
    </row>
    <row r="696" spans="1:8" s="21" customFormat="1" ht="12.75">
      <c r="A696" s="23"/>
      <c r="B696" s="23"/>
      <c r="C696" s="23"/>
      <c r="D696" s="23"/>
      <c r="E696" s="22"/>
      <c r="F696" s="22"/>
      <c r="G696" s="256"/>
      <c r="H696" s="255"/>
    </row>
  </sheetData>
  <mergeCells count="11">
    <mergeCell ref="B6:B7"/>
    <mergeCell ref="A6:A7"/>
    <mergeCell ref="G6:H6"/>
    <mergeCell ref="E6:E7"/>
    <mergeCell ref="F6:F7"/>
    <mergeCell ref="D6:D7"/>
    <mergeCell ref="C6:C7"/>
    <mergeCell ref="F4:H4"/>
    <mergeCell ref="F3:H3"/>
    <mergeCell ref="F1:H1"/>
    <mergeCell ref="F2:H2"/>
  </mergeCells>
  <printOptions horizontalCentered="1"/>
  <pageMargins left="0.3937007874015748" right="0.3937007874015748" top="0.7874015748031497" bottom="0.7874015748031497" header="0.5118110236220472" footer="0.31496062992125984"/>
  <pageSetup firstPageNumber="1" useFirstPageNumber="1" horizontalDpi="600" verticalDpi="600" orientation="portrait" paperSize="9" r:id="rId1"/>
  <headerFooter alignWithMargins="0">
    <oddFooter>&amp;C&amp;8Wydatki - str.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34">
      <selection activeCell="G56" sqref="G56"/>
    </sheetView>
  </sheetViews>
  <sheetFormatPr defaultColWidth="9.00390625" defaultRowHeight="12.75"/>
  <cols>
    <col min="1" max="1" width="5.25390625" style="8" customWidth="1"/>
    <col min="2" max="2" width="7.625" style="8" customWidth="1"/>
    <col min="3" max="3" width="5.00390625" style="8" bestFit="1" customWidth="1"/>
    <col min="4" max="4" width="31.125" style="8" customWidth="1"/>
    <col min="5" max="5" width="12.875" style="8" customWidth="1"/>
    <col min="6" max="6" width="13.125" style="8" customWidth="1"/>
    <col min="7" max="7" width="12.25390625" style="8" customWidth="1"/>
    <col min="8" max="8" width="7.25390625" style="288" customWidth="1"/>
  </cols>
  <sheetData>
    <row r="1" spans="1:8" ht="12.75">
      <c r="A1" s="66"/>
      <c r="B1" s="66"/>
      <c r="C1" s="66"/>
      <c r="D1" s="66"/>
      <c r="E1" s="67"/>
      <c r="F1" s="373" t="s">
        <v>548</v>
      </c>
      <c r="G1" s="373"/>
      <c r="H1" s="373"/>
    </row>
    <row r="2" spans="1:8" ht="12.75">
      <c r="A2" s="66"/>
      <c r="B2" s="66"/>
      <c r="C2" s="66"/>
      <c r="D2" s="66"/>
      <c r="E2" s="67"/>
      <c r="F2" s="373" t="s">
        <v>544</v>
      </c>
      <c r="G2" s="373"/>
      <c r="H2" s="373"/>
    </row>
    <row r="3" spans="1:8" ht="12.75">
      <c r="A3" s="66"/>
      <c r="B3" s="66"/>
      <c r="C3" s="66"/>
      <c r="D3" s="66"/>
      <c r="E3" s="67"/>
      <c r="F3" s="373" t="s">
        <v>545</v>
      </c>
      <c r="G3" s="373"/>
      <c r="H3" s="373"/>
    </row>
    <row r="4" spans="1:8" ht="12.75">
      <c r="A4" s="66"/>
      <c r="B4" s="66"/>
      <c r="C4" s="66"/>
      <c r="D4" s="66"/>
      <c r="E4" s="67"/>
      <c r="F4" s="373" t="s">
        <v>546</v>
      </c>
      <c r="G4" s="373"/>
      <c r="H4" s="373"/>
    </row>
    <row r="5" spans="1:8" ht="22.5" customHeight="1">
      <c r="A5" s="357" t="s">
        <v>523</v>
      </c>
      <c r="B5" s="357"/>
      <c r="C5" s="357"/>
      <c r="D5" s="357"/>
      <c r="E5" s="357"/>
      <c r="F5" s="357"/>
      <c r="G5" s="357"/>
      <c r="H5" s="357"/>
    </row>
    <row r="6" spans="1:8" s="8" customFormat="1" ht="18" customHeight="1">
      <c r="A6" s="358" t="s">
        <v>13</v>
      </c>
      <c r="B6" s="358" t="s">
        <v>14</v>
      </c>
      <c r="C6" s="358" t="s">
        <v>15</v>
      </c>
      <c r="D6" s="358" t="s">
        <v>411</v>
      </c>
      <c r="E6" s="354" t="s">
        <v>171</v>
      </c>
      <c r="F6" s="354" t="s">
        <v>252</v>
      </c>
      <c r="G6" s="355" t="s">
        <v>0</v>
      </c>
      <c r="H6" s="356"/>
    </row>
    <row r="7" spans="1:8" s="8" customFormat="1" ht="18" customHeight="1">
      <c r="A7" s="358"/>
      <c r="B7" s="358"/>
      <c r="C7" s="358"/>
      <c r="D7" s="358"/>
      <c r="E7" s="354"/>
      <c r="F7" s="354"/>
      <c r="G7" s="120" t="s">
        <v>516</v>
      </c>
      <c r="H7" s="18" t="s">
        <v>517</v>
      </c>
    </row>
    <row r="8" spans="1:8" s="8" customFormat="1" ht="21.75" customHeight="1">
      <c r="A8" s="283" t="s">
        <v>17</v>
      </c>
      <c r="B8" s="284"/>
      <c r="C8" s="285"/>
      <c r="D8" s="286" t="s">
        <v>18</v>
      </c>
      <c r="E8" s="287">
        <f aca="true" t="shared" si="0" ref="E8:G9">SUM(E9)</f>
        <v>0</v>
      </c>
      <c r="F8" s="287">
        <f t="shared" si="0"/>
        <v>98263</v>
      </c>
      <c r="G8" s="287">
        <f t="shared" si="0"/>
        <v>98262.92</v>
      </c>
      <c r="H8" s="47">
        <f>G8/F8*100</f>
        <v>99.99991858583597</v>
      </c>
    </row>
    <row r="9" spans="1:8" s="24" customFormat="1" ht="21.75" customHeight="1">
      <c r="A9" s="80"/>
      <c r="B9" s="77" t="s">
        <v>442</v>
      </c>
      <c r="C9" s="208"/>
      <c r="D9" s="42" t="s">
        <v>19</v>
      </c>
      <c r="E9" s="103">
        <f t="shared" si="0"/>
        <v>0</v>
      </c>
      <c r="F9" s="103">
        <f t="shared" si="0"/>
        <v>98263</v>
      </c>
      <c r="G9" s="103">
        <f t="shared" si="0"/>
        <v>98262.92</v>
      </c>
      <c r="H9" s="104">
        <f aca="true" t="shared" si="1" ref="H9:H50">G9/F9*100</f>
        <v>99.99991858583597</v>
      </c>
    </row>
    <row r="10" spans="1:8" s="24" customFormat="1" ht="56.25">
      <c r="A10" s="80"/>
      <c r="B10" s="80"/>
      <c r="C10" s="208">
        <v>2010</v>
      </c>
      <c r="D10" s="42" t="s">
        <v>462</v>
      </c>
      <c r="E10" s="103">
        <v>0</v>
      </c>
      <c r="F10" s="103">
        <v>98263</v>
      </c>
      <c r="G10" s="103">
        <v>98262.92</v>
      </c>
      <c r="H10" s="104">
        <f t="shared" si="1"/>
        <v>99.99991858583597</v>
      </c>
    </row>
    <row r="11" spans="1:8" s="8" customFormat="1" ht="21.75" customHeight="1">
      <c r="A11" s="37" t="s">
        <v>31</v>
      </c>
      <c r="B11" s="29"/>
      <c r="C11" s="65"/>
      <c r="D11" s="40" t="s">
        <v>32</v>
      </c>
      <c r="E11" s="73">
        <f>SUM(E12)</f>
        <v>144800</v>
      </c>
      <c r="F11" s="73">
        <f>SUM(F12)</f>
        <v>144800</v>
      </c>
      <c r="G11" s="73">
        <f>SUM(G12)</f>
        <v>78621</v>
      </c>
      <c r="H11" s="47">
        <f t="shared" si="1"/>
        <v>54.296270718232044</v>
      </c>
    </row>
    <row r="12" spans="1:8" s="24" customFormat="1" ht="21.75" customHeight="1">
      <c r="A12" s="77"/>
      <c r="B12" s="77">
        <v>75011</v>
      </c>
      <c r="C12" s="78"/>
      <c r="D12" s="42" t="s">
        <v>33</v>
      </c>
      <c r="E12" s="105">
        <f>E13</f>
        <v>144800</v>
      </c>
      <c r="F12" s="105">
        <f>F13</f>
        <v>144800</v>
      </c>
      <c r="G12" s="105">
        <f>G13</f>
        <v>78621</v>
      </c>
      <c r="H12" s="104">
        <f t="shared" si="1"/>
        <v>54.296270718232044</v>
      </c>
    </row>
    <row r="13" spans="1:8" s="24" customFormat="1" ht="56.25">
      <c r="A13" s="77"/>
      <c r="B13" s="98"/>
      <c r="C13" s="79" t="s">
        <v>219</v>
      </c>
      <c r="D13" s="42" t="s">
        <v>462</v>
      </c>
      <c r="E13" s="105">
        <v>144800</v>
      </c>
      <c r="F13" s="105">
        <v>144800</v>
      </c>
      <c r="G13" s="105">
        <v>78621</v>
      </c>
      <c r="H13" s="104">
        <f t="shared" si="1"/>
        <v>54.296270718232044</v>
      </c>
    </row>
    <row r="14" spans="1:8" s="8" customFormat="1" ht="36">
      <c r="A14" s="37">
        <v>751</v>
      </c>
      <c r="B14" s="39"/>
      <c r="C14" s="74"/>
      <c r="D14" s="40" t="s">
        <v>36</v>
      </c>
      <c r="E14" s="75">
        <f>SUM(E15)</f>
        <v>3809</v>
      </c>
      <c r="F14" s="75">
        <f>SUM(F15)</f>
        <v>3809</v>
      </c>
      <c r="G14" s="75">
        <f>SUM(G15)</f>
        <v>1902</v>
      </c>
      <c r="H14" s="47">
        <f t="shared" si="1"/>
        <v>49.934365975321604</v>
      </c>
    </row>
    <row r="15" spans="1:8" s="24" customFormat="1" ht="27" customHeight="1">
      <c r="A15" s="98"/>
      <c r="B15" s="77">
        <v>75101</v>
      </c>
      <c r="C15" s="78"/>
      <c r="D15" s="42" t="s">
        <v>37</v>
      </c>
      <c r="E15" s="106">
        <f>E16</f>
        <v>3809</v>
      </c>
      <c r="F15" s="106">
        <f>F16</f>
        <v>3809</v>
      </c>
      <c r="G15" s="106">
        <f>G16</f>
        <v>1902</v>
      </c>
      <c r="H15" s="104">
        <f t="shared" si="1"/>
        <v>49.934365975321604</v>
      </c>
    </row>
    <row r="16" spans="1:8" s="24" customFormat="1" ht="56.25">
      <c r="A16" s="98"/>
      <c r="B16" s="77"/>
      <c r="C16" s="79" t="s">
        <v>219</v>
      </c>
      <c r="D16" s="42" t="s">
        <v>274</v>
      </c>
      <c r="E16" s="106">
        <v>3809</v>
      </c>
      <c r="F16" s="106">
        <v>3809</v>
      </c>
      <c r="G16" s="106">
        <v>1902</v>
      </c>
      <c r="H16" s="104">
        <f t="shared" si="1"/>
        <v>49.934365975321604</v>
      </c>
    </row>
    <row r="17" spans="1:8" s="45" customFormat="1" ht="67.5" customHeight="1">
      <c r="A17" s="39">
        <v>756</v>
      </c>
      <c r="B17" s="37"/>
      <c r="C17" s="112"/>
      <c r="D17" s="117" t="s">
        <v>188</v>
      </c>
      <c r="E17" s="113">
        <f>SUM(E18)</f>
        <v>228717</v>
      </c>
      <c r="F17" s="113">
        <f>SUM(F18)</f>
        <v>228717</v>
      </c>
      <c r="G17" s="113">
        <f>SUM(G18)</f>
        <v>114358</v>
      </c>
      <c r="H17" s="47">
        <f t="shared" si="1"/>
        <v>49.999781389227735</v>
      </c>
    </row>
    <row r="18" spans="1:8" s="24" customFormat="1" ht="45.75" customHeight="1">
      <c r="A18" s="98"/>
      <c r="B18" s="77">
        <v>75615</v>
      </c>
      <c r="C18" s="79"/>
      <c r="D18" s="76" t="s">
        <v>189</v>
      </c>
      <c r="E18" s="105">
        <f>SUM(E19:E19)</f>
        <v>228717</v>
      </c>
      <c r="F18" s="105">
        <f>SUM(F19)</f>
        <v>228717</v>
      </c>
      <c r="G18" s="105">
        <f>SUM(G19:G19)</f>
        <v>114358</v>
      </c>
      <c r="H18" s="104">
        <f t="shared" si="1"/>
        <v>49.999781389227735</v>
      </c>
    </row>
    <row r="19" spans="1:8" s="24" customFormat="1" ht="27" customHeight="1">
      <c r="A19" s="98"/>
      <c r="B19" s="77"/>
      <c r="C19" s="79">
        <v>2680</v>
      </c>
      <c r="D19" s="88" t="s">
        <v>561</v>
      </c>
      <c r="E19" s="105">
        <v>228717</v>
      </c>
      <c r="F19" s="105">
        <v>228717</v>
      </c>
      <c r="G19" s="105">
        <v>114358</v>
      </c>
      <c r="H19" s="104">
        <f t="shared" si="1"/>
        <v>49.999781389227735</v>
      </c>
    </row>
    <row r="20" spans="1:8" s="11" customFormat="1" ht="21.75" customHeight="1">
      <c r="A20" s="152" t="s">
        <v>133</v>
      </c>
      <c r="B20" s="153"/>
      <c r="C20" s="154"/>
      <c r="D20" s="155" t="s">
        <v>134</v>
      </c>
      <c r="E20" s="156">
        <f>SUM(E21,)</f>
        <v>2940</v>
      </c>
      <c r="F20" s="156">
        <f>SUM(F21,)</f>
        <v>36050</v>
      </c>
      <c r="G20" s="156">
        <f>SUM(G21,)</f>
        <v>26459.36</v>
      </c>
      <c r="H20" s="47">
        <f t="shared" si="1"/>
        <v>73.3962829403606</v>
      </c>
    </row>
    <row r="21" spans="1:8" s="24" customFormat="1" ht="21.75" customHeight="1">
      <c r="A21" s="77"/>
      <c r="B21" s="94" t="s">
        <v>135</v>
      </c>
      <c r="C21" s="98"/>
      <c r="D21" s="42" t="s">
        <v>72</v>
      </c>
      <c r="E21" s="105">
        <f>SUM(E22:E23)</f>
        <v>2940</v>
      </c>
      <c r="F21" s="103">
        <f>SUM(F22:F23)</f>
        <v>36050</v>
      </c>
      <c r="G21" s="103">
        <f>SUM(G22:G23)</f>
        <v>26459.36</v>
      </c>
      <c r="H21" s="104">
        <f t="shared" si="1"/>
        <v>73.3962829403606</v>
      </c>
    </row>
    <row r="22" spans="1:8" s="24" customFormat="1" ht="45">
      <c r="A22" s="77"/>
      <c r="B22" s="77"/>
      <c r="C22" s="79">
        <v>2030</v>
      </c>
      <c r="D22" s="88" t="s">
        <v>255</v>
      </c>
      <c r="E22" s="105">
        <v>0</v>
      </c>
      <c r="F22" s="103">
        <v>33110</v>
      </c>
      <c r="G22" s="103">
        <v>24834</v>
      </c>
      <c r="H22" s="104">
        <f t="shared" si="1"/>
        <v>75.00453035336756</v>
      </c>
    </row>
    <row r="23" spans="1:8" s="24" customFormat="1" ht="54.75" customHeight="1">
      <c r="A23" s="98"/>
      <c r="B23" s="77"/>
      <c r="C23" s="151">
        <v>2310</v>
      </c>
      <c r="D23" s="42" t="s">
        <v>300</v>
      </c>
      <c r="E23" s="81">
        <v>2940</v>
      </c>
      <c r="F23" s="81">
        <v>2940</v>
      </c>
      <c r="G23" s="81">
        <v>1625.36</v>
      </c>
      <c r="H23" s="104">
        <f t="shared" si="1"/>
        <v>55.284353741496595</v>
      </c>
    </row>
    <row r="24" spans="1:8" s="45" customFormat="1" ht="21.75" customHeight="1">
      <c r="A24" s="37" t="s">
        <v>190</v>
      </c>
      <c r="B24" s="39"/>
      <c r="C24" s="74"/>
      <c r="D24" s="40" t="s">
        <v>231</v>
      </c>
      <c r="E24" s="73">
        <f>SUM(E25,E27,E29,E32,E34,)</f>
        <v>9582400</v>
      </c>
      <c r="F24" s="73">
        <f>SUM(F25,F27,F29,F32,F34,)</f>
        <v>9835826</v>
      </c>
      <c r="G24" s="73">
        <f>SUM(G25,G27,G29,G32,G34,)</f>
        <v>5049255</v>
      </c>
      <c r="H24" s="47">
        <f t="shared" si="1"/>
        <v>51.335342857834206</v>
      </c>
    </row>
    <row r="25" spans="1:8" s="24" customFormat="1" ht="45">
      <c r="A25" s="77"/>
      <c r="B25" s="59">
        <v>85212</v>
      </c>
      <c r="C25" s="90"/>
      <c r="D25" s="88" t="s">
        <v>282</v>
      </c>
      <c r="E25" s="103">
        <f>SUM(E26)</f>
        <v>7804800</v>
      </c>
      <c r="F25" s="103">
        <f>SUM(F26)</f>
        <v>7812700</v>
      </c>
      <c r="G25" s="103">
        <f>SUM(G26)</f>
        <v>3801200</v>
      </c>
      <c r="H25" s="104">
        <f t="shared" si="1"/>
        <v>48.65411445466996</v>
      </c>
    </row>
    <row r="26" spans="1:8" s="24" customFormat="1" ht="56.25">
      <c r="A26" s="77"/>
      <c r="B26" s="59"/>
      <c r="C26" s="90">
        <v>2010</v>
      </c>
      <c r="D26" s="42" t="s">
        <v>462</v>
      </c>
      <c r="E26" s="103">
        <v>7804800</v>
      </c>
      <c r="F26" s="103">
        <v>7812700</v>
      </c>
      <c r="G26" s="103">
        <v>3801200</v>
      </c>
      <c r="H26" s="104">
        <f t="shared" si="1"/>
        <v>48.65411445466996</v>
      </c>
    </row>
    <row r="27" spans="1:8" s="24" customFormat="1" ht="45">
      <c r="A27" s="77"/>
      <c r="B27" s="98">
        <v>85213</v>
      </c>
      <c r="C27" s="78"/>
      <c r="D27" s="42" t="s">
        <v>230</v>
      </c>
      <c r="E27" s="103">
        <f>SUM(E28)</f>
        <v>99900</v>
      </c>
      <c r="F27" s="103">
        <f>SUM(F28)</f>
        <v>78400</v>
      </c>
      <c r="G27" s="103">
        <f>SUM(G28)</f>
        <v>42782</v>
      </c>
      <c r="H27" s="104">
        <f t="shared" si="1"/>
        <v>54.568877551020414</v>
      </c>
    </row>
    <row r="28" spans="1:8" s="24" customFormat="1" ht="56.25">
      <c r="A28" s="77"/>
      <c r="B28" s="98"/>
      <c r="C28" s="78">
        <v>2010</v>
      </c>
      <c r="D28" s="42" t="s">
        <v>270</v>
      </c>
      <c r="E28" s="103">
        <v>99900</v>
      </c>
      <c r="F28" s="103">
        <v>78400</v>
      </c>
      <c r="G28" s="103">
        <v>42782</v>
      </c>
      <c r="H28" s="104">
        <f t="shared" si="1"/>
        <v>54.568877551020414</v>
      </c>
    </row>
    <row r="29" spans="1:8" s="24" customFormat="1" ht="27" customHeight="1">
      <c r="A29" s="77"/>
      <c r="B29" s="77" t="s">
        <v>191</v>
      </c>
      <c r="C29" s="78"/>
      <c r="D29" s="42" t="s">
        <v>281</v>
      </c>
      <c r="E29" s="105">
        <f>SUM(E30:E31)</f>
        <v>1011100</v>
      </c>
      <c r="F29" s="105">
        <f>SUM(F30:F31)</f>
        <v>1043348</v>
      </c>
      <c r="G29" s="105">
        <f>SUM(G30:G31)</f>
        <v>572890</v>
      </c>
      <c r="H29" s="104">
        <f t="shared" si="1"/>
        <v>54.908812783462466</v>
      </c>
    </row>
    <row r="30" spans="1:8" s="24" customFormat="1" ht="56.25">
      <c r="A30" s="77"/>
      <c r="B30" s="77"/>
      <c r="C30" s="79" t="s">
        <v>219</v>
      </c>
      <c r="D30" s="42" t="s">
        <v>275</v>
      </c>
      <c r="E30" s="105">
        <v>439200</v>
      </c>
      <c r="F30" s="105">
        <v>437000</v>
      </c>
      <c r="G30" s="105">
        <v>228656</v>
      </c>
      <c r="H30" s="104">
        <f t="shared" si="1"/>
        <v>52.32402745995424</v>
      </c>
    </row>
    <row r="31" spans="1:8" s="24" customFormat="1" ht="33.75">
      <c r="A31" s="77"/>
      <c r="B31" s="77"/>
      <c r="C31" s="79">
        <v>2030</v>
      </c>
      <c r="D31" s="88" t="s">
        <v>271</v>
      </c>
      <c r="E31" s="105">
        <v>571900</v>
      </c>
      <c r="F31" s="105">
        <v>606348</v>
      </c>
      <c r="G31" s="105">
        <v>344234</v>
      </c>
      <c r="H31" s="104">
        <f t="shared" si="1"/>
        <v>56.77168886514015</v>
      </c>
    </row>
    <row r="32" spans="1:8" s="24" customFormat="1" ht="21.75" customHeight="1">
      <c r="A32" s="77"/>
      <c r="B32" s="77" t="s">
        <v>192</v>
      </c>
      <c r="C32" s="78"/>
      <c r="D32" s="42" t="s">
        <v>80</v>
      </c>
      <c r="E32" s="105">
        <f>E33</f>
        <v>338400</v>
      </c>
      <c r="F32" s="105">
        <f>F33</f>
        <v>338400</v>
      </c>
      <c r="G32" s="105">
        <f>G33</f>
        <v>186795</v>
      </c>
      <c r="H32" s="104">
        <f t="shared" si="1"/>
        <v>55.19946808510638</v>
      </c>
    </row>
    <row r="33" spans="1:8" s="24" customFormat="1" ht="45" customHeight="1">
      <c r="A33" s="77"/>
      <c r="B33" s="77"/>
      <c r="C33" s="79">
        <v>2030</v>
      </c>
      <c r="D33" s="88" t="s">
        <v>255</v>
      </c>
      <c r="E33" s="105">
        <v>338400</v>
      </c>
      <c r="F33" s="105">
        <v>338400</v>
      </c>
      <c r="G33" s="105">
        <v>186795</v>
      </c>
      <c r="H33" s="104">
        <f t="shared" si="1"/>
        <v>55.19946808510638</v>
      </c>
    </row>
    <row r="34" spans="1:8" s="24" customFormat="1" ht="21.75" customHeight="1">
      <c r="A34" s="77"/>
      <c r="B34" s="77">
        <v>85295</v>
      </c>
      <c r="C34" s="79"/>
      <c r="D34" s="88" t="s">
        <v>19</v>
      </c>
      <c r="E34" s="105">
        <f>SUM(E35)</f>
        <v>328200</v>
      </c>
      <c r="F34" s="105">
        <f>SUM(F35)</f>
        <v>562978</v>
      </c>
      <c r="G34" s="105">
        <f>SUM(G35)</f>
        <v>445588</v>
      </c>
      <c r="H34" s="104">
        <f t="shared" si="1"/>
        <v>79.14838590495543</v>
      </c>
    </row>
    <row r="35" spans="1:8" s="24" customFormat="1" ht="45">
      <c r="A35" s="77"/>
      <c r="B35" s="77"/>
      <c r="C35" s="79">
        <v>2030</v>
      </c>
      <c r="D35" s="88" t="s">
        <v>255</v>
      </c>
      <c r="E35" s="105">
        <v>328200</v>
      </c>
      <c r="F35" s="105">
        <v>562978</v>
      </c>
      <c r="G35" s="105">
        <v>445588</v>
      </c>
      <c r="H35" s="104">
        <f t="shared" si="1"/>
        <v>79.14838590495543</v>
      </c>
    </row>
    <row r="36" spans="1:8" s="8" customFormat="1" ht="21.75" customHeight="1">
      <c r="A36" s="32">
        <v>854</v>
      </c>
      <c r="B36" s="35"/>
      <c r="C36" s="36"/>
      <c r="D36" s="33" t="s">
        <v>81</v>
      </c>
      <c r="E36" s="205">
        <f aca="true" t="shared" si="2" ref="E36:G37">SUM(E37)</f>
        <v>0</v>
      </c>
      <c r="F36" s="73">
        <f t="shared" si="2"/>
        <v>252197</v>
      </c>
      <c r="G36" s="73">
        <f t="shared" si="2"/>
        <v>210166</v>
      </c>
      <c r="H36" s="47">
        <f t="shared" si="1"/>
        <v>83.33406027827452</v>
      </c>
    </row>
    <row r="37" spans="1:8" s="24" customFormat="1" ht="21.75" customHeight="1">
      <c r="A37" s="82"/>
      <c r="B37" s="83">
        <v>85415</v>
      </c>
      <c r="C37" s="84"/>
      <c r="D37" s="88" t="s">
        <v>460</v>
      </c>
      <c r="E37" s="105">
        <f t="shared" si="2"/>
        <v>0</v>
      </c>
      <c r="F37" s="103">
        <f t="shared" si="2"/>
        <v>252197</v>
      </c>
      <c r="G37" s="103">
        <f t="shared" si="2"/>
        <v>210166</v>
      </c>
      <c r="H37" s="104">
        <f t="shared" si="1"/>
        <v>83.33406027827452</v>
      </c>
    </row>
    <row r="38" spans="1:8" s="24" customFormat="1" ht="45">
      <c r="A38" s="82"/>
      <c r="B38" s="83"/>
      <c r="C38" s="84">
        <v>2030</v>
      </c>
      <c r="D38" s="88" t="s">
        <v>255</v>
      </c>
      <c r="E38" s="105">
        <v>0</v>
      </c>
      <c r="F38" s="206">
        <v>252197</v>
      </c>
      <c r="G38" s="206">
        <v>210166</v>
      </c>
      <c r="H38" s="104">
        <f t="shared" si="1"/>
        <v>83.33406027827452</v>
      </c>
    </row>
    <row r="39" spans="1:8" s="8" customFormat="1" ht="27" customHeight="1">
      <c r="A39" s="37" t="s">
        <v>85</v>
      </c>
      <c r="B39" s="29"/>
      <c r="C39" s="65"/>
      <c r="D39" s="40" t="s">
        <v>91</v>
      </c>
      <c r="E39" s="73">
        <f>SUM(E44)</f>
        <v>45900</v>
      </c>
      <c r="F39" s="73">
        <f>SUM(F42,F44,F40)</f>
        <v>54600</v>
      </c>
      <c r="G39" s="73">
        <f>SUM(G42,G44,G40)</f>
        <v>27150</v>
      </c>
      <c r="H39" s="47">
        <f t="shared" si="1"/>
        <v>49.72527472527473</v>
      </c>
    </row>
    <row r="40" spans="1:8" s="24" customFormat="1" ht="21.75" customHeight="1">
      <c r="A40" s="77"/>
      <c r="B40" s="98">
        <v>92105</v>
      </c>
      <c r="C40" s="78"/>
      <c r="D40" s="76" t="s">
        <v>473</v>
      </c>
      <c r="E40" s="103">
        <f>SUM(E41)</f>
        <v>0</v>
      </c>
      <c r="F40" s="103">
        <f>SUM(F41)</f>
        <v>8700</v>
      </c>
      <c r="G40" s="103">
        <f>SUM(G41)</f>
        <v>4200</v>
      </c>
      <c r="H40" s="104">
        <f t="shared" si="1"/>
        <v>48.275862068965516</v>
      </c>
    </row>
    <row r="41" spans="1:8" s="24" customFormat="1" ht="56.25">
      <c r="A41" s="100"/>
      <c r="B41" s="98"/>
      <c r="C41" s="78">
        <v>2320</v>
      </c>
      <c r="D41" s="88" t="s">
        <v>464</v>
      </c>
      <c r="E41" s="103">
        <v>0</v>
      </c>
      <c r="F41" s="103">
        <v>8700</v>
      </c>
      <c r="G41" s="103">
        <v>4200</v>
      </c>
      <c r="H41" s="104">
        <f t="shared" si="1"/>
        <v>48.275862068965516</v>
      </c>
    </row>
    <row r="42" spans="1:8" s="24" customFormat="1" ht="0.75" customHeight="1" hidden="1">
      <c r="A42" s="77"/>
      <c r="B42" s="59">
        <v>92109</v>
      </c>
      <c r="C42" s="91"/>
      <c r="D42" s="88" t="s">
        <v>186</v>
      </c>
      <c r="E42" s="103"/>
      <c r="F42" s="103">
        <f>SUM(F43)</f>
        <v>0</v>
      </c>
      <c r="G42" s="103">
        <f>SUM(G43)</f>
        <v>0</v>
      </c>
      <c r="H42" s="104" t="e">
        <f t="shared" si="1"/>
        <v>#DIV/0!</v>
      </c>
    </row>
    <row r="43" spans="1:8" s="24" customFormat="1" ht="56.25" hidden="1">
      <c r="A43" s="77"/>
      <c r="B43" s="4"/>
      <c r="C43" s="91">
        <v>2320</v>
      </c>
      <c r="D43" s="88" t="s">
        <v>464</v>
      </c>
      <c r="E43" s="103"/>
      <c r="F43" s="103">
        <v>0</v>
      </c>
      <c r="G43" s="103">
        <v>0</v>
      </c>
      <c r="H43" s="104" t="e">
        <f t="shared" si="1"/>
        <v>#DIV/0!</v>
      </c>
    </row>
    <row r="44" spans="1:8" s="24" customFormat="1" ht="21.75" customHeight="1">
      <c r="A44" s="77"/>
      <c r="B44" s="77" t="s">
        <v>86</v>
      </c>
      <c r="C44" s="78"/>
      <c r="D44" s="42" t="s">
        <v>87</v>
      </c>
      <c r="E44" s="105">
        <f>SUM(E45)</f>
        <v>45900</v>
      </c>
      <c r="F44" s="105">
        <f>F45</f>
        <v>45900</v>
      </c>
      <c r="G44" s="105">
        <f>G45</f>
        <v>22950</v>
      </c>
      <c r="H44" s="104">
        <f t="shared" si="1"/>
        <v>50</v>
      </c>
    </row>
    <row r="45" spans="1:8" s="24" customFormat="1" ht="56.25">
      <c r="A45" s="77"/>
      <c r="B45" s="77"/>
      <c r="C45" s="79">
        <v>2320</v>
      </c>
      <c r="D45" s="42" t="s">
        <v>464</v>
      </c>
      <c r="E45" s="105">
        <v>45900</v>
      </c>
      <c r="F45" s="105">
        <v>45900</v>
      </c>
      <c r="G45" s="105">
        <v>22950</v>
      </c>
      <c r="H45" s="104">
        <f t="shared" si="1"/>
        <v>50</v>
      </c>
    </row>
    <row r="46" spans="1:8" s="45" customFormat="1" ht="21.75" customHeight="1">
      <c r="A46" s="35">
        <v>926</v>
      </c>
      <c r="B46" s="35"/>
      <c r="C46" s="35"/>
      <c r="D46" s="33" t="s">
        <v>88</v>
      </c>
      <c r="E46" s="113">
        <f>SUM(E47)</f>
        <v>0</v>
      </c>
      <c r="F46" s="73">
        <f>SUM(F47)</f>
        <v>35000</v>
      </c>
      <c r="G46" s="73">
        <f>SUM(G47)</f>
        <v>2300</v>
      </c>
      <c r="H46" s="47">
        <f t="shared" si="1"/>
        <v>6.571428571428571</v>
      </c>
    </row>
    <row r="47" spans="1:8" s="24" customFormat="1" ht="27" customHeight="1">
      <c r="A47" s="83"/>
      <c r="B47" s="83">
        <v>92605</v>
      </c>
      <c r="C47" s="83"/>
      <c r="D47" s="88" t="s">
        <v>89</v>
      </c>
      <c r="E47" s="105">
        <f>SUM(E48:E49)</f>
        <v>0</v>
      </c>
      <c r="F47" s="103">
        <f>SUM(F48:F49)</f>
        <v>35000</v>
      </c>
      <c r="G47" s="103">
        <f>SUM(G48:G49)</f>
        <v>2300</v>
      </c>
      <c r="H47" s="104">
        <f t="shared" si="1"/>
        <v>6.571428571428571</v>
      </c>
    </row>
    <row r="48" spans="1:8" s="24" customFormat="1" ht="56.25">
      <c r="A48" s="83"/>
      <c r="B48" s="83"/>
      <c r="C48" s="83">
        <v>2320</v>
      </c>
      <c r="D48" s="88" t="s">
        <v>464</v>
      </c>
      <c r="E48" s="105">
        <v>0</v>
      </c>
      <c r="F48" s="105">
        <v>5000</v>
      </c>
      <c r="G48" s="105">
        <v>2300</v>
      </c>
      <c r="H48" s="104">
        <f t="shared" si="1"/>
        <v>46</v>
      </c>
    </row>
    <row r="49" spans="1:8" s="24" customFormat="1" ht="33.75">
      <c r="A49" s="83"/>
      <c r="B49" s="83"/>
      <c r="C49" s="83">
        <v>2440</v>
      </c>
      <c r="D49" s="88" t="s">
        <v>227</v>
      </c>
      <c r="E49" s="105">
        <v>0</v>
      </c>
      <c r="F49" s="105">
        <v>30000</v>
      </c>
      <c r="G49" s="105">
        <v>0</v>
      </c>
      <c r="H49" s="104">
        <f t="shared" si="1"/>
        <v>0</v>
      </c>
    </row>
    <row r="50" spans="1:8" s="24" customFormat="1" ht="30" customHeight="1">
      <c r="A50" s="127"/>
      <c r="B50" s="128"/>
      <c r="C50" s="129"/>
      <c r="D50" s="110" t="s">
        <v>90</v>
      </c>
      <c r="E50" s="113">
        <f>SUM(E39,E24,E17,E14,E11,E20)</f>
        <v>10008566</v>
      </c>
      <c r="F50" s="73">
        <f>SUM(F46,F39,F36,F24,F20,F17,F14,F11,F8)</f>
        <v>10689262</v>
      </c>
      <c r="G50" s="73">
        <f>SUM(G46,G39,G36,G24,G20,G17,G14,G11,G8)</f>
        <v>5608474.28</v>
      </c>
      <c r="H50" s="47">
        <f t="shared" si="1"/>
        <v>52.4683021147765</v>
      </c>
    </row>
    <row r="51" spans="1:3" ht="12.75">
      <c r="A51" s="66"/>
      <c r="B51" s="66"/>
      <c r="C51" s="66"/>
    </row>
    <row r="52" spans="1:3" ht="12.75">
      <c r="A52" s="66"/>
      <c r="B52" s="66"/>
      <c r="C52" s="66"/>
    </row>
    <row r="54" spans="6:7" ht="12.75">
      <c r="F54" s="27"/>
      <c r="G54" s="27"/>
    </row>
    <row r="55" spans="5:7" ht="12.75">
      <c r="E55" s="116"/>
      <c r="F55" s="27"/>
      <c r="G55" s="27"/>
    </row>
    <row r="56" spans="6:7" ht="12.75">
      <c r="F56" s="27"/>
      <c r="G56" s="27"/>
    </row>
    <row r="57" spans="6:7" ht="12.75">
      <c r="F57" s="27"/>
      <c r="G57" s="27"/>
    </row>
    <row r="58" spans="6:7" ht="12.75">
      <c r="F58" s="27"/>
      <c r="G58" s="27"/>
    </row>
    <row r="59" spans="6:7" ht="12.75">
      <c r="F59" s="43"/>
      <c r="G59" s="43"/>
    </row>
  </sheetData>
  <mergeCells count="12">
    <mergeCell ref="E6:E7"/>
    <mergeCell ref="F6:F7"/>
    <mergeCell ref="G6:H6"/>
    <mergeCell ref="A5:H5"/>
    <mergeCell ref="A6:A7"/>
    <mergeCell ref="B6:B7"/>
    <mergeCell ref="C6:C7"/>
    <mergeCell ref="D6:D7"/>
    <mergeCell ref="F1:H1"/>
    <mergeCell ref="F2:H2"/>
    <mergeCell ref="F3:H3"/>
    <mergeCell ref="F4:H4"/>
  </mergeCells>
  <printOptions horizontalCentered="1"/>
  <pageMargins left="0.3937007874015748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8"/>
  <sheetViews>
    <sheetView workbookViewId="0" topLeftCell="A70">
      <selection activeCell="A79" sqref="A79:P79"/>
    </sheetView>
  </sheetViews>
  <sheetFormatPr defaultColWidth="9.00390625" defaultRowHeight="12.75"/>
  <cols>
    <col min="1" max="1" width="4.875" style="8" customWidth="1"/>
    <col min="2" max="2" width="7.25390625" style="8" bestFit="1" customWidth="1"/>
    <col min="3" max="3" width="7.00390625" style="8" customWidth="1"/>
    <col min="4" max="4" width="40.25390625" style="8" customWidth="1"/>
    <col min="5" max="5" width="33.375" style="8" customWidth="1"/>
    <col min="6" max="6" width="16.00390625" style="8" customWidth="1"/>
    <col min="7" max="7" width="10.125" style="8" hidden="1" customWidth="1"/>
    <col min="8" max="8" width="39.75390625" style="8" hidden="1" customWidth="1"/>
    <col min="9" max="9" width="13.75390625" style="8" hidden="1" customWidth="1"/>
    <col min="10" max="10" width="45.25390625" style="8" hidden="1" customWidth="1"/>
    <col min="11" max="11" width="12.125" style="8" hidden="1" customWidth="1"/>
    <col min="12" max="12" width="18.00390625" style="8" hidden="1" customWidth="1"/>
    <col min="13" max="13" width="15.375" style="8" hidden="1" customWidth="1"/>
    <col min="14" max="14" width="15.625" style="8" customWidth="1"/>
    <col min="15" max="15" width="14.75390625" style="0" customWidth="1"/>
    <col min="16" max="16" width="6.875" style="26" customWidth="1"/>
  </cols>
  <sheetData>
    <row r="1" spans="14:16" ht="12.75" customHeight="1">
      <c r="N1" s="359" t="s">
        <v>549</v>
      </c>
      <c r="O1" s="359"/>
      <c r="P1" s="359"/>
    </row>
    <row r="2" spans="14:16" ht="12.75" customHeight="1">
      <c r="N2" s="359" t="s">
        <v>544</v>
      </c>
      <c r="O2" s="359"/>
      <c r="P2" s="359"/>
    </row>
    <row r="3" spans="5:16" ht="12.75" customHeight="1">
      <c r="E3" s="118"/>
      <c r="F3" s="118"/>
      <c r="G3" s="118"/>
      <c r="H3" s="67" t="s">
        <v>459</v>
      </c>
      <c r="I3" s="118"/>
      <c r="J3" s="67" t="s">
        <v>471</v>
      </c>
      <c r="K3" s="67"/>
      <c r="L3" s="67" t="s">
        <v>505</v>
      </c>
      <c r="M3" s="67"/>
      <c r="N3" s="359" t="s">
        <v>545</v>
      </c>
      <c r="O3" s="359"/>
      <c r="P3" s="359"/>
    </row>
    <row r="4" spans="5:16" ht="12.75" customHeight="1">
      <c r="E4" s="118"/>
      <c r="F4" s="118"/>
      <c r="G4" s="118"/>
      <c r="H4" s="67" t="s">
        <v>448</v>
      </c>
      <c r="I4" s="118"/>
      <c r="J4" s="67" t="s">
        <v>470</v>
      </c>
      <c r="K4" s="67"/>
      <c r="L4" s="67" t="s">
        <v>504</v>
      </c>
      <c r="M4" s="67"/>
      <c r="N4" s="359" t="s">
        <v>546</v>
      </c>
      <c r="O4" s="359"/>
      <c r="P4" s="359"/>
    </row>
    <row r="5" spans="1:13" ht="19.5" customHeight="1">
      <c r="A5" s="179" t="s">
        <v>524</v>
      </c>
      <c r="E5" s="118"/>
      <c r="F5" s="118"/>
      <c r="G5" s="118"/>
      <c r="H5" s="67" t="s">
        <v>427</v>
      </c>
      <c r="I5" s="118"/>
      <c r="J5" s="67" t="s">
        <v>459</v>
      </c>
      <c r="K5" s="67"/>
      <c r="L5" s="67" t="s">
        <v>471</v>
      </c>
      <c r="M5" s="67"/>
    </row>
    <row r="6" spans="5:13" ht="19.5" customHeight="1">
      <c r="E6" s="118"/>
      <c r="F6" s="118"/>
      <c r="G6" s="118"/>
      <c r="H6" s="67" t="s">
        <v>429</v>
      </c>
      <c r="I6" s="118"/>
      <c r="J6" s="67" t="s">
        <v>466</v>
      </c>
      <c r="K6" s="67"/>
      <c r="L6" s="67" t="s">
        <v>472</v>
      </c>
      <c r="M6" s="67"/>
    </row>
    <row r="7" spans="1:16" ht="21.75" customHeight="1">
      <c r="A7" s="380" t="s">
        <v>450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</row>
    <row r="8" spans="1:16" s="317" customFormat="1" ht="21.75" customHeight="1">
      <c r="A8" s="382" t="s">
        <v>366</v>
      </c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</row>
    <row r="9" spans="1:16" s="24" customFormat="1" ht="18" customHeight="1">
      <c r="A9" s="345" t="s">
        <v>13</v>
      </c>
      <c r="B9" s="367" t="s">
        <v>14</v>
      </c>
      <c r="C9" s="367" t="s">
        <v>15</v>
      </c>
      <c r="D9" s="367" t="s">
        <v>367</v>
      </c>
      <c r="E9" s="345" t="s">
        <v>368</v>
      </c>
      <c r="F9" s="339" t="s">
        <v>172</v>
      </c>
      <c r="G9" s="319"/>
      <c r="H9" s="319"/>
      <c r="I9" s="319"/>
      <c r="J9" s="319"/>
      <c r="K9" s="319"/>
      <c r="L9" s="319"/>
      <c r="M9" s="319"/>
      <c r="N9" s="339" t="s">
        <v>252</v>
      </c>
      <c r="O9" s="344" t="s">
        <v>0</v>
      </c>
      <c r="P9" s="344"/>
    </row>
    <row r="10" spans="1:16" s="140" customFormat="1" ht="18" customHeight="1">
      <c r="A10" s="345"/>
      <c r="B10" s="367"/>
      <c r="C10" s="367"/>
      <c r="D10" s="367"/>
      <c r="E10" s="345"/>
      <c r="F10" s="339"/>
      <c r="G10" s="167" t="s">
        <v>408</v>
      </c>
      <c r="H10" s="167" t="s">
        <v>409</v>
      </c>
      <c r="I10" s="167" t="s">
        <v>246</v>
      </c>
      <c r="J10" s="167" t="s">
        <v>467</v>
      </c>
      <c r="K10" s="167" t="s">
        <v>408</v>
      </c>
      <c r="L10" s="167" t="s">
        <v>409</v>
      </c>
      <c r="M10" s="167" t="s">
        <v>408</v>
      </c>
      <c r="N10" s="339"/>
      <c r="O10" s="2" t="s">
        <v>1</v>
      </c>
      <c r="P10" s="196" t="s">
        <v>2</v>
      </c>
    </row>
    <row r="11" spans="1:16" s="190" customFormat="1" ht="27" customHeight="1">
      <c r="A11" s="321" t="s">
        <v>565</v>
      </c>
      <c r="B11" s="318"/>
      <c r="C11" s="318"/>
      <c r="D11" s="318"/>
      <c r="E11" s="322"/>
      <c r="F11" s="323">
        <f aca="true" t="shared" si="0" ref="F11:L11">SUM(F12:F13)</f>
        <v>2633797</v>
      </c>
      <c r="G11" s="323">
        <f t="shared" si="0"/>
        <v>0</v>
      </c>
      <c r="H11" s="323">
        <f t="shared" si="0"/>
        <v>2633797</v>
      </c>
      <c r="I11" s="323">
        <f t="shared" si="0"/>
        <v>500</v>
      </c>
      <c r="J11" s="323">
        <f t="shared" si="0"/>
        <v>2634297</v>
      </c>
      <c r="K11" s="323">
        <f t="shared" si="0"/>
        <v>0</v>
      </c>
      <c r="L11" s="323">
        <f t="shared" si="0"/>
        <v>2634297</v>
      </c>
      <c r="M11" s="323">
        <f>SUM(M12:M13)</f>
        <v>86839</v>
      </c>
      <c r="N11" s="323">
        <f>SUM(N12:N13)</f>
        <v>2721136</v>
      </c>
      <c r="O11" s="323">
        <f>SUM(O12:O13)</f>
        <v>1379580</v>
      </c>
      <c r="P11" s="310">
        <f>O11/N11*100</f>
        <v>50.6986787870948</v>
      </c>
    </row>
    <row r="12" spans="1:16" s="190" customFormat="1" ht="21.75" customHeight="1">
      <c r="A12" s="83">
        <v>801</v>
      </c>
      <c r="B12" s="59">
        <v>80104</v>
      </c>
      <c r="C12" s="85">
        <v>2510</v>
      </c>
      <c r="D12" s="14" t="s">
        <v>369</v>
      </c>
      <c r="E12" s="14" t="s">
        <v>370</v>
      </c>
      <c r="F12" s="97">
        <v>2624508</v>
      </c>
      <c r="G12" s="97"/>
      <c r="H12" s="97">
        <v>2624508</v>
      </c>
      <c r="I12" s="97">
        <v>500</v>
      </c>
      <c r="J12" s="97">
        <f>SUM(H12:I12)</f>
        <v>2625008</v>
      </c>
      <c r="K12" s="97">
        <v>0</v>
      </c>
      <c r="L12" s="97">
        <f>SUM(J12:K12)</f>
        <v>2625008</v>
      </c>
      <c r="M12" s="97">
        <v>86839</v>
      </c>
      <c r="N12" s="97">
        <f>SUM(L12:M12)</f>
        <v>2711847</v>
      </c>
      <c r="O12" s="97">
        <v>1375502</v>
      </c>
      <c r="P12" s="124">
        <f aca="true" t="shared" si="1" ref="P12:P66">O12/N12*100</f>
        <v>50.721961821592444</v>
      </c>
    </row>
    <row r="13" spans="1:16" s="190" customFormat="1" ht="27" customHeight="1">
      <c r="A13" s="83">
        <v>801</v>
      </c>
      <c r="B13" s="83">
        <v>80146</v>
      </c>
      <c r="C13" s="59">
        <v>2510</v>
      </c>
      <c r="D13" s="197" t="s">
        <v>369</v>
      </c>
      <c r="E13" s="197" t="s">
        <v>371</v>
      </c>
      <c r="F13" s="184">
        <v>9289</v>
      </c>
      <c r="G13" s="184"/>
      <c r="H13" s="184">
        <v>9289</v>
      </c>
      <c r="I13" s="184"/>
      <c r="J13" s="184">
        <v>9289</v>
      </c>
      <c r="K13" s="184">
        <v>0</v>
      </c>
      <c r="L13" s="184">
        <v>9289</v>
      </c>
      <c r="M13" s="184">
        <v>0</v>
      </c>
      <c r="N13" s="184">
        <v>9289</v>
      </c>
      <c r="O13" s="184">
        <v>4078</v>
      </c>
      <c r="P13" s="124">
        <f t="shared" si="1"/>
        <v>43.901388739369146</v>
      </c>
    </row>
    <row r="14" spans="1:16" s="190" customFormat="1" ht="27" customHeight="1">
      <c r="A14" s="321" t="s">
        <v>566</v>
      </c>
      <c r="B14" s="318"/>
      <c r="C14" s="318"/>
      <c r="D14" s="318"/>
      <c r="E14" s="318"/>
      <c r="F14" s="262">
        <f aca="true" t="shared" si="2" ref="F14:L14">SUM(F15:F16)</f>
        <v>329691</v>
      </c>
      <c r="G14" s="262">
        <f t="shared" si="2"/>
        <v>0</v>
      </c>
      <c r="H14" s="262">
        <f t="shared" si="2"/>
        <v>329691</v>
      </c>
      <c r="I14" s="262">
        <f t="shared" si="2"/>
        <v>0</v>
      </c>
      <c r="J14" s="262">
        <f t="shared" si="2"/>
        <v>329691</v>
      </c>
      <c r="K14" s="262">
        <f t="shared" si="2"/>
        <v>0</v>
      </c>
      <c r="L14" s="262">
        <f t="shared" si="2"/>
        <v>329691</v>
      </c>
      <c r="M14" s="262">
        <f>SUM(M15:M16)</f>
        <v>22222</v>
      </c>
      <c r="N14" s="262">
        <f>SUM(N15:N16)</f>
        <v>351913</v>
      </c>
      <c r="O14" s="262">
        <f>SUM(O15:O16)</f>
        <v>164871</v>
      </c>
      <c r="P14" s="310">
        <f t="shared" si="1"/>
        <v>46.84993165924533</v>
      </c>
    </row>
    <row r="15" spans="1:16" s="190" customFormat="1" ht="21.75" customHeight="1">
      <c r="A15" s="83">
        <v>801</v>
      </c>
      <c r="B15" s="59">
        <v>80101</v>
      </c>
      <c r="C15" s="85">
        <v>2540</v>
      </c>
      <c r="D15" s="14" t="s">
        <v>372</v>
      </c>
      <c r="E15" s="14" t="s">
        <v>373</v>
      </c>
      <c r="F15" s="97">
        <v>262446</v>
      </c>
      <c r="G15" s="97"/>
      <c r="H15" s="97">
        <v>262446</v>
      </c>
      <c r="I15" s="97"/>
      <c r="J15" s="97">
        <v>262446</v>
      </c>
      <c r="K15" s="97">
        <v>0</v>
      </c>
      <c r="L15" s="97">
        <v>262446</v>
      </c>
      <c r="M15" s="97">
        <v>22222</v>
      </c>
      <c r="N15" s="97">
        <f>SUM(L15:M15)</f>
        <v>284668</v>
      </c>
      <c r="O15" s="97">
        <v>131226</v>
      </c>
      <c r="P15" s="124">
        <f t="shared" si="1"/>
        <v>46.097910548428345</v>
      </c>
    </row>
    <row r="16" spans="1:16" s="190" customFormat="1" ht="21.75" customHeight="1">
      <c r="A16" s="83">
        <v>801</v>
      </c>
      <c r="B16" s="82">
        <v>80103</v>
      </c>
      <c r="C16" s="59">
        <v>2540</v>
      </c>
      <c r="D16" s="198" t="s">
        <v>374</v>
      </c>
      <c r="E16" s="14" t="s">
        <v>375</v>
      </c>
      <c r="F16" s="97">
        <v>67245</v>
      </c>
      <c r="G16" s="97"/>
      <c r="H16" s="97">
        <v>67245</v>
      </c>
      <c r="I16" s="97"/>
      <c r="J16" s="97">
        <v>67245</v>
      </c>
      <c r="K16" s="97">
        <v>0</v>
      </c>
      <c r="L16" s="97">
        <v>67245</v>
      </c>
      <c r="M16" s="97">
        <v>0</v>
      </c>
      <c r="N16" s="97">
        <f>SUM(L16:M16)</f>
        <v>67245</v>
      </c>
      <c r="O16" s="97">
        <v>33645</v>
      </c>
      <c r="P16" s="124">
        <f t="shared" si="1"/>
        <v>50.033459736783406</v>
      </c>
    </row>
    <row r="17" spans="1:16" s="190" customFormat="1" ht="27" customHeight="1">
      <c r="A17" s="321" t="s">
        <v>567</v>
      </c>
      <c r="B17" s="318"/>
      <c r="C17" s="318"/>
      <c r="D17" s="318"/>
      <c r="E17" s="318"/>
      <c r="F17" s="262">
        <f aca="true" t="shared" si="3" ref="F17:L17">SUM(F18:F23)</f>
        <v>1819960</v>
      </c>
      <c r="G17" s="262">
        <f t="shared" si="3"/>
        <v>11500</v>
      </c>
      <c r="H17" s="262">
        <f t="shared" si="3"/>
        <v>1831460</v>
      </c>
      <c r="I17" s="262">
        <f t="shared" si="3"/>
        <v>0</v>
      </c>
      <c r="J17" s="262">
        <f t="shared" si="3"/>
        <v>1831460</v>
      </c>
      <c r="K17" s="262">
        <f t="shared" si="3"/>
        <v>0</v>
      </c>
      <c r="L17" s="262">
        <f t="shared" si="3"/>
        <v>1831460</v>
      </c>
      <c r="M17" s="262">
        <f>SUM(M18:M23)</f>
        <v>20000</v>
      </c>
      <c r="N17" s="262">
        <f>SUM(N18:N23)</f>
        <v>1851460</v>
      </c>
      <c r="O17" s="262">
        <f>SUM(O18:O23)</f>
        <v>905820</v>
      </c>
      <c r="P17" s="310">
        <f t="shared" si="1"/>
        <v>48.92463245222689</v>
      </c>
    </row>
    <row r="18" spans="1:16" s="183" customFormat="1" ht="21.75" customHeight="1">
      <c r="A18" s="83" t="s">
        <v>85</v>
      </c>
      <c r="B18" s="59">
        <v>92109</v>
      </c>
      <c r="C18" s="91">
        <v>2480</v>
      </c>
      <c r="D18" s="14" t="s">
        <v>376</v>
      </c>
      <c r="E18" s="14" t="s">
        <v>377</v>
      </c>
      <c r="F18" s="97">
        <f>450590+76000</f>
        <v>526590</v>
      </c>
      <c r="G18" s="97"/>
      <c r="H18" s="97">
        <f>SUM(F18:G18)</f>
        <v>526590</v>
      </c>
      <c r="I18" s="97"/>
      <c r="J18" s="97">
        <f>SUM(H18:I18)</f>
        <v>526590</v>
      </c>
      <c r="K18" s="97">
        <v>0</v>
      </c>
      <c r="L18" s="97">
        <f>SUM(J18:K18)</f>
        <v>526590</v>
      </c>
      <c r="M18" s="97">
        <v>20000</v>
      </c>
      <c r="N18" s="97">
        <f>SUM(L18:M18)</f>
        <v>546590</v>
      </c>
      <c r="O18" s="97">
        <v>293010</v>
      </c>
      <c r="P18" s="124">
        <f t="shared" si="1"/>
        <v>53.606908285918145</v>
      </c>
    </row>
    <row r="19" spans="1:16" s="183" customFormat="1" ht="21.75" customHeight="1">
      <c r="A19" s="83">
        <v>921</v>
      </c>
      <c r="B19" s="59">
        <v>92109</v>
      </c>
      <c r="C19" s="91">
        <v>2480</v>
      </c>
      <c r="D19" s="14" t="s">
        <v>376</v>
      </c>
      <c r="E19" s="14" t="s">
        <v>379</v>
      </c>
      <c r="F19" s="97">
        <v>0</v>
      </c>
      <c r="G19" s="97">
        <v>9500</v>
      </c>
      <c r="H19" s="97">
        <f aca="true" t="shared" si="4" ref="H19:H24">SUM(F19:G19)</f>
        <v>9500</v>
      </c>
      <c r="I19" s="97"/>
      <c r="J19" s="97">
        <f aca="true" t="shared" si="5" ref="J19:J24">SUM(H19:I19)</f>
        <v>9500</v>
      </c>
      <c r="K19" s="97">
        <v>0</v>
      </c>
      <c r="L19" s="97">
        <f aca="true" t="shared" si="6" ref="L19:L24">SUM(J19:K19)</f>
        <v>9500</v>
      </c>
      <c r="M19" s="97">
        <v>0</v>
      </c>
      <c r="N19" s="97">
        <f aca="true" t="shared" si="7" ref="N19:N24">SUM(L19:M19)</f>
        <v>9500</v>
      </c>
      <c r="O19" s="97">
        <v>1500</v>
      </c>
      <c r="P19" s="124">
        <f t="shared" si="1"/>
        <v>15.789473684210526</v>
      </c>
    </row>
    <row r="20" spans="1:16" s="183" customFormat="1" ht="21.75" customHeight="1">
      <c r="A20" s="83">
        <v>921</v>
      </c>
      <c r="B20" s="83" t="s">
        <v>86</v>
      </c>
      <c r="C20" s="91">
        <v>2480</v>
      </c>
      <c r="D20" s="14" t="s">
        <v>378</v>
      </c>
      <c r="E20" s="14" t="s">
        <v>377</v>
      </c>
      <c r="F20" s="97">
        <v>871000</v>
      </c>
      <c r="G20" s="97"/>
      <c r="H20" s="97">
        <f t="shared" si="4"/>
        <v>871000</v>
      </c>
      <c r="I20" s="97"/>
      <c r="J20" s="97">
        <f t="shared" si="5"/>
        <v>871000</v>
      </c>
      <c r="K20" s="97">
        <v>0</v>
      </c>
      <c r="L20" s="97">
        <f t="shared" si="6"/>
        <v>871000</v>
      </c>
      <c r="M20" s="97">
        <v>0</v>
      </c>
      <c r="N20" s="97">
        <f t="shared" si="7"/>
        <v>871000</v>
      </c>
      <c r="O20" s="97">
        <v>402590</v>
      </c>
      <c r="P20" s="124">
        <f t="shared" si="1"/>
        <v>46.22158438576349</v>
      </c>
    </row>
    <row r="21" spans="1:16" s="183" customFormat="1" ht="21.75" customHeight="1">
      <c r="A21" s="83">
        <v>921</v>
      </c>
      <c r="B21" s="83" t="s">
        <v>86</v>
      </c>
      <c r="C21" s="91">
        <v>2480</v>
      </c>
      <c r="D21" s="14" t="s">
        <v>378</v>
      </c>
      <c r="E21" s="14" t="s">
        <v>379</v>
      </c>
      <c r="F21" s="184">
        <f>45000+900</f>
        <v>45900</v>
      </c>
      <c r="G21" s="184"/>
      <c r="H21" s="97">
        <f t="shared" si="4"/>
        <v>45900</v>
      </c>
      <c r="I21" s="184"/>
      <c r="J21" s="97">
        <f t="shared" si="5"/>
        <v>45900</v>
      </c>
      <c r="K21" s="184">
        <v>0</v>
      </c>
      <c r="L21" s="97">
        <f t="shared" si="6"/>
        <v>45900</v>
      </c>
      <c r="M21" s="184">
        <v>0</v>
      </c>
      <c r="N21" s="97">
        <f t="shared" si="7"/>
        <v>45900</v>
      </c>
      <c r="O21" s="184">
        <v>22950</v>
      </c>
      <c r="P21" s="124">
        <f t="shared" si="1"/>
        <v>50</v>
      </c>
    </row>
    <row r="22" spans="1:16" s="183" customFormat="1" ht="21.75" customHeight="1">
      <c r="A22" s="83">
        <v>921</v>
      </c>
      <c r="B22" s="83" t="s">
        <v>168</v>
      </c>
      <c r="C22" s="59">
        <v>2480</v>
      </c>
      <c r="D22" s="88" t="s">
        <v>380</v>
      </c>
      <c r="E22" s="14" t="s">
        <v>377</v>
      </c>
      <c r="F22" s="97">
        <v>376470</v>
      </c>
      <c r="G22" s="97"/>
      <c r="H22" s="97">
        <f t="shared" si="4"/>
        <v>376470</v>
      </c>
      <c r="I22" s="97"/>
      <c r="J22" s="97">
        <f t="shared" si="5"/>
        <v>376470</v>
      </c>
      <c r="K22" s="97">
        <v>0</v>
      </c>
      <c r="L22" s="97">
        <f t="shared" si="6"/>
        <v>376470</v>
      </c>
      <c r="M22" s="97">
        <v>0</v>
      </c>
      <c r="N22" s="97">
        <f t="shared" si="7"/>
        <v>376470</v>
      </c>
      <c r="O22" s="97">
        <v>184270</v>
      </c>
      <c r="P22" s="124">
        <f t="shared" si="1"/>
        <v>48.946795229367545</v>
      </c>
    </row>
    <row r="23" spans="1:16" s="183" customFormat="1" ht="21.75" customHeight="1">
      <c r="A23" s="83">
        <v>921</v>
      </c>
      <c r="B23" s="83">
        <v>92118</v>
      </c>
      <c r="C23" s="59">
        <v>2480</v>
      </c>
      <c r="D23" s="88" t="s">
        <v>380</v>
      </c>
      <c r="E23" s="14" t="s">
        <v>379</v>
      </c>
      <c r="F23" s="97">
        <v>0</v>
      </c>
      <c r="G23" s="97">
        <v>2000</v>
      </c>
      <c r="H23" s="97">
        <f t="shared" si="4"/>
        <v>2000</v>
      </c>
      <c r="I23" s="97"/>
      <c r="J23" s="97">
        <f t="shared" si="5"/>
        <v>2000</v>
      </c>
      <c r="K23" s="97">
        <v>0</v>
      </c>
      <c r="L23" s="97">
        <f t="shared" si="6"/>
        <v>2000</v>
      </c>
      <c r="M23" s="97">
        <v>0</v>
      </c>
      <c r="N23" s="97">
        <f t="shared" si="7"/>
        <v>2000</v>
      </c>
      <c r="O23" s="97">
        <v>1500</v>
      </c>
      <c r="P23" s="124">
        <f t="shared" si="1"/>
        <v>75</v>
      </c>
    </row>
    <row r="24" spans="1:16" s="25" customFormat="1" ht="21.75" customHeight="1">
      <c r="A24" s="346" t="s">
        <v>568</v>
      </c>
      <c r="B24" s="346"/>
      <c r="C24" s="346"/>
      <c r="D24" s="346"/>
      <c r="E24" s="346"/>
      <c r="F24" s="315">
        <f>SUM(F17,F14,F11,)</f>
        <v>4783448</v>
      </c>
      <c r="G24" s="315">
        <f>SUM(G17,G14,G11,)</f>
        <v>11500</v>
      </c>
      <c r="H24" s="316">
        <f t="shared" si="4"/>
        <v>4794948</v>
      </c>
      <c r="I24" s="315">
        <f>SUM(I17,I14,I11,)</f>
        <v>500</v>
      </c>
      <c r="J24" s="316">
        <f t="shared" si="5"/>
        <v>4795448</v>
      </c>
      <c r="K24" s="315">
        <f>SUM(K17,K14,K11,)</f>
        <v>0</v>
      </c>
      <c r="L24" s="316">
        <f t="shared" si="6"/>
        <v>4795448</v>
      </c>
      <c r="M24" s="315">
        <f>SUM(M17,M14,M11,)</f>
        <v>129061</v>
      </c>
      <c r="N24" s="316">
        <f t="shared" si="7"/>
        <v>4924509</v>
      </c>
      <c r="O24" s="315">
        <f>SUM(O17,O14,O11,)</f>
        <v>2450271</v>
      </c>
      <c r="P24" s="203">
        <f t="shared" si="1"/>
        <v>49.756655942754904</v>
      </c>
    </row>
    <row r="25" spans="1:16" s="25" customFormat="1" ht="21.75" customHeight="1">
      <c r="A25" s="135"/>
      <c r="B25" s="135"/>
      <c r="C25" s="135"/>
      <c r="D25" s="135"/>
      <c r="E25" s="135"/>
      <c r="F25" s="264"/>
      <c r="G25" s="264"/>
      <c r="H25" s="314"/>
      <c r="I25" s="264"/>
      <c r="J25" s="314"/>
      <c r="K25" s="264"/>
      <c r="L25" s="314"/>
      <c r="M25" s="264"/>
      <c r="N25" s="314"/>
      <c r="O25" s="264"/>
      <c r="P25" s="313"/>
    </row>
    <row r="26" spans="1:16" s="25" customFormat="1" ht="21.75" customHeight="1">
      <c r="A26" s="135"/>
      <c r="B26" s="135"/>
      <c r="C26" s="135"/>
      <c r="D26" s="135"/>
      <c r="E26" s="135"/>
      <c r="F26" s="264"/>
      <c r="G26" s="264"/>
      <c r="H26" s="314"/>
      <c r="I26" s="264"/>
      <c r="J26" s="314"/>
      <c r="K26" s="264"/>
      <c r="L26" s="314"/>
      <c r="M26" s="264"/>
      <c r="N26" s="314"/>
      <c r="O26" s="264"/>
      <c r="P26" s="313"/>
    </row>
    <row r="27" spans="1:16" s="25" customFormat="1" ht="16.5" customHeight="1">
      <c r="A27" s="135"/>
      <c r="B27" s="135"/>
      <c r="C27" s="135"/>
      <c r="D27" s="135"/>
      <c r="E27" s="135"/>
      <c r="F27" s="264"/>
      <c r="G27" s="264"/>
      <c r="H27" s="314"/>
      <c r="I27" s="264"/>
      <c r="J27" s="314"/>
      <c r="K27" s="264"/>
      <c r="L27" s="314"/>
      <c r="M27" s="264"/>
      <c r="N27" s="314"/>
      <c r="O27" s="264"/>
      <c r="P27" s="313"/>
    </row>
    <row r="28" spans="1:16" s="185" customFormat="1" ht="23.25" customHeight="1">
      <c r="A28" s="335" t="s">
        <v>422</v>
      </c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</row>
    <row r="29" spans="1:16" s="185" customFormat="1" ht="18" customHeight="1">
      <c r="A29" s="367" t="s">
        <v>13</v>
      </c>
      <c r="B29" s="367" t="s">
        <v>14</v>
      </c>
      <c r="C29" s="367" t="s">
        <v>15</v>
      </c>
      <c r="D29" s="367" t="s">
        <v>367</v>
      </c>
      <c r="E29" s="376" t="s">
        <v>368</v>
      </c>
      <c r="F29" s="378" t="s">
        <v>171</v>
      </c>
      <c r="G29" s="265"/>
      <c r="H29" s="265"/>
      <c r="I29" s="265"/>
      <c r="J29" s="265"/>
      <c r="K29" s="265"/>
      <c r="L29" s="265"/>
      <c r="M29" s="265"/>
      <c r="N29" s="378" t="s">
        <v>252</v>
      </c>
      <c r="O29" s="331" t="s">
        <v>0</v>
      </c>
      <c r="P29" s="331"/>
    </row>
    <row r="30" spans="1:16" s="140" customFormat="1" ht="18" customHeight="1">
      <c r="A30" s="367"/>
      <c r="B30" s="367"/>
      <c r="C30" s="367"/>
      <c r="D30" s="367"/>
      <c r="E30" s="377"/>
      <c r="F30" s="379"/>
      <c r="G30" s="268" t="s">
        <v>408</v>
      </c>
      <c r="H30" s="268" t="s">
        <v>410</v>
      </c>
      <c r="I30" s="268" t="s">
        <v>246</v>
      </c>
      <c r="J30" s="268" t="s">
        <v>436</v>
      </c>
      <c r="K30" s="268" t="s">
        <v>408</v>
      </c>
      <c r="L30" s="268" t="s">
        <v>410</v>
      </c>
      <c r="M30" s="268" t="s">
        <v>408</v>
      </c>
      <c r="N30" s="379"/>
      <c r="O30" s="2" t="s">
        <v>1</v>
      </c>
      <c r="P30" s="196" t="s">
        <v>2</v>
      </c>
    </row>
    <row r="31" spans="1:16" s="182" customFormat="1" ht="21.75" customHeight="1">
      <c r="A31" s="93">
        <v>851</v>
      </c>
      <c r="B31" s="93">
        <v>85154</v>
      </c>
      <c r="C31" s="93">
        <v>2630</v>
      </c>
      <c r="D31" s="199" t="s">
        <v>381</v>
      </c>
      <c r="E31" s="198" t="s">
        <v>382</v>
      </c>
      <c r="F31" s="97">
        <v>56000</v>
      </c>
      <c r="G31" s="97">
        <f>-31147-7953</f>
        <v>-39100</v>
      </c>
      <c r="H31" s="97">
        <f>SUM(F31:G31)</f>
        <v>16900</v>
      </c>
      <c r="I31" s="97">
        <v>-16900</v>
      </c>
      <c r="J31" s="97">
        <f>SUM(H31:I31)</f>
        <v>0</v>
      </c>
      <c r="K31" s="97">
        <v>0</v>
      </c>
      <c r="L31" s="97">
        <f>SUM(J31:K31)</f>
        <v>0</v>
      </c>
      <c r="M31" s="97">
        <v>0</v>
      </c>
      <c r="N31" s="97">
        <f>SUM(L31:M31)</f>
        <v>0</v>
      </c>
      <c r="O31" s="97">
        <v>0</v>
      </c>
      <c r="P31" s="124">
        <v>0</v>
      </c>
    </row>
    <row r="32" spans="1:16" s="182" customFormat="1" ht="21.75" customHeight="1">
      <c r="A32" s="93">
        <v>851</v>
      </c>
      <c r="B32" s="93">
        <v>85154</v>
      </c>
      <c r="C32" s="93">
        <v>2830</v>
      </c>
      <c r="D32" s="14" t="s">
        <v>384</v>
      </c>
      <c r="E32" s="198" t="s">
        <v>382</v>
      </c>
      <c r="F32" s="97">
        <v>0</v>
      </c>
      <c r="G32" s="97">
        <v>31147</v>
      </c>
      <c r="H32" s="97">
        <f aca="true" t="shared" si="8" ref="H32:H58">SUM(F32:G32)</f>
        <v>31147</v>
      </c>
      <c r="I32" s="97"/>
      <c r="J32" s="97">
        <f aca="true" t="shared" si="9" ref="J32:J58">SUM(H32:I32)</f>
        <v>31147</v>
      </c>
      <c r="K32" s="97">
        <v>0</v>
      </c>
      <c r="L32" s="97">
        <f aca="true" t="shared" si="10" ref="L32:L58">SUM(J32:K32)</f>
        <v>31147</v>
      </c>
      <c r="M32" s="97">
        <v>0</v>
      </c>
      <c r="N32" s="97">
        <f aca="true" t="shared" si="11" ref="N32:N58">SUM(L32:M32)</f>
        <v>31147</v>
      </c>
      <c r="O32" s="97">
        <v>15573.5</v>
      </c>
      <c r="P32" s="124">
        <f t="shared" si="1"/>
        <v>50</v>
      </c>
    </row>
    <row r="33" spans="1:16" s="182" customFormat="1" ht="21.75" customHeight="1">
      <c r="A33" s="93">
        <v>851</v>
      </c>
      <c r="B33" s="93">
        <v>85154</v>
      </c>
      <c r="C33" s="93">
        <v>2820</v>
      </c>
      <c r="D33" s="14" t="s">
        <v>385</v>
      </c>
      <c r="E33" s="198" t="s">
        <v>382</v>
      </c>
      <c r="F33" s="97">
        <v>0</v>
      </c>
      <c r="G33" s="97">
        <v>7953</v>
      </c>
      <c r="H33" s="97">
        <f t="shared" si="8"/>
        <v>7953</v>
      </c>
      <c r="I33" s="97"/>
      <c r="J33" s="97">
        <f t="shared" si="9"/>
        <v>7953</v>
      </c>
      <c r="K33" s="97">
        <v>0</v>
      </c>
      <c r="L33" s="97">
        <f t="shared" si="10"/>
        <v>7953</v>
      </c>
      <c r="M33" s="97">
        <v>0</v>
      </c>
      <c r="N33" s="97">
        <f t="shared" si="11"/>
        <v>7953</v>
      </c>
      <c r="O33" s="97">
        <v>1988.25</v>
      </c>
      <c r="P33" s="124">
        <f t="shared" si="1"/>
        <v>25</v>
      </c>
    </row>
    <row r="34" spans="1:16" s="182" customFormat="1" ht="27" customHeight="1">
      <c r="A34" s="93">
        <v>851</v>
      </c>
      <c r="B34" s="93">
        <v>85154</v>
      </c>
      <c r="C34" s="93">
        <v>2630</v>
      </c>
      <c r="D34" s="199" t="s">
        <v>381</v>
      </c>
      <c r="E34" s="198" t="s">
        <v>383</v>
      </c>
      <c r="F34" s="97">
        <v>10000</v>
      </c>
      <c r="G34" s="97">
        <v>-8000</v>
      </c>
      <c r="H34" s="97">
        <f t="shared" si="8"/>
        <v>2000</v>
      </c>
      <c r="I34" s="97">
        <v>-2000</v>
      </c>
      <c r="J34" s="97">
        <f t="shared" si="9"/>
        <v>0</v>
      </c>
      <c r="K34" s="97">
        <v>0</v>
      </c>
      <c r="L34" s="97">
        <f t="shared" si="10"/>
        <v>0</v>
      </c>
      <c r="M34" s="97">
        <v>0</v>
      </c>
      <c r="N34" s="97">
        <f t="shared" si="11"/>
        <v>0</v>
      </c>
      <c r="O34" s="97">
        <v>0</v>
      </c>
      <c r="P34" s="124">
        <v>0</v>
      </c>
    </row>
    <row r="35" spans="1:16" s="183" customFormat="1" ht="22.5" hidden="1">
      <c r="A35" s="93">
        <v>851</v>
      </c>
      <c r="B35" s="93">
        <v>85154</v>
      </c>
      <c r="C35" s="93">
        <v>2630</v>
      </c>
      <c r="D35" s="14" t="s">
        <v>384</v>
      </c>
      <c r="E35" s="198" t="s">
        <v>383</v>
      </c>
      <c r="F35" s="186"/>
      <c r="G35" s="186"/>
      <c r="H35" s="97">
        <f t="shared" si="8"/>
        <v>0</v>
      </c>
      <c r="I35" s="186"/>
      <c r="J35" s="97">
        <f t="shared" si="9"/>
        <v>0</v>
      </c>
      <c r="K35" s="186"/>
      <c r="L35" s="97">
        <f t="shared" si="10"/>
        <v>0</v>
      </c>
      <c r="M35" s="186"/>
      <c r="N35" s="97">
        <f t="shared" si="11"/>
        <v>0</v>
      </c>
      <c r="O35" s="186"/>
      <c r="P35" s="124" t="e">
        <f t="shared" si="1"/>
        <v>#DIV/0!</v>
      </c>
    </row>
    <row r="36" spans="1:16" s="183" customFormat="1" ht="22.5" hidden="1">
      <c r="A36" s="93">
        <v>851</v>
      </c>
      <c r="B36" s="93">
        <v>85154</v>
      </c>
      <c r="C36" s="93">
        <v>2630</v>
      </c>
      <c r="D36" s="14" t="s">
        <v>384</v>
      </c>
      <c r="E36" s="198" t="s">
        <v>383</v>
      </c>
      <c r="F36" s="186"/>
      <c r="G36" s="186"/>
      <c r="H36" s="97">
        <f t="shared" si="8"/>
        <v>0</v>
      </c>
      <c r="I36" s="186"/>
      <c r="J36" s="97">
        <f t="shared" si="9"/>
        <v>0</v>
      </c>
      <c r="K36" s="186"/>
      <c r="L36" s="97">
        <f t="shared" si="10"/>
        <v>0</v>
      </c>
      <c r="M36" s="186"/>
      <c r="N36" s="97">
        <f t="shared" si="11"/>
        <v>0</v>
      </c>
      <c r="O36" s="186"/>
      <c r="P36" s="124" t="e">
        <f t="shared" si="1"/>
        <v>#DIV/0!</v>
      </c>
    </row>
    <row r="37" spans="1:16" s="187" customFormat="1" ht="22.5" hidden="1">
      <c r="A37" s="93">
        <v>851</v>
      </c>
      <c r="B37" s="93">
        <v>85154</v>
      </c>
      <c r="C37" s="93">
        <v>2630</v>
      </c>
      <c r="D37" s="14" t="s">
        <v>385</v>
      </c>
      <c r="E37" s="198" t="s">
        <v>383</v>
      </c>
      <c r="F37" s="186"/>
      <c r="G37" s="186"/>
      <c r="H37" s="97">
        <f t="shared" si="8"/>
        <v>0</v>
      </c>
      <c r="I37" s="186"/>
      <c r="J37" s="97">
        <f t="shared" si="9"/>
        <v>0</v>
      </c>
      <c r="K37" s="186"/>
      <c r="L37" s="97">
        <f t="shared" si="10"/>
        <v>0</v>
      </c>
      <c r="M37" s="186"/>
      <c r="N37" s="97">
        <f t="shared" si="11"/>
        <v>0</v>
      </c>
      <c r="O37" s="186"/>
      <c r="P37" s="124" t="e">
        <f t="shared" si="1"/>
        <v>#DIV/0!</v>
      </c>
    </row>
    <row r="38" spans="1:16" s="187" customFormat="1" ht="22.5" hidden="1">
      <c r="A38" s="93">
        <v>851</v>
      </c>
      <c r="B38" s="93">
        <v>85154</v>
      </c>
      <c r="C38" s="93">
        <v>2630</v>
      </c>
      <c r="D38" s="14" t="s">
        <v>386</v>
      </c>
      <c r="E38" s="198" t="s">
        <v>383</v>
      </c>
      <c r="F38" s="186"/>
      <c r="G38" s="186"/>
      <c r="H38" s="97">
        <f t="shared" si="8"/>
        <v>0</v>
      </c>
      <c r="I38" s="186"/>
      <c r="J38" s="97">
        <f t="shared" si="9"/>
        <v>0</v>
      </c>
      <c r="K38" s="186"/>
      <c r="L38" s="97">
        <f t="shared" si="10"/>
        <v>0</v>
      </c>
      <c r="M38" s="186"/>
      <c r="N38" s="97">
        <f t="shared" si="11"/>
        <v>0</v>
      </c>
      <c r="O38" s="186"/>
      <c r="P38" s="124" t="e">
        <f t="shared" si="1"/>
        <v>#DIV/0!</v>
      </c>
    </row>
    <row r="39" spans="1:16" s="187" customFormat="1" ht="22.5" hidden="1">
      <c r="A39" s="93">
        <v>851</v>
      </c>
      <c r="B39" s="93">
        <v>85154</v>
      </c>
      <c r="C39" s="93">
        <v>2630</v>
      </c>
      <c r="D39" s="14" t="s">
        <v>387</v>
      </c>
      <c r="E39" s="198" t="s">
        <v>383</v>
      </c>
      <c r="F39" s="186"/>
      <c r="G39" s="186"/>
      <c r="H39" s="97">
        <f t="shared" si="8"/>
        <v>0</v>
      </c>
      <c r="I39" s="186"/>
      <c r="J39" s="97">
        <f t="shared" si="9"/>
        <v>0</v>
      </c>
      <c r="K39" s="186"/>
      <c r="L39" s="97">
        <f t="shared" si="10"/>
        <v>0</v>
      </c>
      <c r="M39" s="186"/>
      <c r="N39" s="97">
        <f t="shared" si="11"/>
        <v>0</v>
      </c>
      <c r="O39" s="186"/>
      <c r="P39" s="124" t="e">
        <f t="shared" si="1"/>
        <v>#DIV/0!</v>
      </c>
    </row>
    <row r="40" spans="1:16" s="187" customFormat="1" ht="27" customHeight="1">
      <c r="A40" s="93">
        <v>851</v>
      </c>
      <c r="B40" s="93">
        <v>85154</v>
      </c>
      <c r="C40" s="93">
        <v>2830</v>
      </c>
      <c r="D40" s="14" t="s">
        <v>384</v>
      </c>
      <c r="E40" s="198" t="s">
        <v>383</v>
      </c>
      <c r="F40" s="188">
        <v>0</v>
      </c>
      <c r="G40" s="188">
        <v>8000</v>
      </c>
      <c r="H40" s="97">
        <f t="shared" si="8"/>
        <v>8000</v>
      </c>
      <c r="I40" s="188"/>
      <c r="J40" s="97">
        <f t="shared" si="9"/>
        <v>8000</v>
      </c>
      <c r="K40" s="188">
        <v>0</v>
      </c>
      <c r="L40" s="97">
        <f t="shared" si="10"/>
        <v>8000</v>
      </c>
      <c r="M40" s="188">
        <v>0</v>
      </c>
      <c r="N40" s="97">
        <f t="shared" si="11"/>
        <v>8000</v>
      </c>
      <c r="O40" s="188">
        <v>4000</v>
      </c>
      <c r="P40" s="124">
        <f t="shared" si="1"/>
        <v>50</v>
      </c>
    </row>
    <row r="41" spans="1:16" s="187" customFormat="1" ht="21.75" customHeight="1">
      <c r="A41" s="93">
        <v>854</v>
      </c>
      <c r="B41" s="93">
        <v>85412</v>
      </c>
      <c r="C41" s="93">
        <v>2630</v>
      </c>
      <c r="D41" s="199" t="s">
        <v>381</v>
      </c>
      <c r="E41" s="198" t="s">
        <v>388</v>
      </c>
      <c r="F41" s="188">
        <v>36000</v>
      </c>
      <c r="G41" s="188">
        <v>0</v>
      </c>
      <c r="H41" s="97">
        <f t="shared" si="8"/>
        <v>36000</v>
      </c>
      <c r="I41" s="188"/>
      <c r="J41" s="97">
        <f t="shared" si="9"/>
        <v>36000</v>
      </c>
      <c r="K41" s="188">
        <v>0</v>
      </c>
      <c r="L41" s="97">
        <f t="shared" si="10"/>
        <v>36000</v>
      </c>
      <c r="M41" s="188">
        <v>-36000</v>
      </c>
      <c r="N41" s="97">
        <f t="shared" si="11"/>
        <v>0</v>
      </c>
      <c r="O41" s="188">
        <v>0</v>
      </c>
      <c r="P41" s="124">
        <v>0</v>
      </c>
    </row>
    <row r="42" spans="1:16" s="187" customFormat="1" ht="21.75" customHeight="1">
      <c r="A42" s="93">
        <v>854</v>
      </c>
      <c r="B42" s="93">
        <v>85412</v>
      </c>
      <c r="C42" s="93">
        <v>2820</v>
      </c>
      <c r="D42" s="14" t="s">
        <v>385</v>
      </c>
      <c r="E42" s="198" t="s">
        <v>388</v>
      </c>
      <c r="F42" s="188">
        <v>0</v>
      </c>
      <c r="G42" s="188"/>
      <c r="H42" s="97"/>
      <c r="I42" s="188"/>
      <c r="J42" s="97"/>
      <c r="K42" s="188"/>
      <c r="L42" s="97">
        <v>0</v>
      </c>
      <c r="M42" s="188">
        <v>5680</v>
      </c>
      <c r="N42" s="97">
        <f t="shared" si="11"/>
        <v>5680</v>
      </c>
      <c r="O42" s="188">
        <v>0</v>
      </c>
      <c r="P42" s="124">
        <f t="shared" si="1"/>
        <v>0</v>
      </c>
    </row>
    <row r="43" spans="1:16" s="187" customFormat="1" ht="21.75" customHeight="1">
      <c r="A43" s="93">
        <v>854</v>
      </c>
      <c r="B43" s="93">
        <v>85412</v>
      </c>
      <c r="C43" s="93">
        <v>2820</v>
      </c>
      <c r="D43" s="169" t="s">
        <v>390</v>
      </c>
      <c r="E43" s="198" t="s">
        <v>388</v>
      </c>
      <c r="F43" s="188">
        <v>0</v>
      </c>
      <c r="G43" s="188"/>
      <c r="H43" s="97"/>
      <c r="I43" s="188"/>
      <c r="J43" s="97"/>
      <c r="K43" s="188"/>
      <c r="L43" s="97">
        <v>0</v>
      </c>
      <c r="M43" s="188">
        <v>3610</v>
      </c>
      <c r="N43" s="97">
        <f t="shared" si="11"/>
        <v>3610</v>
      </c>
      <c r="O43" s="188">
        <v>0</v>
      </c>
      <c r="P43" s="124">
        <f t="shared" si="1"/>
        <v>0</v>
      </c>
    </row>
    <row r="44" spans="1:16" s="187" customFormat="1" ht="21.75" customHeight="1">
      <c r="A44" s="93">
        <v>854</v>
      </c>
      <c r="B44" s="93">
        <v>85412</v>
      </c>
      <c r="C44" s="93">
        <v>2830</v>
      </c>
      <c r="D44" s="14" t="s">
        <v>384</v>
      </c>
      <c r="E44" s="198" t="s">
        <v>388</v>
      </c>
      <c r="F44" s="188">
        <v>0</v>
      </c>
      <c r="G44" s="188"/>
      <c r="H44" s="97"/>
      <c r="I44" s="188"/>
      <c r="J44" s="97"/>
      <c r="K44" s="188"/>
      <c r="L44" s="97">
        <v>0</v>
      </c>
      <c r="M44" s="188">
        <v>26710</v>
      </c>
      <c r="N44" s="97">
        <f t="shared" si="11"/>
        <v>26710</v>
      </c>
      <c r="O44" s="188">
        <v>0</v>
      </c>
      <c r="P44" s="124">
        <f t="shared" si="1"/>
        <v>0</v>
      </c>
    </row>
    <row r="45" spans="1:16" s="187" customFormat="1" ht="21.75" customHeight="1">
      <c r="A45" s="93">
        <v>926</v>
      </c>
      <c r="B45" s="93">
        <v>92605</v>
      </c>
      <c r="C45" s="93">
        <v>2630</v>
      </c>
      <c r="D45" s="199" t="s">
        <v>381</v>
      </c>
      <c r="E45" s="198" t="s">
        <v>89</v>
      </c>
      <c r="F45" s="188">
        <v>250000</v>
      </c>
      <c r="G45" s="188">
        <v>-247500</v>
      </c>
      <c r="H45" s="97">
        <f t="shared" si="8"/>
        <v>2500</v>
      </c>
      <c r="I45" s="188"/>
      <c r="J45" s="97">
        <f t="shared" si="9"/>
        <v>2500</v>
      </c>
      <c r="K45" s="188">
        <v>-2000</v>
      </c>
      <c r="L45" s="97">
        <f t="shared" si="10"/>
        <v>500</v>
      </c>
      <c r="M45" s="188">
        <v>70000</v>
      </c>
      <c r="N45" s="97">
        <f t="shared" si="11"/>
        <v>70500</v>
      </c>
      <c r="O45" s="188">
        <v>0</v>
      </c>
      <c r="P45" s="124">
        <f t="shared" si="1"/>
        <v>0</v>
      </c>
    </row>
    <row r="46" spans="1:16" s="190" customFormat="1" ht="21.75" customHeight="1">
      <c r="A46" s="93">
        <v>926</v>
      </c>
      <c r="B46" s="93">
        <v>92605</v>
      </c>
      <c r="C46" s="93">
        <v>2820</v>
      </c>
      <c r="D46" s="169" t="s">
        <v>412</v>
      </c>
      <c r="E46" s="198" t="s">
        <v>89</v>
      </c>
      <c r="F46" s="189">
        <v>0</v>
      </c>
      <c r="G46" s="189">
        <v>131400</v>
      </c>
      <c r="H46" s="97">
        <f t="shared" si="8"/>
        <v>131400</v>
      </c>
      <c r="I46" s="189"/>
      <c r="J46" s="97">
        <f t="shared" si="9"/>
        <v>131400</v>
      </c>
      <c r="K46" s="189">
        <v>0</v>
      </c>
      <c r="L46" s="97">
        <f t="shared" si="10"/>
        <v>131400</v>
      </c>
      <c r="M46" s="189">
        <v>0</v>
      </c>
      <c r="N46" s="97">
        <f t="shared" si="11"/>
        <v>131400</v>
      </c>
      <c r="O46" s="189">
        <v>68400</v>
      </c>
      <c r="P46" s="124">
        <f t="shared" si="1"/>
        <v>52.054794520547944</v>
      </c>
    </row>
    <row r="47" spans="1:16" s="190" customFormat="1" ht="21.75" customHeight="1">
      <c r="A47" s="93">
        <v>926</v>
      </c>
      <c r="B47" s="93">
        <v>92605</v>
      </c>
      <c r="C47" s="93">
        <v>2820</v>
      </c>
      <c r="D47" s="169" t="s">
        <v>389</v>
      </c>
      <c r="E47" s="198" t="s">
        <v>89</v>
      </c>
      <c r="F47" s="189">
        <v>0</v>
      </c>
      <c r="G47" s="189">
        <v>62000</v>
      </c>
      <c r="H47" s="97">
        <f t="shared" si="8"/>
        <v>62000</v>
      </c>
      <c r="I47" s="189"/>
      <c r="J47" s="97">
        <f t="shared" si="9"/>
        <v>62000</v>
      </c>
      <c r="K47" s="189">
        <v>0</v>
      </c>
      <c r="L47" s="97">
        <f t="shared" si="10"/>
        <v>62000</v>
      </c>
      <c r="M47" s="189">
        <v>0</v>
      </c>
      <c r="N47" s="97">
        <f t="shared" si="11"/>
        <v>62000</v>
      </c>
      <c r="O47" s="189">
        <v>35500</v>
      </c>
      <c r="P47" s="124">
        <f t="shared" si="1"/>
        <v>57.25806451612904</v>
      </c>
    </row>
    <row r="48" spans="1:16" s="190" customFormat="1" ht="21.75" customHeight="1">
      <c r="A48" s="93">
        <v>926</v>
      </c>
      <c r="B48" s="93">
        <v>92605</v>
      </c>
      <c r="C48" s="93">
        <v>2820</v>
      </c>
      <c r="D48" s="169" t="s">
        <v>413</v>
      </c>
      <c r="E48" s="198" t="s">
        <v>89</v>
      </c>
      <c r="F48" s="189">
        <v>0</v>
      </c>
      <c r="G48" s="189">
        <v>4000</v>
      </c>
      <c r="H48" s="97">
        <f t="shared" si="8"/>
        <v>4000</v>
      </c>
      <c r="I48" s="189"/>
      <c r="J48" s="97">
        <f t="shared" si="9"/>
        <v>4000</v>
      </c>
      <c r="K48" s="189">
        <v>0</v>
      </c>
      <c r="L48" s="97">
        <f t="shared" si="10"/>
        <v>4000</v>
      </c>
      <c r="M48" s="189">
        <v>0</v>
      </c>
      <c r="N48" s="97">
        <f t="shared" si="11"/>
        <v>4000</v>
      </c>
      <c r="O48" s="189">
        <v>4000</v>
      </c>
      <c r="P48" s="124">
        <f t="shared" si="1"/>
        <v>100</v>
      </c>
    </row>
    <row r="49" spans="1:16" s="190" customFormat="1" ht="21.75" customHeight="1">
      <c r="A49" s="93">
        <v>926</v>
      </c>
      <c r="B49" s="93">
        <v>92605</v>
      </c>
      <c r="C49" s="93">
        <v>2820</v>
      </c>
      <c r="D49" s="169" t="s">
        <v>414</v>
      </c>
      <c r="E49" s="198" t="s">
        <v>89</v>
      </c>
      <c r="F49" s="189">
        <v>0</v>
      </c>
      <c r="G49" s="189">
        <v>5000</v>
      </c>
      <c r="H49" s="97">
        <f t="shared" si="8"/>
        <v>5000</v>
      </c>
      <c r="I49" s="189"/>
      <c r="J49" s="97">
        <f t="shared" si="9"/>
        <v>5000</v>
      </c>
      <c r="K49" s="189">
        <v>0</v>
      </c>
      <c r="L49" s="97">
        <f t="shared" si="10"/>
        <v>5000</v>
      </c>
      <c r="M49" s="189">
        <v>0</v>
      </c>
      <c r="N49" s="97">
        <f t="shared" si="11"/>
        <v>5000</v>
      </c>
      <c r="O49" s="189">
        <v>4000</v>
      </c>
      <c r="P49" s="124">
        <f t="shared" si="1"/>
        <v>80</v>
      </c>
    </row>
    <row r="50" spans="1:16" s="190" customFormat="1" ht="21.75" customHeight="1">
      <c r="A50" s="93">
        <v>926</v>
      </c>
      <c r="B50" s="93">
        <v>92605</v>
      </c>
      <c r="C50" s="93">
        <v>2820</v>
      </c>
      <c r="D50" s="169" t="s">
        <v>415</v>
      </c>
      <c r="E50" s="198" t="s">
        <v>89</v>
      </c>
      <c r="F50" s="189">
        <v>0</v>
      </c>
      <c r="G50" s="189">
        <v>3500</v>
      </c>
      <c r="H50" s="97">
        <f t="shared" si="8"/>
        <v>3500</v>
      </c>
      <c r="I50" s="189"/>
      <c r="J50" s="97">
        <f t="shared" si="9"/>
        <v>3500</v>
      </c>
      <c r="K50" s="189">
        <v>0</v>
      </c>
      <c r="L50" s="97">
        <f t="shared" si="10"/>
        <v>3500</v>
      </c>
      <c r="M50" s="189">
        <v>0</v>
      </c>
      <c r="N50" s="97">
        <f t="shared" si="11"/>
        <v>3500</v>
      </c>
      <c r="O50" s="189">
        <v>2500</v>
      </c>
      <c r="P50" s="124">
        <f t="shared" si="1"/>
        <v>71.42857142857143</v>
      </c>
    </row>
    <row r="51" spans="1:16" s="190" customFormat="1" ht="21.75" customHeight="1">
      <c r="A51" s="93">
        <v>926</v>
      </c>
      <c r="B51" s="93">
        <v>92605</v>
      </c>
      <c r="C51" s="93">
        <v>2820</v>
      </c>
      <c r="D51" s="169" t="s">
        <v>416</v>
      </c>
      <c r="E51" s="198" t="s">
        <v>89</v>
      </c>
      <c r="F51" s="189">
        <v>0</v>
      </c>
      <c r="G51" s="189">
        <v>8000</v>
      </c>
      <c r="H51" s="97">
        <f t="shared" si="8"/>
        <v>8000</v>
      </c>
      <c r="I51" s="189"/>
      <c r="J51" s="97">
        <f t="shared" si="9"/>
        <v>8000</v>
      </c>
      <c r="K51" s="189">
        <v>0</v>
      </c>
      <c r="L51" s="97">
        <f t="shared" si="10"/>
        <v>8000</v>
      </c>
      <c r="M51" s="189">
        <v>0</v>
      </c>
      <c r="N51" s="97">
        <f t="shared" si="11"/>
        <v>8000</v>
      </c>
      <c r="O51" s="189">
        <v>6000</v>
      </c>
      <c r="P51" s="124">
        <f t="shared" si="1"/>
        <v>75</v>
      </c>
    </row>
    <row r="52" spans="1:16" s="190" customFormat="1" ht="21.75" customHeight="1">
      <c r="A52" s="93">
        <v>926</v>
      </c>
      <c r="B52" s="93">
        <v>92605</v>
      </c>
      <c r="C52" s="93">
        <v>2820</v>
      </c>
      <c r="D52" s="169" t="s">
        <v>417</v>
      </c>
      <c r="E52" s="198" t="s">
        <v>89</v>
      </c>
      <c r="F52" s="189">
        <v>0</v>
      </c>
      <c r="G52" s="189">
        <v>2500</v>
      </c>
      <c r="H52" s="97">
        <f t="shared" si="8"/>
        <v>2500</v>
      </c>
      <c r="I52" s="189"/>
      <c r="J52" s="97">
        <f t="shared" si="9"/>
        <v>2500</v>
      </c>
      <c r="K52" s="189">
        <v>0</v>
      </c>
      <c r="L52" s="97">
        <f t="shared" si="10"/>
        <v>2500</v>
      </c>
      <c r="M52" s="189">
        <v>0</v>
      </c>
      <c r="N52" s="97">
        <f t="shared" si="11"/>
        <v>2500</v>
      </c>
      <c r="O52" s="189">
        <v>1500</v>
      </c>
      <c r="P52" s="124">
        <f t="shared" si="1"/>
        <v>60</v>
      </c>
    </row>
    <row r="53" spans="1:16" s="190" customFormat="1" ht="21.75" customHeight="1">
      <c r="A53" s="93">
        <v>926</v>
      </c>
      <c r="B53" s="93">
        <v>92605</v>
      </c>
      <c r="C53" s="93">
        <v>2820</v>
      </c>
      <c r="D53" s="169" t="s">
        <v>418</v>
      </c>
      <c r="E53" s="198" t="s">
        <v>89</v>
      </c>
      <c r="F53" s="189">
        <v>0</v>
      </c>
      <c r="G53" s="189">
        <v>7000</v>
      </c>
      <c r="H53" s="97">
        <f t="shared" si="8"/>
        <v>7000</v>
      </c>
      <c r="I53" s="189"/>
      <c r="J53" s="97">
        <f t="shared" si="9"/>
        <v>7000</v>
      </c>
      <c r="K53" s="189">
        <v>0</v>
      </c>
      <c r="L53" s="97">
        <f t="shared" si="10"/>
        <v>7000</v>
      </c>
      <c r="M53" s="189">
        <v>0</v>
      </c>
      <c r="N53" s="97">
        <f t="shared" si="11"/>
        <v>7000</v>
      </c>
      <c r="O53" s="189">
        <v>5000</v>
      </c>
      <c r="P53" s="124">
        <f t="shared" si="1"/>
        <v>71.42857142857143</v>
      </c>
    </row>
    <row r="54" spans="1:16" s="190" customFormat="1" ht="21.75" customHeight="1">
      <c r="A54" s="93">
        <v>926</v>
      </c>
      <c r="B54" s="93">
        <v>92605</v>
      </c>
      <c r="C54" s="93">
        <v>2820</v>
      </c>
      <c r="D54" s="169" t="s">
        <v>419</v>
      </c>
      <c r="E54" s="198" t="s">
        <v>89</v>
      </c>
      <c r="F54" s="189">
        <v>0</v>
      </c>
      <c r="G54" s="189">
        <v>14000</v>
      </c>
      <c r="H54" s="97">
        <f t="shared" si="8"/>
        <v>14000</v>
      </c>
      <c r="I54" s="189"/>
      <c r="J54" s="97">
        <f t="shared" si="9"/>
        <v>14000</v>
      </c>
      <c r="K54" s="189">
        <v>0</v>
      </c>
      <c r="L54" s="97">
        <f t="shared" si="10"/>
        <v>14000</v>
      </c>
      <c r="M54" s="189">
        <v>0</v>
      </c>
      <c r="N54" s="97">
        <f t="shared" si="11"/>
        <v>14000</v>
      </c>
      <c r="O54" s="189">
        <v>10000</v>
      </c>
      <c r="P54" s="124">
        <f t="shared" si="1"/>
        <v>71.42857142857143</v>
      </c>
    </row>
    <row r="55" spans="1:16" s="190" customFormat="1" ht="21.75" customHeight="1">
      <c r="A55" s="93">
        <v>926</v>
      </c>
      <c r="B55" s="93">
        <v>92605</v>
      </c>
      <c r="C55" s="93">
        <v>2820</v>
      </c>
      <c r="D55" s="169" t="s">
        <v>420</v>
      </c>
      <c r="E55" s="198" t="s">
        <v>89</v>
      </c>
      <c r="F55" s="189">
        <v>0</v>
      </c>
      <c r="G55" s="189">
        <v>6000</v>
      </c>
      <c r="H55" s="97">
        <f t="shared" si="8"/>
        <v>6000</v>
      </c>
      <c r="I55" s="189"/>
      <c r="J55" s="97">
        <f t="shared" si="9"/>
        <v>6000</v>
      </c>
      <c r="K55" s="189">
        <v>0</v>
      </c>
      <c r="L55" s="97">
        <f t="shared" si="10"/>
        <v>6000</v>
      </c>
      <c r="M55" s="189">
        <v>0</v>
      </c>
      <c r="N55" s="97">
        <f t="shared" si="11"/>
        <v>6000</v>
      </c>
      <c r="O55" s="189">
        <v>4000</v>
      </c>
      <c r="P55" s="124">
        <f t="shared" si="1"/>
        <v>66.66666666666666</v>
      </c>
    </row>
    <row r="56" spans="1:16" s="190" customFormat="1" ht="21.75" customHeight="1">
      <c r="A56" s="93">
        <v>926</v>
      </c>
      <c r="B56" s="93">
        <v>92605</v>
      </c>
      <c r="C56" s="93">
        <v>2820</v>
      </c>
      <c r="D56" s="169" t="s">
        <v>385</v>
      </c>
      <c r="E56" s="198" t="s">
        <v>89</v>
      </c>
      <c r="F56" s="189">
        <v>0</v>
      </c>
      <c r="G56" s="189">
        <v>1500</v>
      </c>
      <c r="H56" s="97">
        <f t="shared" si="8"/>
        <v>1500</v>
      </c>
      <c r="I56" s="189"/>
      <c r="J56" s="97">
        <f t="shared" si="9"/>
        <v>1500</v>
      </c>
      <c r="K56" s="189">
        <v>0</v>
      </c>
      <c r="L56" s="97">
        <f t="shared" si="10"/>
        <v>1500</v>
      </c>
      <c r="M56" s="189">
        <v>0</v>
      </c>
      <c r="N56" s="97">
        <f t="shared" si="11"/>
        <v>1500</v>
      </c>
      <c r="O56" s="189">
        <v>1500</v>
      </c>
      <c r="P56" s="124">
        <f t="shared" si="1"/>
        <v>100</v>
      </c>
    </row>
    <row r="57" spans="1:16" s="190" customFormat="1" ht="21.75" customHeight="1">
      <c r="A57" s="93">
        <v>926</v>
      </c>
      <c r="B57" s="93">
        <v>92605</v>
      </c>
      <c r="C57" s="93">
        <v>2820</v>
      </c>
      <c r="D57" s="169" t="s">
        <v>390</v>
      </c>
      <c r="E57" s="198" t="s">
        <v>89</v>
      </c>
      <c r="F57" s="189">
        <v>0</v>
      </c>
      <c r="G57" s="189">
        <v>2000</v>
      </c>
      <c r="H57" s="97">
        <f t="shared" si="8"/>
        <v>2000</v>
      </c>
      <c r="I57" s="189"/>
      <c r="J57" s="97">
        <f t="shared" si="9"/>
        <v>2000</v>
      </c>
      <c r="K57" s="189">
        <v>0</v>
      </c>
      <c r="L57" s="97">
        <f t="shared" si="10"/>
        <v>2000</v>
      </c>
      <c r="M57" s="189">
        <v>0</v>
      </c>
      <c r="N57" s="97">
        <f t="shared" si="11"/>
        <v>2000</v>
      </c>
      <c r="O57" s="189">
        <v>1000</v>
      </c>
      <c r="P57" s="124">
        <f t="shared" si="1"/>
        <v>50</v>
      </c>
    </row>
    <row r="58" spans="1:16" s="190" customFormat="1" ht="21.75" customHeight="1">
      <c r="A58" s="93">
        <v>926</v>
      </c>
      <c r="B58" s="93">
        <v>92605</v>
      </c>
      <c r="C58" s="93">
        <v>2830</v>
      </c>
      <c r="D58" s="169" t="s">
        <v>421</v>
      </c>
      <c r="E58" s="198" t="s">
        <v>89</v>
      </c>
      <c r="F58" s="189">
        <v>0</v>
      </c>
      <c r="G58" s="189">
        <v>600</v>
      </c>
      <c r="H58" s="97">
        <f t="shared" si="8"/>
        <v>600</v>
      </c>
      <c r="I58" s="189"/>
      <c r="J58" s="97">
        <f t="shared" si="9"/>
        <v>600</v>
      </c>
      <c r="K58" s="189">
        <v>0</v>
      </c>
      <c r="L58" s="97">
        <f t="shared" si="10"/>
        <v>600</v>
      </c>
      <c r="M58" s="189">
        <v>0</v>
      </c>
      <c r="N58" s="97">
        <f t="shared" si="11"/>
        <v>600</v>
      </c>
      <c r="O58" s="189">
        <v>0</v>
      </c>
      <c r="P58" s="124">
        <f t="shared" si="1"/>
        <v>0</v>
      </c>
    </row>
    <row r="59" spans="1:16" s="25" customFormat="1" ht="30" customHeight="1">
      <c r="A59" s="332" t="s">
        <v>90</v>
      </c>
      <c r="B59" s="333"/>
      <c r="C59" s="333"/>
      <c r="D59" s="333"/>
      <c r="E59" s="334"/>
      <c r="F59" s="47">
        <f>SUM(F31:F58)</f>
        <v>352000</v>
      </c>
      <c r="G59" s="47">
        <f aca="true" t="shared" si="12" ref="G59:O59">SUM(G31:G58)</f>
        <v>0</v>
      </c>
      <c r="H59" s="47">
        <f t="shared" si="12"/>
        <v>352000</v>
      </c>
      <c r="I59" s="47">
        <f t="shared" si="12"/>
        <v>-18900</v>
      </c>
      <c r="J59" s="47">
        <f t="shared" si="12"/>
        <v>333100</v>
      </c>
      <c r="K59" s="47">
        <f t="shared" si="12"/>
        <v>-2000</v>
      </c>
      <c r="L59" s="47">
        <f t="shared" si="12"/>
        <v>331100</v>
      </c>
      <c r="M59" s="47">
        <f t="shared" si="12"/>
        <v>70000</v>
      </c>
      <c r="N59" s="47">
        <f t="shared" si="12"/>
        <v>401100</v>
      </c>
      <c r="O59" s="47">
        <f t="shared" si="12"/>
        <v>164961.75</v>
      </c>
      <c r="P59" s="310">
        <f t="shared" si="1"/>
        <v>41.1273373223635</v>
      </c>
    </row>
    <row r="60" spans="1:16" s="25" customFormat="1" ht="30" customHeight="1">
      <c r="A60" s="341" t="s">
        <v>391</v>
      </c>
      <c r="B60" s="342"/>
      <c r="C60" s="342"/>
      <c r="D60" s="342"/>
      <c r="E60" s="342"/>
      <c r="F60" s="342"/>
      <c r="G60" s="342"/>
      <c r="H60" s="342"/>
      <c r="I60" s="342"/>
      <c r="J60" s="342"/>
      <c r="K60" s="342"/>
      <c r="L60" s="342"/>
      <c r="M60" s="342"/>
      <c r="N60" s="342"/>
      <c r="O60" s="342"/>
      <c r="P60" s="343"/>
    </row>
    <row r="61" spans="1:16" s="25" customFormat="1" ht="18" customHeight="1">
      <c r="A61" s="336" t="s">
        <v>13</v>
      </c>
      <c r="B61" s="338" t="s">
        <v>14</v>
      </c>
      <c r="C61" s="338" t="s">
        <v>15</v>
      </c>
      <c r="D61" s="325" t="s">
        <v>367</v>
      </c>
      <c r="E61" s="367" t="s">
        <v>368</v>
      </c>
      <c r="F61" s="340" t="s">
        <v>172</v>
      </c>
      <c r="G61" s="265"/>
      <c r="H61" s="265"/>
      <c r="I61" s="265"/>
      <c r="J61" s="265"/>
      <c r="K61" s="265"/>
      <c r="L61" s="265"/>
      <c r="M61" s="265"/>
      <c r="N61" s="340" t="s">
        <v>252</v>
      </c>
      <c r="O61" s="374" t="s">
        <v>0</v>
      </c>
      <c r="P61" s="375"/>
    </row>
    <row r="62" spans="1:16" s="140" customFormat="1" ht="18" customHeight="1">
      <c r="A62" s="337"/>
      <c r="B62" s="324"/>
      <c r="C62" s="324"/>
      <c r="D62" s="326"/>
      <c r="E62" s="367"/>
      <c r="F62" s="340"/>
      <c r="G62" s="167" t="s">
        <v>408</v>
      </c>
      <c r="H62" s="167" t="s">
        <v>410</v>
      </c>
      <c r="I62" s="167" t="s">
        <v>408</v>
      </c>
      <c r="J62" s="167" t="s">
        <v>467</v>
      </c>
      <c r="K62" s="167" t="s">
        <v>408</v>
      </c>
      <c r="L62" s="167" t="s">
        <v>410</v>
      </c>
      <c r="M62" s="167" t="s">
        <v>408</v>
      </c>
      <c r="N62" s="340"/>
      <c r="O62" s="167" t="s">
        <v>1</v>
      </c>
      <c r="P62" s="300" t="s">
        <v>2</v>
      </c>
    </row>
    <row r="63" spans="1:16" s="183" customFormat="1" ht="27" customHeight="1">
      <c r="A63" s="93">
        <v>854</v>
      </c>
      <c r="B63" s="93">
        <v>85495</v>
      </c>
      <c r="C63" s="93">
        <v>2320</v>
      </c>
      <c r="D63" s="14" t="s">
        <v>392</v>
      </c>
      <c r="E63" s="200" t="s">
        <v>393</v>
      </c>
      <c r="F63" s="188">
        <v>200000</v>
      </c>
      <c r="G63" s="188"/>
      <c r="H63" s="188">
        <v>200000</v>
      </c>
      <c r="I63" s="188"/>
      <c r="J63" s="188">
        <f>SUM(H63:I63)</f>
        <v>200000</v>
      </c>
      <c r="K63" s="188">
        <v>0</v>
      </c>
      <c r="L63" s="188">
        <f>SUM(J63:K63)</f>
        <v>200000</v>
      </c>
      <c r="M63" s="188">
        <v>0</v>
      </c>
      <c r="N63" s="188">
        <f>SUM(L63:M63)</f>
        <v>200000</v>
      </c>
      <c r="O63" s="188">
        <v>100200</v>
      </c>
      <c r="P63" s="124">
        <f t="shared" si="1"/>
        <v>50.1</v>
      </c>
    </row>
    <row r="64" spans="1:16" s="191" customFormat="1" ht="21.75" customHeight="1">
      <c r="A64" s="93">
        <v>854</v>
      </c>
      <c r="B64" s="93">
        <v>85495</v>
      </c>
      <c r="C64" s="93">
        <v>2320</v>
      </c>
      <c r="D64" s="14" t="s">
        <v>394</v>
      </c>
      <c r="E64" s="14" t="s">
        <v>395</v>
      </c>
      <c r="F64" s="64">
        <v>26650</v>
      </c>
      <c r="G64" s="64"/>
      <c r="H64" s="64">
        <v>26650</v>
      </c>
      <c r="I64" s="64"/>
      <c r="J64" s="188">
        <f>SUM(H64:I64)</f>
        <v>26650</v>
      </c>
      <c r="K64" s="64">
        <v>0</v>
      </c>
      <c r="L64" s="188">
        <f>SUM(J64:K64)</f>
        <v>26650</v>
      </c>
      <c r="M64" s="64">
        <v>0</v>
      </c>
      <c r="N64" s="188">
        <f>SUM(L64:M64)</f>
        <v>26650</v>
      </c>
      <c r="O64" s="64">
        <v>13330</v>
      </c>
      <c r="P64" s="124">
        <f t="shared" si="1"/>
        <v>50.0187617260788</v>
      </c>
    </row>
    <row r="65" spans="1:16" s="191" customFormat="1" ht="21.75" customHeight="1">
      <c r="A65" s="93">
        <v>926</v>
      </c>
      <c r="B65" s="93">
        <v>92605</v>
      </c>
      <c r="C65" s="93">
        <v>2320</v>
      </c>
      <c r="D65" s="14" t="s">
        <v>394</v>
      </c>
      <c r="E65" s="198" t="s">
        <v>469</v>
      </c>
      <c r="F65" s="64">
        <v>0</v>
      </c>
      <c r="G65" s="64"/>
      <c r="H65" s="64">
        <v>0</v>
      </c>
      <c r="I65" s="64"/>
      <c r="J65" s="188">
        <f>SUM(H65:I65)</f>
        <v>0</v>
      </c>
      <c r="K65" s="64">
        <v>7000</v>
      </c>
      <c r="L65" s="188">
        <f>SUM(J65:K65)</f>
        <v>7000</v>
      </c>
      <c r="M65" s="64">
        <v>0</v>
      </c>
      <c r="N65" s="188">
        <f>SUM(L65:M65)</f>
        <v>7000</v>
      </c>
      <c r="O65" s="64">
        <v>0</v>
      </c>
      <c r="P65" s="124">
        <f t="shared" si="1"/>
        <v>0</v>
      </c>
    </row>
    <row r="66" spans="1:16" s="177" customFormat="1" ht="27" customHeight="1">
      <c r="A66" s="332" t="s">
        <v>90</v>
      </c>
      <c r="B66" s="333"/>
      <c r="C66" s="333"/>
      <c r="D66" s="333"/>
      <c r="E66" s="334"/>
      <c r="F66" s="47">
        <f>SUM(F63:F64)</f>
        <v>226650</v>
      </c>
      <c r="G66" s="47">
        <f>SUM(G63:G64)</f>
        <v>0</v>
      </c>
      <c r="H66" s="47">
        <f>SUM(H63:H65)</f>
        <v>226650</v>
      </c>
      <c r="I66" s="47">
        <f>SUM(I63:I65)</f>
        <v>0</v>
      </c>
      <c r="J66" s="188">
        <f>SUM(J63:J65)</f>
        <v>226650</v>
      </c>
      <c r="K66" s="188">
        <f>SUM(K63:K65)</f>
        <v>7000</v>
      </c>
      <c r="L66" s="188">
        <f>SUM(J66:K66)</f>
        <v>233650</v>
      </c>
      <c r="M66" s="188">
        <f>SUM(M63:M65)</f>
        <v>0</v>
      </c>
      <c r="N66" s="263">
        <f>SUM(L66:M66)</f>
        <v>233650</v>
      </c>
      <c r="O66" s="47">
        <f>SUM(O63:O64)</f>
        <v>113530</v>
      </c>
      <c r="P66" s="310">
        <f t="shared" si="1"/>
        <v>48.58977102503745</v>
      </c>
    </row>
    <row r="67" spans="1:16" s="177" customFormat="1" ht="24" customHeight="1">
      <c r="A67" s="341" t="s">
        <v>433</v>
      </c>
      <c r="B67" s="342"/>
      <c r="C67" s="342"/>
      <c r="D67" s="342"/>
      <c r="E67" s="342"/>
      <c r="F67" s="342"/>
      <c r="G67" s="342"/>
      <c r="H67" s="342"/>
      <c r="I67" s="342"/>
      <c r="J67" s="342"/>
      <c r="K67" s="342"/>
      <c r="L67" s="342"/>
      <c r="M67" s="342"/>
      <c r="N67" s="342"/>
      <c r="O67" s="342"/>
      <c r="P67" s="343"/>
    </row>
    <row r="68" spans="1:16" s="177" customFormat="1" ht="18" customHeight="1">
      <c r="A68" s="367" t="s">
        <v>13</v>
      </c>
      <c r="B68" s="367" t="s">
        <v>14</v>
      </c>
      <c r="C68" s="367" t="s">
        <v>15</v>
      </c>
      <c r="D68" s="367" t="s">
        <v>367</v>
      </c>
      <c r="E68" s="367" t="s">
        <v>368</v>
      </c>
      <c r="F68" s="340" t="s">
        <v>172</v>
      </c>
      <c r="G68" s="265"/>
      <c r="H68" s="265"/>
      <c r="I68" s="265"/>
      <c r="J68" s="265"/>
      <c r="K68" s="265"/>
      <c r="L68" s="265"/>
      <c r="M68" s="265"/>
      <c r="N68" s="340" t="s">
        <v>252</v>
      </c>
      <c r="O68" s="331" t="s">
        <v>0</v>
      </c>
      <c r="P68" s="331"/>
    </row>
    <row r="69" spans="1:16" s="177" customFormat="1" ht="18" customHeight="1">
      <c r="A69" s="367"/>
      <c r="B69" s="367"/>
      <c r="C69" s="367"/>
      <c r="D69" s="367"/>
      <c r="E69" s="367"/>
      <c r="F69" s="340"/>
      <c r="G69" s="167" t="s">
        <v>408</v>
      </c>
      <c r="H69" s="167" t="s">
        <v>410</v>
      </c>
      <c r="I69" s="167" t="s">
        <v>246</v>
      </c>
      <c r="J69" s="167" t="s">
        <v>467</v>
      </c>
      <c r="K69" s="167" t="s">
        <v>408</v>
      </c>
      <c r="L69" s="167" t="s">
        <v>410</v>
      </c>
      <c r="M69" s="167" t="s">
        <v>408</v>
      </c>
      <c r="N69" s="340"/>
      <c r="O69" s="181" t="s">
        <v>1</v>
      </c>
      <c r="P69" s="300" t="s">
        <v>2</v>
      </c>
    </row>
    <row r="70" spans="1:16" s="137" customFormat="1" ht="33.75">
      <c r="A70" s="63">
        <v>851</v>
      </c>
      <c r="B70" s="63">
        <v>85154</v>
      </c>
      <c r="C70" s="63">
        <v>2710</v>
      </c>
      <c r="D70" s="62" t="s">
        <v>438</v>
      </c>
      <c r="E70" s="50" t="s">
        <v>439</v>
      </c>
      <c r="F70" s="301">
        <v>0</v>
      </c>
      <c r="G70" s="301"/>
      <c r="H70" s="301">
        <f>SUM(F70:G70)</f>
        <v>0</v>
      </c>
      <c r="I70" s="301">
        <v>11551</v>
      </c>
      <c r="J70" s="301">
        <f>SUM(H70:I70)</f>
        <v>11551</v>
      </c>
      <c r="K70" s="301">
        <v>0</v>
      </c>
      <c r="L70" s="301">
        <f>SUM(J70:K70)</f>
        <v>11551</v>
      </c>
      <c r="M70" s="301">
        <v>0</v>
      </c>
      <c r="N70" s="301">
        <f>SUM(L70:M70)</f>
        <v>11551</v>
      </c>
      <c r="O70" s="104">
        <v>0</v>
      </c>
      <c r="P70" s="124">
        <f aca="true" t="shared" si="13" ref="P70:P88">O70/N70*100</f>
        <v>0</v>
      </c>
    </row>
    <row r="71" spans="1:16" s="137" customFormat="1" ht="33.75">
      <c r="A71" s="63">
        <v>853</v>
      </c>
      <c r="B71" s="63">
        <v>85311</v>
      </c>
      <c r="C71" s="63">
        <v>2710</v>
      </c>
      <c r="D71" s="62" t="s">
        <v>477</v>
      </c>
      <c r="E71" s="50" t="s">
        <v>478</v>
      </c>
      <c r="F71" s="301">
        <v>0</v>
      </c>
      <c r="G71" s="301"/>
      <c r="H71" s="301"/>
      <c r="I71" s="301"/>
      <c r="J71" s="301"/>
      <c r="K71" s="301"/>
      <c r="L71" s="301">
        <v>0</v>
      </c>
      <c r="M71" s="301">
        <v>5352</v>
      </c>
      <c r="N71" s="301">
        <f>SUM(L71:M71)</f>
        <v>5352</v>
      </c>
      <c r="O71" s="104">
        <v>0</v>
      </c>
      <c r="P71" s="124">
        <f t="shared" si="13"/>
        <v>0</v>
      </c>
    </row>
    <row r="72" spans="1:16" s="177" customFormat="1" ht="21.75" customHeight="1">
      <c r="A72" s="332" t="s">
        <v>90</v>
      </c>
      <c r="B72" s="333"/>
      <c r="C72" s="333"/>
      <c r="D72" s="333"/>
      <c r="E72" s="334"/>
      <c r="F72" s="266">
        <f>SUM(F70:F70)</f>
        <v>0</v>
      </c>
      <c r="G72" s="266">
        <f>SUM(G70:G70)</f>
        <v>0</v>
      </c>
      <c r="H72" s="266">
        <f>SUM(F72:G72)</f>
        <v>0</v>
      </c>
      <c r="I72" s="266">
        <f>SUM(I70:I70)</f>
        <v>11551</v>
      </c>
      <c r="J72" s="266">
        <f>SUM(H72:I72)</f>
        <v>11551</v>
      </c>
      <c r="K72" s="266">
        <f>SUM(K70:K70)</f>
        <v>0</v>
      </c>
      <c r="L72" s="266">
        <f>SUM(J72:K72)</f>
        <v>11551</v>
      </c>
      <c r="M72" s="266">
        <f>SUM(M70:M71)</f>
        <v>5352</v>
      </c>
      <c r="N72" s="266">
        <f>SUM(L72:M72)</f>
        <v>16903</v>
      </c>
      <c r="O72" s="47">
        <f>SUM(O70:O70)</f>
        <v>0</v>
      </c>
      <c r="P72" s="310">
        <f t="shared" si="13"/>
        <v>0</v>
      </c>
    </row>
    <row r="73" spans="1:16" s="25" customFormat="1" ht="27" customHeight="1">
      <c r="A73" s="335" t="s">
        <v>453</v>
      </c>
      <c r="B73" s="335"/>
      <c r="C73" s="335"/>
      <c r="D73" s="335"/>
      <c r="E73" s="335"/>
      <c r="F73" s="34">
        <f aca="true" t="shared" si="14" ref="F73:O73">SUM(F24,F59,F66,F72)</f>
        <v>5362098</v>
      </c>
      <c r="G73" s="34">
        <f t="shared" si="14"/>
        <v>11500</v>
      </c>
      <c r="H73" s="34">
        <f t="shared" si="14"/>
        <v>5373598</v>
      </c>
      <c r="I73" s="34">
        <f t="shared" si="14"/>
        <v>-6849</v>
      </c>
      <c r="J73" s="34">
        <f t="shared" si="14"/>
        <v>5366749</v>
      </c>
      <c r="K73" s="34">
        <f t="shared" si="14"/>
        <v>5000</v>
      </c>
      <c r="L73" s="34">
        <f t="shared" si="14"/>
        <v>5371749</v>
      </c>
      <c r="M73" s="34">
        <f t="shared" si="14"/>
        <v>204413</v>
      </c>
      <c r="N73" s="34">
        <f t="shared" si="14"/>
        <v>5576162</v>
      </c>
      <c r="O73" s="34">
        <f t="shared" si="14"/>
        <v>2728762.75</v>
      </c>
      <c r="P73" s="310">
        <f t="shared" si="13"/>
        <v>48.93621724046037</v>
      </c>
    </row>
    <row r="74" spans="1:16" s="25" customFormat="1" ht="27" customHeight="1">
      <c r="A74" s="312"/>
      <c r="B74" s="312"/>
      <c r="C74" s="312"/>
      <c r="D74" s="312"/>
      <c r="E74" s="312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313"/>
    </row>
    <row r="75" spans="1:16" s="25" customFormat="1" ht="27" customHeight="1">
      <c r="A75" s="312"/>
      <c r="B75" s="312"/>
      <c r="C75" s="312"/>
      <c r="D75" s="312"/>
      <c r="E75" s="312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313"/>
    </row>
    <row r="76" spans="1:16" s="25" customFormat="1" ht="27" customHeight="1">
      <c r="A76" s="312"/>
      <c r="B76" s="312"/>
      <c r="C76" s="312"/>
      <c r="D76" s="312"/>
      <c r="E76" s="312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313"/>
    </row>
    <row r="77" spans="1:16" s="25" customFormat="1" ht="27" customHeight="1">
      <c r="A77" s="312"/>
      <c r="B77" s="312"/>
      <c r="C77" s="312"/>
      <c r="D77" s="312"/>
      <c r="E77" s="312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313"/>
    </row>
    <row r="78" spans="1:16" ht="27" customHeight="1">
      <c r="A78" s="381" t="s">
        <v>451</v>
      </c>
      <c r="B78" s="381"/>
      <c r="C78" s="381"/>
      <c r="D78" s="381"/>
      <c r="E78" s="381"/>
      <c r="F78" s="381"/>
      <c r="G78" s="381"/>
      <c r="H78" s="381"/>
      <c r="I78" s="381"/>
      <c r="J78" s="381"/>
      <c r="K78" s="381"/>
      <c r="L78" s="381"/>
      <c r="M78" s="381"/>
      <c r="N78" s="381"/>
      <c r="O78" s="381"/>
      <c r="P78" s="381"/>
    </row>
    <row r="79" spans="1:16" ht="27" customHeight="1">
      <c r="A79" s="335" t="s">
        <v>452</v>
      </c>
      <c r="B79" s="335"/>
      <c r="C79" s="335"/>
      <c r="D79" s="335"/>
      <c r="E79" s="335"/>
      <c r="F79" s="335"/>
      <c r="G79" s="335"/>
      <c r="H79" s="335"/>
      <c r="I79" s="335"/>
      <c r="J79" s="335"/>
      <c r="K79" s="335"/>
      <c r="L79" s="335"/>
      <c r="M79" s="335"/>
      <c r="N79" s="335"/>
      <c r="O79" s="335"/>
      <c r="P79" s="335"/>
    </row>
    <row r="80" spans="1:16" ht="18" customHeight="1">
      <c r="A80" s="367" t="s">
        <v>13</v>
      </c>
      <c r="B80" s="367" t="s">
        <v>14</v>
      </c>
      <c r="C80" s="367" t="s">
        <v>15</v>
      </c>
      <c r="D80" s="367" t="s">
        <v>367</v>
      </c>
      <c r="E80" s="367" t="s">
        <v>368</v>
      </c>
      <c r="F80" s="340" t="s">
        <v>172</v>
      </c>
      <c r="G80" s="265"/>
      <c r="H80" s="265"/>
      <c r="I80" s="265"/>
      <c r="J80" s="265"/>
      <c r="K80" s="265"/>
      <c r="L80" s="265"/>
      <c r="M80" s="265"/>
      <c r="N80" s="340" t="s">
        <v>252</v>
      </c>
      <c r="O80" s="331" t="s">
        <v>0</v>
      </c>
      <c r="P80" s="331"/>
    </row>
    <row r="81" spans="1:16" ht="18" customHeight="1">
      <c r="A81" s="367"/>
      <c r="B81" s="367"/>
      <c r="C81" s="367"/>
      <c r="D81" s="367"/>
      <c r="E81" s="367"/>
      <c r="F81" s="340"/>
      <c r="G81" s="167" t="s">
        <v>408</v>
      </c>
      <c r="H81" s="167" t="s">
        <v>410</v>
      </c>
      <c r="I81" s="167" t="s">
        <v>246</v>
      </c>
      <c r="J81" s="167" t="s">
        <v>467</v>
      </c>
      <c r="K81" s="167" t="s">
        <v>408</v>
      </c>
      <c r="L81" s="167" t="s">
        <v>410</v>
      </c>
      <c r="M81" s="167" t="s">
        <v>408</v>
      </c>
      <c r="N81" s="340"/>
      <c r="O81" s="167" t="s">
        <v>1</v>
      </c>
      <c r="P81" s="300" t="s">
        <v>2</v>
      </c>
    </row>
    <row r="82" spans="1:16" s="24" customFormat="1" ht="67.5">
      <c r="A82" s="63">
        <v>600</v>
      </c>
      <c r="B82" s="63">
        <v>60013</v>
      </c>
      <c r="C82" s="63">
        <v>6300</v>
      </c>
      <c r="D82" s="62" t="s">
        <v>440</v>
      </c>
      <c r="E82" s="50" t="s">
        <v>441</v>
      </c>
      <c r="F82" s="301">
        <v>0</v>
      </c>
      <c r="G82" s="301"/>
      <c r="H82" s="301">
        <f>SUM(F82:G82)</f>
        <v>0</v>
      </c>
      <c r="I82" s="301">
        <v>30000</v>
      </c>
      <c r="J82" s="301">
        <f>SUM(H82:I82)</f>
        <v>30000</v>
      </c>
      <c r="K82" s="301">
        <v>0</v>
      </c>
      <c r="L82" s="301">
        <f>SUM(J82:K82)</f>
        <v>30000</v>
      </c>
      <c r="M82" s="301">
        <v>0</v>
      </c>
      <c r="N82" s="301">
        <f>SUM(L82:M82)</f>
        <v>30000</v>
      </c>
      <c r="O82" s="104">
        <v>0</v>
      </c>
      <c r="P82" s="124">
        <f t="shared" si="13"/>
        <v>0</v>
      </c>
    </row>
    <row r="83" spans="1:16" ht="27" customHeight="1">
      <c r="A83" s="332" t="s">
        <v>90</v>
      </c>
      <c r="B83" s="333"/>
      <c r="C83" s="333"/>
      <c r="D83" s="333"/>
      <c r="E83" s="334"/>
      <c r="F83" s="266">
        <f>SUM(F82:F82)</f>
        <v>0</v>
      </c>
      <c r="G83" s="266">
        <f>SUM(G82:G82)</f>
        <v>0</v>
      </c>
      <c r="H83" s="266">
        <f>SUM(F83:G83)</f>
        <v>0</v>
      </c>
      <c r="I83" s="266">
        <f>SUM(I82:I82)</f>
        <v>30000</v>
      </c>
      <c r="J83" s="266">
        <f>SUM(H83:I83)</f>
        <v>30000</v>
      </c>
      <c r="K83" s="266">
        <f>SUM(K82:K82)</f>
        <v>0</v>
      </c>
      <c r="L83" s="266">
        <f>SUM(J83:K83)</f>
        <v>30000</v>
      </c>
      <c r="M83" s="266">
        <f>SUM(M82:M82)</f>
        <v>0</v>
      </c>
      <c r="N83" s="266">
        <f>SUM(L83:M83)</f>
        <v>30000</v>
      </c>
      <c r="O83" s="47">
        <f>SUM(O82:O82)</f>
        <v>0</v>
      </c>
      <c r="P83" s="310">
        <f t="shared" si="13"/>
        <v>0</v>
      </c>
    </row>
    <row r="84" spans="1:16" ht="22.5" customHeight="1">
      <c r="A84" s="341" t="s">
        <v>509</v>
      </c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3"/>
    </row>
    <row r="85" spans="1:16" s="309" customFormat="1" ht="33.75">
      <c r="A85" s="304">
        <v>754</v>
      </c>
      <c r="B85" s="304">
        <v>75411</v>
      </c>
      <c r="C85" s="304">
        <v>6220</v>
      </c>
      <c r="D85" s="305" t="s">
        <v>508</v>
      </c>
      <c r="E85" s="306" t="s">
        <v>11</v>
      </c>
      <c r="F85" s="307">
        <v>0</v>
      </c>
      <c r="G85" s="307"/>
      <c r="H85" s="307"/>
      <c r="I85" s="307"/>
      <c r="J85" s="307"/>
      <c r="K85" s="307"/>
      <c r="L85" s="307">
        <v>0</v>
      </c>
      <c r="M85" s="307">
        <v>25000</v>
      </c>
      <c r="N85" s="307">
        <f>SUM(L85:M85)</f>
        <v>25000</v>
      </c>
      <c r="O85" s="308">
        <v>0</v>
      </c>
      <c r="P85" s="124">
        <f t="shared" si="13"/>
        <v>0</v>
      </c>
    </row>
    <row r="86" spans="1:16" ht="27" customHeight="1">
      <c r="A86" s="332" t="s">
        <v>90</v>
      </c>
      <c r="B86" s="333"/>
      <c r="C86" s="333"/>
      <c r="D86" s="333"/>
      <c r="E86" s="334"/>
      <c r="F86" s="289">
        <f>SUM(F82,F85)</f>
        <v>0</v>
      </c>
      <c r="G86" s="290"/>
      <c r="H86" s="290"/>
      <c r="I86" s="290"/>
      <c r="J86" s="290"/>
      <c r="K86" s="290"/>
      <c r="L86" s="290">
        <f>SUM(L85)</f>
        <v>0</v>
      </c>
      <c r="M86" s="290">
        <f>SUM(M85)</f>
        <v>25000</v>
      </c>
      <c r="N86" s="289">
        <f>SUM(N85)</f>
        <v>25000</v>
      </c>
      <c r="O86" s="289">
        <f>SUM(O82,O85)</f>
        <v>0</v>
      </c>
      <c r="P86" s="310">
        <f t="shared" si="13"/>
        <v>0</v>
      </c>
    </row>
    <row r="87" spans="1:16" s="267" customFormat="1" ht="27" customHeight="1">
      <c r="A87" s="202" t="s">
        <v>514</v>
      </c>
      <c r="B87" s="202"/>
      <c r="C87" s="202"/>
      <c r="D87" s="202"/>
      <c r="E87" s="202"/>
      <c r="F87" s="203">
        <f>SUM(F83,F86)</f>
        <v>0</v>
      </c>
      <c r="G87" s="202"/>
      <c r="H87" s="203">
        <f>SUM(H83)</f>
        <v>0</v>
      </c>
      <c r="I87" s="203">
        <f>SUM(I83)</f>
        <v>30000</v>
      </c>
      <c r="J87" s="203">
        <f>SUM(J83)</f>
        <v>30000</v>
      </c>
      <c r="K87" s="203">
        <f>SUM(K83)</f>
        <v>0</v>
      </c>
      <c r="L87" s="203">
        <f>SUM(L83,L86)</f>
        <v>30000</v>
      </c>
      <c r="M87" s="203">
        <f>SUM(M83,M86)</f>
        <v>25000</v>
      </c>
      <c r="N87" s="203">
        <f>SUM(N83,N86)</f>
        <v>55000</v>
      </c>
      <c r="O87" s="203">
        <f>SUM(O83,O86)</f>
        <v>0</v>
      </c>
      <c r="P87" s="310">
        <f t="shared" si="13"/>
        <v>0</v>
      </c>
    </row>
    <row r="88" spans="1:16" s="311" customFormat="1" ht="27" customHeight="1">
      <c r="A88" s="346" t="s">
        <v>455</v>
      </c>
      <c r="B88" s="346"/>
      <c r="C88" s="346"/>
      <c r="D88" s="346"/>
      <c r="E88" s="346"/>
      <c r="F88" s="203">
        <f>SUM(F87,F73,)</f>
        <v>5362098</v>
      </c>
      <c r="G88" s="320"/>
      <c r="H88" s="203">
        <f aca="true" t="shared" si="15" ref="H88:M88">SUM(H87,H73)</f>
        <v>5373598</v>
      </c>
      <c r="I88" s="203">
        <f t="shared" si="15"/>
        <v>23151</v>
      </c>
      <c r="J88" s="203">
        <f t="shared" si="15"/>
        <v>5396749</v>
      </c>
      <c r="K88" s="203">
        <f t="shared" si="15"/>
        <v>5000</v>
      </c>
      <c r="L88" s="203">
        <f t="shared" si="15"/>
        <v>5401749</v>
      </c>
      <c r="M88" s="203">
        <f t="shared" si="15"/>
        <v>229413</v>
      </c>
      <c r="N88" s="203">
        <f>SUM(L88:M88)</f>
        <v>5631162</v>
      </c>
      <c r="O88" s="203">
        <f>SUM(O87,O73,)</f>
        <v>2728762.75</v>
      </c>
      <c r="P88" s="203">
        <f t="shared" si="13"/>
        <v>48.45825337647896</v>
      </c>
    </row>
  </sheetData>
  <mergeCells count="60">
    <mergeCell ref="A7:P7"/>
    <mergeCell ref="A78:P78"/>
    <mergeCell ref="A8:P8"/>
    <mergeCell ref="A9:A10"/>
    <mergeCell ref="B9:B10"/>
    <mergeCell ref="C9:C10"/>
    <mergeCell ref="D9:D10"/>
    <mergeCell ref="A28:P28"/>
    <mergeCell ref="A73:E73"/>
    <mergeCell ref="N29:N30"/>
    <mergeCell ref="D29:D30"/>
    <mergeCell ref="C29:C30"/>
    <mergeCell ref="E29:E30"/>
    <mergeCell ref="F29:F30"/>
    <mergeCell ref="D61:D62"/>
    <mergeCell ref="N61:N62"/>
    <mergeCell ref="O61:P61"/>
    <mergeCell ref="A66:E66"/>
    <mergeCell ref="F80:F81"/>
    <mergeCell ref="N80:N81"/>
    <mergeCell ref="C80:C81"/>
    <mergeCell ref="D80:D81"/>
    <mergeCell ref="O68:P68"/>
    <mergeCell ref="E68:E69"/>
    <mergeCell ref="D68:D69"/>
    <mergeCell ref="C68:C69"/>
    <mergeCell ref="A29:A30"/>
    <mergeCell ref="A68:A69"/>
    <mergeCell ref="F68:F69"/>
    <mergeCell ref="N68:N69"/>
    <mergeCell ref="A59:E59"/>
    <mergeCell ref="B68:B69"/>
    <mergeCell ref="A67:P67"/>
    <mergeCell ref="A61:A62"/>
    <mergeCell ref="B61:B62"/>
    <mergeCell ref="C61:C62"/>
    <mergeCell ref="A88:E88"/>
    <mergeCell ref="A83:E83"/>
    <mergeCell ref="A72:E72"/>
    <mergeCell ref="A86:E86"/>
    <mergeCell ref="A80:A81"/>
    <mergeCell ref="B80:B81"/>
    <mergeCell ref="A79:P79"/>
    <mergeCell ref="A84:P84"/>
    <mergeCell ref="O80:P80"/>
    <mergeCell ref="E80:E81"/>
    <mergeCell ref="F9:F10"/>
    <mergeCell ref="F61:F62"/>
    <mergeCell ref="E61:E62"/>
    <mergeCell ref="B29:B30"/>
    <mergeCell ref="A60:P60"/>
    <mergeCell ref="N9:N10"/>
    <mergeCell ref="O9:P9"/>
    <mergeCell ref="E9:E10"/>
    <mergeCell ref="A24:E24"/>
    <mergeCell ref="O29:P29"/>
    <mergeCell ref="N1:P1"/>
    <mergeCell ref="N2:P2"/>
    <mergeCell ref="N3:P3"/>
    <mergeCell ref="N4:P4"/>
  </mergeCells>
  <printOptions horizontalCentered="1"/>
  <pageMargins left="0.5118110236220472" right="0.5118110236220472" top="0.5905511811023623" bottom="0.5905511811023623" header="0.5118110236220472" footer="0.31496062992125984"/>
  <pageSetup firstPageNumber="1" useFirstPageNumber="1" horizontalDpi="600" verticalDpi="600" orientation="landscape" paperSize="9" scale="95" r:id="rId1"/>
  <headerFooter alignWithMargins="0">
    <oddFooter>&amp;C&amp;8Dotacje przekazywane - str.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W83"/>
  <sheetViews>
    <sheetView workbookViewId="0" topLeftCell="A1">
      <selection activeCell="H65" sqref="A1:H65"/>
    </sheetView>
  </sheetViews>
  <sheetFormatPr defaultColWidth="9.00390625" defaultRowHeight="12.75"/>
  <cols>
    <col min="1" max="1" width="4.875" style="8" customWidth="1"/>
    <col min="2" max="2" width="7.375" style="8" customWidth="1"/>
    <col min="3" max="3" width="5.75390625" style="8" customWidth="1"/>
    <col min="4" max="4" width="29.00390625" style="8" customWidth="1"/>
    <col min="5" max="5" width="12.75390625" style="0" customWidth="1"/>
    <col min="6" max="7" width="13.125" style="0" customWidth="1"/>
    <col min="8" max="8" width="7.375" style="177" customWidth="1"/>
  </cols>
  <sheetData>
    <row r="1" spans="5:8" ht="12.75">
      <c r="E1" s="67"/>
      <c r="F1" s="373" t="s">
        <v>550</v>
      </c>
      <c r="G1" s="373"/>
      <c r="H1" s="373"/>
    </row>
    <row r="2" spans="4:8" ht="12.75">
      <c r="D2" s="8" t="s">
        <v>267</v>
      </c>
      <c r="E2" s="67"/>
      <c r="F2" s="373" t="s">
        <v>544</v>
      </c>
      <c r="G2" s="373"/>
      <c r="H2" s="373"/>
    </row>
    <row r="3" spans="4:8" ht="12.75">
      <c r="D3" s="8" t="s">
        <v>265</v>
      </c>
      <c r="E3" s="67"/>
      <c r="F3" s="373" t="s">
        <v>545</v>
      </c>
      <c r="G3" s="373"/>
      <c r="H3" s="373"/>
    </row>
    <row r="4" spans="5:8" ht="12.75">
      <c r="E4" s="67"/>
      <c r="F4" s="373" t="s">
        <v>546</v>
      </c>
      <c r="G4" s="373"/>
      <c r="H4" s="373"/>
    </row>
    <row r="5" spans="1:7" ht="30.75" customHeight="1">
      <c r="A5" s="357" t="s">
        <v>525</v>
      </c>
      <c r="B5" s="357"/>
      <c r="C5" s="357"/>
      <c r="D5" s="357"/>
      <c r="E5" s="357"/>
      <c r="F5" s="357"/>
      <c r="G5" s="357"/>
    </row>
    <row r="6" spans="1:8" ht="18" customHeight="1">
      <c r="A6" s="385" t="s">
        <v>13</v>
      </c>
      <c r="B6" s="385" t="s">
        <v>14</v>
      </c>
      <c r="C6" s="385" t="s">
        <v>15</v>
      </c>
      <c r="D6" s="385" t="s">
        <v>16</v>
      </c>
      <c r="E6" s="383" t="s">
        <v>171</v>
      </c>
      <c r="F6" s="383" t="s">
        <v>252</v>
      </c>
      <c r="G6" s="384" t="s">
        <v>0</v>
      </c>
      <c r="H6" s="384"/>
    </row>
    <row r="7" spans="1:8" s="8" customFormat="1" ht="18" customHeight="1">
      <c r="A7" s="385"/>
      <c r="B7" s="385"/>
      <c r="C7" s="385"/>
      <c r="D7" s="385"/>
      <c r="E7" s="383"/>
      <c r="F7" s="383"/>
      <c r="G7" s="119" t="s">
        <v>1</v>
      </c>
      <c r="H7" s="2" t="s">
        <v>2</v>
      </c>
    </row>
    <row r="8" spans="1:8" s="8" customFormat="1" ht="21.75" customHeight="1">
      <c r="A8" s="37" t="s">
        <v>17</v>
      </c>
      <c r="B8" s="70"/>
      <c r="C8" s="108"/>
      <c r="D8" s="40" t="s">
        <v>18</v>
      </c>
      <c r="E8" s="148">
        <f>SUM(E9)</f>
        <v>0</v>
      </c>
      <c r="F8" s="148">
        <f>SUM(F9)</f>
        <v>98263</v>
      </c>
      <c r="G8" s="148">
        <f>SUM(G9)</f>
        <v>98262.92</v>
      </c>
      <c r="H8" s="34">
        <f>G8/F8*100</f>
        <v>99.99991858583597</v>
      </c>
    </row>
    <row r="9" spans="1:8" s="8" customFormat="1" ht="21.75" customHeight="1">
      <c r="A9" s="80"/>
      <c r="B9" s="77" t="s">
        <v>442</v>
      </c>
      <c r="C9" s="208"/>
      <c r="D9" s="42" t="s">
        <v>19</v>
      </c>
      <c r="E9" s="194">
        <f>SUM(E10:E12)</f>
        <v>0</v>
      </c>
      <c r="F9" s="194">
        <f>SUM(F10:F12)</f>
        <v>98263</v>
      </c>
      <c r="G9" s="194">
        <f>SUM(G10:G12)</f>
        <v>98262.92</v>
      </c>
      <c r="H9" s="124">
        <f aca="true" t="shared" si="0" ref="H9:H65">G9/F9*100</f>
        <v>99.99991858583597</v>
      </c>
    </row>
    <row r="10" spans="1:8" s="24" customFormat="1" ht="21.75" customHeight="1">
      <c r="A10" s="80"/>
      <c r="B10" s="77"/>
      <c r="C10" s="208">
        <v>4300</v>
      </c>
      <c r="D10" s="14" t="s">
        <v>101</v>
      </c>
      <c r="E10" s="194">
        <v>0</v>
      </c>
      <c r="F10" s="257">
        <v>1500</v>
      </c>
      <c r="G10" s="194">
        <v>1500</v>
      </c>
      <c r="H10" s="124">
        <f t="shared" si="0"/>
        <v>100</v>
      </c>
    </row>
    <row r="11" spans="1:8" s="24" customFormat="1" ht="21.75" customHeight="1">
      <c r="A11" s="93"/>
      <c r="B11" s="93"/>
      <c r="C11" s="85">
        <v>4430</v>
      </c>
      <c r="D11" s="42" t="s">
        <v>116</v>
      </c>
      <c r="E11" s="194">
        <v>0</v>
      </c>
      <c r="F11" s="257">
        <v>96336</v>
      </c>
      <c r="G11" s="194">
        <v>96336.2</v>
      </c>
      <c r="H11" s="124">
        <f t="shared" si="0"/>
        <v>100.00020760670985</v>
      </c>
    </row>
    <row r="12" spans="1:8" s="24" customFormat="1" ht="33.75">
      <c r="A12" s="93"/>
      <c r="B12" s="93"/>
      <c r="C12" s="59">
        <v>4740</v>
      </c>
      <c r="D12" s="14" t="s">
        <v>291</v>
      </c>
      <c r="E12" s="194">
        <v>0</v>
      </c>
      <c r="F12" s="257">
        <v>427</v>
      </c>
      <c r="G12" s="194">
        <v>426.72</v>
      </c>
      <c r="H12" s="124">
        <f t="shared" si="0"/>
        <v>99.9344262295082</v>
      </c>
    </row>
    <row r="13" spans="1:8" s="24" customFormat="1" ht="21.75" customHeight="1">
      <c r="A13" s="35" t="s">
        <v>31</v>
      </c>
      <c r="B13" s="5"/>
      <c r="C13" s="20"/>
      <c r="D13" s="33" t="s">
        <v>32</v>
      </c>
      <c r="E13" s="47">
        <f>SUM(E14)</f>
        <v>144800</v>
      </c>
      <c r="F13" s="47">
        <f>SUM(F14)</f>
        <v>144800</v>
      </c>
      <c r="G13" s="47">
        <f>SUM(G14)</f>
        <v>78621</v>
      </c>
      <c r="H13" s="34">
        <f t="shared" si="0"/>
        <v>54.296270718232044</v>
      </c>
    </row>
    <row r="14" spans="1:8" s="24" customFormat="1" ht="21.75" customHeight="1">
      <c r="A14" s="83"/>
      <c r="B14" s="83">
        <v>75011</v>
      </c>
      <c r="C14" s="91"/>
      <c r="D14" s="88" t="s">
        <v>33</v>
      </c>
      <c r="E14" s="104">
        <f>SUM(E15:E19)</f>
        <v>144800</v>
      </c>
      <c r="F14" s="104">
        <f>SUM(F15:F19)</f>
        <v>144800</v>
      </c>
      <c r="G14" s="104">
        <f>SUM(G15:G19)</f>
        <v>78621</v>
      </c>
      <c r="H14" s="124">
        <f t="shared" si="0"/>
        <v>54.296270718232044</v>
      </c>
    </row>
    <row r="15" spans="1:8" s="24" customFormat="1" ht="27" customHeight="1">
      <c r="A15" s="83"/>
      <c r="B15" s="59"/>
      <c r="C15" s="84">
        <v>4010</v>
      </c>
      <c r="D15" s="88" t="s">
        <v>106</v>
      </c>
      <c r="E15" s="104">
        <v>98200</v>
      </c>
      <c r="F15" s="258">
        <v>98200</v>
      </c>
      <c r="G15" s="104">
        <v>44162.85</v>
      </c>
      <c r="H15" s="124">
        <f t="shared" si="0"/>
        <v>44.97235234215886</v>
      </c>
    </row>
    <row r="16" spans="1:8" s="24" customFormat="1" ht="21.75" customHeight="1">
      <c r="A16" s="83"/>
      <c r="B16" s="59"/>
      <c r="C16" s="84">
        <v>4040</v>
      </c>
      <c r="D16" s="88" t="s">
        <v>107</v>
      </c>
      <c r="E16" s="104">
        <v>16500</v>
      </c>
      <c r="F16" s="258">
        <v>16500</v>
      </c>
      <c r="G16" s="104">
        <v>15860.93</v>
      </c>
      <c r="H16" s="124">
        <f t="shared" si="0"/>
        <v>96.12684848484848</v>
      </c>
    </row>
    <row r="17" spans="1:8" s="24" customFormat="1" ht="21.75" customHeight="1">
      <c r="A17" s="83"/>
      <c r="B17" s="59"/>
      <c r="C17" s="84">
        <v>4110</v>
      </c>
      <c r="D17" s="88" t="s">
        <v>108</v>
      </c>
      <c r="E17" s="104">
        <v>19950</v>
      </c>
      <c r="F17" s="258">
        <v>19950</v>
      </c>
      <c r="G17" s="104">
        <v>11417.88</v>
      </c>
      <c r="H17" s="124">
        <f t="shared" si="0"/>
        <v>57.23248120300751</v>
      </c>
    </row>
    <row r="18" spans="1:8" s="24" customFormat="1" ht="21.75" customHeight="1">
      <c r="A18" s="83"/>
      <c r="B18" s="59"/>
      <c r="C18" s="84">
        <v>4120</v>
      </c>
      <c r="D18" s="88" t="s">
        <v>109</v>
      </c>
      <c r="E18" s="104">
        <v>2800</v>
      </c>
      <c r="F18" s="258">
        <v>2800</v>
      </c>
      <c r="G18" s="104">
        <v>1579.34</v>
      </c>
      <c r="H18" s="124">
        <f t="shared" si="0"/>
        <v>56.404999999999994</v>
      </c>
    </row>
    <row r="19" spans="1:8" s="24" customFormat="1" ht="27" customHeight="1">
      <c r="A19" s="83"/>
      <c r="B19" s="59"/>
      <c r="C19" s="85">
        <v>4440</v>
      </c>
      <c r="D19" s="88" t="s">
        <v>110</v>
      </c>
      <c r="E19" s="104">
        <v>7350</v>
      </c>
      <c r="F19" s="258">
        <v>7350</v>
      </c>
      <c r="G19" s="104">
        <v>5600</v>
      </c>
      <c r="H19" s="124">
        <f t="shared" si="0"/>
        <v>76.19047619047619</v>
      </c>
    </row>
    <row r="20" spans="1:8" s="24" customFormat="1" ht="52.5" customHeight="1">
      <c r="A20" s="35">
        <v>751</v>
      </c>
      <c r="B20" s="5"/>
      <c r="C20" s="20"/>
      <c r="D20" s="33" t="s">
        <v>36</v>
      </c>
      <c r="E20" s="47">
        <f>E21</f>
        <v>3809</v>
      </c>
      <c r="F20" s="47">
        <f>F21</f>
        <v>3809</v>
      </c>
      <c r="G20" s="47">
        <f>G21</f>
        <v>997.56</v>
      </c>
      <c r="H20" s="34">
        <f t="shared" si="0"/>
        <v>26.1895510632712</v>
      </c>
    </row>
    <row r="21" spans="1:8" s="24" customFormat="1" ht="27" customHeight="1">
      <c r="A21" s="59"/>
      <c r="B21" s="83">
        <v>75101</v>
      </c>
      <c r="C21" s="91"/>
      <c r="D21" s="88" t="s">
        <v>37</v>
      </c>
      <c r="E21" s="104">
        <f>SUM(E22:E24)</f>
        <v>3809</v>
      </c>
      <c r="F21" s="104">
        <f>SUM(F22:F24)</f>
        <v>3809</v>
      </c>
      <c r="G21" s="104">
        <f>SUM(G22:G24)</f>
        <v>997.56</v>
      </c>
      <c r="H21" s="124">
        <f t="shared" si="0"/>
        <v>26.1895510632712</v>
      </c>
    </row>
    <row r="22" spans="1:8" s="24" customFormat="1" ht="21.75" customHeight="1">
      <c r="A22" s="59"/>
      <c r="B22" s="83"/>
      <c r="C22" s="84">
        <v>4210</v>
      </c>
      <c r="D22" s="88" t="s">
        <v>114</v>
      </c>
      <c r="E22" s="104">
        <v>1009</v>
      </c>
      <c r="F22" s="258">
        <v>1809</v>
      </c>
      <c r="G22" s="104">
        <v>747.56</v>
      </c>
      <c r="H22" s="124">
        <f t="shared" si="0"/>
        <v>41.32448866777224</v>
      </c>
    </row>
    <row r="23" spans="1:8" s="24" customFormat="1" ht="27" customHeight="1">
      <c r="A23" s="59"/>
      <c r="B23" s="83"/>
      <c r="C23" s="84">
        <v>4700</v>
      </c>
      <c r="D23" s="42" t="s">
        <v>292</v>
      </c>
      <c r="E23" s="104">
        <v>1600</v>
      </c>
      <c r="F23" s="258">
        <v>800</v>
      </c>
      <c r="G23" s="104">
        <v>250</v>
      </c>
      <c r="H23" s="124">
        <f t="shared" si="0"/>
        <v>31.25</v>
      </c>
    </row>
    <row r="24" spans="1:8" s="24" customFormat="1" ht="33.75">
      <c r="A24" s="59"/>
      <c r="B24" s="83"/>
      <c r="C24" s="84">
        <v>4740</v>
      </c>
      <c r="D24" s="42" t="s">
        <v>291</v>
      </c>
      <c r="E24" s="104">
        <v>1200</v>
      </c>
      <c r="F24" s="258">
        <v>1200</v>
      </c>
      <c r="G24" s="104">
        <v>0</v>
      </c>
      <c r="H24" s="124">
        <f t="shared" si="0"/>
        <v>0</v>
      </c>
    </row>
    <row r="25" spans="1:205" s="24" customFormat="1" ht="21.75" customHeight="1">
      <c r="A25" s="35">
        <v>852</v>
      </c>
      <c r="B25" s="5"/>
      <c r="C25" s="20"/>
      <c r="D25" s="33" t="s">
        <v>231</v>
      </c>
      <c r="E25" s="47">
        <f>SUM(E39,E60,E62,)</f>
        <v>8343900</v>
      </c>
      <c r="F25" s="47">
        <f>SUM(F39,F60,F62,)</f>
        <v>8328100</v>
      </c>
      <c r="G25" s="47">
        <f>SUM(G39,G60,G62,)</f>
        <v>3587373.349999999</v>
      </c>
      <c r="H25" s="34">
        <f t="shared" si="0"/>
        <v>43.07553163386606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0"/>
      <c r="GB25" s="130"/>
      <c r="GC25" s="130"/>
      <c r="GD25" s="130"/>
      <c r="GE25" s="130"/>
      <c r="GF25" s="130"/>
      <c r="GG25" s="130"/>
      <c r="GH25" s="130"/>
      <c r="GI25" s="130"/>
      <c r="GJ25" s="130"/>
      <c r="GK25" s="130"/>
      <c r="GL25" s="130"/>
      <c r="GM25" s="130"/>
      <c r="GN25" s="130"/>
      <c r="GO25" s="130"/>
      <c r="GP25" s="130"/>
      <c r="GQ25" s="130"/>
      <c r="GR25" s="130"/>
      <c r="GS25" s="130"/>
      <c r="GT25" s="130"/>
      <c r="GU25" s="130"/>
      <c r="GV25" s="130"/>
      <c r="GW25" s="130"/>
    </row>
    <row r="26" spans="1:205" s="24" customFormat="1" ht="33.75" hidden="1">
      <c r="A26" s="109"/>
      <c r="B26" s="59">
        <v>85212</v>
      </c>
      <c r="C26" s="90"/>
      <c r="D26" s="88" t="s">
        <v>251</v>
      </c>
      <c r="E26" s="97">
        <f>SUM(E27:E38)</f>
        <v>5507000</v>
      </c>
      <c r="F26" s="259">
        <f>SUM(F27:F38)</f>
        <v>5507000</v>
      </c>
      <c r="G26" s="97">
        <f>SUM(G27:G38)</f>
        <v>5507000</v>
      </c>
      <c r="H26" s="124">
        <f t="shared" si="0"/>
        <v>100</v>
      </c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  <c r="FU26" s="130"/>
      <c r="FV26" s="130"/>
      <c r="FW26" s="130"/>
      <c r="FX26" s="130"/>
      <c r="FY26" s="130"/>
      <c r="FZ26" s="130"/>
      <c r="GA26" s="130"/>
      <c r="GB26" s="130"/>
      <c r="GC26" s="130"/>
      <c r="GD26" s="130"/>
      <c r="GE26" s="130"/>
      <c r="GF26" s="130"/>
      <c r="GG26" s="130"/>
      <c r="GH26" s="130"/>
      <c r="GI26" s="130"/>
      <c r="GJ26" s="130"/>
      <c r="GK26" s="130"/>
      <c r="GL26" s="130"/>
      <c r="GM26" s="130"/>
      <c r="GN26" s="130"/>
      <c r="GO26" s="130"/>
      <c r="GP26" s="130"/>
      <c r="GQ26" s="130"/>
      <c r="GR26" s="130"/>
      <c r="GS26" s="130"/>
      <c r="GT26" s="130"/>
      <c r="GU26" s="130"/>
      <c r="GV26" s="130"/>
      <c r="GW26" s="130"/>
    </row>
    <row r="27" spans="1:205" s="24" customFormat="1" ht="22.5" hidden="1">
      <c r="A27" s="109"/>
      <c r="B27" s="59"/>
      <c r="C27" s="90">
        <v>3020</v>
      </c>
      <c r="D27" s="42" t="s">
        <v>268</v>
      </c>
      <c r="E27" s="104">
        <v>2000</v>
      </c>
      <c r="F27" s="258">
        <v>2000</v>
      </c>
      <c r="G27" s="104">
        <v>2000</v>
      </c>
      <c r="H27" s="124">
        <f t="shared" si="0"/>
        <v>100</v>
      </c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  <c r="FU27" s="130"/>
      <c r="FV27" s="130"/>
      <c r="FW27" s="130"/>
      <c r="FX27" s="130"/>
      <c r="FY27" s="130"/>
      <c r="FZ27" s="130"/>
      <c r="GA27" s="130"/>
      <c r="GB27" s="130"/>
      <c r="GC27" s="130"/>
      <c r="GD27" s="130"/>
      <c r="GE27" s="130"/>
      <c r="GF27" s="130"/>
      <c r="GG27" s="130"/>
      <c r="GH27" s="130"/>
      <c r="GI27" s="130"/>
      <c r="GJ27" s="130"/>
      <c r="GK27" s="130"/>
      <c r="GL27" s="130"/>
      <c r="GM27" s="130"/>
      <c r="GN27" s="130"/>
      <c r="GO27" s="130"/>
      <c r="GP27" s="130"/>
      <c r="GQ27" s="130"/>
      <c r="GR27" s="130"/>
      <c r="GS27" s="130"/>
      <c r="GT27" s="130"/>
      <c r="GU27" s="130"/>
      <c r="GV27" s="130"/>
      <c r="GW27" s="130"/>
    </row>
    <row r="28" spans="1:205" s="24" customFormat="1" ht="11.25" hidden="1">
      <c r="A28" s="109"/>
      <c r="B28" s="59"/>
      <c r="C28" s="90">
        <v>3110</v>
      </c>
      <c r="D28" s="88" t="s">
        <v>136</v>
      </c>
      <c r="E28" s="104">
        <f>5346602-4812-23800</f>
        <v>5317990</v>
      </c>
      <c r="F28" s="258">
        <f>5346602-4812-23800</f>
        <v>5317990</v>
      </c>
      <c r="G28" s="104">
        <f>5346602-4812-23800</f>
        <v>5317990</v>
      </c>
      <c r="H28" s="124">
        <f t="shared" si="0"/>
        <v>100</v>
      </c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  <c r="FU28" s="130"/>
      <c r="FV28" s="130"/>
      <c r="FW28" s="130"/>
      <c r="FX28" s="130"/>
      <c r="FY28" s="130"/>
      <c r="FZ28" s="130"/>
      <c r="GA28" s="130"/>
      <c r="GB28" s="130"/>
      <c r="GC28" s="130"/>
      <c r="GD28" s="130"/>
      <c r="GE28" s="130"/>
      <c r="GF28" s="130"/>
      <c r="GG28" s="130"/>
      <c r="GH28" s="130"/>
      <c r="GI28" s="130"/>
      <c r="GJ28" s="130"/>
      <c r="GK28" s="130"/>
      <c r="GL28" s="130"/>
      <c r="GM28" s="130"/>
      <c r="GN28" s="130"/>
      <c r="GO28" s="130"/>
      <c r="GP28" s="130"/>
      <c r="GQ28" s="130"/>
      <c r="GR28" s="130"/>
      <c r="GS28" s="130"/>
      <c r="GT28" s="130"/>
      <c r="GU28" s="130"/>
      <c r="GV28" s="130"/>
      <c r="GW28" s="130"/>
    </row>
    <row r="29" spans="1:205" s="24" customFormat="1" ht="22.5" hidden="1">
      <c r="A29" s="109"/>
      <c r="B29" s="59"/>
      <c r="C29" s="59">
        <v>4010</v>
      </c>
      <c r="D29" s="14" t="s">
        <v>106</v>
      </c>
      <c r="E29" s="104">
        <v>86691</v>
      </c>
      <c r="F29" s="258">
        <v>86691</v>
      </c>
      <c r="G29" s="104">
        <v>86691</v>
      </c>
      <c r="H29" s="124">
        <f t="shared" si="0"/>
        <v>100</v>
      </c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  <c r="FU29" s="130"/>
      <c r="FV29" s="130"/>
      <c r="FW29" s="130"/>
      <c r="FX29" s="130"/>
      <c r="FY29" s="130"/>
      <c r="FZ29" s="130"/>
      <c r="GA29" s="130"/>
      <c r="GB29" s="130"/>
      <c r="GC29" s="130"/>
      <c r="GD29" s="130"/>
      <c r="GE29" s="130"/>
      <c r="GF29" s="130"/>
      <c r="GG29" s="130"/>
      <c r="GH29" s="130"/>
      <c r="GI29" s="130"/>
      <c r="GJ29" s="130"/>
      <c r="GK29" s="130"/>
      <c r="GL29" s="130"/>
      <c r="GM29" s="130"/>
      <c r="GN29" s="130"/>
      <c r="GO29" s="130"/>
      <c r="GP29" s="130"/>
      <c r="GQ29" s="130"/>
      <c r="GR29" s="130"/>
      <c r="GS29" s="130"/>
      <c r="GT29" s="130"/>
      <c r="GU29" s="130"/>
      <c r="GV29" s="130"/>
      <c r="GW29" s="130"/>
    </row>
    <row r="30" spans="1:205" s="24" customFormat="1" ht="11.25" hidden="1">
      <c r="A30" s="109"/>
      <c r="B30" s="59"/>
      <c r="C30" s="59">
        <v>4040</v>
      </c>
      <c r="D30" s="14" t="s">
        <v>107</v>
      </c>
      <c r="E30" s="104">
        <v>7500</v>
      </c>
      <c r="F30" s="258">
        <v>7500</v>
      </c>
      <c r="G30" s="104">
        <v>7500</v>
      </c>
      <c r="H30" s="124">
        <f t="shared" si="0"/>
        <v>100</v>
      </c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30"/>
      <c r="GK30" s="130"/>
      <c r="GL30" s="130"/>
      <c r="GM30" s="130"/>
      <c r="GN30" s="130"/>
      <c r="GO30" s="130"/>
      <c r="GP30" s="130"/>
      <c r="GQ30" s="130"/>
      <c r="GR30" s="130"/>
      <c r="GS30" s="130"/>
      <c r="GT30" s="130"/>
      <c r="GU30" s="130"/>
      <c r="GV30" s="130"/>
      <c r="GW30" s="130"/>
    </row>
    <row r="31" spans="1:205" s="24" customFormat="1" ht="11.25" hidden="1">
      <c r="A31" s="109"/>
      <c r="B31" s="59"/>
      <c r="C31" s="59">
        <v>4110</v>
      </c>
      <c r="D31" s="14" t="s">
        <v>108</v>
      </c>
      <c r="E31" s="104">
        <f>16800+23800</f>
        <v>40600</v>
      </c>
      <c r="F31" s="258">
        <f>16800+23800</f>
        <v>40600</v>
      </c>
      <c r="G31" s="104">
        <f>16800+23800</f>
        <v>40600</v>
      </c>
      <c r="H31" s="124">
        <f t="shared" si="0"/>
        <v>100</v>
      </c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0"/>
      <c r="EZ31" s="130"/>
      <c r="FA31" s="130"/>
      <c r="FB31" s="130"/>
      <c r="FC31" s="130"/>
      <c r="FD31" s="130"/>
      <c r="FE31" s="130"/>
      <c r="FF31" s="130"/>
      <c r="FG31" s="130"/>
      <c r="FH31" s="130"/>
      <c r="FI31" s="130"/>
      <c r="FJ31" s="130"/>
      <c r="FK31" s="130"/>
      <c r="FL31" s="130"/>
      <c r="FM31" s="130"/>
      <c r="FN31" s="130"/>
      <c r="FO31" s="130"/>
      <c r="FP31" s="130"/>
      <c r="FQ31" s="130"/>
      <c r="FR31" s="130"/>
      <c r="FS31" s="130"/>
      <c r="FT31" s="130"/>
      <c r="FU31" s="130"/>
      <c r="FV31" s="130"/>
      <c r="FW31" s="130"/>
      <c r="FX31" s="130"/>
      <c r="FY31" s="130"/>
      <c r="FZ31" s="130"/>
      <c r="GA31" s="130"/>
      <c r="GB31" s="130"/>
      <c r="GC31" s="130"/>
      <c r="GD31" s="130"/>
      <c r="GE31" s="130"/>
      <c r="GF31" s="130"/>
      <c r="GG31" s="130"/>
      <c r="GH31" s="130"/>
      <c r="GI31" s="130"/>
      <c r="GJ31" s="130"/>
      <c r="GK31" s="130"/>
      <c r="GL31" s="130"/>
      <c r="GM31" s="130"/>
      <c r="GN31" s="130"/>
      <c r="GO31" s="130"/>
      <c r="GP31" s="130"/>
      <c r="GQ31" s="130"/>
      <c r="GR31" s="130"/>
      <c r="GS31" s="130"/>
      <c r="GT31" s="130"/>
      <c r="GU31" s="130"/>
      <c r="GV31" s="130"/>
      <c r="GW31" s="130"/>
    </row>
    <row r="32" spans="1:205" s="24" customFormat="1" ht="11.25" hidden="1">
      <c r="A32" s="109"/>
      <c r="B32" s="59"/>
      <c r="C32" s="59">
        <v>4120</v>
      </c>
      <c r="D32" s="14" t="s">
        <v>109</v>
      </c>
      <c r="E32" s="104">
        <v>2300</v>
      </c>
      <c r="F32" s="258">
        <v>2300</v>
      </c>
      <c r="G32" s="104">
        <v>2300</v>
      </c>
      <c r="H32" s="124">
        <f t="shared" si="0"/>
        <v>100</v>
      </c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130"/>
      <c r="FL32" s="130"/>
      <c r="FM32" s="130"/>
      <c r="FN32" s="130"/>
      <c r="FO32" s="130"/>
      <c r="FP32" s="130"/>
      <c r="FQ32" s="130"/>
      <c r="FR32" s="130"/>
      <c r="FS32" s="130"/>
      <c r="FT32" s="130"/>
      <c r="FU32" s="130"/>
      <c r="FV32" s="130"/>
      <c r="FW32" s="130"/>
      <c r="FX32" s="130"/>
      <c r="FY32" s="130"/>
      <c r="FZ32" s="130"/>
      <c r="GA32" s="130"/>
      <c r="GB32" s="130"/>
      <c r="GC32" s="130"/>
      <c r="GD32" s="130"/>
      <c r="GE32" s="130"/>
      <c r="GF32" s="130"/>
      <c r="GG32" s="130"/>
      <c r="GH32" s="130"/>
      <c r="GI32" s="130"/>
      <c r="GJ32" s="130"/>
      <c r="GK32" s="130"/>
      <c r="GL32" s="130"/>
      <c r="GM32" s="130"/>
      <c r="GN32" s="130"/>
      <c r="GO32" s="130"/>
      <c r="GP32" s="130"/>
      <c r="GQ32" s="130"/>
      <c r="GR32" s="130"/>
      <c r="GS32" s="130"/>
      <c r="GT32" s="130"/>
      <c r="GU32" s="130"/>
      <c r="GV32" s="130"/>
      <c r="GW32" s="130"/>
    </row>
    <row r="33" spans="1:205" s="24" customFormat="1" ht="11.25" hidden="1">
      <c r="A33" s="109"/>
      <c r="B33" s="59"/>
      <c r="C33" s="59">
        <v>4170</v>
      </c>
      <c r="D33" s="14" t="s">
        <v>239</v>
      </c>
      <c r="E33" s="104">
        <v>3000</v>
      </c>
      <c r="F33" s="258">
        <v>3000</v>
      </c>
      <c r="G33" s="104">
        <v>3000</v>
      </c>
      <c r="H33" s="124">
        <f t="shared" si="0"/>
        <v>100</v>
      </c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0"/>
      <c r="FL33" s="130"/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0"/>
      <c r="GA33" s="130"/>
      <c r="GB33" s="130"/>
      <c r="GC33" s="130"/>
      <c r="GD33" s="130"/>
      <c r="GE33" s="130"/>
      <c r="GF33" s="130"/>
      <c r="GG33" s="130"/>
      <c r="GH33" s="130"/>
      <c r="GI33" s="130"/>
      <c r="GJ33" s="130"/>
      <c r="GK33" s="130"/>
      <c r="GL33" s="130"/>
      <c r="GM33" s="130"/>
      <c r="GN33" s="130"/>
      <c r="GO33" s="130"/>
      <c r="GP33" s="130"/>
      <c r="GQ33" s="130"/>
      <c r="GR33" s="130"/>
      <c r="GS33" s="130"/>
      <c r="GT33" s="130"/>
      <c r="GU33" s="130"/>
      <c r="GV33" s="130"/>
      <c r="GW33" s="130"/>
    </row>
    <row r="34" spans="1:205" s="24" customFormat="1" ht="11.25" hidden="1">
      <c r="A34" s="109"/>
      <c r="B34" s="59"/>
      <c r="C34" s="59">
        <v>4210</v>
      </c>
      <c r="D34" s="14" t="s">
        <v>114</v>
      </c>
      <c r="E34" s="104">
        <f>9000+4812</f>
        <v>13812</v>
      </c>
      <c r="F34" s="258">
        <f>9000+4812</f>
        <v>13812</v>
      </c>
      <c r="G34" s="104">
        <f>9000+4812</f>
        <v>13812</v>
      </c>
      <c r="H34" s="124">
        <f t="shared" si="0"/>
        <v>100</v>
      </c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0"/>
      <c r="FL34" s="130"/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0"/>
      <c r="GA34" s="130"/>
      <c r="GB34" s="130"/>
      <c r="GC34" s="130"/>
      <c r="GD34" s="130"/>
      <c r="GE34" s="130"/>
      <c r="GF34" s="130"/>
      <c r="GG34" s="130"/>
      <c r="GH34" s="130"/>
      <c r="GI34" s="130"/>
      <c r="GJ34" s="130"/>
      <c r="GK34" s="130"/>
      <c r="GL34" s="130"/>
      <c r="GM34" s="130"/>
      <c r="GN34" s="130"/>
      <c r="GO34" s="130"/>
      <c r="GP34" s="130"/>
      <c r="GQ34" s="130"/>
      <c r="GR34" s="130"/>
      <c r="GS34" s="130"/>
      <c r="GT34" s="130"/>
      <c r="GU34" s="130"/>
      <c r="GV34" s="130"/>
      <c r="GW34" s="130"/>
    </row>
    <row r="35" spans="1:205" s="24" customFormat="1" ht="11.25" hidden="1">
      <c r="A35" s="109"/>
      <c r="B35" s="59"/>
      <c r="C35" s="59">
        <v>4300</v>
      </c>
      <c r="D35" s="14" t="s">
        <v>101</v>
      </c>
      <c r="E35" s="104">
        <v>24307</v>
      </c>
      <c r="F35" s="258">
        <v>24307</v>
      </c>
      <c r="G35" s="104">
        <v>24307</v>
      </c>
      <c r="H35" s="124">
        <f t="shared" si="0"/>
        <v>100</v>
      </c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30"/>
      <c r="EU35" s="130"/>
      <c r="EV35" s="130"/>
      <c r="EW35" s="130"/>
      <c r="EX35" s="130"/>
      <c r="EY35" s="130"/>
      <c r="EZ35" s="130"/>
      <c r="FA35" s="130"/>
      <c r="FB35" s="130"/>
      <c r="FC35" s="130"/>
      <c r="FD35" s="130"/>
      <c r="FE35" s="130"/>
      <c r="FF35" s="130"/>
      <c r="FG35" s="130"/>
      <c r="FH35" s="130"/>
      <c r="FI35" s="130"/>
      <c r="FJ35" s="130"/>
      <c r="FK35" s="130"/>
      <c r="FL35" s="130"/>
      <c r="FM35" s="130"/>
      <c r="FN35" s="130"/>
      <c r="FO35" s="130"/>
      <c r="FP35" s="130"/>
      <c r="FQ35" s="130"/>
      <c r="FR35" s="130"/>
      <c r="FS35" s="130"/>
      <c r="FT35" s="130"/>
      <c r="FU35" s="130"/>
      <c r="FV35" s="130"/>
      <c r="FW35" s="130"/>
      <c r="FX35" s="130"/>
      <c r="FY35" s="130"/>
      <c r="FZ35" s="130"/>
      <c r="GA35" s="130"/>
      <c r="GB35" s="130"/>
      <c r="GC35" s="130"/>
      <c r="GD35" s="130"/>
      <c r="GE35" s="130"/>
      <c r="GF35" s="130"/>
      <c r="GG35" s="130"/>
      <c r="GH35" s="130"/>
      <c r="GI35" s="130"/>
      <c r="GJ35" s="130"/>
      <c r="GK35" s="130"/>
      <c r="GL35" s="130"/>
      <c r="GM35" s="130"/>
      <c r="GN35" s="130"/>
      <c r="GO35" s="130"/>
      <c r="GP35" s="130"/>
      <c r="GQ35" s="130"/>
      <c r="GR35" s="130"/>
      <c r="GS35" s="130"/>
      <c r="GT35" s="130"/>
      <c r="GU35" s="130"/>
      <c r="GV35" s="130"/>
      <c r="GW35" s="130"/>
    </row>
    <row r="36" spans="1:205" s="24" customFormat="1" ht="11.25" hidden="1">
      <c r="A36" s="109"/>
      <c r="B36" s="59"/>
      <c r="C36" s="59">
        <v>4410</v>
      </c>
      <c r="D36" s="14" t="s">
        <v>112</v>
      </c>
      <c r="E36" s="104">
        <v>3000</v>
      </c>
      <c r="F36" s="258">
        <v>3000</v>
      </c>
      <c r="G36" s="104">
        <v>3000</v>
      </c>
      <c r="H36" s="124">
        <f t="shared" si="0"/>
        <v>100</v>
      </c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/>
      <c r="DU36" s="130"/>
      <c r="DV36" s="130"/>
      <c r="DW36" s="130"/>
      <c r="DX36" s="130"/>
      <c r="DY36" s="130"/>
      <c r="DZ36" s="130"/>
      <c r="EA36" s="130"/>
      <c r="EB36" s="130"/>
      <c r="EC36" s="130"/>
      <c r="ED36" s="130"/>
      <c r="EE36" s="130"/>
      <c r="EF36" s="130"/>
      <c r="EG36" s="130"/>
      <c r="EH36" s="130"/>
      <c r="EI36" s="130"/>
      <c r="EJ36" s="130"/>
      <c r="EK36" s="130"/>
      <c r="EL36" s="130"/>
      <c r="EM36" s="130"/>
      <c r="EN36" s="130"/>
      <c r="EO36" s="130"/>
      <c r="EP36" s="130"/>
      <c r="EQ36" s="130"/>
      <c r="ER36" s="130"/>
      <c r="ES36" s="130"/>
      <c r="ET36" s="130"/>
      <c r="EU36" s="130"/>
      <c r="EV36" s="130"/>
      <c r="EW36" s="130"/>
      <c r="EX36" s="130"/>
      <c r="EY36" s="130"/>
      <c r="EZ36" s="130"/>
      <c r="FA36" s="130"/>
      <c r="FB36" s="130"/>
      <c r="FC36" s="130"/>
      <c r="FD36" s="130"/>
      <c r="FE36" s="130"/>
      <c r="FF36" s="130"/>
      <c r="FG36" s="130"/>
      <c r="FH36" s="130"/>
      <c r="FI36" s="130"/>
      <c r="FJ36" s="130"/>
      <c r="FK36" s="130"/>
      <c r="FL36" s="130"/>
      <c r="FM36" s="130"/>
      <c r="FN36" s="130"/>
      <c r="FO36" s="130"/>
      <c r="FP36" s="130"/>
      <c r="FQ36" s="130"/>
      <c r="FR36" s="130"/>
      <c r="FS36" s="130"/>
      <c r="FT36" s="130"/>
      <c r="FU36" s="130"/>
      <c r="FV36" s="130"/>
      <c r="FW36" s="130"/>
      <c r="FX36" s="130"/>
      <c r="FY36" s="130"/>
      <c r="FZ36" s="130"/>
      <c r="GA36" s="130"/>
      <c r="GB36" s="130"/>
      <c r="GC36" s="130"/>
      <c r="GD36" s="130"/>
      <c r="GE36" s="130"/>
      <c r="GF36" s="130"/>
      <c r="GG36" s="130"/>
      <c r="GH36" s="130"/>
      <c r="GI36" s="130"/>
      <c r="GJ36" s="130"/>
      <c r="GK36" s="130"/>
      <c r="GL36" s="130"/>
      <c r="GM36" s="130"/>
      <c r="GN36" s="130"/>
      <c r="GO36" s="130"/>
      <c r="GP36" s="130"/>
      <c r="GQ36" s="130"/>
      <c r="GR36" s="130"/>
      <c r="GS36" s="130"/>
      <c r="GT36" s="130"/>
      <c r="GU36" s="130"/>
      <c r="GV36" s="130"/>
      <c r="GW36" s="130"/>
    </row>
    <row r="37" spans="1:205" s="24" customFormat="1" ht="11.25" hidden="1">
      <c r="A37" s="109"/>
      <c r="B37" s="59"/>
      <c r="C37" s="59">
        <v>4430</v>
      </c>
      <c r="D37" s="14" t="s">
        <v>116</v>
      </c>
      <c r="E37" s="104">
        <v>2000</v>
      </c>
      <c r="F37" s="258">
        <v>2000</v>
      </c>
      <c r="G37" s="104">
        <v>2000</v>
      </c>
      <c r="H37" s="124">
        <f t="shared" si="0"/>
        <v>100</v>
      </c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  <c r="DI37" s="130"/>
      <c r="DJ37" s="130"/>
      <c r="DK37" s="130"/>
      <c r="DL37" s="130"/>
      <c r="DM37" s="130"/>
      <c r="DN37" s="130"/>
      <c r="DO37" s="130"/>
      <c r="DP37" s="130"/>
      <c r="DQ37" s="130"/>
      <c r="DR37" s="130"/>
      <c r="DS37" s="130"/>
      <c r="DT37" s="130"/>
      <c r="DU37" s="130"/>
      <c r="DV37" s="130"/>
      <c r="DW37" s="130"/>
      <c r="DX37" s="130"/>
      <c r="DY37" s="130"/>
      <c r="DZ37" s="130"/>
      <c r="EA37" s="130"/>
      <c r="EB37" s="130"/>
      <c r="EC37" s="130"/>
      <c r="ED37" s="130"/>
      <c r="EE37" s="130"/>
      <c r="EF37" s="130"/>
      <c r="EG37" s="130"/>
      <c r="EH37" s="130"/>
      <c r="EI37" s="130"/>
      <c r="EJ37" s="130"/>
      <c r="EK37" s="130"/>
      <c r="EL37" s="130"/>
      <c r="EM37" s="130"/>
      <c r="EN37" s="130"/>
      <c r="EO37" s="130"/>
      <c r="EP37" s="130"/>
      <c r="EQ37" s="130"/>
      <c r="ER37" s="130"/>
      <c r="ES37" s="130"/>
      <c r="ET37" s="130"/>
      <c r="EU37" s="130"/>
      <c r="EV37" s="130"/>
      <c r="EW37" s="130"/>
      <c r="EX37" s="130"/>
      <c r="EY37" s="130"/>
      <c r="EZ37" s="130"/>
      <c r="FA37" s="130"/>
      <c r="FB37" s="130"/>
      <c r="FC37" s="130"/>
      <c r="FD37" s="130"/>
      <c r="FE37" s="130"/>
      <c r="FF37" s="130"/>
      <c r="FG37" s="130"/>
      <c r="FH37" s="130"/>
      <c r="FI37" s="130"/>
      <c r="FJ37" s="130"/>
      <c r="FK37" s="130"/>
      <c r="FL37" s="130"/>
      <c r="FM37" s="130"/>
      <c r="FN37" s="130"/>
      <c r="FO37" s="130"/>
      <c r="FP37" s="130"/>
      <c r="FQ37" s="130"/>
      <c r="FR37" s="130"/>
      <c r="FS37" s="130"/>
      <c r="FT37" s="130"/>
      <c r="FU37" s="130"/>
      <c r="FV37" s="130"/>
      <c r="FW37" s="130"/>
      <c r="FX37" s="130"/>
      <c r="FY37" s="130"/>
      <c r="FZ37" s="130"/>
      <c r="GA37" s="130"/>
      <c r="GB37" s="130"/>
      <c r="GC37" s="130"/>
      <c r="GD37" s="130"/>
      <c r="GE37" s="130"/>
      <c r="GF37" s="130"/>
      <c r="GG37" s="130"/>
      <c r="GH37" s="130"/>
      <c r="GI37" s="130"/>
      <c r="GJ37" s="130"/>
      <c r="GK37" s="130"/>
      <c r="GL37" s="130"/>
      <c r="GM37" s="130"/>
      <c r="GN37" s="130"/>
      <c r="GO37" s="130"/>
      <c r="GP37" s="130"/>
      <c r="GQ37" s="130"/>
      <c r="GR37" s="130"/>
      <c r="GS37" s="130"/>
      <c r="GT37" s="130"/>
      <c r="GU37" s="130"/>
      <c r="GV37" s="130"/>
      <c r="GW37" s="130"/>
    </row>
    <row r="38" spans="1:205" s="24" customFormat="1" ht="22.5" hidden="1">
      <c r="A38" s="109"/>
      <c r="B38" s="59"/>
      <c r="C38" s="59">
        <v>4440</v>
      </c>
      <c r="D38" s="14" t="s">
        <v>110</v>
      </c>
      <c r="E38" s="104">
        <v>3800</v>
      </c>
      <c r="F38" s="258">
        <v>3800</v>
      </c>
      <c r="G38" s="104">
        <v>3800</v>
      </c>
      <c r="H38" s="124">
        <f t="shared" si="0"/>
        <v>100</v>
      </c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/>
      <c r="DH38" s="130"/>
      <c r="DI38" s="130"/>
      <c r="DJ38" s="130"/>
      <c r="DK38" s="130"/>
      <c r="DL38" s="130"/>
      <c r="DM38" s="130"/>
      <c r="DN38" s="130"/>
      <c r="DO38" s="130"/>
      <c r="DP38" s="130"/>
      <c r="DQ38" s="130"/>
      <c r="DR38" s="130"/>
      <c r="DS38" s="130"/>
      <c r="DT38" s="130"/>
      <c r="DU38" s="130"/>
      <c r="DV38" s="130"/>
      <c r="DW38" s="130"/>
      <c r="DX38" s="130"/>
      <c r="DY38" s="130"/>
      <c r="DZ38" s="130"/>
      <c r="EA38" s="130"/>
      <c r="EB38" s="130"/>
      <c r="EC38" s="130"/>
      <c r="ED38" s="130"/>
      <c r="EE38" s="130"/>
      <c r="EF38" s="130"/>
      <c r="EG38" s="130"/>
      <c r="EH38" s="130"/>
      <c r="EI38" s="130"/>
      <c r="EJ38" s="130"/>
      <c r="EK38" s="130"/>
      <c r="EL38" s="130"/>
      <c r="EM38" s="130"/>
      <c r="EN38" s="130"/>
      <c r="EO38" s="130"/>
      <c r="EP38" s="130"/>
      <c r="EQ38" s="130"/>
      <c r="ER38" s="130"/>
      <c r="ES38" s="130"/>
      <c r="ET38" s="130"/>
      <c r="EU38" s="130"/>
      <c r="EV38" s="130"/>
      <c r="EW38" s="130"/>
      <c r="EX38" s="130"/>
      <c r="EY38" s="130"/>
      <c r="EZ38" s="130"/>
      <c r="FA38" s="130"/>
      <c r="FB38" s="130"/>
      <c r="FC38" s="130"/>
      <c r="FD38" s="130"/>
      <c r="FE38" s="130"/>
      <c r="FF38" s="130"/>
      <c r="FG38" s="130"/>
      <c r="FH38" s="130"/>
      <c r="FI38" s="130"/>
      <c r="FJ38" s="130"/>
      <c r="FK38" s="130"/>
      <c r="FL38" s="130"/>
      <c r="FM38" s="130"/>
      <c r="FN38" s="130"/>
      <c r="FO38" s="130"/>
      <c r="FP38" s="130"/>
      <c r="FQ38" s="130"/>
      <c r="FR38" s="130"/>
      <c r="FS38" s="130"/>
      <c r="FT38" s="130"/>
      <c r="FU38" s="130"/>
      <c r="FV38" s="130"/>
      <c r="FW38" s="130"/>
      <c r="FX38" s="130"/>
      <c r="FY38" s="130"/>
      <c r="FZ38" s="130"/>
      <c r="GA38" s="130"/>
      <c r="GB38" s="130"/>
      <c r="GC38" s="130"/>
      <c r="GD38" s="130"/>
      <c r="GE38" s="130"/>
      <c r="GF38" s="130"/>
      <c r="GG38" s="130"/>
      <c r="GH38" s="130"/>
      <c r="GI38" s="130"/>
      <c r="GJ38" s="130"/>
      <c r="GK38" s="130"/>
      <c r="GL38" s="130"/>
      <c r="GM38" s="130"/>
      <c r="GN38" s="130"/>
      <c r="GO38" s="130"/>
      <c r="GP38" s="130"/>
      <c r="GQ38" s="130"/>
      <c r="GR38" s="130"/>
      <c r="GS38" s="130"/>
      <c r="GT38" s="130"/>
      <c r="GU38" s="130"/>
      <c r="GV38" s="130"/>
      <c r="GW38" s="130"/>
    </row>
    <row r="39" spans="1:205" s="24" customFormat="1" ht="45">
      <c r="A39" s="109"/>
      <c r="B39" s="59">
        <v>85212</v>
      </c>
      <c r="C39" s="90"/>
      <c r="D39" s="88" t="s">
        <v>282</v>
      </c>
      <c r="E39" s="104">
        <f>SUM(E40:E59)</f>
        <v>7804800</v>
      </c>
      <c r="F39" s="104">
        <f>SUM(F40:F59)</f>
        <v>7812700</v>
      </c>
      <c r="G39" s="104">
        <f>SUM(G40:G59)</f>
        <v>3336841.069999999</v>
      </c>
      <c r="H39" s="124">
        <f t="shared" si="0"/>
        <v>42.7104723079089</v>
      </c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130"/>
      <c r="DG39" s="130"/>
      <c r="DH39" s="130"/>
      <c r="DI39" s="130"/>
      <c r="DJ39" s="130"/>
      <c r="DK39" s="130"/>
      <c r="DL39" s="130"/>
      <c r="DM39" s="130"/>
      <c r="DN39" s="130"/>
      <c r="DO39" s="130"/>
      <c r="DP39" s="130"/>
      <c r="DQ39" s="130"/>
      <c r="DR39" s="130"/>
      <c r="DS39" s="130"/>
      <c r="DT39" s="130"/>
      <c r="DU39" s="130"/>
      <c r="DV39" s="130"/>
      <c r="DW39" s="130"/>
      <c r="DX39" s="130"/>
      <c r="DY39" s="130"/>
      <c r="DZ39" s="130"/>
      <c r="EA39" s="130"/>
      <c r="EB39" s="130"/>
      <c r="EC39" s="130"/>
      <c r="ED39" s="130"/>
      <c r="EE39" s="130"/>
      <c r="EF39" s="130"/>
      <c r="EG39" s="130"/>
      <c r="EH39" s="130"/>
      <c r="EI39" s="130"/>
      <c r="EJ39" s="130"/>
      <c r="EK39" s="130"/>
      <c r="EL39" s="130"/>
      <c r="EM39" s="130"/>
      <c r="EN39" s="130"/>
      <c r="EO39" s="130"/>
      <c r="EP39" s="130"/>
      <c r="EQ39" s="130"/>
      <c r="ER39" s="130"/>
      <c r="ES39" s="130"/>
      <c r="ET39" s="130"/>
      <c r="EU39" s="130"/>
      <c r="EV39" s="130"/>
      <c r="EW39" s="130"/>
      <c r="EX39" s="130"/>
      <c r="EY39" s="130"/>
      <c r="EZ39" s="130"/>
      <c r="FA39" s="130"/>
      <c r="FB39" s="130"/>
      <c r="FC39" s="130"/>
      <c r="FD39" s="130"/>
      <c r="FE39" s="130"/>
      <c r="FF39" s="130"/>
      <c r="FG39" s="130"/>
      <c r="FH39" s="130"/>
      <c r="FI39" s="130"/>
      <c r="FJ39" s="130"/>
      <c r="FK39" s="130"/>
      <c r="FL39" s="130"/>
      <c r="FM39" s="130"/>
      <c r="FN39" s="130"/>
      <c r="FO39" s="130"/>
      <c r="FP39" s="130"/>
      <c r="FQ39" s="130"/>
      <c r="FR39" s="130"/>
      <c r="FS39" s="130"/>
      <c r="FT39" s="130"/>
      <c r="FU39" s="130"/>
      <c r="FV39" s="130"/>
      <c r="FW39" s="130"/>
      <c r="FX39" s="130"/>
      <c r="FY39" s="130"/>
      <c r="FZ39" s="130"/>
      <c r="GA39" s="130"/>
      <c r="GB39" s="130"/>
      <c r="GC39" s="130"/>
      <c r="GD39" s="130"/>
      <c r="GE39" s="130"/>
      <c r="GF39" s="130"/>
      <c r="GG39" s="130"/>
      <c r="GH39" s="130"/>
      <c r="GI39" s="130"/>
      <c r="GJ39" s="130"/>
      <c r="GK39" s="130"/>
      <c r="GL39" s="130"/>
      <c r="GM39" s="130"/>
      <c r="GN39" s="130"/>
      <c r="GO39" s="130"/>
      <c r="GP39" s="130"/>
      <c r="GQ39" s="130"/>
      <c r="GR39" s="130"/>
      <c r="GS39" s="130"/>
      <c r="GT39" s="130"/>
      <c r="GU39" s="130"/>
      <c r="GV39" s="130"/>
      <c r="GW39" s="130"/>
    </row>
    <row r="40" spans="1:205" s="24" customFormat="1" ht="27" customHeight="1">
      <c r="A40" s="109"/>
      <c r="B40" s="59"/>
      <c r="C40" s="90">
        <v>3020</v>
      </c>
      <c r="D40" s="42" t="s">
        <v>235</v>
      </c>
      <c r="E40" s="81">
        <v>1000</v>
      </c>
      <c r="F40" s="260">
        <v>1000</v>
      </c>
      <c r="G40" s="81">
        <v>0</v>
      </c>
      <c r="H40" s="124">
        <f t="shared" si="0"/>
        <v>0</v>
      </c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0"/>
      <c r="DE40" s="130"/>
      <c r="DF40" s="130"/>
      <c r="DG40" s="130"/>
      <c r="DH40" s="130"/>
      <c r="DI40" s="130"/>
      <c r="DJ40" s="130"/>
      <c r="DK40" s="130"/>
      <c r="DL40" s="130"/>
      <c r="DM40" s="130"/>
      <c r="DN40" s="130"/>
      <c r="DO40" s="130"/>
      <c r="DP40" s="130"/>
      <c r="DQ40" s="130"/>
      <c r="DR40" s="130"/>
      <c r="DS40" s="130"/>
      <c r="DT40" s="130"/>
      <c r="DU40" s="130"/>
      <c r="DV40" s="130"/>
      <c r="DW40" s="130"/>
      <c r="DX40" s="130"/>
      <c r="DY40" s="130"/>
      <c r="DZ40" s="130"/>
      <c r="EA40" s="130"/>
      <c r="EB40" s="130"/>
      <c r="EC40" s="130"/>
      <c r="ED40" s="130"/>
      <c r="EE40" s="130"/>
      <c r="EF40" s="130"/>
      <c r="EG40" s="130"/>
      <c r="EH40" s="130"/>
      <c r="EI40" s="130"/>
      <c r="EJ40" s="130"/>
      <c r="EK40" s="130"/>
      <c r="EL40" s="130"/>
      <c r="EM40" s="130"/>
      <c r="EN40" s="130"/>
      <c r="EO40" s="130"/>
      <c r="EP40" s="130"/>
      <c r="EQ40" s="130"/>
      <c r="ER40" s="130"/>
      <c r="ES40" s="130"/>
      <c r="ET40" s="130"/>
      <c r="EU40" s="130"/>
      <c r="EV40" s="130"/>
      <c r="EW40" s="130"/>
      <c r="EX40" s="130"/>
      <c r="EY40" s="130"/>
      <c r="EZ40" s="130"/>
      <c r="FA40" s="130"/>
      <c r="FB40" s="130"/>
      <c r="FC40" s="130"/>
      <c r="FD40" s="130"/>
      <c r="FE40" s="130"/>
      <c r="FF40" s="130"/>
      <c r="FG40" s="130"/>
      <c r="FH40" s="130"/>
      <c r="FI40" s="130"/>
      <c r="FJ40" s="130"/>
      <c r="FK40" s="130"/>
      <c r="FL40" s="130"/>
      <c r="FM40" s="130"/>
      <c r="FN40" s="130"/>
      <c r="FO40" s="130"/>
      <c r="FP40" s="130"/>
      <c r="FQ40" s="130"/>
      <c r="FR40" s="130"/>
      <c r="FS40" s="130"/>
      <c r="FT40" s="130"/>
      <c r="FU40" s="130"/>
      <c r="FV40" s="130"/>
      <c r="FW40" s="130"/>
      <c r="FX40" s="130"/>
      <c r="FY40" s="130"/>
      <c r="FZ40" s="130"/>
      <c r="GA40" s="130"/>
      <c r="GB40" s="130"/>
      <c r="GC40" s="130"/>
      <c r="GD40" s="130"/>
      <c r="GE40" s="130"/>
      <c r="GF40" s="130"/>
      <c r="GG40" s="130"/>
      <c r="GH40" s="130"/>
      <c r="GI40" s="130"/>
      <c r="GJ40" s="130"/>
      <c r="GK40" s="130"/>
      <c r="GL40" s="130"/>
      <c r="GM40" s="130"/>
      <c r="GN40" s="130"/>
      <c r="GO40" s="130"/>
      <c r="GP40" s="130"/>
      <c r="GQ40" s="130"/>
      <c r="GR40" s="130"/>
      <c r="GS40" s="130"/>
      <c r="GT40" s="130"/>
      <c r="GU40" s="130"/>
      <c r="GV40" s="130"/>
      <c r="GW40" s="130"/>
    </row>
    <row r="41" spans="1:205" s="24" customFormat="1" ht="21.75" customHeight="1">
      <c r="A41" s="109"/>
      <c r="B41" s="59"/>
      <c r="C41" s="90">
        <v>3110</v>
      </c>
      <c r="D41" s="88" t="s">
        <v>136</v>
      </c>
      <c r="E41" s="81">
        <v>7510656</v>
      </c>
      <c r="F41" s="260">
        <v>7518319</v>
      </c>
      <c r="G41" s="81">
        <v>3194676.4</v>
      </c>
      <c r="H41" s="124">
        <f t="shared" si="0"/>
        <v>42.49189745739706</v>
      </c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/>
      <c r="DH41" s="130"/>
      <c r="DI41" s="130"/>
      <c r="DJ41" s="130"/>
      <c r="DK41" s="130"/>
      <c r="DL41" s="130"/>
      <c r="DM41" s="130"/>
      <c r="DN41" s="130"/>
      <c r="DO41" s="130"/>
      <c r="DP41" s="130"/>
      <c r="DQ41" s="130"/>
      <c r="DR41" s="130"/>
      <c r="DS41" s="130"/>
      <c r="DT41" s="130"/>
      <c r="DU41" s="130"/>
      <c r="DV41" s="130"/>
      <c r="DW41" s="130"/>
      <c r="DX41" s="130"/>
      <c r="DY41" s="130"/>
      <c r="DZ41" s="130"/>
      <c r="EA41" s="130"/>
      <c r="EB41" s="130"/>
      <c r="EC41" s="130"/>
      <c r="ED41" s="130"/>
      <c r="EE41" s="130"/>
      <c r="EF41" s="130"/>
      <c r="EG41" s="130"/>
      <c r="EH41" s="130"/>
      <c r="EI41" s="130"/>
      <c r="EJ41" s="130"/>
      <c r="EK41" s="130"/>
      <c r="EL41" s="130"/>
      <c r="EM41" s="130"/>
      <c r="EN41" s="130"/>
      <c r="EO41" s="130"/>
      <c r="EP41" s="130"/>
      <c r="EQ41" s="130"/>
      <c r="ER41" s="130"/>
      <c r="ES41" s="130"/>
      <c r="ET41" s="130"/>
      <c r="EU41" s="130"/>
      <c r="EV41" s="130"/>
      <c r="EW41" s="130"/>
      <c r="EX41" s="130"/>
      <c r="EY41" s="130"/>
      <c r="EZ41" s="130"/>
      <c r="FA41" s="130"/>
      <c r="FB41" s="130"/>
      <c r="FC41" s="130"/>
      <c r="FD41" s="130"/>
      <c r="FE41" s="130"/>
      <c r="FF41" s="130"/>
      <c r="FG41" s="130"/>
      <c r="FH41" s="130"/>
      <c r="FI41" s="130"/>
      <c r="FJ41" s="130"/>
      <c r="FK41" s="130"/>
      <c r="FL41" s="130"/>
      <c r="FM41" s="130"/>
      <c r="FN41" s="130"/>
      <c r="FO41" s="130"/>
      <c r="FP41" s="130"/>
      <c r="FQ41" s="130"/>
      <c r="FR41" s="130"/>
      <c r="FS41" s="130"/>
      <c r="FT41" s="130"/>
      <c r="FU41" s="130"/>
      <c r="FV41" s="130"/>
      <c r="FW41" s="130"/>
      <c r="FX41" s="130"/>
      <c r="FY41" s="130"/>
      <c r="FZ41" s="130"/>
      <c r="GA41" s="130"/>
      <c r="GB41" s="130"/>
      <c r="GC41" s="130"/>
      <c r="GD41" s="130"/>
      <c r="GE41" s="130"/>
      <c r="GF41" s="130"/>
      <c r="GG41" s="130"/>
      <c r="GH41" s="130"/>
      <c r="GI41" s="130"/>
      <c r="GJ41" s="130"/>
      <c r="GK41" s="130"/>
      <c r="GL41" s="130"/>
      <c r="GM41" s="130"/>
      <c r="GN41" s="130"/>
      <c r="GO41" s="130"/>
      <c r="GP41" s="130"/>
      <c r="GQ41" s="130"/>
      <c r="GR41" s="130"/>
      <c r="GS41" s="130"/>
      <c r="GT41" s="130"/>
      <c r="GU41" s="130"/>
      <c r="GV41" s="130"/>
      <c r="GW41" s="130"/>
    </row>
    <row r="42" spans="1:205" s="24" customFormat="1" ht="27" customHeight="1">
      <c r="A42" s="109"/>
      <c r="B42" s="59"/>
      <c r="C42" s="59">
        <v>4010</v>
      </c>
      <c r="D42" s="14" t="s">
        <v>106</v>
      </c>
      <c r="E42" s="81">
        <v>123700</v>
      </c>
      <c r="F42" s="260">
        <v>123700</v>
      </c>
      <c r="G42" s="81">
        <v>66962.55</v>
      </c>
      <c r="H42" s="124">
        <f t="shared" si="0"/>
        <v>54.13302344381569</v>
      </c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0"/>
      <c r="DT42" s="130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30"/>
      <c r="EU42" s="130"/>
      <c r="EV42" s="130"/>
      <c r="EW42" s="130"/>
      <c r="EX42" s="130"/>
      <c r="EY42" s="130"/>
      <c r="EZ42" s="130"/>
      <c r="FA42" s="130"/>
      <c r="FB42" s="130"/>
      <c r="FC42" s="130"/>
      <c r="FD42" s="130"/>
      <c r="FE42" s="130"/>
      <c r="FF42" s="130"/>
      <c r="FG42" s="130"/>
      <c r="FH42" s="130"/>
      <c r="FI42" s="130"/>
      <c r="FJ42" s="130"/>
      <c r="FK42" s="130"/>
      <c r="FL42" s="130"/>
      <c r="FM42" s="130"/>
      <c r="FN42" s="130"/>
      <c r="FO42" s="130"/>
      <c r="FP42" s="130"/>
      <c r="FQ42" s="130"/>
      <c r="FR42" s="130"/>
      <c r="FS42" s="130"/>
      <c r="FT42" s="130"/>
      <c r="FU42" s="130"/>
      <c r="FV42" s="130"/>
      <c r="FW42" s="130"/>
      <c r="FX42" s="130"/>
      <c r="FY42" s="130"/>
      <c r="FZ42" s="130"/>
      <c r="GA42" s="130"/>
      <c r="GB42" s="130"/>
      <c r="GC42" s="130"/>
      <c r="GD42" s="130"/>
      <c r="GE42" s="130"/>
      <c r="GF42" s="130"/>
      <c r="GG42" s="130"/>
      <c r="GH42" s="130"/>
      <c r="GI42" s="130"/>
      <c r="GJ42" s="130"/>
      <c r="GK42" s="130"/>
      <c r="GL42" s="130"/>
      <c r="GM42" s="130"/>
      <c r="GN42" s="130"/>
      <c r="GO42" s="130"/>
      <c r="GP42" s="130"/>
      <c r="GQ42" s="130"/>
      <c r="GR42" s="130"/>
      <c r="GS42" s="130"/>
      <c r="GT42" s="130"/>
      <c r="GU42" s="130"/>
      <c r="GV42" s="130"/>
      <c r="GW42" s="130"/>
    </row>
    <row r="43" spans="1:205" s="24" customFormat="1" ht="21.75" customHeight="1">
      <c r="A43" s="109"/>
      <c r="B43" s="59"/>
      <c r="C43" s="59">
        <v>4040</v>
      </c>
      <c r="D43" s="14" t="s">
        <v>107</v>
      </c>
      <c r="E43" s="81">
        <v>11000</v>
      </c>
      <c r="F43" s="260">
        <v>11000</v>
      </c>
      <c r="G43" s="81">
        <v>10126.47</v>
      </c>
      <c r="H43" s="124">
        <f t="shared" si="0"/>
        <v>92.05881818181818</v>
      </c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  <c r="GK43" s="130"/>
      <c r="GL43" s="130"/>
      <c r="GM43" s="130"/>
      <c r="GN43" s="130"/>
      <c r="GO43" s="130"/>
      <c r="GP43" s="130"/>
      <c r="GQ43" s="130"/>
      <c r="GR43" s="130"/>
      <c r="GS43" s="130"/>
      <c r="GT43" s="130"/>
      <c r="GU43" s="130"/>
      <c r="GV43" s="130"/>
      <c r="GW43" s="130"/>
    </row>
    <row r="44" spans="1:205" s="24" customFormat="1" ht="21.75" customHeight="1">
      <c r="A44" s="109"/>
      <c r="B44" s="59"/>
      <c r="C44" s="59">
        <v>4110</v>
      </c>
      <c r="D44" s="14" t="s">
        <v>108</v>
      </c>
      <c r="E44" s="81">
        <f>23500+60000</f>
        <v>83500</v>
      </c>
      <c r="F44" s="260">
        <v>83500</v>
      </c>
      <c r="G44" s="81">
        <v>42299.96</v>
      </c>
      <c r="H44" s="124">
        <f t="shared" si="0"/>
        <v>50.65863473053892</v>
      </c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  <c r="FP44" s="130"/>
      <c r="FQ44" s="130"/>
      <c r="FR44" s="130"/>
      <c r="FS44" s="130"/>
      <c r="FT44" s="130"/>
      <c r="FU44" s="130"/>
      <c r="FV44" s="130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  <c r="GK44" s="130"/>
      <c r="GL44" s="130"/>
      <c r="GM44" s="130"/>
      <c r="GN44" s="130"/>
      <c r="GO44" s="130"/>
      <c r="GP44" s="130"/>
      <c r="GQ44" s="130"/>
      <c r="GR44" s="130"/>
      <c r="GS44" s="130"/>
      <c r="GT44" s="130"/>
      <c r="GU44" s="130"/>
      <c r="GV44" s="130"/>
      <c r="GW44" s="130"/>
    </row>
    <row r="45" spans="1:205" s="24" customFormat="1" ht="21.75" customHeight="1">
      <c r="A45" s="109"/>
      <c r="B45" s="59"/>
      <c r="C45" s="59">
        <v>4120</v>
      </c>
      <c r="D45" s="14" t="s">
        <v>109</v>
      </c>
      <c r="E45" s="81">
        <v>3400</v>
      </c>
      <c r="F45" s="260">
        <v>3400</v>
      </c>
      <c r="G45" s="81">
        <v>1988.26</v>
      </c>
      <c r="H45" s="124">
        <f t="shared" si="0"/>
        <v>58.47823529411764</v>
      </c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0"/>
      <c r="DE45" s="130"/>
      <c r="DF45" s="130"/>
      <c r="DG45" s="130"/>
      <c r="DH45" s="130"/>
      <c r="DI45" s="130"/>
      <c r="DJ45" s="130"/>
      <c r="DK45" s="130"/>
      <c r="DL45" s="130"/>
      <c r="DM45" s="130"/>
      <c r="DN45" s="130"/>
      <c r="DO45" s="130"/>
      <c r="DP45" s="130"/>
      <c r="DQ45" s="130"/>
      <c r="DR45" s="130"/>
      <c r="DS45" s="130"/>
      <c r="DT45" s="130"/>
      <c r="DU45" s="130"/>
      <c r="DV45" s="130"/>
      <c r="DW45" s="130"/>
      <c r="DX45" s="130"/>
      <c r="DY45" s="130"/>
      <c r="DZ45" s="130"/>
      <c r="EA45" s="130"/>
      <c r="EB45" s="130"/>
      <c r="EC45" s="130"/>
      <c r="ED45" s="130"/>
      <c r="EE45" s="130"/>
      <c r="EF45" s="130"/>
      <c r="EG45" s="130"/>
      <c r="EH45" s="130"/>
      <c r="EI45" s="130"/>
      <c r="EJ45" s="130"/>
      <c r="EK45" s="130"/>
      <c r="EL45" s="130"/>
      <c r="EM45" s="130"/>
      <c r="EN45" s="130"/>
      <c r="EO45" s="130"/>
      <c r="EP45" s="130"/>
      <c r="EQ45" s="130"/>
      <c r="ER45" s="130"/>
      <c r="ES45" s="130"/>
      <c r="ET45" s="130"/>
      <c r="EU45" s="130"/>
      <c r="EV45" s="130"/>
      <c r="EW45" s="130"/>
      <c r="EX45" s="130"/>
      <c r="EY45" s="130"/>
      <c r="EZ45" s="130"/>
      <c r="FA45" s="130"/>
      <c r="FB45" s="130"/>
      <c r="FC45" s="130"/>
      <c r="FD45" s="130"/>
      <c r="FE45" s="130"/>
      <c r="FF45" s="130"/>
      <c r="FG45" s="130"/>
      <c r="FH45" s="130"/>
      <c r="FI45" s="130"/>
      <c r="FJ45" s="130"/>
      <c r="FK45" s="130"/>
      <c r="FL45" s="130"/>
      <c r="FM45" s="130"/>
      <c r="FN45" s="130"/>
      <c r="FO45" s="130"/>
      <c r="FP45" s="130"/>
      <c r="FQ45" s="130"/>
      <c r="FR45" s="130"/>
      <c r="FS45" s="130"/>
      <c r="FT45" s="130"/>
      <c r="FU45" s="130"/>
      <c r="FV45" s="130"/>
      <c r="FW45" s="130"/>
      <c r="FX45" s="130"/>
      <c r="FY45" s="130"/>
      <c r="FZ45" s="130"/>
      <c r="GA45" s="130"/>
      <c r="GB45" s="130"/>
      <c r="GC45" s="130"/>
      <c r="GD45" s="130"/>
      <c r="GE45" s="130"/>
      <c r="GF45" s="130"/>
      <c r="GG45" s="130"/>
      <c r="GH45" s="130"/>
      <c r="GI45" s="130"/>
      <c r="GJ45" s="130"/>
      <c r="GK45" s="130"/>
      <c r="GL45" s="130"/>
      <c r="GM45" s="130"/>
      <c r="GN45" s="130"/>
      <c r="GO45" s="130"/>
      <c r="GP45" s="130"/>
      <c r="GQ45" s="130"/>
      <c r="GR45" s="130"/>
      <c r="GS45" s="130"/>
      <c r="GT45" s="130"/>
      <c r="GU45" s="130"/>
      <c r="GV45" s="130"/>
      <c r="GW45" s="130"/>
    </row>
    <row r="46" spans="1:205" s="24" customFormat="1" ht="21.75" customHeight="1">
      <c r="A46" s="109"/>
      <c r="B46" s="59"/>
      <c r="C46" s="59">
        <v>4170</v>
      </c>
      <c r="D46" s="42" t="s">
        <v>239</v>
      </c>
      <c r="E46" s="81">
        <v>4000</v>
      </c>
      <c r="F46" s="260">
        <v>4000</v>
      </c>
      <c r="G46" s="81">
        <v>0</v>
      </c>
      <c r="H46" s="124">
        <f t="shared" si="0"/>
        <v>0</v>
      </c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30"/>
      <c r="EF46" s="130"/>
      <c r="EG46" s="130"/>
      <c r="EH46" s="130"/>
      <c r="EI46" s="130"/>
      <c r="EJ46" s="130"/>
      <c r="EK46" s="130"/>
      <c r="EL46" s="130"/>
      <c r="EM46" s="130"/>
      <c r="EN46" s="130"/>
      <c r="EO46" s="130"/>
      <c r="EP46" s="130"/>
      <c r="EQ46" s="130"/>
      <c r="ER46" s="130"/>
      <c r="ES46" s="130"/>
      <c r="ET46" s="130"/>
      <c r="EU46" s="130"/>
      <c r="EV46" s="130"/>
      <c r="EW46" s="130"/>
      <c r="EX46" s="130"/>
      <c r="EY46" s="130"/>
      <c r="EZ46" s="130"/>
      <c r="FA46" s="130"/>
      <c r="FB46" s="130"/>
      <c r="FC46" s="130"/>
      <c r="FD46" s="130"/>
      <c r="FE46" s="130"/>
      <c r="FF46" s="130"/>
      <c r="FG46" s="130"/>
      <c r="FH46" s="130"/>
      <c r="FI46" s="130"/>
      <c r="FJ46" s="130"/>
      <c r="FK46" s="130"/>
      <c r="FL46" s="130"/>
      <c r="FM46" s="130"/>
      <c r="FN46" s="130"/>
      <c r="FO46" s="130"/>
      <c r="FP46" s="130"/>
      <c r="FQ46" s="130"/>
      <c r="FR46" s="130"/>
      <c r="FS46" s="130"/>
      <c r="FT46" s="130"/>
      <c r="FU46" s="130"/>
      <c r="FV46" s="130"/>
      <c r="FW46" s="130"/>
      <c r="FX46" s="130"/>
      <c r="FY46" s="130"/>
      <c r="FZ46" s="130"/>
      <c r="GA46" s="130"/>
      <c r="GB46" s="130"/>
      <c r="GC46" s="130"/>
      <c r="GD46" s="130"/>
      <c r="GE46" s="130"/>
      <c r="GF46" s="130"/>
      <c r="GG46" s="130"/>
      <c r="GH46" s="130"/>
      <c r="GI46" s="130"/>
      <c r="GJ46" s="130"/>
      <c r="GK46" s="130"/>
      <c r="GL46" s="130"/>
      <c r="GM46" s="130"/>
      <c r="GN46" s="130"/>
      <c r="GO46" s="130"/>
      <c r="GP46" s="130"/>
      <c r="GQ46" s="130"/>
      <c r="GR46" s="130"/>
      <c r="GS46" s="130"/>
      <c r="GT46" s="130"/>
      <c r="GU46" s="130"/>
      <c r="GV46" s="130"/>
      <c r="GW46" s="130"/>
    </row>
    <row r="47" spans="1:205" s="24" customFormat="1" ht="21.75" customHeight="1">
      <c r="A47" s="109"/>
      <c r="B47" s="59"/>
      <c r="C47" s="59">
        <v>4210</v>
      </c>
      <c r="D47" s="14" t="s">
        <v>114</v>
      </c>
      <c r="E47" s="81">
        <f>8000+3410</f>
        <v>11410</v>
      </c>
      <c r="F47" s="260">
        <v>11647</v>
      </c>
      <c r="G47" s="81">
        <v>147.01</v>
      </c>
      <c r="H47" s="124">
        <f t="shared" si="0"/>
        <v>1.262213445522452</v>
      </c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0"/>
      <c r="DE47" s="130"/>
      <c r="DF47" s="130"/>
      <c r="DG47" s="130"/>
      <c r="DH47" s="130"/>
      <c r="DI47" s="130"/>
      <c r="DJ47" s="130"/>
      <c r="DK47" s="130"/>
      <c r="DL47" s="130"/>
      <c r="DM47" s="130"/>
      <c r="DN47" s="130"/>
      <c r="DO47" s="130"/>
      <c r="DP47" s="130"/>
      <c r="DQ47" s="130"/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30"/>
      <c r="EJ47" s="130"/>
      <c r="EK47" s="130"/>
      <c r="EL47" s="130"/>
      <c r="EM47" s="130"/>
      <c r="EN47" s="130"/>
      <c r="EO47" s="130"/>
      <c r="EP47" s="130"/>
      <c r="EQ47" s="130"/>
      <c r="ER47" s="130"/>
      <c r="ES47" s="130"/>
      <c r="ET47" s="130"/>
      <c r="EU47" s="130"/>
      <c r="EV47" s="130"/>
      <c r="EW47" s="130"/>
      <c r="EX47" s="130"/>
      <c r="EY47" s="130"/>
      <c r="EZ47" s="130"/>
      <c r="FA47" s="130"/>
      <c r="FB47" s="130"/>
      <c r="FC47" s="130"/>
      <c r="FD47" s="130"/>
      <c r="FE47" s="130"/>
      <c r="FF47" s="130"/>
      <c r="FG47" s="130"/>
      <c r="FH47" s="130"/>
      <c r="FI47" s="130"/>
      <c r="FJ47" s="130"/>
      <c r="FK47" s="130"/>
      <c r="FL47" s="130"/>
      <c r="FM47" s="130"/>
      <c r="FN47" s="130"/>
      <c r="FO47" s="130"/>
      <c r="FP47" s="130"/>
      <c r="FQ47" s="130"/>
      <c r="FR47" s="130"/>
      <c r="FS47" s="130"/>
      <c r="FT47" s="130"/>
      <c r="FU47" s="130"/>
      <c r="FV47" s="130"/>
      <c r="FW47" s="130"/>
      <c r="FX47" s="130"/>
      <c r="FY47" s="130"/>
      <c r="FZ47" s="130"/>
      <c r="GA47" s="130"/>
      <c r="GB47" s="130"/>
      <c r="GC47" s="130"/>
      <c r="GD47" s="130"/>
      <c r="GE47" s="130"/>
      <c r="GF47" s="130"/>
      <c r="GG47" s="130"/>
      <c r="GH47" s="130"/>
      <c r="GI47" s="130"/>
      <c r="GJ47" s="130"/>
      <c r="GK47" s="130"/>
      <c r="GL47" s="130"/>
      <c r="GM47" s="130"/>
      <c r="GN47" s="130"/>
      <c r="GO47" s="130"/>
      <c r="GP47" s="130"/>
      <c r="GQ47" s="130"/>
      <c r="GR47" s="130"/>
      <c r="GS47" s="130"/>
      <c r="GT47" s="130"/>
      <c r="GU47" s="130"/>
      <c r="GV47" s="130"/>
      <c r="GW47" s="130"/>
    </row>
    <row r="48" spans="1:205" s="24" customFormat="1" ht="21.75" customHeight="1">
      <c r="A48" s="109"/>
      <c r="B48" s="59"/>
      <c r="C48" s="59">
        <v>4270</v>
      </c>
      <c r="D48" s="14" t="s">
        <v>100</v>
      </c>
      <c r="E48" s="81">
        <v>1000</v>
      </c>
      <c r="F48" s="260">
        <v>1000</v>
      </c>
      <c r="G48" s="81">
        <v>274.5</v>
      </c>
      <c r="H48" s="124">
        <f t="shared" si="0"/>
        <v>27.450000000000003</v>
      </c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0"/>
      <c r="DE48" s="130"/>
      <c r="DF48" s="130"/>
      <c r="DG48" s="130"/>
      <c r="DH48" s="130"/>
      <c r="DI48" s="130"/>
      <c r="DJ48" s="130"/>
      <c r="DK48" s="130"/>
      <c r="DL48" s="130"/>
      <c r="DM48" s="130"/>
      <c r="DN48" s="130"/>
      <c r="DO48" s="130"/>
      <c r="DP48" s="130"/>
      <c r="DQ48" s="130"/>
      <c r="DR48" s="130"/>
      <c r="DS48" s="130"/>
      <c r="DT48" s="130"/>
      <c r="DU48" s="130"/>
      <c r="DV48" s="130"/>
      <c r="DW48" s="130"/>
      <c r="DX48" s="130"/>
      <c r="DY48" s="130"/>
      <c r="DZ48" s="130"/>
      <c r="EA48" s="130"/>
      <c r="EB48" s="130"/>
      <c r="EC48" s="130"/>
      <c r="ED48" s="130"/>
      <c r="EE48" s="130"/>
      <c r="EF48" s="130"/>
      <c r="EG48" s="130"/>
      <c r="EH48" s="130"/>
      <c r="EI48" s="130"/>
      <c r="EJ48" s="130"/>
      <c r="EK48" s="130"/>
      <c r="EL48" s="130"/>
      <c r="EM48" s="130"/>
      <c r="EN48" s="130"/>
      <c r="EO48" s="130"/>
      <c r="EP48" s="130"/>
      <c r="EQ48" s="130"/>
      <c r="ER48" s="130"/>
      <c r="ES48" s="130"/>
      <c r="ET48" s="130"/>
      <c r="EU48" s="130"/>
      <c r="EV48" s="130"/>
      <c r="EW48" s="130"/>
      <c r="EX48" s="130"/>
      <c r="EY48" s="130"/>
      <c r="EZ48" s="130"/>
      <c r="FA48" s="130"/>
      <c r="FB48" s="130"/>
      <c r="FC48" s="130"/>
      <c r="FD48" s="130"/>
      <c r="FE48" s="130"/>
      <c r="FF48" s="130"/>
      <c r="FG48" s="130"/>
      <c r="FH48" s="130"/>
      <c r="FI48" s="130"/>
      <c r="FJ48" s="130"/>
      <c r="FK48" s="130"/>
      <c r="FL48" s="130"/>
      <c r="FM48" s="130"/>
      <c r="FN48" s="130"/>
      <c r="FO48" s="130"/>
      <c r="FP48" s="130"/>
      <c r="FQ48" s="130"/>
      <c r="FR48" s="130"/>
      <c r="FS48" s="130"/>
      <c r="FT48" s="130"/>
      <c r="FU48" s="130"/>
      <c r="FV48" s="130"/>
      <c r="FW48" s="130"/>
      <c r="FX48" s="130"/>
      <c r="FY48" s="130"/>
      <c r="FZ48" s="130"/>
      <c r="GA48" s="130"/>
      <c r="GB48" s="130"/>
      <c r="GC48" s="130"/>
      <c r="GD48" s="130"/>
      <c r="GE48" s="130"/>
      <c r="GF48" s="130"/>
      <c r="GG48" s="130"/>
      <c r="GH48" s="130"/>
      <c r="GI48" s="130"/>
      <c r="GJ48" s="130"/>
      <c r="GK48" s="130"/>
      <c r="GL48" s="130"/>
      <c r="GM48" s="130"/>
      <c r="GN48" s="130"/>
      <c r="GO48" s="130"/>
      <c r="GP48" s="130"/>
      <c r="GQ48" s="130"/>
      <c r="GR48" s="130"/>
      <c r="GS48" s="130"/>
      <c r="GT48" s="130"/>
      <c r="GU48" s="130"/>
      <c r="GV48" s="130"/>
      <c r="GW48" s="130"/>
    </row>
    <row r="49" spans="1:205" s="24" customFormat="1" ht="21.75" customHeight="1">
      <c r="A49" s="109"/>
      <c r="B49" s="59"/>
      <c r="C49" s="59">
        <v>4280</v>
      </c>
      <c r="D49" s="14" t="s">
        <v>276</v>
      </c>
      <c r="E49" s="81">
        <v>500</v>
      </c>
      <c r="F49" s="260">
        <v>500</v>
      </c>
      <c r="G49" s="81">
        <v>196</v>
      </c>
      <c r="H49" s="124">
        <f t="shared" si="0"/>
        <v>39.2</v>
      </c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/>
      <c r="DL49" s="130"/>
      <c r="DM49" s="130"/>
      <c r="DN49" s="130"/>
      <c r="DO49" s="130"/>
      <c r="DP49" s="130"/>
      <c r="DQ49" s="130"/>
      <c r="DR49" s="130"/>
      <c r="DS49" s="130"/>
      <c r="DT49" s="130"/>
      <c r="DU49" s="130"/>
      <c r="DV49" s="130"/>
      <c r="DW49" s="130"/>
      <c r="DX49" s="130"/>
      <c r="DY49" s="130"/>
      <c r="DZ49" s="130"/>
      <c r="EA49" s="130"/>
      <c r="EB49" s="130"/>
      <c r="EC49" s="130"/>
      <c r="ED49" s="130"/>
      <c r="EE49" s="130"/>
      <c r="EF49" s="130"/>
      <c r="EG49" s="130"/>
      <c r="EH49" s="130"/>
      <c r="EI49" s="130"/>
      <c r="EJ49" s="130"/>
      <c r="EK49" s="130"/>
      <c r="EL49" s="130"/>
      <c r="EM49" s="130"/>
      <c r="EN49" s="130"/>
      <c r="EO49" s="130"/>
      <c r="EP49" s="130"/>
      <c r="EQ49" s="130"/>
      <c r="ER49" s="130"/>
      <c r="ES49" s="130"/>
      <c r="ET49" s="130"/>
      <c r="EU49" s="130"/>
      <c r="EV49" s="130"/>
      <c r="EW49" s="130"/>
      <c r="EX49" s="130"/>
      <c r="EY49" s="130"/>
      <c r="EZ49" s="130"/>
      <c r="FA49" s="130"/>
      <c r="FB49" s="130"/>
      <c r="FC49" s="130"/>
      <c r="FD49" s="130"/>
      <c r="FE49" s="130"/>
      <c r="FF49" s="130"/>
      <c r="FG49" s="130"/>
      <c r="FH49" s="130"/>
      <c r="FI49" s="130"/>
      <c r="FJ49" s="130"/>
      <c r="FK49" s="130"/>
      <c r="FL49" s="130"/>
      <c r="FM49" s="130"/>
      <c r="FN49" s="130"/>
      <c r="FO49" s="130"/>
      <c r="FP49" s="130"/>
      <c r="FQ49" s="130"/>
      <c r="FR49" s="130"/>
      <c r="FS49" s="130"/>
      <c r="FT49" s="130"/>
      <c r="FU49" s="130"/>
      <c r="FV49" s="130"/>
      <c r="FW49" s="130"/>
      <c r="FX49" s="130"/>
      <c r="FY49" s="130"/>
      <c r="FZ49" s="130"/>
      <c r="GA49" s="130"/>
      <c r="GB49" s="130"/>
      <c r="GC49" s="130"/>
      <c r="GD49" s="130"/>
      <c r="GE49" s="130"/>
      <c r="GF49" s="130"/>
      <c r="GG49" s="130"/>
      <c r="GH49" s="130"/>
      <c r="GI49" s="130"/>
      <c r="GJ49" s="130"/>
      <c r="GK49" s="130"/>
      <c r="GL49" s="130"/>
      <c r="GM49" s="130"/>
      <c r="GN49" s="130"/>
      <c r="GO49" s="130"/>
      <c r="GP49" s="130"/>
      <c r="GQ49" s="130"/>
      <c r="GR49" s="130"/>
      <c r="GS49" s="130"/>
      <c r="GT49" s="130"/>
      <c r="GU49" s="130"/>
      <c r="GV49" s="130"/>
      <c r="GW49" s="130"/>
    </row>
    <row r="50" spans="1:205" s="24" customFormat="1" ht="21.75" customHeight="1">
      <c r="A50" s="109"/>
      <c r="B50" s="59"/>
      <c r="C50" s="59">
        <v>4300</v>
      </c>
      <c r="D50" s="14" t="s">
        <v>101</v>
      </c>
      <c r="E50" s="81">
        <f>24150+3410</f>
        <v>27560</v>
      </c>
      <c r="F50" s="260">
        <v>27560</v>
      </c>
      <c r="G50" s="81">
        <v>9154.29</v>
      </c>
      <c r="H50" s="124">
        <f t="shared" si="0"/>
        <v>33.215856313497824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30"/>
      <c r="DM50" s="130"/>
      <c r="DN50" s="130"/>
      <c r="DO50" s="130"/>
      <c r="DP50" s="130"/>
      <c r="DQ50" s="130"/>
      <c r="DR50" s="130"/>
      <c r="DS50" s="130"/>
      <c r="DT50" s="130"/>
      <c r="DU50" s="130"/>
      <c r="DV50" s="130"/>
      <c r="DW50" s="130"/>
      <c r="DX50" s="130"/>
      <c r="DY50" s="130"/>
      <c r="DZ50" s="130"/>
      <c r="EA50" s="130"/>
      <c r="EB50" s="130"/>
      <c r="EC50" s="130"/>
      <c r="ED50" s="130"/>
      <c r="EE50" s="130"/>
      <c r="EF50" s="130"/>
      <c r="EG50" s="130"/>
      <c r="EH50" s="130"/>
      <c r="EI50" s="130"/>
      <c r="EJ50" s="130"/>
      <c r="EK50" s="130"/>
      <c r="EL50" s="130"/>
      <c r="EM50" s="130"/>
      <c r="EN50" s="130"/>
      <c r="EO50" s="130"/>
      <c r="EP50" s="130"/>
      <c r="EQ50" s="130"/>
      <c r="ER50" s="130"/>
      <c r="ES50" s="130"/>
      <c r="ET50" s="130"/>
      <c r="EU50" s="130"/>
      <c r="EV50" s="130"/>
      <c r="EW50" s="130"/>
      <c r="EX50" s="130"/>
      <c r="EY50" s="130"/>
      <c r="EZ50" s="130"/>
      <c r="FA50" s="130"/>
      <c r="FB50" s="130"/>
      <c r="FC50" s="130"/>
      <c r="FD50" s="130"/>
      <c r="FE50" s="130"/>
      <c r="FF50" s="130"/>
      <c r="FG50" s="130"/>
      <c r="FH50" s="130"/>
      <c r="FI50" s="130"/>
      <c r="FJ50" s="130"/>
      <c r="FK50" s="130"/>
      <c r="FL50" s="130"/>
      <c r="FM50" s="130"/>
      <c r="FN50" s="130"/>
      <c r="FO50" s="130"/>
      <c r="FP50" s="130"/>
      <c r="FQ50" s="130"/>
      <c r="FR50" s="130"/>
      <c r="FS50" s="130"/>
      <c r="FT50" s="130"/>
      <c r="FU50" s="130"/>
      <c r="FV50" s="130"/>
      <c r="FW50" s="130"/>
      <c r="FX50" s="130"/>
      <c r="FY50" s="130"/>
      <c r="FZ50" s="130"/>
      <c r="GA50" s="130"/>
      <c r="GB50" s="130"/>
      <c r="GC50" s="130"/>
      <c r="GD50" s="130"/>
      <c r="GE50" s="130"/>
      <c r="GF50" s="130"/>
      <c r="GG50" s="130"/>
      <c r="GH50" s="130"/>
      <c r="GI50" s="130"/>
      <c r="GJ50" s="130"/>
      <c r="GK50" s="130"/>
      <c r="GL50" s="130"/>
      <c r="GM50" s="130"/>
      <c r="GN50" s="130"/>
      <c r="GO50" s="130"/>
      <c r="GP50" s="130"/>
      <c r="GQ50" s="130"/>
      <c r="GR50" s="130"/>
      <c r="GS50" s="130"/>
      <c r="GT50" s="130"/>
      <c r="GU50" s="130"/>
      <c r="GV50" s="130"/>
      <c r="GW50" s="130"/>
    </row>
    <row r="51" spans="1:205" s="24" customFormat="1" ht="21.75" customHeight="1">
      <c r="A51" s="109"/>
      <c r="B51" s="59"/>
      <c r="C51" s="59">
        <v>4350</v>
      </c>
      <c r="D51" s="14" t="s">
        <v>278</v>
      </c>
      <c r="E51" s="81">
        <v>3500</v>
      </c>
      <c r="F51" s="260">
        <v>3500</v>
      </c>
      <c r="G51" s="81">
        <v>1493.28</v>
      </c>
      <c r="H51" s="124">
        <f t="shared" si="0"/>
        <v>42.665142857142854</v>
      </c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  <c r="EH51" s="130"/>
      <c r="EI51" s="130"/>
      <c r="EJ51" s="130"/>
      <c r="EK51" s="130"/>
      <c r="EL51" s="130"/>
      <c r="EM51" s="130"/>
      <c r="EN51" s="130"/>
      <c r="EO51" s="130"/>
      <c r="EP51" s="130"/>
      <c r="EQ51" s="130"/>
      <c r="ER51" s="130"/>
      <c r="ES51" s="130"/>
      <c r="ET51" s="130"/>
      <c r="EU51" s="130"/>
      <c r="EV51" s="130"/>
      <c r="EW51" s="130"/>
      <c r="EX51" s="130"/>
      <c r="EY51" s="130"/>
      <c r="EZ51" s="130"/>
      <c r="FA51" s="130"/>
      <c r="FB51" s="130"/>
      <c r="FC51" s="130"/>
      <c r="FD51" s="130"/>
      <c r="FE51" s="130"/>
      <c r="FF51" s="130"/>
      <c r="FG51" s="130"/>
      <c r="FH51" s="130"/>
      <c r="FI51" s="130"/>
      <c r="FJ51" s="130"/>
      <c r="FK51" s="130"/>
      <c r="FL51" s="130"/>
      <c r="FM51" s="130"/>
      <c r="FN51" s="130"/>
      <c r="FO51" s="130"/>
      <c r="FP51" s="130"/>
      <c r="FQ51" s="130"/>
      <c r="FR51" s="130"/>
      <c r="FS51" s="130"/>
      <c r="FT51" s="130"/>
      <c r="FU51" s="130"/>
      <c r="FV51" s="130"/>
      <c r="FW51" s="130"/>
      <c r="FX51" s="130"/>
      <c r="FY51" s="130"/>
      <c r="FZ51" s="130"/>
      <c r="GA51" s="130"/>
      <c r="GB51" s="130"/>
      <c r="GC51" s="130"/>
      <c r="GD51" s="130"/>
      <c r="GE51" s="130"/>
      <c r="GF51" s="130"/>
      <c r="GG51" s="130"/>
      <c r="GH51" s="130"/>
      <c r="GI51" s="130"/>
      <c r="GJ51" s="130"/>
      <c r="GK51" s="130"/>
      <c r="GL51" s="130"/>
      <c r="GM51" s="130"/>
      <c r="GN51" s="130"/>
      <c r="GO51" s="130"/>
      <c r="GP51" s="130"/>
      <c r="GQ51" s="130"/>
      <c r="GR51" s="130"/>
      <c r="GS51" s="130"/>
      <c r="GT51" s="130"/>
      <c r="GU51" s="130"/>
      <c r="GV51" s="130"/>
      <c r="GW51" s="130"/>
    </row>
    <row r="52" spans="1:205" s="24" customFormat="1" ht="33.75">
      <c r="A52" s="109"/>
      <c r="B52" s="59"/>
      <c r="C52" s="59">
        <v>4360</v>
      </c>
      <c r="D52" s="14" t="s">
        <v>294</v>
      </c>
      <c r="E52" s="81">
        <v>1000</v>
      </c>
      <c r="F52" s="260">
        <v>1000</v>
      </c>
      <c r="G52" s="81">
        <v>418.77</v>
      </c>
      <c r="H52" s="124">
        <f t="shared" si="0"/>
        <v>41.876999999999995</v>
      </c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0"/>
      <c r="DE52" s="130"/>
      <c r="DF52" s="130"/>
      <c r="DG52" s="130"/>
      <c r="DH52" s="130"/>
      <c r="DI52" s="130"/>
      <c r="DJ52" s="130"/>
      <c r="DK52" s="130"/>
      <c r="DL52" s="130"/>
      <c r="DM52" s="130"/>
      <c r="DN52" s="130"/>
      <c r="DO52" s="130"/>
      <c r="DP52" s="130"/>
      <c r="DQ52" s="130"/>
      <c r="DR52" s="130"/>
      <c r="DS52" s="130"/>
      <c r="DT52" s="130"/>
      <c r="DU52" s="130"/>
      <c r="DV52" s="130"/>
      <c r="DW52" s="130"/>
      <c r="DX52" s="130"/>
      <c r="DY52" s="130"/>
      <c r="DZ52" s="130"/>
      <c r="EA52" s="130"/>
      <c r="EB52" s="130"/>
      <c r="EC52" s="130"/>
      <c r="ED52" s="130"/>
      <c r="EE52" s="130"/>
      <c r="EF52" s="130"/>
      <c r="EG52" s="130"/>
      <c r="EH52" s="130"/>
      <c r="EI52" s="130"/>
      <c r="EJ52" s="130"/>
      <c r="EK52" s="130"/>
      <c r="EL52" s="130"/>
      <c r="EM52" s="130"/>
      <c r="EN52" s="130"/>
      <c r="EO52" s="130"/>
      <c r="EP52" s="130"/>
      <c r="EQ52" s="130"/>
      <c r="ER52" s="130"/>
      <c r="ES52" s="130"/>
      <c r="ET52" s="130"/>
      <c r="EU52" s="130"/>
      <c r="EV52" s="130"/>
      <c r="EW52" s="130"/>
      <c r="EX52" s="130"/>
      <c r="EY52" s="130"/>
      <c r="EZ52" s="130"/>
      <c r="FA52" s="130"/>
      <c r="FB52" s="130"/>
      <c r="FC52" s="130"/>
      <c r="FD52" s="130"/>
      <c r="FE52" s="130"/>
      <c r="FF52" s="130"/>
      <c r="FG52" s="130"/>
      <c r="FH52" s="130"/>
      <c r="FI52" s="130"/>
      <c r="FJ52" s="130"/>
      <c r="FK52" s="130"/>
      <c r="FL52" s="130"/>
      <c r="FM52" s="130"/>
      <c r="FN52" s="130"/>
      <c r="FO52" s="130"/>
      <c r="FP52" s="130"/>
      <c r="FQ52" s="130"/>
      <c r="FR52" s="130"/>
      <c r="FS52" s="130"/>
      <c r="FT52" s="130"/>
      <c r="FU52" s="130"/>
      <c r="FV52" s="130"/>
      <c r="FW52" s="130"/>
      <c r="FX52" s="130"/>
      <c r="FY52" s="130"/>
      <c r="FZ52" s="130"/>
      <c r="GA52" s="130"/>
      <c r="GB52" s="130"/>
      <c r="GC52" s="130"/>
      <c r="GD52" s="130"/>
      <c r="GE52" s="130"/>
      <c r="GF52" s="130"/>
      <c r="GG52" s="130"/>
      <c r="GH52" s="130"/>
      <c r="GI52" s="130"/>
      <c r="GJ52" s="130"/>
      <c r="GK52" s="130"/>
      <c r="GL52" s="130"/>
      <c r="GM52" s="130"/>
      <c r="GN52" s="130"/>
      <c r="GO52" s="130"/>
      <c r="GP52" s="130"/>
      <c r="GQ52" s="130"/>
      <c r="GR52" s="130"/>
      <c r="GS52" s="130"/>
      <c r="GT52" s="130"/>
      <c r="GU52" s="130"/>
      <c r="GV52" s="130"/>
      <c r="GW52" s="130"/>
    </row>
    <row r="53" spans="1:205" s="24" customFormat="1" ht="33.75">
      <c r="A53" s="109"/>
      <c r="B53" s="59"/>
      <c r="C53" s="59">
        <v>4370</v>
      </c>
      <c r="D53" s="14" t="s">
        <v>289</v>
      </c>
      <c r="E53" s="81">
        <v>4000</v>
      </c>
      <c r="F53" s="260">
        <v>4000</v>
      </c>
      <c r="G53" s="81">
        <v>1839.82</v>
      </c>
      <c r="H53" s="124">
        <f t="shared" si="0"/>
        <v>45.9955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0"/>
      <c r="DE53" s="130"/>
      <c r="DF53" s="130"/>
      <c r="DG53" s="130"/>
      <c r="DH53" s="130"/>
      <c r="DI53" s="130"/>
      <c r="DJ53" s="130"/>
      <c r="DK53" s="130"/>
      <c r="DL53" s="130"/>
      <c r="DM53" s="130"/>
      <c r="DN53" s="130"/>
      <c r="DO53" s="130"/>
      <c r="DP53" s="130"/>
      <c r="DQ53" s="130"/>
      <c r="DR53" s="130"/>
      <c r="DS53" s="130"/>
      <c r="DT53" s="130"/>
      <c r="DU53" s="130"/>
      <c r="DV53" s="130"/>
      <c r="DW53" s="130"/>
      <c r="DX53" s="130"/>
      <c r="DY53" s="130"/>
      <c r="DZ53" s="130"/>
      <c r="EA53" s="130"/>
      <c r="EB53" s="130"/>
      <c r="EC53" s="130"/>
      <c r="ED53" s="130"/>
      <c r="EE53" s="130"/>
      <c r="EF53" s="130"/>
      <c r="EG53" s="130"/>
      <c r="EH53" s="130"/>
      <c r="EI53" s="130"/>
      <c r="EJ53" s="130"/>
      <c r="EK53" s="130"/>
      <c r="EL53" s="130"/>
      <c r="EM53" s="130"/>
      <c r="EN53" s="130"/>
      <c r="EO53" s="130"/>
      <c r="EP53" s="130"/>
      <c r="EQ53" s="130"/>
      <c r="ER53" s="130"/>
      <c r="ES53" s="130"/>
      <c r="ET53" s="130"/>
      <c r="EU53" s="130"/>
      <c r="EV53" s="130"/>
      <c r="EW53" s="130"/>
      <c r="EX53" s="130"/>
      <c r="EY53" s="130"/>
      <c r="EZ53" s="130"/>
      <c r="FA53" s="130"/>
      <c r="FB53" s="130"/>
      <c r="FC53" s="130"/>
      <c r="FD53" s="130"/>
      <c r="FE53" s="130"/>
      <c r="FF53" s="130"/>
      <c r="FG53" s="130"/>
      <c r="FH53" s="130"/>
      <c r="FI53" s="130"/>
      <c r="FJ53" s="130"/>
      <c r="FK53" s="130"/>
      <c r="FL53" s="130"/>
      <c r="FM53" s="130"/>
      <c r="FN53" s="130"/>
      <c r="FO53" s="130"/>
      <c r="FP53" s="130"/>
      <c r="FQ53" s="130"/>
      <c r="FR53" s="130"/>
      <c r="FS53" s="130"/>
      <c r="FT53" s="130"/>
      <c r="FU53" s="130"/>
      <c r="FV53" s="130"/>
      <c r="FW53" s="130"/>
      <c r="FX53" s="130"/>
      <c r="FY53" s="130"/>
      <c r="FZ53" s="130"/>
      <c r="GA53" s="130"/>
      <c r="GB53" s="130"/>
      <c r="GC53" s="130"/>
      <c r="GD53" s="130"/>
      <c r="GE53" s="130"/>
      <c r="GF53" s="130"/>
      <c r="GG53" s="130"/>
      <c r="GH53" s="130"/>
      <c r="GI53" s="130"/>
      <c r="GJ53" s="130"/>
      <c r="GK53" s="130"/>
      <c r="GL53" s="130"/>
      <c r="GM53" s="130"/>
      <c r="GN53" s="130"/>
      <c r="GO53" s="130"/>
      <c r="GP53" s="130"/>
      <c r="GQ53" s="130"/>
      <c r="GR53" s="130"/>
      <c r="GS53" s="130"/>
      <c r="GT53" s="130"/>
      <c r="GU53" s="130"/>
      <c r="GV53" s="130"/>
      <c r="GW53" s="130"/>
    </row>
    <row r="54" spans="1:205" s="24" customFormat="1" ht="21.75" customHeight="1">
      <c r="A54" s="109"/>
      <c r="B54" s="59"/>
      <c r="C54" s="59">
        <v>4410</v>
      </c>
      <c r="D54" s="14" t="s">
        <v>112</v>
      </c>
      <c r="E54" s="81">
        <v>2500</v>
      </c>
      <c r="F54" s="260">
        <v>2500</v>
      </c>
      <c r="G54" s="81">
        <v>1366.78</v>
      </c>
      <c r="H54" s="124">
        <f t="shared" si="0"/>
        <v>54.6712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0"/>
      <c r="DE54" s="130"/>
      <c r="DF54" s="130"/>
      <c r="DG54" s="130"/>
      <c r="DH54" s="130"/>
      <c r="DI54" s="130"/>
      <c r="DJ54" s="130"/>
      <c r="DK54" s="130"/>
      <c r="DL54" s="130"/>
      <c r="DM54" s="130"/>
      <c r="DN54" s="130"/>
      <c r="DO54" s="130"/>
      <c r="DP54" s="130"/>
      <c r="DQ54" s="130"/>
      <c r="DR54" s="130"/>
      <c r="DS54" s="130"/>
      <c r="DT54" s="130"/>
      <c r="DU54" s="130"/>
      <c r="DV54" s="130"/>
      <c r="DW54" s="130"/>
      <c r="DX54" s="130"/>
      <c r="DY54" s="130"/>
      <c r="DZ54" s="130"/>
      <c r="EA54" s="130"/>
      <c r="EB54" s="130"/>
      <c r="EC54" s="130"/>
      <c r="ED54" s="130"/>
      <c r="EE54" s="130"/>
      <c r="EF54" s="130"/>
      <c r="EG54" s="130"/>
      <c r="EH54" s="130"/>
      <c r="EI54" s="130"/>
      <c r="EJ54" s="130"/>
      <c r="EK54" s="130"/>
      <c r="EL54" s="130"/>
      <c r="EM54" s="130"/>
      <c r="EN54" s="130"/>
      <c r="EO54" s="130"/>
      <c r="EP54" s="130"/>
      <c r="EQ54" s="130"/>
      <c r="ER54" s="130"/>
      <c r="ES54" s="130"/>
      <c r="ET54" s="130"/>
      <c r="EU54" s="130"/>
      <c r="EV54" s="130"/>
      <c r="EW54" s="130"/>
      <c r="EX54" s="130"/>
      <c r="EY54" s="130"/>
      <c r="EZ54" s="130"/>
      <c r="FA54" s="130"/>
      <c r="FB54" s="130"/>
      <c r="FC54" s="130"/>
      <c r="FD54" s="130"/>
      <c r="FE54" s="130"/>
      <c r="FF54" s="130"/>
      <c r="FG54" s="130"/>
      <c r="FH54" s="130"/>
      <c r="FI54" s="130"/>
      <c r="FJ54" s="130"/>
      <c r="FK54" s="130"/>
      <c r="FL54" s="130"/>
      <c r="FM54" s="130"/>
      <c r="FN54" s="130"/>
      <c r="FO54" s="130"/>
      <c r="FP54" s="130"/>
      <c r="FQ54" s="130"/>
      <c r="FR54" s="130"/>
      <c r="FS54" s="130"/>
      <c r="FT54" s="130"/>
      <c r="FU54" s="130"/>
      <c r="FV54" s="130"/>
      <c r="FW54" s="130"/>
      <c r="FX54" s="130"/>
      <c r="FY54" s="130"/>
      <c r="FZ54" s="130"/>
      <c r="GA54" s="130"/>
      <c r="GB54" s="130"/>
      <c r="GC54" s="130"/>
      <c r="GD54" s="130"/>
      <c r="GE54" s="130"/>
      <c r="GF54" s="130"/>
      <c r="GG54" s="130"/>
      <c r="GH54" s="130"/>
      <c r="GI54" s="130"/>
      <c r="GJ54" s="130"/>
      <c r="GK54" s="130"/>
      <c r="GL54" s="130"/>
      <c r="GM54" s="130"/>
      <c r="GN54" s="130"/>
      <c r="GO54" s="130"/>
      <c r="GP54" s="130"/>
      <c r="GQ54" s="130"/>
      <c r="GR54" s="130"/>
      <c r="GS54" s="130"/>
      <c r="GT54" s="130"/>
      <c r="GU54" s="130"/>
      <c r="GV54" s="130"/>
      <c r="GW54" s="130"/>
    </row>
    <row r="55" spans="1:205" s="24" customFormat="1" ht="21.75" customHeight="1">
      <c r="A55" s="109"/>
      <c r="B55" s="59"/>
      <c r="C55" s="59">
        <v>4430</v>
      </c>
      <c r="D55" s="42" t="s">
        <v>116</v>
      </c>
      <c r="E55" s="81">
        <v>2000</v>
      </c>
      <c r="F55" s="260">
        <v>2000</v>
      </c>
      <c r="G55" s="81">
        <v>0</v>
      </c>
      <c r="H55" s="124">
        <f t="shared" si="0"/>
        <v>0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0"/>
      <c r="DE55" s="130"/>
      <c r="DF55" s="130"/>
      <c r="DG55" s="130"/>
      <c r="DH55" s="130"/>
      <c r="DI55" s="130"/>
      <c r="DJ55" s="130"/>
      <c r="DK55" s="130"/>
      <c r="DL55" s="130"/>
      <c r="DM55" s="130"/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30"/>
      <c r="EF55" s="130"/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0"/>
      <c r="EW55" s="130"/>
      <c r="EX55" s="130"/>
      <c r="EY55" s="130"/>
      <c r="EZ55" s="130"/>
      <c r="FA55" s="130"/>
      <c r="FB55" s="130"/>
      <c r="FC55" s="130"/>
      <c r="FD55" s="130"/>
      <c r="FE55" s="130"/>
      <c r="FF55" s="130"/>
      <c r="FG55" s="130"/>
      <c r="FH55" s="130"/>
      <c r="FI55" s="130"/>
      <c r="FJ55" s="130"/>
      <c r="FK55" s="130"/>
      <c r="FL55" s="130"/>
      <c r="FM55" s="130"/>
      <c r="FN55" s="130"/>
      <c r="FO55" s="130"/>
      <c r="FP55" s="130"/>
      <c r="FQ55" s="130"/>
      <c r="FR55" s="130"/>
      <c r="FS55" s="130"/>
      <c r="FT55" s="130"/>
      <c r="FU55" s="130"/>
      <c r="FV55" s="130"/>
      <c r="FW55" s="130"/>
      <c r="FX55" s="130"/>
      <c r="FY55" s="130"/>
      <c r="FZ55" s="130"/>
      <c r="GA55" s="130"/>
      <c r="GB55" s="130"/>
      <c r="GC55" s="130"/>
      <c r="GD55" s="130"/>
      <c r="GE55" s="130"/>
      <c r="GF55" s="130"/>
      <c r="GG55" s="130"/>
      <c r="GH55" s="130"/>
      <c r="GI55" s="130"/>
      <c r="GJ55" s="130"/>
      <c r="GK55" s="130"/>
      <c r="GL55" s="130"/>
      <c r="GM55" s="130"/>
      <c r="GN55" s="130"/>
      <c r="GO55" s="130"/>
      <c r="GP55" s="130"/>
      <c r="GQ55" s="130"/>
      <c r="GR55" s="130"/>
      <c r="GS55" s="130"/>
      <c r="GT55" s="130"/>
      <c r="GU55" s="130"/>
      <c r="GV55" s="130"/>
      <c r="GW55" s="130"/>
    </row>
    <row r="56" spans="1:205" s="24" customFormat="1" ht="27" customHeight="1">
      <c r="A56" s="109"/>
      <c r="B56" s="59"/>
      <c r="C56" s="59">
        <v>4440</v>
      </c>
      <c r="D56" s="14" t="s">
        <v>110</v>
      </c>
      <c r="E56" s="81">
        <v>4000</v>
      </c>
      <c r="F56" s="260">
        <v>4000</v>
      </c>
      <c r="G56" s="81">
        <v>3000</v>
      </c>
      <c r="H56" s="124">
        <f t="shared" si="0"/>
        <v>75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0"/>
      <c r="DE56" s="130"/>
      <c r="DF56" s="130"/>
      <c r="DG56" s="130"/>
      <c r="DH56" s="130"/>
      <c r="DI56" s="130"/>
      <c r="DJ56" s="130"/>
      <c r="DK56" s="130"/>
      <c r="DL56" s="130"/>
      <c r="DM56" s="130"/>
      <c r="DN56" s="130"/>
      <c r="DO56" s="130"/>
      <c r="DP56" s="130"/>
      <c r="DQ56" s="130"/>
      <c r="DR56" s="130"/>
      <c r="DS56" s="130"/>
      <c r="DT56" s="130"/>
      <c r="DU56" s="130"/>
      <c r="DV56" s="130"/>
      <c r="DW56" s="130"/>
      <c r="DX56" s="130"/>
      <c r="DY56" s="130"/>
      <c r="DZ56" s="130"/>
      <c r="EA56" s="130"/>
      <c r="EB56" s="130"/>
      <c r="EC56" s="130"/>
      <c r="ED56" s="130"/>
      <c r="EE56" s="130"/>
      <c r="EF56" s="130"/>
      <c r="EG56" s="130"/>
      <c r="EH56" s="130"/>
      <c r="EI56" s="130"/>
      <c r="EJ56" s="130"/>
      <c r="EK56" s="130"/>
      <c r="EL56" s="130"/>
      <c r="EM56" s="130"/>
      <c r="EN56" s="130"/>
      <c r="EO56" s="130"/>
      <c r="EP56" s="130"/>
      <c r="EQ56" s="130"/>
      <c r="ER56" s="130"/>
      <c r="ES56" s="130"/>
      <c r="ET56" s="130"/>
      <c r="EU56" s="130"/>
      <c r="EV56" s="130"/>
      <c r="EW56" s="130"/>
      <c r="EX56" s="130"/>
      <c r="EY56" s="130"/>
      <c r="EZ56" s="130"/>
      <c r="FA56" s="130"/>
      <c r="FB56" s="130"/>
      <c r="FC56" s="130"/>
      <c r="FD56" s="130"/>
      <c r="FE56" s="130"/>
      <c r="FF56" s="130"/>
      <c r="FG56" s="130"/>
      <c r="FH56" s="130"/>
      <c r="FI56" s="130"/>
      <c r="FJ56" s="130"/>
      <c r="FK56" s="130"/>
      <c r="FL56" s="130"/>
      <c r="FM56" s="130"/>
      <c r="FN56" s="130"/>
      <c r="FO56" s="130"/>
      <c r="FP56" s="130"/>
      <c r="FQ56" s="130"/>
      <c r="FR56" s="130"/>
      <c r="FS56" s="130"/>
      <c r="FT56" s="130"/>
      <c r="FU56" s="130"/>
      <c r="FV56" s="130"/>
      <c r="FW56" s="130"/>
      <c r="FX56" s="130"/>
      <c r="FY56" s="130"/>
      <c r="FZ56" s="130"/>
      <c r="GA56" s="130"/>
      <c r="GB56" s="130"/>
      <c r="GC56" s="130"/>
      <c r="GD56" s="130"/>
      <c r="GE56" s="130"/>
      <c r="GF56" s="130"/>
      <c r="GG56" s="130"/>
      <c r="GH56" s="130"/>
      <c r="GI56" s="130"/>
      <c r="GJ56" s="130"/>
      <c r="GK56" s="130"/>
      <c r="GL56" s="130"/>
      <c r="GM56" s="130"/>
      <c r="GN56" s="130"/>
      <c r="GO56" s="130"/>
      <c r="GP56" s="130"/>
      <c r="GQ56" s="130"/>
      <c r="GR56" s="130"/>
      <c r="GS56" s="130"/>
      <c r="GT56" s="130"/>
      <c r="GU56" s="130"/>
      <c r="GV56" s="130"/>
      <c r="GW56" s="130"/>
    </row>
    <row r="57" spans="1:205" s="24" customFormat="1" ht="27" customHeight="1">
      <c r="A57" s="109"/>
      <c r="B57" s="59"/>
      <c r="C57" s="59">
        <v>4700</v>
      </c>
      <c r="D57" s="14" t="s">
        <v>292</v>
      </c>
      <c r="E57" s="81">
        <v>3000</v>
      </c>
      <c r="F57" s="260">
        <v>3000</v>
      </c>
      <c r="G57" s="81">
        <v>1230</v>
      </c>
      <c r="H57" s="124">
        <f t="shared" si="0"/>
        <v>41</v>
      </c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DI57" s="130"/>
      <c r="DJ57" s="130"/>
      <c r="DK57" s="130"/>
      <c r="DL57" s="130"/>
      <c r="DM57" s="130"/>
      <c r="DN57" s="130"/>
      <c r="DO57" s="130"/>
      <c r="DP57" s="130"/>
      <c r="DQ57" s="130"/>
      <c r="DR57" s="130"/>
      <c r="DS57" s="130"/>
      <c r="DT57" s="130"/>
      <c r="DU57" s="130"/>
      <c r="DV57" s="130"/>
      <c r="DW57" s="130"/>
      <c r="DX57" s="130"/>
      <c r="DY57" s="130"/>
      <c r="DZ57" s="130"/>
      <c r="EA57" s="130"/>
      <c r="EB57" s="130"/>
      <c r="EC57" s="130"/>
      <c r="ED57" s="130"/>
      <c r="EE57" s="130"/>
      <c r="EF57" s="130"/>
      <c r="EG57" s="130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30"/>
      <c r="EU57" s="130"/>
      <c r="EV57" s="130"/>
      <c r="EW57" s="130"/>
      <c r="EX57" s="130"/>
      <c r="EY57" s="130"/>
      <c r="EZ57" s="130"/>
      <c r="FA57" s="130"/>
      <c r="FB57" s="130"/>
      <c r="FC57" s="130"/>
      <c r="FD57" s="130"/>
      <c r="FE57" s="130"/>
      <c r="FF57" s="130"/>
      <c r="FG57" s="130"/>
      <c r="FH57" s="130"/>
      <c r="FI57" s="130"/>
      <c r="FJ57" s="130"/>
      <c r="FK57" s="130"/>
      <c r="FL57" s="130"/>
      <c r="FM57" s="130"/>
      <c r="FN57" s="130"/>
      <c r="FO57" s="130"/>
      <c r="FP57" s="130"/>
      <c r="FQ57" s="130"/>
      <c r="FR57" s="130"/>
      <c r="FS57" s="130"/>
      <c r="FT57" s="130"/>
      <c r="FU57" s="130"/>
      <c r="FV57" s="130"/>
      <c r="FW57" s="130"/>
      <c r="FX57" s="130"/>
      <c r="FY57" s="130"/>
      <c r="FZ57" s="130"/>
      <c r="GA57" s="130"/>
      <c r="GB57" s="130"/>
      <c r="GC57" s="130"/>
      <c r="GD57" s="130"/>
      <c r="GE57" s="130"/>
      <c r="GF57" s="130"/>
      <c r="GG57" s="130"/>
      <c r="GH57" s="130"/>
      <c r="GI57" s="130"/>
      <c r="GJ57" s="130"/>
      <c r="GK57" s="130"/>
      <c r="GL57" s="130"/>
      <c r="GM57" s="130"/>
      <c r="GN57" s="130"/>
      <c r="GO57" s="130"/>
      <c r="GP57" s="130"/>
      <c r="GQ57" s="130"/>
      <c r="GR57" s="130"/>
      <c r="GS57" s="130"/>
      <c r="GT57" s="130"/>
      <c r="GU57" s="130"/>
      <c r="GV57" s="130"/>
      <c r="GW57" s="130"/>
    </row>
    <row r="58" spans="1:205" s="24" customFormat="1" ht="33.75">
      <c r="A58" s="109"/>
      <c r="B58" s="59"/>
      <c r="C58" s="59">
        <v>4740</v>
      </c>
      <c r="D58" s="14" t="s">
        <v>291</v>
      </c>
      <c r="E58" s="81">
        <v>4000</v>
      </c>
      <c r="F58" s="260">
        <v>4000</v>
      </c>
      <c r="G58" s="81">
        <v>0</v>
      </c>
      <c r="H58" s="124">
        <f t="shared" si="0"/>
        <v>0</v>
      </c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130"/>
      <c r="CR58" s="130"/>
      <c r="CS58" s="130"/>
      <c r="CT58" s="130"/>
      <c r="CU58" s="130"/>
      <c r="CV58" s="130"/>
      <c r="CW58" s="130"/>
      <c r="CX58" s="130"/>
      <c r="CY58" s="130"/>
      <c r="CZ58" s="130"/>
      <c r="DA58" s="130"/>
      <c r="DB58" s="130"/>
      <c r="DC58" s="130"/>
      <c r="DD58" s="130"/>
      <c r="DE58" s="130"/>
      <c r="DF58" s="130"/>
      <c r="DG58" s="130"/>
      <c r="DH58" s="130"/>
      <c r="DI58" s="130"/>
      <c r="DJ58" s="130"/>
      <c r="DK58" s="130"/>
      <c r="DL58" s="130"/>
      <c r="DM58" s="130"/>
      <c r="DN58" s="130"/>
      <c r="DO58" s="130"/>
      <c r="DP58" s="130"/>
      <c r="DQ58" s="130"/>
      <c r="DR58" s="130"/>
      <c r="DS58" s="130"/>
      <c r="DT58" s="130"/>
      <c r="DU58" s="130"/>
      <c r="DV58" s="130"/>
      <c r="DW58" s="130"/>
      <c r="DX58" s="130"/>
      <c r="DY58" s="130"/>
      <c r="DZ58" s="130"/>
      <c r="EA58" s="130"/>
      <c r="EB58" s="130"/>
      <c r="EC58" s="130"/>
      <c r="ED58" s="130"/>
      <c r="EE58" s="130"/>
      <c r="EF58" s="130"/>
      <c r="EG58" s="130"/>
      <c r="EH58" s="130"/>
      <c r="EI58" s="130"/>
      <c r="EJ58" s="130"/>
      <c r="EK58" s="130"/>
      <c r="EL58" s="130"/>
      <c r="EM58" s="130"/>
      <c r="EN58" s="130"/>
      <c r="EO58" s="130"/>
      <c r="EP58" s="130"/>
      <c r="EQ58" s="130"/>
      <c r="ER58" s="130"/>
      <c r="ES58" s="130"/>
      <c r="ET58" s="130"/>
      <c r="EU58" s="130"/>
      <c r="EV58" s="130"/>
      <c r="EW58" s="130"/>
      <c r="EX58" s="130"/>
      <c r="EY58" s="130"/>
      <c r="EZ58" s="130"/>
      <c r="FA58" s="130"/>
      <c r="FB58" s="130"/>
      <c r="FC58" s="130"/>
      <c r="FD58" s="130"/>
      <c r="FE58" s="130"/>
      <c r="FF58" s="130"/>
      <c r="FG58" s="130"/>
      <c r="FH58" s="130"/>
      <c r="FI58" s="130"/>
      <c r="FJ58" s="130"/>
      <c r="FK58" s="130"/>
      <c r="FL58" s="130"/>
      <c r="FM58" s="130"/>
      <c r="FN58" s="130"/>
      <c r="FO58" s="130"/>
      <c r="FP58" s="130"/>
      <c r="FQ58" s="130"/>
      <c r="FR58" s="130"/>
      <c r="FS58" s="130"/>
      <c r="FT58" s="130"/>
      <c r="FU58" s="130"/>
      <c r="FV58" s="130"/>
      <c r="FW58" s="130"/>
      <c r="FX58" s="130"/>
      <c r="FY58" s="130"/>
      <c r="FZ58" s="130"/>
      <c r="GA58" s="130"/>
      <c r="GB58" s="130"/>
      <c r="GC58" s="130"/>
      <c r="GD58" s="130"/>
      <c r="GE58" s="130"/>
      <c r="GF58" s="130"/>
      <c r="GG58" s="130"/>
      <c r="GH58" s="130"/>
      <c r="GI58" s="130"/>
      <c r="GJ58" s="130"/>
      <c r="GK58" s="130"/>
      <c r="GL58" s="130"/>
      <c r="GM58" s="130"/>
      <c r="GN58" s="130"/>
      <c r="GO58" s="130"/>
      <c r="GP58" s="130"/>
      <c r="GQ58" s="130"/>
      <c r="GR58" s="130"/>
      <c r="GS58" s="130"/>
      <c r="GT58" s="130"/>
      <c r="GU58" s="130"/>
      <c r="GV58" s="130"/>
      <c r="GW58" s="130"/>
    </row>
    <row r="59" spans="1:205" s="24" customFormat="1" ht="30" customHeight="1">
      <c r="A59" s="109"/>
      <c r="B59" s="59"/>
      <c r="C59" s="59">
        <v>4750</v>
      </c>
      <c r="D59" s="14" t="s">
        <v>518</v>
      </c>
      <c r="E59" s="81">
        <v>3074</v>
      </c>
      <c r="F59" s="260">
        <v>3074</v>
      </c>
      <c r="G59" s="81">
        <v>1666.98</v>
      </c>
      <c r="H59" s="124">
        <f t="shared" si="0"/>
        <v>54.22836694860117</v>
      </c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130"/>
      <c r="CR59" s="130"/>
      <c r="CS59" s="130"/>
      <c r="CT59" s="130"/>
      <c r="CU59" s="130"/>
      <c r="CV59" s="130"/>
      <c r="CW59" s="130"/>
      <c r="CX59" s="130"/>
      <c r="CY59" s="130"/>
      <c r="CZ59" s="130"/>
      <c r="DA59" s="130"/>
      <c r="DB59" s="130"/>
      <c r="DC59" s="130"/>
      <c r="DD59" s="130"/>
      <c r="DE59" s="130"/>
      <c r="DF59" s="130"/>
      <c r="DG59" s="130"/>
      <c r="DH59" s="130"/>
      <c r="DI59" s="130"/>
      <c r="DJ59" s="130"/>
      <c r="DK59" s="130"/>
      <c r="DL59" s="130"/>
      <c r="DM59" s="130"/>
      <c r="DN59" s="130"/>
      <c r="DO59" s="130"/>
      <c r="DP59" s="130"/>
      <c r="DQ59" s="130"/>
      <c r="DR59" s="130"/>
      <c r="DS59" s="130"/>
      <c r="DT59" s="130"/>
      <c r="DU59" s="130"/>
      <c r="DV59" s="130"/>
      <c r="DW59" s="130"/>
      <c r="DX59" s="130"/>
      <c r="DY59" s="130"/>
      <c r="DZ59" s="130"/>
      <c r="EA59" s="130"/>
      <c r="EB59" s="130"/>
      <c r="EC59" s="130"/>
      <c r="ED59" s="130"/>
      <c r="EE59" s="130"/>
      <c r="EF59" s="130"/>
      <c r="EG59" s="130"/>
      <c r="EH59" s="130"/>
      <c r="EI59" s="130"/>
      <c r="EJ59" s="130"/>
      <c r="EK59" s="130"/>
      <c r="EL59" s="130"/>
      <c r="EM59" s="130"/>
      <c r="EN59" s="130"/>
      <c r="EO59" s="130"/>
      <c r="EP59" s="130"/>
      <c r="EQ59" s="130"/>
      <c r="ER59" s="130"/>
      <c r="ES59" s="130"/>
      <c r="ET59" s="130"/>
      <c r="EU59" s="130"/>
      <c r="EV59" s="130"/>
      <c r="EW59" s="130"/>
      <c r="EX59" s="130"/>
      <c r="EY59" s="130"/>
      <c r="EZ59" s="130"/>
      <c r="FA59" s="130"/>
      <c r="FB59" s="130"/>
      <c r="FC59" s="130"/>
      <c r="FD59" s="130"/>
      <c r="FE59" s="130"/>
      <c r="FF59" s="130"/>
      <c r="FG59" s="130"/>
      <c r="FH59" s="130"/>
      <c r="FI59" s="130"/>
      <c r="FJ59" s="130"/>
      <c r="FK59" s="130"/>
      <c r="FL59" s="130"/>
      <c r="FM59" s="130"/>
      <c r="FN59" s="130"/>
      <c r="FO59" s="130"/>
      <c r="FP59" s="130"/>
      <c r="FQ59" s="130"/>
      <c r="FR59" s="130"/>
      <c r="FS59" s="130"/>
      <c r="FT59" s="130"/>
      <c r="FU59" s="130"/>
      <c r="FV59" s="130"/>
      <c r="FW59" s="130"/>
      <c r="FX59" s="130"/>
      <c r="FY59" s="130"/>
      <c r="FZ59" s="130"/>
      <c r="GA59" s="130"/>
      <c r="GB59" s="130"/>
      <c r="GC59" s="130"/>
      <c r="GD59" s="130"/>
      <c r="GE59" s="130"/>
      <c r="GF59" s="130"/>
      <c r="GG59" s="130"/>
      <c r="GH59" s="130"/>
      <c r="GI59" s="130"/>
      <c r="GJ59" s="130"/>
      <c r="GK59" s="130"/>
      <c r="GL59" s="130"/>
      <c r="GM59" s="130"/>
      <c r="GN59" s="130"/>
      <c r="GO59" s="130"/>
      <c r="GP59" s="130"/>
      <c r="GQ59" s="130"/>
      <c r="GR59" s="130"/>
      <c r="GS59" s="130"/>
      <c r="GT59" s="130"/>
      <c r="GU59" s="130"/>
      <c r="GV59" s="130"/>
      <c r="GW59" s="130"/>
    </row>
    <row r="60" spans="1:205" s="24" customFormat="1" ht="56.25">
      <c r="A60" s="83"/>
      <c r="B60" s="59">
        <v>85213</v>
      </c>
      <c r="C60" s="91"/>
      <c r="D60" s="88" t="s">
        <v>230</v>
      </c>
      <c r="E60" s="104">
        <f>SUM(E61)</f>
        <v>99900</v>
      </c>
      <c r="F60" s="104">
        <f>SUM(F61)</f>
        <v>78400</v>
      </c>
      <c r="G60" s="104">
        <f>SUM(G61)</f>
        <v>23982.16</v>
      </c>
      <c r="H60" s="124">
        <f t="shared" si="0"/>
        <v>30.589489795918368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0"/>
      <c r="DE60" s="130"/>
      <c r="DF60" s="130"/>
      <c r="DG60" s="130"/>
      <c r="DH60" s="130"/>
      <c r="DI60" s="130"/>
      <c r="DJ60" s="130"/>
      <c r="DK60" s="130"/>
      <c r="DL60" s="130"/>
      <c r="DM60" s="130"/>
      <c r="DN60" s="130"/>
      <c r="DO60" s="130"/>
      <c r="DP60" s="130"/>
      <c r="DQ60" s="130"/>
      <c r="DR60" s="130"/>
      <c r="DS60" s="130"/>
      <c r="DT60" s="130"/>
      <c r="DU60" s="130"/>
      <c r="DV60" s="130"/>
      <c r="DW60" s="130"/>
      <c r="DX60" s="130"/>
      <c r="DY60" s="130"/>
      <c r="DZ60" s="130"/>
      <c r="EA60" s="130"/>
      <c r="EB60" s="130"/>
      <c r="EC60" s="130"/>
      <c r="ED60" s="130"/>
      <c r="EE60" s="130"/>
      <c r="EF60" s="130"/>
      <c r="EG60" s="130"/>
      <c r="EH60" s="130"/>
      <c r="EI60" s="130"/>
      <c r="EJ60" s="130"/>
      <c r="EK60" s="130"/>
      <c r="EL60" s="130"/>
      <c r="EM60" s="130"/>
      <c r="EN60" s="130"/>
      <c r="EO60" s="130"/>
      <c r="EP60" s="130"/>
      <c r="EQ60" s="130"/>
      <c r="ER60" s="130"/>
      <c r="ES60" s="130"/>
      <c r="ET60" s="130"/>
      <c r="EU60" s="130"/>
      <c r="EV60" s="130"/>
      <c r="EW60" s="130"/>
      <c r="EX60" s="130"/>
      <c r="EY60" s="130"/>
      <c r="EZ60" s="130"/>
      <c r="FA60" s="130"/>
      <c r="FB60" s="130"/>
      <c r="FC60" s="130"/>
      <c r="FD60" s="130"/>
      <c r="FE60" s="130"/>
      <c r="FF60" s="130"/>
      <c r="FG60" s="130"/>
      <c r="FH60" s="130"/>
      <c r="FI60" s="130"/>
      <c r="FJ60" s="130"/>
      <c r="FK60" s="130"/>
      <c r="FL60" s="130"/>
      <c r="FM60" s="130"/>
      <c r="FN60" s="130"/>
      <c r="FO60" s="130"/>
      <c r="FP60" s="130"/>
      <c r="FQ60" s="130"/>
      <c r="FR60" s="130"/>
      <c r="FS60" s="130"/>
      <c r="FT60" s="130"/>
      <c r="FU60" s="130"/>
      <c r="FV60" s="130"/>
      <c r="FW60" s="130"/>
      <c r="FX60" s="130"/>
      <c r="FY60" s="130"/>
      <c r="FZ60" s="130"/>
      <c r="GA60" s="130"/>
      <c r="GB60" s="130"/>
      <c r="GC60" s="130"/>
      <c r="GD60" s="130"/>
      <c r="GE60" s="130"/>
      <c r="GF60" s="130"/>
      <c r="GG60" s="130"/>
      <c r="GH60" s="130"/>
      <c r="GI60" s="130"/>
      <c r="GJ60" s="130"/>
      <c r="GK60" s="130"/>
      <c r="GL60" s="130"/>
      <c r="GM60" s="130"/>
      <c r="GN60" s="130"/>
      <c r="GO60" s="130"/>
      <c r="GP60" s="130"/>
      <c r="GQ60" s="130"/>
      <c r="GR60" s="130"/>
      <c r="GS60" s="130"/>
      <c r="GT60" s="130"/>
      <c r="GU60" s="130"/>
      <c r="GV60" s="130"/>
      <c r="GW60" s="130"/>
    </row>
    <row r="61" spans="1:205" s="24" customFormat="1" ht="21.75" customHeight="1">
      <c r="A61" s="83"/>
      <c r="B61" s="59"/>
      <c r="C61" s="91">
        <v>4130</v>
      </c>
      <c r="D61" s="88" t="s">
        <v>144</v>
      </c>
      <c r="E61" s="104">
        <v>99900</v>
      </c>
      <c r="F61" s="258">
        <v>78400</v>
      </c>
      <c r="G61" s="104">
        <v>23982.16</v>
      </c>
      <c r="H61" s="124">
        <f t="shared" si="0"/>
        <v>30.589489795918368</v>
      </c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0"/>
      <c r="DE61" s="130"/>
      <c r="DF61" s="130"/>
      <c r="DG61" s="130"/>
      <c r="DH61" s="130"/>
      <c r="DI61" s="130"/>
      <c r="DJ61" s="130"/>
      <c r="DK61" s="130"/>
      <c r="DL61" s="130"/>
      <c r="DM61" s="130"/>
      <c r="DN61" s="130"/>
      <c r="DO61" s="130"/>
      <c r="DP61" s="130"/>
      <c r="DQ61" s="130"/>
      <c r="DR61" s="130"/>
      <c r="DS61" s="130"/>
      <c r="DT61" s="130"/>
      <c r="DU61" s="130"/>
      <c r="DV61" s="130"/>
      <c r="DW61" s="130"/>
      <c r="DX61" s="130"/>
      <c r="DY61" s="130"/>
      <c r="DZ61" s="130"/>
      <c r="EA61" s="130"/>
      <c r="EB61" s="130"/>
      <c r="EC61" s="130"/>
      <c r="ED61" s="130"/>
      <c r="EE61" s="130"/>
      <c r="EF61" s="130"/>
      <c r="EG61" s="130"/>
      <c r="EH61" s="130"/>
      <c r="EI61" s="130"/>
      <c r="EJ61" s="130"/>
      <c r="EK61" s="130"/>
      <c r="EL61" s="130"/>
      <c r="EM61" s="130"/>
      <c r="EN61" s="130"/>
      <c r="EO61" s="130"/>
      <c r="EP61" s="130"/>
      <c r="EQ61" s="130"/>
      <c r="ER61" s="130"/>
      <c r="ES61" s="130"/>
      <c r="ET61" s="130"/>
      <c r="EU61" s="130"/>
      <c r="EV61" s="130"/>
      <c r="EW61" s="130"/>
      <c r="EX61" s="130"/>
      <c r="EY61" s="130"/>
      <c r="EZ61" s="130"/>
      <c r="FA61" s="130"/>
      <c r="FB61" s="130"/>
      <c r="FC61" s="130"/>
      <c r="FD61" s="130"/>
      <c r="FE61" s="130"/>
      <c r="FF61" s="130"/>
      <c r="FG61" s="130"/>
      <c r="FH61" s="130"/>
      <c r="FI61" s="130"/>
      <c r="FJ61" s="130"/>
      <c r="FK61" s="130"/>
      <c r="FL61" s="130"/>
      <c r="FM61" s="130"/>
      <c r="FN61" s="130"/>
      <c r="FO61" s="130"/>
      <c r="FP61" s="130"/>
      <c r="FQ61" s="130"/>
      <c r="FR61" s="130"/>
      <c r="FS61" s="130"/>
      <c r="FT61" s="130"/>
      <c r="FU61" s="130"/>
      <c r="FV61" s="130"/>
      <c r="FW61" s="130"/>
      <c r="FX61" s="130"/>
      <c r="FY61" s="130"/>
      <c r="FZ61" s="130"/>
      <c r="GA61" s="130"/>
      <c r="GB61" s="130"/>
      <c r="GC61" s="130"/>
      <c r="GD61" s="130"/>
      <c r="GE61" s="130"/>
      <c r="GF61" s="130"/>
      <c r="GG61" s="130"/>
      <c r="GH61" s="130"/>
      <c r="GI61" s="130"/>
      <c r="GJ61" s="130"/>
      <c r="GK61" s="130"/>
      <c r="GL61" s="130"/>
      <c r="GM61" s="130"/>
      <c r="GN61" s="130"/>
      <c r="GO61" s="130"/>
      <c r="GP61" s="130"/>
      <c r="GQ61" s="130"/>
      <c r="GR61" s="130"/>
      <c r="GS61" s="130"/>
      <c r="GT61" s="130"/>
      <c r="GU61" s="130"/>
      <c r="GV61" s="130"/>
      <c r="GW61" s="130"/>
    </row>
    <row r="62" spans="1:205" s="72" customFormat="1" ht="33.75">
      <c r="A62" s="77"/>
      <c r="B62" s="77">
        <v>85214</v>
      </c>
      <c r="C62" s="78"/>
      <c r="D62" s="76" t="s">
        <v>259</v>
      </c>
      <c r="E62" s="106">
        <f>SUM(E63:E64)</f>
        <v>439200</v>
      </c>
      <c r="F62" s="106">
        <f>SUM(F63:F64)</f>
        <v>437000</v>
      </c>
      <c r="G62" s="106">
        <f>SUM(G63:G64)</f>
        <v>226550.12000000002</v>
      </c>
      <c r="H62" s="124">
        <f t="shared" si="0"/>
        <v>51.84213272311213</v>
      </c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13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0"/>
      <c r="DC62" s="130"/>
      <c r="DD62" s="130"/>
      <c r="DE62" s="130"/>
      <c r="DF62" s="130"/>
      <c r="DG62" s="130"/>
      <c r="DH62" s="130"/>
      <c r="DI62" s="130"/>
      <c r="DJ62" s="130"/>
      <c r="DK62" s="130"/>
      <c r="DL62" s="130"/>
      <c r="DM62" s="130"/>
      <c r="DN62" s="130"/>
      <c r="DO62" s="130"/>
      <c r="DP62" s="130"/>
      <c r="DQ62" s="130"/>
      <c r="DR62" s="130"/>
      <c r="DS62" s="130"/>
      <c r="DT62" s="130"/>
      <c r="DU62" s="130"/>
      <c r="DV62" s="130"/>
      <c r="DW62" s="130"/>
      <c r="DX62" s="130"/>
      <c r="DY62" s="130"/>
      <c r="DZ62" s="130"/>
      <c r="EA62" s="130"/>
      <c r="EB62" s="130"/>
      <c r="EC62" s="130"/>
      <c r="ED62" s="130"/>
      <c r="EE62" s="130"/>
      <c r="EF62" s="130"/>
      <c r="EG62" s="130"/>
      <c r="EH62" s="130"/>
      <c r="EI62" s="130"/>
      <c r="EJ62" s="130"/>
      <c r="EK62" s="130"/>
      <c r="EL62" s="130"/>
      <c r="EM62" s="130"/>
      <c r="EN62" s="130"/>
      <c r="EO62" s="130"/>
      <c r="EP62" s="130"/>
      <c r="EQ62" s="130"/>
      <c r="ER62" s="130"/>
      <c r="ES62" s="130"/>
      <c r="ET62" s="130"/>
      <c r="EU62" s="130"/>
      <c r="EV62" s="130"/>
      <c r="EW62" s="130"/>
      <c r="EX62" s="130"/>
      <c r="EY62" s="130"/>
      <c r="EZ62" s="130"/>
      <c r="FA62" s="130"/>
      <c r="FB62" s="130"/>
      <c r="FC62" s="130"/>
      <c r="FD62" s="130"/>
      <c r="FE62" s="130"/>
      <c r="FF62" s="130"/>
      <c r="FG62" s="130"/>
      <c r="FH62" s="130"/>
      <c r="FI62" s="130"/>
      <c r="FJ62" s="130"/>
      <c r="FK62" s="130"/>
      <c r="FL62" s="130"/>
      <c r="FM62" s="130"/>
      <c r="FN62" s="130"/>
      <c r="FO62" s="130"/>
      <c r="FP62" s="130"/>
      <c r="FQ62" s="130"/>
      <c r="FR62" s="130"/>
      <c r="FS62" s="130"/>
      <c r="FT62" s="130"/>
      <c r="FU62" s="130"/>
      <c r="FV62" s="130"/>
      <c r="FW62" s="130"/>
      <c r="FX62" s="130"/>
      <c r="FY62" s="130"/>
      <c r="FZ62" s="130"/>
      <c r="GA62" s="130"/>
      <c r="GB62" s="130"/>
      <c r="GC62" s="130"/>
      <c r="GD62" s="130"/>
      <c r="GE62" s="130"/>
      <c r="GF62" s="130"/>
      <c r="GG62" s="130"/>
      <c r="GH62" s="130"/>
      <c r="GI62" s="130"/>
      <c r="GJ62" s="130"/>
      <c r="GK62" s="130"/>
      <c r="GL62" s="130"/>
      <c r="GM62" s="130"/>
      <c r="GN62" s="130"/>
      <c r="GO62" s="130"/>
      <c r="GP62" s="130"/>
      <c r="GQ62" s="130"/>
      <c r="GR62" s="130"/>
      <c r="GS62" s="130"/>
      <c r="GT62" s="130"/>
      <c r="GU62" s="130"/>
      <c r="GV62" s="130"/>
      <c r="GW62" s="130"/>
    </row>
    <row r="63" spans="1:205" s="72" customFormat="1" ht="21.75" customHeight="1">
      <c r="A63" s="77"/>
      <c r="B63" s="98"/>
      <c r="C63" s="78">
        <v>3110</v>
      </c>
      <c r="D63" s="76" t="s">
        <v>136</v>
      </c>
      <c r="E63" s="106">
        <f>439200-3000</f>
        <v>436200</v>
      </c>
      <c r="F63" s="261">
        <v>434000</v>
      </c>
      <c r="G63" s="106">
        <v>225636.92</v>
      </c>
      <c r="H63" s="124">
        <f t="shared" si="0"/>
        <v>51.9900737327189</v>
      </c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0"/>
      <c r="DE63" s="130"/>
      <c r="DF63" s="130"/>
      <c r="DG63" s="130"/>
      <c r="DH63" s="130"/>
      <c r="DI63" s="130"/>
      <c r="DJ63" s="130"/>
      <c r="DK63" s="130"/>
      <c r="DL63" s="130"/>
      <c r="DM63" s="130"/>
      <c r="DN63" s="130"/>
      <c r="DO63" s="130"/>
      <c r="DP63" s="130"/>
      <c r="DQ63" s="130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0"/>
      <c r="EE63" s="130"/>
      <c r="EF63" s="130"/>
      <c r="EG63" s="130"/>
      <c r="EH63" s="130"/>
      <c r="EI63" s="130"/>
      <c r="EJ63" s="130"/>
      <c r="EK63" s="130"/>
      <c r="EL63" s="130"/>
      <c r="EM63" s="130"/>
      <c r="EN63" s="130"/>
      <c r="EO63" s="130"/>
      <c r="EP63" s="130"/>
      <c r="EQ63" s="130"/>
      <c r="ER63" s="130"/>
      <c r="ES63" s="130"/>
      <c r="ET63" s="130"/>
      <c r="EU63" s="130"/>
      <c r="EV63" s="130"/>
      <c r="EW63" s="130"/>
      <c r="EX63" s="130"/>
      <c r="EY63" s="130"/>
      <c r="EZ63" s="130"/>
      <c r="FA63" s="130"/>
      <c r="FB63" s="130"/>
      <c r="FC63" s="130"/>
      <c r="FD63" s="130"/>
      <c r="FE63" s="130"/>
      <c r="FF63" s="130"/>
      <c r="FG63" s="130"/>
      <c r="FH63" s="130"/>
      <c r="FI63" s="130"/>
      <c r="FJ63" s="130"/>
      <c r="FK63" s="130"/>
      <c r="FL63" s="130"/>
      <c r="FM63" s="130"/>
      <c r="FN63" s="130"/>
      <c r="FO63" s="130"/>
      <c r="FP63" s="130"/>
      <c r="FQ63" s="130"/>
      <c r="FR63" s="130"/>
      <c r="FS63" s="130"/>
      <c r="FT63" s="130"/>
      <c r="FU63" s="130"/>
      <c r="FV63" s="130"/>
      <c r="FW63" s="130"/>
      <c r="FX63" s="130"/>
      <c r="FY63" s="130"/>
      <c r="FZ63" s="130"/>
      <c r="GA63" s="130"/>
      <c r="GB63" s="130"/>
      <c r="GC63" s="130"/>
      <c r="GD63" s="130"/>
      <c r="GE63" s="130"/>
      <c r="GF63" s="130"/>
      <c r="GG63" s="130"/>
      <c r="GH63" s="130"/>
      <c r="GI63" s="130"/>
      <c r="GJ63" s="130"/>
      <c r="GK63" s="130"/>
      <c r="GL63" s="130"/>
      <c r="GM63" s="130"/>
      <c r="GN63" s="130"/>
      <c r="GO63" s="130"/>
      <c r="GP63" s="130"/>
      <c r="GQ63" s="130"/>
      <c r="GR63" s="130"/>
      <c r="GS63" s="130"/>
      <c r="GT63" s="130"/>
      <c r="GU63" s="130"/>
      <c r="GV63" s="130"/>
      <c r="GW63" s="130"/>
    </row>
    <row r="64" spans="1:205" s="72" customFormat="1" ht="21.75" customHeight="1">
      <c r="A64" s="77"/>
      <c r="B64" s="98"/>
      <c r="C64" s="98">
        <v>4110</v>
      </c>
      <c r="D64" s="14" t="s">
        <v>108</v>
      </c>
      <c r="E64" s="106">
        <v>3000</v>
      </c>
      <c r="F64" s="261">
        <v>3000</v>
      </c>
      <c r="G64" s="106">
        <v>913.2</v>
      </c>
      <c r="H64" s="124">
        <f t="shared" si="0"/>
        <v>30.44</v>
      </c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BY64" s="130"/>
      <c r="BZ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0"/>
      <c r="CL64" s="130"/>
      <c r="CM64" s="130"/>
      <c r="CN64" s="130"/>
      <c r="CO64" s="130"/>
      <c r="CP64" s="130"/>
      <c r="CQ64" s="130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0"/>
      <c r="DC64" s="130"/>
      <c r="DD64" s="130"/>
      <c r="DE64" s="130"/>
      <c r="DF64" s="130"/>
      <c r="DG64" s="130"/>
      <c r="DH64" s="130"/>
      <c r="DI64" s="130"/>
      <c r="DJ64" s="130"/>
      <c r="DK64" s="130"/>
      <c r="DL64" s="130"/>
      <c r="DM64" s="130"/>
      <c r="DN64" s="130"/>
      <c r="DO64" s="130"/>
      <c r="DP64" s="130"/>
      <c r="DQ64" s="130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  <c r="EC64" s="130"/>
      <c r="ED64" s="130"/>
      <c r="EE64" s="130"/>
      <c r="EF64" s="130"/>
      <c r="EG64" s="130"/>
      <c r="EH64" s="130"/>
      <c r="EI64" s="130"/>
      <c r="EJ64" s="130"/>
      <c r="EK64" s="130"/>
      <c r="EL64" s="130"/>
      <c r="EM64" s="130"/>
      <c r="EN64" s="130"/>
      <c r="EO64" s="130"/>
      <c r="EP64" s="130"/>
      <c r="EQ64" s="130"/>
      <c r="ER64" s="130"/>
      <c r="ES64" s="130"/>
      <c r="ET64" s="130"/>
      <c r="EU64" s="130"/>
      <c r="EV64" s="130"/>
      <c r="EW64" s="130"/>
      <c r="EX64" s="130"/>
      <c r="EY64" s="130"/>
      <c r="EZ64" s="130"/>
      <c r="FA64" s="130"/>
      <c r="FB64" s="130"/>
      <c r="FC64" s="130"/>
      <c r="FD64" s="130"/>
      <c r="FE64" s="130"/>
      <c r="FF64" s="130"/>
      <c r="FG64" s="130"/>
      <c r="FH64" s="130"/>
      <c r="FI64" s="130"/>
      <c r="FJ64" s="130"/>
      <c r="FK64" s="130"/>
      <c r="FL64" s="130"/>
      <c r="FM64" s="130"/>
      <c r="FN64" s="130"/>
      <c r="FO64" s="130"/>
      <c r="FP64" s="130"/>
      <c r="FQ64" s="130"/>
      <c r="FR64" s="130"/>
      <c r="FS64" s="130"/>
      <c r="FT64" s="130"/>
      <c r="FU64" s="130"/>
      <c r="FV64" s="130"/>
      <c r="FW64" s="130"/>
      <c r="FX64" s="130"/>
      <c r="FY64" s="130"/>
      <c r="FZ64" s="130"/>
      <c r="GA64" s="130"/>
      <c r="GB64" s="130"/>
      <c r="GC64" s="130"/>
      <c r="GD64" s="130"/>
      <c r="GE64" s="130"/>
      <c r="GF64" s="130"/>
      <c r="GG64" s="130"/>
      <c r="GH64" s="130"/>
      <c r="GI64" s="130"/>
      <c r="GJ64" s="130"/>
      <c r="GK64" s="130"/>
      <c r="GL64" s="130"/>
      <c r="GM64" s="130"/>
      <c r="GN64" s="130"/>
      <c r="GO64" s="130"/>
      <c r="GP64" s="130"/>
      <c r="GQ64" s="130"/>
      <c r="GR64" s="130"/>
      <c r="GS64" s="130"/>
      <c r="GT64" s="130"/>
      <c r="GU64" s="130"/>
      <c r="GV64" s="130"/>
      <c r="GW64" s="130"/>
    </row>
    <row r="65" spans="1:205" ht="23.25" customHeight="1">
      <c r="A65" s="10"/>
      <c r="B65" s="10"/>
      <c r="C65" s="10"/>
      <c r="D65" s="15" t="s">
        <v>90</v>
      </c>
      <c r="E65" s="47">
        <f>SUM(E25,E20,E13,E8)</f>
        <v>8492509</v>
      </c>
      <c r="F65" s="47">
        <f>SUM(F25,F20,F13,F8)</f>
        <v>8574972</v>
      </c>
      <c r="G65" s="47">
        <f>SUM(G25,G20,G13,G8)</f>
        <v>3765254.829999999</v>
      </c>
      <c r="H65" s="34">
        <f t="shared" si="0"/>
        <v>43.909820696790604</v>
      </c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X65" s="126"/>
      <c r="FY65" s="126"/>
      <c r="FZ65" s="126"/>
      <c r="GA65" s="126"/>
      <c r="GB65" s="126"/>
      <c r="GC65" s="126"/>
      <c r="GD65" s="126"/>
      <c r="GE65" s="126"/>
      <c r="GF65" s="126"/>
      <c r="GG65" s="126"/>
      <c r="GH65" s="126"/>
      <c r="GI65" s="126"/>
      <c r="GJ65" s="126"/>
      <c r="GK65" s="126"/>
      <c r="GL65" s="126"/>
      <c r="GM65" s="126"/>
      <c r="GN65" s="126"/>
      <c r="GO65" s="126"/>
      <c r="GP65" s="126"/>
      <c r="GQ65" s="126"/>
      <c r="GR65" s="126"/>
      <c r="GS65" s="126"/>
      <c r="GT65" s="126"/>
      <c r="GU65" s="126"/>
      <c r="GV65" s="126"/>
      <c r="GW65" s="126"/>
    </row>
    <row r="67" spans="5:7" ht="12.75">
      <c r="E67" s="24"/>
      <c r="F67" s="24"/>
      <c r="G67" s="24"/>
    </row>
    <row r="68" spans="5:7" ht="12.75">
      <c r="E68" s="142"/>
      <c r="F68" s="142"/>
      <c r="G68" s="142"/>
    </row>
    <row r="69" spans="5:7" ht="12.75">
      <c r="E69" s="24"/>
      <c r="F69" s="24"/>
      <c r="G69" s="24"/>
    </row>
    <row r="70" spans="5:7" ht="12.75">
      <c r="E70" s="142"/>
      <c r="F70" s="142"/>
      <c r="G70" s="142"/>
    </row>
    <row r="71" spans="5:7" ht="12.75">
      <c r="E71" s="24"/>
      <c r="F71" s="24"/>
      <c r="G71" s="24"/>
    </row>
    <row r="72" spans="5:7" ht="12.75">
      <c r="E72" s="142"/>
      <c r="F72" s="142"/>
      <c r="G72" s="142"/>
    </row>
    <row r="73" spans="5:7" ht="12.75">
      <c r="E73" s="24"/>
      <c r="F73" s="24"/>
      <c r="G73" s="24"/>
    </row>
    <row r="74" spans="5:7" ht="12.75">
      <c r="E74" s="142"/>
      <c r="F74" s="142"/>
      <c r="G74" s="142"/>
    </row>
    <row r="75" spans="5:7" ht="12.75">
      <c r="E75" s="142"/>
      <c r="F75" s="142"/>
      <c r="G75" s="142"/>
    </row>
    <row r="76" spans="5:7" ht="12.75">
      <c r="E76" s="24"/>
      <c r="F76" s="24"/>
      <c r="G76" s="24"/>
    </row>
    <row r="77" spans="5:7" ht="12.75">
      <c r="E77" s="24"/>
      <c r="F77" s="24"/>
      <c r="G77" s="24"/>
    </row>
    <row r="78" spans="5:7" ht="12.75">
      <c r="E78" s="142"/>
      <c r="F78" s="142"/>
      <c r="G78" s="142"/>
    </row>
    <row r="79" spans="5:7" ht="12.75">
      <c r="E79" s="24"/>
      <c r="F79" s="24"/>
      <c r="G79" s="24"/>
    </row>
    <row r="80" spans="5:7" ht="12.75">
      <c r="E80" s="24"/>
      <c r="F80" s="24"/>
      <c r="G80" s="24"/>
    </row>
    <row r="81" spans="5:7" ht="12.75">
      <c r="E81" s="24"/>
      <c r="F81" s="24"/>
      <c r="G81" s="24"/>
    </row>
    <row r="82" spans="5:7" ht="12.75">
      <c r="E82" s="24"/>
      <c r="F82" s="24"/>
      <c r="G82" s="24"/>
    </row>
    <row r="83" spans="5:7" ht="12.75">
      <c r="E83" s="24"/>
      <c r="F83" s="24"/>
      <c r="G83" s="24"/>
    </row>
  </sheetData>
  <mergeCells count="12">
    <mergeCell ref="A5:G5"/>
    <mergeCell ref="F6:F7"/>
    <mergeCell ref="G6:H6"/>
    <mergeCell ref="A6:A7"/>
    <mergeCell ref="B6:B7"/>
    <mergeCell ref="C6:C7"/>
    <mergeCell ref="D6:D7"/>
    <mergeCell ref="E6:E7"/>
    <mergeCell ref="F1:H1"/>
    <mergeCell ref="F2:H2"/>
    <mergeCell ref="F3:H3"/>
    <mergeCell ref="F4:H4"/>
  </mergeCells>
  <printOptions horizontalCentered="1"/>
  <pageMargins left="0.5511811023622047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&amp;C&amp;8Administracja rządowa - str.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48"/>
  <sheetViews>
    <sheetView workbookViewId="0" topLeftCell="A1">
      <selection activeCell="J14" sqref="J13:J14"/>
    </sheetView>
  </sheetViews>
  <sheetFormatPr defaultColWidth="9.00390625" defaultRowHeight="12.75"/>
  <cols>
    <col min="1" max="1" width="5.25390625" style="8" customWidth="1"/>
    <col min="2" max="2" width="7.625" style="8" customWidth="1"/>
    <col min="3" max="3" width="5.00390625" style="8" customWidth="1"/>
    <col min="4" max="4" width="31.125" style="8" customWidth="1"/>
    <col min="5" max="7" width="12.25390625" style="0" customWidth="1"/>
    <col min="8" max="8" width="7.25390625" style="288" customWidth="1"/>
  </cols>
  <sheetData>
    <row r="1" spans="5:8" ht="12.75">
      <c r="E1" s="67"/>
      <c r="F1" s="373" t="s">
        <v>551</v>
      </c>
      <c r="G1" s="373"/>
      <c r="H1" s="373"/>
    </row>
    <row r="2" spans="5:8" ht="12.75">
      <c r="E2" s="67"/>
      <c r="F2" s="373" t="s">
        <v>544</v>
      </c>
      <c r="G2" s="373"/>
      <c r="H2" s="373"/>
    </row>
    <row r="3" spans="5:8" ht="12.75">
      <c r="E3" s="67"/>
      <c r="F3" s="373" t="s">
        <v>545</v>
      </c>
      <c r="G3" s="373"/>
      <c r="H3" s="373"/>
    </row>
    <row r="4" spans="5:8" ht="12.75">
      <c r="E4" s="67"/>
      <c r="F4" s="373" t="s">
        <v>546</v>
      </c>
      <c r="G4" s="373"/>
      <c r="H4" s="373"/>
    </row>
    <row r="5" spans="1:7" ht="15">
      <c r="A5" s="179" t="s">
        <v>520</v>
      </c>
      <c r="E5" s="67"/>
      <c r="F5" s="118"/>
      <c r="G5" s="118"/>
    </row>
    <row r="6" spans="1:8" ht="18" customHeight="1">
      <c r="A6" s="376" t="s">
        <v>13</v>
      </c>
      <c r="B6" s="376" t="s">
        <v>14</v>
      </c>
      <c r="C6" s="376" t="s">
        <v>15</v>
      </c>
      <c r="D6" s="376" t="s">
        <v>16</v>
      </c>
      <c r="E6" s="388" t="s">
        <v>171</v>
      </c>
      <c r="F6" s="383" t="s">
        <v>538</v>
      </c>
      <c r="G6" s="386" t="s">
        <v>0</v>
      </c>
      <c r="H6" s="387"/>
    </row>
    <row r="7" spans="1:8" ht="18" customHeight="1">
      <c r="A7" s="377"/>
      <c r="B7" s="377"/>
      <c r="C7" s="377"/>
      <c r="D7" s="377"/>
      <c r="E7" s="389"/>
      <c r="F7" s="383"/>
      <c r="G7" s="302" t="s">
        <v>516</v>
      </c>
      <c r="H7" s="303" t="s">
        <v>526</v>
      </c>
    </row>
    <row r="8" spans="1:8" s="8" customFormat="1" ht="21.75" customHeight="1">
      <c r="A8" s="32" t="s">
        <v>96</v>
      </c>
      <c r="B8" s="5"/>
      <c r="C8" s="20"/>
      <c r="D8" s="19" t="s">
        <v>97</v>
      </c>
      <c r="E8" s="44">
        <f>SUM(E9,E12,E15,)</f>
        <v>1107280</v>
      </c>
      <c r="F8" s="44">
        <f>SUM(F9,F12,F15,)</f>
        <v>2676770</v>
      </c>
      <c r="G8" s="44">
        <f>SUM(G9,G12,G15,)</f>
        <v>105868.4</v>
      </c>
      <c r="H8" s="47">
        <f>G8/F8*100</f>
        <v>3.955080189930401</v>
      </c>
    </row>
    <row r="9" spans="1:8" s="7" customFormat="1" ht="21.75" customHeight="1">
      <c r="A9" s="82"/>
      <c r="B9" s="59">
        <v>60013</v>
      </c>
      <c r="C9" s="91"/>
      <c r="D9" s="14" t="s">
        <v>430</v>
      </c>
      <c r="E9" s="64">
        <f aca="true" t="shared" si="0" ref="E9:G10">SUM(E10)</f>
        <v>0</v>
      </c>
      <c r="F9" s="64">
        <f t="shared" si="0"/>
        <v>30000</v>
      </c>
      <c r="G9" s="64">
        <f t="shared" si="0"/>
        <v>0</v>
      </c>
      <c r="H9" s="104">
        <f aca="true" t="shared" si="1" ref="H9:H72">G9/F9*100</f>
        <v>0</v>
      </c>
    </row>
    <row r="10" spans="1:8" s="24" customFormat="1" ht="60" customHeight="1">
      <c r="A10" s="82"/>
      <c r="B10" s="59"/>
      <c r="C10" s="91">
        <v>6300</v>
      </c>
      <c r="D10" s="42" t="s">
        <v>431</v>
      </c>
      <c r="E10" s="64">
        <f t="shared" si="0"/>
        <v>0</v>
      </c>
      <c r="F10" s="64">
        <f t="shared" si="0"/>
        <v>30000</v>
      </c>
      <c r="G10" s="64">
        <f t="shared" si="0"/>
        <v>0</v>
      </c>
      <c r="H10" s="104">
        <f t="shared" si="1"/>
        <v>0</v>
      </c>
    </row>
    <row r="11" spans="1:8" s="24" customFormat="1" ht="81" customHeight="1">
      <c r="A11" s="55"/>
      <c r="B11" s="52"/>
      <c r="C11" s="53"/>
      <c r="D11" s="57" t="s">
        <v>434</v>
      </c>
      <c r="E11" s="193">
        <v>0</v>
      </c>
      <c r="F11" s="269">
        <v>30000</v>
      </c>
      <c r="G11" s="193">
        <v>0</v>
      </c>
      <c r="H11" s="104">
        <f t="shared" si="1"/>
        <v>0</v>
      </c>
    </row>
    <row r="12" spans="1:8" s="28" customFormat="1" ht="21.75" customHeight="1">
      <c r="A12" s="82"/>
      <c r="B12" s="59">
        <v>60014</v>
      </c>
      <c r="C12" s="91"/>
      <c r="D12" s="14" t="s">
        <v>481</v>
      </c>
      <c r="E12" s="64">
        <f aca="true" t="shared" si="2" ref="E12:G13">SUM(E13)</f>
        <v>0</v>
      </c>
      <c r="F12" s="64">
        <f t="shared" si="2"/>
        <v>210000</v>
      </c>
      <c r="G12" s="64">
        <f t="shared" si="2"/>
        <v>0</v>
      </c>
      <c r="H12" s="104">
        <f t="shared" si="1"/>
        <v>0</v>
      </c>
    </row>
    <row r="13" spans="1:8" s="24" customFormat="1" ht="27" customHeight="1">
      <c r="A13" s="82"/>
      <c r="B13" s="59"/>
      <c r="C13" s="91">
        <v>6800</v>
      </c>
      <c r="D13" s="14" t="s">
        <v>398</v>
      </c>
      <c r="E13" s="64">
        <f t="shared" si="2"/>
        <v>0</v>
      </c>
      <c r="F13" s="64">
        <f t="shared" si="2"/>
        <v>210000</v>
      </c>
      <c r="G13" s="64">
        <f t="shared" si="2"/>
        <v>0</v>
      </c>
      <c r="H13" s="104">
        <f t="shared" si="1"/>
        <v>0</v>
      </c>
    </row>
    <row r="14" spans="1:8" s="24" customFormat="1" ht="49.5" customHeight="1">
      <c r="A14" s="55"/>
      <c r="B14" s="52"/>
      <c r="C14" s="53"/>
      <c r="D14" s="57" t="s">
        <v>503</v>
      </c>
      <c r="E14" s="193">
        <v>0</v>
      </c>
      <c r="F14" s="269">
        <v>210000</v>
      </c>
      <c r="G14" s="193">
        <v>0</v>
      </c>
      <c r="H14" s="107">
        <f t="shared" si="1"/>
        <v>0</v>
      </c>
    </row>
    <row r="15" spans="1:8" s="28" customFormat="1" ht="21.75" customHeight="1">
      <c r="A15" s="82"/>
      <c r="B15" s="83" t="s">
        <v>98</v>
      </c>
      <c r="C15" s="91"/>
      <c r="D15" s="14" t="s">
        <v>99</v>
      </c>
      <c r="E15" s="64">
        <f>SUM(E16,E43,E46)</f>
        <v>1107280</v>
      </c>
      <c r="F15" s="64">
        <f>SUM(F16,F43,F46)</f>
        <v>2436770</v>
      </c>
      <c r="G15" s="64">
        <f>SUM(G16,G43,G46)</f>
        <v>105868.4</v>
      </c>
      <c r="H15" s="104">
        <f t="shared" si="1"/>
        <v>4.344620132388367</v>
      </c>
    </row>
    <row r="16" spans="1:8" s="24" customFormat="1" ht="27" customHeight="1">
      <c r="A16" s="89"/>
      <c r="B16" s="59"/>
      <c r="C16" s="91">
        <v>6050</v>
      </c>
      <c r="D16" s="14" t="s">
        <v>95</v>
      </c>
      <c r="E16" s="64">
        <f>SUM(E17:E42)</f>
        <v>1055630</v>
      </c>
      <c r="F16" s="64">
        <f>SUM(F17:F42)</f>
        <v>2404120</v>
      </c>
      <c r="G16" s="64">
        <f>SUM(G17:G42)</f>
        <v>105868.4</v>
      </c>
      <c r="H16" s="104">
        <f t="shared" si="1"/>
        <v>4.4036237791790755</v>
      </c>
    </row>
    <row r="17" spans="1:8" s="24" customFormat="1" ht="21.75" customHeight="1">
      <c r="A17" s="51"/>
      <c r="B17" s="52"/>
      <c r="C17" s="53"/>
      <c r="D17" s="57" t="s">
        <v>302</v>
      </c>
      <c r="E17" s="107">
        <v>60000</v>
      </c>
      <c r="F17" s="270">
        <v>90000</v>
      </c>
      <c r="G17" s="107">
        <v>0</v>
      </c>
      <c r="H17" s="107">
        <f t="shared" si="1"/>
        <v>0</v>
      </c>
    </row>
    <row r="18" spans="1:8" s="28" customFormat="1" ht="27" customHeight="1">
      <c r="A18" s="51"/>
      <c r="B18" s="52"/>
      <c r="C18" s="53"/>
      <c r="D18" s="57" t="s">
        <v>404</v>
      </c>
      <c r="E18" s="107">
        <v>100000</v>
      </c>
      <c r="F18" s="270">
        <v>150000</v>
      </c>
      <c r="G18" s="107">
        <v>7.1</v>
      </c>
      <c r="H18" s="107">
        <f t="shared" si="1"/>
        <v>0.004733333333333333</v>
      </c>
    </row>
    <row r="19" spans="1:8" s="28" customFormat="1" ht="27" customHeight="1">
      <c r="A19" s="51"/>
      <c r="B19" s="52"/>
      <c r="C19" s="53"/>
      <c r="D19" s="57" t="s">
        <v>303</v>
      </c>
      <c r="E19" s="107">
        <v>280000</v>
      </c>
      <c r="F19" s="270">
        <v>280000</v>
      </c>
      <c r="G19" s="107">
        <v>47.8</v>
      </c>
      <c r="H19" s="107">
        <f t="shared" si="1"/>
        <v>0.01707142857142857</v>
      </c>
    </row>
    <row r="20" spans="1:8" s="28" customFormat="1" ht="27" customHeight="1">
      <c r="A20" s="51"/>
      <c r="B20" s="52"/>
      <c r="C20" s="53"/>
      <c r="D20" s="57" t="s">
        <v>305</v>
      </c>
      <c r="E20" s="107">
        <v>36000</v>
      </c>
      <c r="F20" s="270">
        <v>54000</v>
      </c>
      <c r="G20" s="107">
        <v>0</v>
      </c>
      <c r="H20" s="107">
        <f t="shared" si="1"/>
        <v>0</v>
      </c>
    </row>
    <row r="21" spans="1:8" s="28" customFormat="1" ht="21.75" customHeight="1">
      <c r="A21" s="51"/>
      <c r="B21" s="52"/>
      <c r="C21" s="53"/>
      <c r="D21" s="57" t="s">
        <v>304</v>
      </c>
      <c r="E21" s="107">
        <v>190000</v>
      </c>
      <c r="F21" s="270">
        <v>190000</v>
      </c>
      <c r="G21" s="107">
        <v>10</v>
      </c>
      <c r="H21" s="107">
        <f t="shared" si="1"/>
        <v>0.005263157894736842</v>
      </c>
    </row>
    <row r="22" spans="1:8" s="28" customFormat="1" ht="27" customHeight="1">
      <c r="A22" s="51"/>
      <c r="B22" s="52"/>
      <c r="C22" s="53"/>
      <c r="D22" s="57" t="s">
        <v>306</v>
      </c>
      <c r="E22" s="107">
        <v>54000</v>
      </c>
      <c r="F22" s="270">
        <v>86000</v>
      </c>
      <c r="G22" s="107">
        <v>84516.65</v>
      </c>
      <c r="H22" s="107">
        <f t="shared" si="1"/>
        <v>98.27517441860465</v>
      </c>
    </row>
    <row r="23" spans="1:8" s="28" customFormat="1" ht="21.75" customHeight="1">
      <c r="A23" s="51"/>
      <c r="B23" s="52"/>
      <c r="C23" s="53"/>
      <c r="D23" s="57" t="s">
        <v>307</v>
      </c>
      <c r="E23" s="107">
        <v>240000</v>
      </c>
      <c r="F23" s="270">
        <v>110000</v>
      </c>
      <c r="G23" s="107">
        <v>287.53</v>
      </c>
      <c r="H23" s="107">
        <f t="shared" si="1"/>
        <v>0.26139090909090906</v>
      </c>
    </row>
    <row r="24" spans="1:8" s="28" customFormat="1" ht="33.75">
      <c r="A24" s="51"/>
      <c r="B24" s="52"/>
      <c r="C24" s="53"/>
      <c r="D24" s="57" t="s">
        <v>309</v>
      </c>
      <c r="E24" s="107">
        <v>35000</v>
      </c>
      <c r="F24" s="270">
        <v>35000</v>
      </c>
      <c r="G24" s="107">
        <v>0</v>
      </c>
      <c r="H24" s="107">
        <f t="shared" si="1"/>
        <v>0</v>
      </c>
    </row>
    <row r="25" spans="1:8" s="28" customFormat="1" ht="21.75" customHeight="1">
      <c r="A25" s="51"/>
      <c r="B25" s="52"/>
      <c r="C25" s="53"/>
      <c r="D25" s="57" t="s">
        <v>249</v>
      </c>
      <c r="E25" s="107">
        <v>6300</v>
      </c>
      <c r="F25" s="270">
        <v>6300</v>
      </c>
      <c r="G25" s="107">
        <v>0</v>
      </c>
      <c r="H25" s="107">
        <f t="shared" si="1"/>
        <v>0</v>
      </c>
    </row>
    <row r="26" spans="1:8" s="28" customFormat="1" ht="21.75" customHeight="1">
      <c r="A26" s="51"/>
      <c r="B26" s="52"/>
      <c r="C26" s="53"/>
      <c r="D26" s="54" t="s">
        <v>279</v>
      </c>
      <c r="E26" s="107">
        <v>21000</v>
      </c>
      <c r="F26" s="270">
        <v>46000</v>
      </c>
      <c r="G26" s="107">
        <v>20999.32</v>
      </c>
      <c r="H26" s="107">
        <f t="shared" si="1"/>
        <v>45.65069565217391</v>
      </c>
    </row>
    <row r="27" spans="1:8" s="28" customFormat="1" ht="21.75" customHeight="1">
      <c r="A27" s="51"/>
      <c r="B27" s="52"/>
      <c r="C27" s="53"/>
      <c r="D27" s="54" t="s">
        <v>310</v>
      </c>
      <c r="E27" s="107">
        <v>8700</v>
      </c>
      <c r="F27" s="270">
        <v>8500</v>
      </c>
      <c r="G27" s="107">
        <v>0</v>
      </c>
      <c r="H27" s="107">
        <f t="shared" si="1"/>
        <v>0</v>
      </c>
    </row>
    <row r="28" spans="1:8" s="28" customFormat="1" ht="21.75" customHeight="1">
      <c r="A28" s="51"/>
      <c r="B28" s="52"/>
      <c r="C28" s="53"/>
      <c r="D28" s="54" t="s">
        <v>311</v>
      </c>
      <c r="E28" s="107">
        <v>11820</v>
      </c>
      <c r="F28" s="270">
        <v>7320</v>
      </c>
      <c r="G28" s="107">
        <v>0</v>
      </c>
      <c r="H28" s="107">
        <f t="shared" si="1"/>
        <v>0</v>
      </c>
    </row>
    <row r="29" spans="1:8" s="28" customFormat="1" ht="21.75" customHeight="1">
      <c r="A29" s="51"/>
      <c r="B29" s="52"/>
      <c r="C29" s="53"/>
      <c r="D29" s="54" t="s">
        <v>312</v>
      </c>
      <c r="E29" s="107">
        <v>6000</v>
      </c>
      <c r="F29" s="270">
        <v>0</v>
      </c>
      <c r="G29" s="107">
        <v>0</v>
      </c>
      <c r="H29" s="107">
        <v>0</v>
      </c>
    </row>
    <row r="30" spans="1:8" s="28" customFormat="1" ht="21.75" customHeight="1">
      <c r="A30" s="51"/>
      <c r="B30" s="52"/>
      <c r="C30" s="53"/>
      <c r="D30" s="54" t="s">
        <v>313</v>
      </c>
      <c r="E30" s="107">
        <v>6810</v>
      </c>
      <c r="F30" s="270">
        <v>0</v>
      </c>
      <c r="G30" s="107">
        <v>0</v>
      </c>
      <c r="H30" s="107">
        <v>0</v>
      </c>
    </row>
    <row r="31" spans="1:8" s="28" customFormat="1" ht="21.75" customHeight="1">
      <c r="A31" s="51"/>
      <c r="B31" s="52"/>
      <c r="C31" s="53"/>
      <c r="D31" s="57" t="s">
        <v>498</v>
      </c>
      <c r="E31" s="107">
        <v>0</v>
      </c>
      <c r="F31" s="270">
        <v>80000</v>
      </c>
      <c r="G31" s="107">
        <v>0</v>
      </c>
      <c r="H31" s="107">
        <f t="shared" si="1"/>
        <v>0</v>
      </c>
    </row>
    <row r="32" spans="1:8" s="28" customFormat="1" ht="36" customHeight="1">
      <c r="A32" s="51"/>
      <c r="B32" s="52"/>
      <c r="C32" s="53"/>
      <c r="D32" s="57" t="s">
        <v>3</v>
      </c>
      <c r="E32" s="107">
        <v>0</v>
      </c>
      <c r="F32" s="270">
        <v>20000</v>
      </c>
      <c r="G32" s="107">
        <v>0</v>
      </c>
      <c r="H32" s="107">
        <f t="shared" si="1"/>
        <v>0</v>
      </c>
    </row>
    <row r="33" spans="1:8" s="28" customFormat="1" ht="33" customHeight="1">
      <c r="A33" s="51"/>
      <c r="B33" s="52"/>
      <c r="C33" s="53"/>
      <c r="D33" s="57" t="s">
        <v>513</v>
      </c>
      <c r="E33" s="107">
        <v>0</v>
      </c>
      <c r="F33" s="270">
        <v>55000</v>
      </c>
      <c r="G33" s="107">
        <v>0</v>
      </c>
      <c r="H33" s="107">
        <f t="shared" si="1"/>
        <v>0</v>
      </c>
    </row>
    <row r="34" spans="1:8" s="28" customFormat="1" ht="21.75" customHeight="1">
      <c r="A34" s="51"/>
      <c r="B34" s="52"/>
      <c r="C34" s="53"/>
      <c r="D34" s="54" t="s">
        <v>496</v>
      </c>
      <c r="E34" s="107">
        <v>0</v>
      </c>
      <c r="F34" s="270">
        <v>180000</v>
      </c>
      <c r="G34" s="107">
        <v>0</v>
      </c>
      <c r="H34" s="107">
        <f t="shared" si="1"/>
        <v>0</v>
      </c>
    </row>
    <row r="35" spans="1:8" s="28" customFormat="1" ht="21.75" customHeight="1">
      <c r="A35" s="51"/>
      <c r="B35" s="52"/>
      <c r="C35" s="53"/>
      <c r="D35" s="57" t="s">
        <v>499</v>
      </c>
      <c r="E35" s="107">
        <v>0</v>
      </c>
      <c r="F35" s="270">
        <v>160000</v>
      </c>
      <c r="G35" s="107">
        <v>0</v>
      </c>
      <c r="H35" s="107">
        <f t="shared" si="1"/>
        <v>0</v>
      </c>
    </row>
    <row r="36" spans="1:8" s="28" customFormat="1" ht="39" customHeight="1">
      <c r="A36" s="51"/>
      <c r="B36" s="52"/>
      <c r="C36" s="53"/>
      <c r="D36" s="57" t="s">
        <v>512</v>
      </c>
      <c r="E36" s="107">
        <v>0</v>
      </c>
      <c r="F36" s="270">
        <v>200000</v>
      </c>
      <c r="G36" s="107">
        <v>0</v>
      </c>
      <c r="H36" s="107">
        <f t="shared" si="1"/>
        <v>0</v>
      </c>
    </row>
    <row r="37" spans="1:8" s="28" customFormat="1" ht="28.5" customHeight="1">
      <c r="A37" s="51"/>
      <c r="B37" s="52"/>
      <c r="C37" s="53"/>
      <c r="D37" s="57" t="s">
        <v>4</v>
      </c>
      <c r="E37" s="107">
        <v>0</v>
      </c>
      <c r="F37" s="270">
        <v>90000</v>
      </c>
      <c r="G37" s="107">
        <v>0</v>
      </c>
      <c r="H37" s="107">
        <f t="shared" si="1"/>
        <v>0</v>
      </c>
    </row>
    <row r="38" spans="1:8" s="28" customFormat="1" ht="21.75" customHeight="1">
      <c r="A38" s="51"/>
      <c r="B38" s="52"/>
      <c r="C38" s="53"/>
      <c r="D38" s="54" t="s">
        <v>480</v>
      </c>
      <c r="E38" s="107">
        <v>0</v>
      </c>
      <c r="F38" s="270">
        <v>10000</v>
      </c>
      <c r="G38" s="107">
        <v>0</v>
      </c>
      <c r="H38" s="107">
        <f t="shared" si="1"/>
        <v>0</v>
      </c>
    </row>
    <row r="39" spans="1:8" s="28" customFormat="1" ht="35.25" customHeight="1">
      <c r="A39" s="51"/>
      <c r="B39" s="52"/>
      <c r="C39" s="53"/>
      <c r="D39" s="57" t="s">
        <v>6</v>
      </c>
      <c r="E39" s="107">
        <v>0</v>
      </c>
      <c r="F39" s="270">
        <v>56000</v>
      </c>
      <c r="G39" s="107">
        <v>0</v>
      </c>
      <c r="H39" s="107">
        <f t="shared" si="1"/>
        <v>0</v>
      </c>
    </row>
    <row r="40" spans="1:8" s="28" customFormat="1" ht="38.25" customHeight="1">
      <c r="A40" s="51"/>
      <c r="B40" s="52"/>
      <c r="C40" s="53"/>
      <c r="D40" s="57" t="s">
        <v>5</v>
      </c>
      <c r="E40" s="107">
        <v>0</v>
      </c>
      <c r="F40" s="270">
        <v>350000</v>
      </c>
      <c r="G40" s="107">
        <v>0</v>
      </c>
      <c r="H40" s="107">
        <f t="shared" si="1"/>
        <v>0</v>
      </c>
    </row>
    <row r="41" spans="1:8" s="28" customFormat="1" ht="27" customHeight="1">
      <c r="A41" s="51"/>
      <c r="B41" s="52"/>
      <c r="C41" s="53"/>
      <c r="D41" s="57" t="s">
        <v>497</v>
      </c>
      <c r="E41" s="107">
        <v>0</v>
      </c>
      <c r="F41" s="270">
        <v>30000</v>
      </c>
      <c r="G41" s="107">
        <v>0</v>
      </c>
      <c r="H41" s="107">
        <f t="shared" si="1"/>
        <v>0</v>
      </c>
    </row>
    <row r="42" spans="1:8" s="28" customFormat="1" ht="50.25" customHeight="1">
      <c r="A42" s="51"/>
      <c r="B42" s="52"/>
      <c r="C42" s="53"/>
      <c r="D42" s="57" t="s">
        <v>7</v>
      </c>
      <c r="E42" s="107">
        <v>0</v>
      </c>
      <c r="F42" s="270">
        <v>110000</v>
      </c>
      <c r="G42" s="107">
        <v>0</v>
      </c>
      <c r="H42" s="107">
        <f t="shared" si="1"/>
        <v>0</v>
      </c>
    </row>
    <row r="43" spans="1:8" s="28" customFormat="1" ht="27" customHeight="1">
      <c r="A43" s="89"/>
      <c r="B43" s="59"/>
      <c r="C43" s="91">
        <v>6060</v>
      </c>
      <c r="D43" s="14" t="s">
        <v>118</v>
      </c>
      <c r="E43" s="104">
        <f>SUM(E44:E45)</f>
        <v>11650</v>
      </c>
      <c r="F43" s="104">
        <f>SUM(F44:F45)</f>
        <v>22650</v>
      </c>
      <c r="G43" s="104">
        <f>SUM(G44:G45)</f>
        <v>0</v>
      </c>
      <c r="H43" s="104">
        <f t="shared" si="1"/>
        <v>0</v>
      </c>
    </row>
    <row r="44" spans="1:8" s="24" customFormat="1" ht="27" customHeight="1">
      <c r="A44" s="51"/>
      <c r="B44" s="52"/>
      <c r="C44" s="53"/>
      <c r="D44" s="57" t="s">
        <v>308</v>
      </c>
      <c r="E44" s="107">
        <v>11650</v>
      </c>
      <c r="F44" s="270">
        <v>11650</v>
      </c>
      <c r="G44" s="107">
        <v>0</v>
      </c>
      <c r="H44" s="104">
        <f t="shared" si="1"/>
        <v>0</v>
      </c>
    </row>
    <row r="45" spans="1:8" s="28" customFormat="1" ht="27" customHeight="1">
      <c r="A45" s="51"/>
      <c r="B45" s="52"/>
      <c r="C45" s="53"/>
      <c r="D45" s="57" t="s">
        <v>479</v>
      </c>
      <c r="E45" s="107">
        <v>0</v>
      </c>
      <c r="F45" s="270">
        <v>11000</v>
      </c>
      <c r="G45" s="107">
        <v>0</v>
      </c>
      <c r="H45" s="104">
        <f t="shared" si="1"/>
        <v>0</v>
      </c>
    </row>
    <row r="46" spans="1:8" s="28" customFormat="1" ht="27" customHeight="1">
      <c r="A46" s="51"/>
      <c r="B46" s="52"/>
      <c r="C46" s="91">
        <v>6800</v>
      </c>
      <c r="D46" s="14" t="s">
        <v>398</v>
      </c>
      <c r="E46" s="104">
        <f>SUM(E47)</f>
        <v>40000</v>
      </c>
      <c r="F46" s="104">
        <f>SUM(F47)</f>
        <v>10000</v>
      </c>
      <c r="G46" s="104">
        <f>SUM(G47)</f>
        <v>0</v>
      </c>
      <c r="H46" s="104">
        <f t="shared" si="1"/>
        <v>0</v>
      </c>
    </row>
    <row r="47" spans="1:8" s="28" customFormat="1" ht="40.5" customHeight="1">
      <c r="A47" s="51"/>
      <c r="B47" s="52"/>
      <c r="C47" s="53"/>
      <c r="D47" s="57" t="s">
        <v>403</v>
      </c>
      <c r="E47" s="107">
        <v>40000</v>
      </c>
      <c r="F47" s="270">
        <v>10000</v>
      </c>
      <c r="G47" s="107">
        <v>0</v>
      </c>
      <c r="H47" s="104">
        <f t="shared" si="1"/>
        <v>0</v>
      </c>
    </row>
    <row r="48" spans="1:8" s="28" customFormat="1" ht="21.75" customHeight="1">
      <c r="A48" s="32" t="s">
        <v>24</v>
      </c>
      <c r="B48" s="5"/>
      <c r="C48" s="20"/>
      <c r="D48" s="19" t="s">
        <v>25</v>
      </c>
      <c r="E48" s="16">
        <f>SUM(E49,E52,)</f>
        <v>450000</v>
      </c>
      <c r="F48" s="16">
        <f>SUM(F49,F52,)</f>
        <v>558023</v>
      </c>
      <c r="G48" s="16">
        <f>SUM(G49,G52,)</f>
        <v>113622.98</v>
      </c>
      <c r="H48" s="47">
        <f t="shared" si="1"/>
        <v>20.36170193701693</v>
      </c>
    </row>
    <row r="49" spans="1:8" s="11" customFormat="1" ht="27" customHeight="1">
      <c r="A49" s="82"/>
      <c r="B49" s="59">
        <v>70021</v>
      </c>
      <c r="C49" s="84"/>
      <c r="D49" s="42" t="s">
        <v>222</v>
      </c>
      <c r="E49" s="104">
        <f aca="true" t="shared" si="3" ref="E49:G50">SUM(E50)</f>
        <v>300000</v>
      </c>
      <c r="F49" s="104">
        <f t="shared" si="3"/>
        <v>300000</v>
      </c>
      <c r="G49" s="104">
        <f t="shared" si="3"/>
        <v>0</v>
      </c>
      <c r="H49" s="104">
        <f t="shared" si="1"/>
        <v>0</v>
      </c>
    </row>
    <row r="50" spans="1:8" s="24" customFormat="1" ht="74.25" customHeight="1">
      <c r="A50" s="82"/>
      <c r="B50" s="59"/>
      <c r="C50" s="84">
        <v>6010</v>
      </c>
      <c r="D50" s="42" t="s">
        <v>297</v>
      </c>
      <c r="E50" s="104">
        <f t="shared" si="3"/>
        <v>300000</v>
      </c>
      <c r="F50" s="104">
        <f t="shared" si="3"/>
        <v>300000</v>
      </c>
      <c r="G50" s="104">
        <f t="shared" si="3"/>
        <v>0</v>
      </c>
      <c r="H50" s="104">
        <f t="shared" si="1"/>
        <v>0</v>
      </c>
    </row>
    <row r="51" spans="1:8" s="24" customFormat="1" ht="35.25" customHeight="1">
      <c r="A51" s="55"/>
      <c r="B51" s="52"/>
      <c r="C51" s="121"/>
      <c r="D51" s="57" t="s">
        <v>397</v>
      </c>
      <c r="E51" s="58">
        <v>300000</v>
      </c>
      <c r="F51" s="272">
        <v>300000</v>
      </c>
      <c r="G51" s="58">
        <v>0</v>
      </c>
      <c r="H51" s="107">
        <f t="shared" si="1"/>
        <v>0</v>
      </c>
    </row>
    <row r="52" spans="1:8" s="28" customFormat="1" ht="21.75" customHeight="1">
      <c r="A52" s="82"/>
      <c r="B52" s="83">
        <v>70095</v>
      </c>
      <c r="C52" s="91"/>
      <c r="D52" s="14" t="s">
        <v>19</v>
      </c>
      <c r="E52" s="104">
        <f>E53</f>
        <v>150000</v>
      </c>
      <c r="F52" s="104">
        <f>F53</f>
        <v>258023</v>
      </c>
      <c r="G52" s="104">
        <f>G53</f>
        <v>113622.98</v>
      </c>
      <c r="H52" s="104">
        <f t="shared" si="1"/>
        <v>44.03598903973677</v>
      </c>
    </row>
    <row r="53" spans="1:8" s="24" customFormat="1" ht="27" customHeight="1">
      <c r="A53" s="82"/>
      <c r="B53" s="83"/>
      <c r="C53" s="84">
        <v>6050</v>
      </c>
      <c r="D53" s="14" t="s">
        <v>95</v>
      </c>
      <c r="E53" s="97">
        <f>SUM(E54)</f>
        <v>150000</v>
      </c>
      <c r="F53" s="97">
        <f>SUM(F54)</f>
        <v>258023</v>
      </c>
      <c r="G53" s="97">
        <f>SUM(G54)</f>
        <v>113622.98</v>
      </c>
      <c r="H53" s="104">
        <f t="shared" si="1"/>
        <v>44.03598903973677</v>
      </c>
    </row>
    <row r="54" spans="1:8" s="24" customFormat="1" ht="21.75" customHeight="1">
      <c r="A54" s="55"/>
      <c r="B54" s="52"/>
      <c r="C54" s="56"/>
      <c r="D54" s="57" t="s">
        <v>177</v>
      </c>
      <c r="E54" s="107">
        <v>150000</v>
      </c>
      <c r="F54" s="270">
        <v>258023</v>
      </c>
      <c r="G54" s="107">
        <v>113622.98</v>
      </c>
      <c r="H54" s="107">
        <f t="shared" si="1"/>
        <v>44.03598903973677</v>
      </c>
    </row>
    <row r="55" spans="1:8" s="24" customFormat="1" ht="21.75" customHeight="1">
      <c r="A55" s="32">
        <v>750</v>
      </c>
      <c r="B55" s="5"/>
      <c r="C55" s="13"/>
      <c r="D55" s="19" t="s">
        <v>105</v>
      </c>
      <c r="E55" s="47">
        <f aca="true" t="shared" si="4" ref="E55:G56">E56</f>
        <v>51800</v>
      </c>
      <c r="F55" s="47">
        <f t="shared" si="4"/>
        <v>51800</v>
      </c>
      <c r="G55" s="47">
        <f t="shared" si="4"/>
        <v>38967.56</v>
      </c>
      <c r="H55" s="47">
        <f t="shared" si="1"/>
        <v>75.2269498069498</v>
      </c>
    </row>
    <row r="56" spans="1:8" s="45" customFormat="1" ht="27" customHeight="1">
      <c r="A56" s="82"/>
      <c r="B56" s="94" t="s">
        <v>34</v>
      </c>
      <c r="C56" s="98"/>
      <c r="D56" s="42" t="s">
        <v>35</v>
      </c>
      <c r="E56" s="104">
        <f t="shared" si="4"/>
        <v>51800</v>
      </c>
      <c r="F56" s="104">
        <f t="shared" si="4"/>
        <v>51800</v>
      </c>
      <c r="G56" s="104">
        <f t="shared" si="4"/>
        <v>38967.56</v>
      </c>
      <c r="H56" s="104">
        <f t="shared" si="1"/>
        <v>75.2269498069498</v>
      </c>
    </row>
    <row r="57" spans="1:8" s="24" customFormat="1" ht="27" customHeight="1">
      <c r="A57" s="82"/>
      <c r="B57" s="59"/>
      <c r="C57" s="85">
        <v>6060</v>
      </c>
      <c r="D57" s="14" t="s">
        <v>118</v>
      </c>
      <c r="E57" s="104">
        <f>SUM(E58)</f>
        <v>51800</v>
      </c>
      <c r="F57" s="104">
        <f>SUM(F58)</f>
        <v>51800</v>
      </c>
      <c r="G57" s="104">
        <f>SUM(G58)</f>
        <v>38967.56</v>
      </c>
      <c r="H57" s="104">
        <f t="shared" si="1"/>
        <v>75.2269498069498</v>
      </c>
    </row>
    <row r="58" spans="1:8" s="24" customFormat="1" ht="21.75" customHeight="1">
      <c r="A58" s="55"/>
      <c r="B58" s="52"/>
      <c r="C58" s="56"/>
      <c r="D58" s="57" t="s">
        <v>314</v>
      </c>
      <c r="E58" s="107">
        <v>51800</v>
      </c>
      <c r="F58" s="270">
        <v>51800</v>
      </c>
      <c r="G58" s="107">
        <v>38967.56</v>
      </c>
      <c r="H58" s="107">
        <f t="shared" si="1"/>
        <v>75.2269498069498</v>
      </c>
    </row>
    <row r="59" spans="1:8" s="28" customFormat="1" ht="27" customHeight="1">
      <c r="A59" s="32">
        <v>754</v>
      </c>
      <c r="B59" s="5"/>
      <c r="C59" s="13"/>
      <c r="D59" s="19" t="s">
        <v>39</v>
      </c>
      <c r="E59" s="47">
        <f>SUM(E60,E63)</f>
        <v>68170</v>
      </c>
      <c r="F59" s="47">
        <f>SUM(F60,F63)</f>
        <v>93170</v>
      </c>
      <c r="G59" s="47">
        <f>SUM(G60,G63)</f>
        <v>36956.43</v>
      </c>
      <c r="H59" s="47">
        <f t="shared" si="1"/>
        <v>39.66558978211871</v>
      </c>
    </row>
    <row r="60" spans="1:8" s="293" customFormat="1" ht="27" customHeight="1">
      <c r="A60" s="82"/>
      <c r="B60" s="59">
        <v>75411</v>
      </c>
      <c r="C60" s="85"/>
      <c r="D60" s="14" t="s">
        <v>506</v>
      </c>
      <c r="E60" s="104">
        <f aca="true" t="shared" si="5" ref="E60:G61">SUM(E61)</f>
        <v>0</v>
      </c>
      <c r="F60" s="104">
        <f t="shared" si="5"/>
        <v>25000</v>
      </c>
      <c r="G60" s="104">
        <f t="shared" si="5"/>
        <v>0</v>
      </c>
      <c r="H60" s="104">
        <f t="shared" si="1"/>
        <v>0</v>
      </c>
    </row>
    <row r="61" spans="1:8" s="24" customFormat="1" ht="65.25" customHeight="1">
      <c r="A61" s="82"/>
      <c r="B61" s="59"/>
      <c r="C61" s="85">
        <v>6220</v>
      </c>
      <c r="D61" s="14" t="s">
        <v>507</v>
      </c>
      <c r="E61" s="104">
        <f t="shared" si="5"/>
        <v>0</v>
      </c>
      <c r="F61" s="104">
        <f t="shared" si="5"/>
        <v>25000</v>
      </c>
      <c r="G61" s="104">
        <f t="shared" si="5"/>
        <v>0</v>
      </c>
      <c r="H61" s="104">
        <f t="shared" si="1"/>
        <v>0</v>
      </c>
    </row>
    <row r="62" spans="1:8" s="8" customFormat="1" ht="48.75" customHeight="1">
      <c r="A62" s="55"/>
      <c r="B62" s="52"/>
      <c r="C62" s="56"/>
      <c r="D62" s="213" t="s">
        <v>511</v>
      </c>
      <c r="E62" s="214">
        <v>0</v>
      </c>
      <c r="F62" s="273">
        <v>25000</v>
      </c>
      <c r="G62" s="214">
        <v>0</v>
      </c>
      <c r="H62" s="107">
        <f t="shared" si="1"/>
        <v>0</v>
      </c>
    </row>
    <row r="63" spans="1:8" s="28" customFormat="1" ht="21.75" customHeight="1">
      <c r="A63" s="82"/>
      <c r="B63" s="59">
        <v>75412</v>
      </c>
      <c r="C63" s="85"/>
      <c r="D63" s="14" t="s">
        <v>123</v>
      </c>
      <c r="E63" s="104">
        <f>SUM(E64)</f>
        <v>68170</v>
      </c>
      <c r="F63" s="104">
        <f>SUM(F64)</f>
        <v>68170</v>
      </c>
      <c r="G63" s="104">
        <f>SUM(G64)</f>
        <v>36956.43</v>
      </c>
      <c r="H63" s="104">
        <f t="shared" si="1"/>
        <v>54.212160774534254</v>
      </c>
    </row>
    <row r="64" spans="1:8" s="24" customFormat="1" ht="27" customHeight="1">
      <c r="A64" s="55"/>
      <c r="B64" s="52"/>
      <c r="C64" s="85">
        <v>6050</v>
      </c>
      <c r="D64" s="14" t="s">
        <v>95</v>
      </c>
      <c r="E64" s="104">
        <f>SUM(E65:E66)</f>
        <v>68170</v>
      </c>
      <c r="F64" s="104">
        <f>SUM(F65:F66)</f>
        <v>68170</v>
      </c>
      <c r="G64" s="104">
        <f>SUM(G65:G66)</f>
        <v>36956.43</v>
      </c>
      <c r="H64" s="104">
        <f t="shared" si="1"/>
        <v>54.212160774534254</v>
      </c>
    </row>
    <row r="65" spans="1:8" s="24" customFormat="1" ht="21.75" customHeight="1">
      <c r="A65" s="55"/>
      <c r="B65" s="52"/>
      <c r="C65" s="56"/>
      <c r="D65" s="57" t="s">
        <v>263</v>
      </c>
      <c r="E65" s="107">
        <v>68170</v>
      </c>
      <c r="F65" s="270">
        <v>36957</v>
      </c>
      <c r="G65" s="107">
        <v>36956.43</v>
      </c>
      <c r="H65" s="107">
        <f t="shared" si="1"/>
        <v>99.99845766701843</v>
      </c>
    </row>
    <row r="66" spans="1:8" s="24" customFormat="1" ht="21.75" customHeight="1">
      <c r="A66" s="55"/>
      <c r="B66" s="52"/>
      <c r="C66" s="56"/>
      <c r="D66" s="57" t="s">
        <v>9</v>
      </c>
      <c r="E66" s="107">
        <v>0</v>
      </c>
      <c r="F66" s="270">
        <v>31213</v>
      </c>
      <c r="G66" s="107">
        <v>0</v>
      </c>
      <c r="H66" s="107">
        <f t="shared" si="1"/>
        <v>0</v>
      </c>
    </row>
    <row r="67" spans="1:8" s="24" customFormat="1" ht="21.75" customHeight="1">
      <c r="A67" s="32">
        <v>801</v>
      </c>
      <c r="B67" s="5"/>
      <c r="C67" s="13"/>
      <c r="D67" s="19" t="s">
        <v>134</v>
      </c>
      <c r="E67" s="16">
        <f>SUM(E68,E73,)</f>
        <v>294060</v>
      </c>
      <c r="F67" s="16">
        <f>SUM(F68,F73,)</f>
        <v>125000</v>
      </c>
      <c r="G67" s="16">
        <f>SUM(G68,G73,)</f>
        <v>6758</v>
      </c>
      <c r="H67" s="47">
        <f t="shared" si="1"/>
        <v>5.4064</v>
      </c>
    </row>
    <row r="68" spans="1:8" s="45" customFormat="1" ht="21.75" customHeight="1">
      <c r="A68" s="82"/>
      <c r="B68" s="59">
        <v>80101</v>
      </c>
      <c r="C68" s="85"/>
      <c r="D68" s="14" t="s">
        <v>72</v>
      </c>
      <c r="E68" s="97">
        <f>SUM(E69,E71)</f>
        <v>184560</v>
      </c>
      <c r="F68" s="97">
        <f>SUM(F69,F71)</f>
        <v>15500</v>
      </c>
      <c r="G68" s="97">
        <f>SUM(G69,G71)</f>
        <v>6758</v>
      </c>
      <c r="H68" s="104">
        <f t="shared" si="1"/>
        <v>43.6</v>
      </c>
    </row>
    <row r="69" spans="1:8" s="24" customFormat="1" ht="27" customHeight="1">
      <c r="A69" s="82"/>
      <c r="B69" s="59"/>
      <c r="C69" s="85">
        <v>6050</v>
      </c>
      <c r="D69" s="14" t="s">
        <v>95</v>
      </c>
      <c r="E69" s="97">
        <f>SUM(E70)</f>
        <v>150000</v>
      </c>
      <c r="F69" s="97">
        <f>SUM(F70)</f>
        <v>0</v>
      </c>
      <c r="G69" s="97">
        <f>SUM(G70)</f>
        <v>0</v>
      </c>
      <c r="H69" s="104">
        <v>0</v>
      </c>
    </row>
    <row r="70" spans="1:8" s="24" customFormat="1" ht="27" customHeight="1">
      <c r="A70" s="55"/>
      <c r="B70" s="52"/>
      <c r="C70" s="56"/>
      <c r="D70" s="57" t="s">
        <v>399</v>
      </c>
      <c r="E70" s="58">
        <v>150000</v>
      </c>
      <c r="F70" s="272">
        <v>0</v>
      </c>
      <c r="G70" s="58">
        <v>0</v>
      </c>
      <c r="H70" s="107">
        <v>0</v>
      </c>
    </row>
    <row r="71" spans="1:8" s="28" customFormat="1" ht="27" customHeight="1">
      <c r="A71" s="82"/>
      <c r="B71" s="59"/>
      <c r="C71" s="85">
        <v>6060</v>
      </c>
      <c r="D71" s="14" t="s">
        <v>118</v>
      </c>
      <c r="E71" s="97">
        <f>SUM(E72)</f>
        <v>34560</v>
      </c>
      <c r="F71" s="97">
        <f>SUM(F72)</f>
        <v>15500</v>
      </c>
      <c r="G71" s="97">
        <f>SUM(G72)</f>
        <v>6758</v>
      </c>
      <c r="H71" s="104">
        <f t="shared" si="1"/>
        <v>43.6</v>
      </c>
    </row>
    <row r="72" spans="1:8" s="24" customFormat="1" ht="21.75" customHeight="1">
      <c r="A72" s="55"/>
      <c r="B72" s="52"/>
      <c r="C72" s="56"/>
      <c r="D72" s="57" t="s">
        <v>315</v>
      </c>
      <c r="E72" s="58">
        <v>34560</v>
      </c>
      <c r="F72" s="272">
        <v>15500</v>
      </c>
      <c r="G72" s="58">
        <v>6758</v>
      </c>
      <c r="H72" s="107">
        <f t="shared" si="1"/>
        <v>43.6</v>
      </c>
    </row>
    <row r="73" spans="1:8" s="28" customFormat="1" ht="21.75" customHeight="1">
      <c r="A73" s="82"/>
      <c r="B73" s="59">
        <v>80110</v>
      </c>
      <c r="C73" s="85"/>
      <c r="D73" s="14" t="s">
        <v>73</v>
      </c>
      <c r="E73" s="97">
        <f>SUM(E74,E76)</f>
        <v>109500</v>
      </c>
      <c r="F73" s="97">
        <f>SUM(F74,F76)</f>
        <v>109500</v>
      </c>
      <c r="G73" s="97">
        <f>SUM(G74,G76)</f>
        <v>0</v>
      </c>
      <c r="H73" s="104">
        <f aca="true" t="shared" si="6" ref="H73:H132">G73/F73*100</f>
        <v>0</v>
      </c>
    </row>
    <row r="74" spans="1:8" s="24" customFormat="1" ht="27" customHeight="1">
      <c r="A74" s="82"/>
      <c r="B74" s="59"/>
      <c r="C74" s="85">
        <v>6050</v>
      </c>
      <c r="D74" s="14" t="s">
        <v>95</v>
      </c>
      <c r="E74" s="97">
        <f>SUM(E75)</f>
        <v>100000</v>
      </c>
      <c r="F74" s="97">
        <f>SUM(F75)</f>
        <v>100000</v>
      </c>
      <c r="G74" s="97">
        <f>SUM(G75)</f>
        <v>0</v>
      </c>
      <c r="H74" s="104">
        <f t="shared" si="6"/>
        <v>0</v>
      </c>
    </row>
    <row r="75" spans="1:8" s="24" customFormat="1" ht="21.75" customHeight="1">
      <c r="A75" s="55"/>
      <c r="B75" s="52"/>
      <c r="C75" s="56"/>
      <c r="D75" s="57" t="s">
        <v>326</v>
      </c>
      <c r="E75" s="58">
        <v>100000</v>
      </c>
      <c r="F75" s="272">
        <v>100000</v>
      </c>
      <c r="G75" s="58">
        <v>0</v>
      </c>
      <c r="H75" s="107">
        <f t="shared" si="6"/>
        <v>0</v>
      </c>
    </row>
    <row r="76" spans="1:8" s="28" customFormat="1" ht="27" customHeight="1">
      <c r="A76" s="82"/>
      <c r="B76" s="59"/>
      <c r="C76" s="85">
        <v>6060</v>
      </c>
      <c r="D76" s="14" t="s">
        <v>118</v>
      </c>
      <c r="E76" s="97">
        <f>SUM(E77)</f>
        <v>9500</v>
      </c>
      <c r="F76" s="97">
        <f>SUM(F77)</f>
        <v>9500</v>
      </c>
      <c r="G76" s="97">
        <f>SUM(G77)</f>
        <v>0</v>
      </c>
      <c r="H76" s="104">
        <f t="shared" si="6"/>
        <v>0</v>
      </c>
    </row>
    <row r="77" spans="1:8" s="24" customFormat="1" ht="21.75" customHeight="1">
      <c r="A77" s="55"/>
      <c r="B77" s="52"/>
      <c r="C77" s="56"/>
      <c r="D77" s="57" t="s">
        <v>315</v>
      </c>
      <c r="E77" s="107">
        <v>9500</v>
      </c>
      <c r="F77" s="270">
        <v>9500</v>
      </c>
      <c r="G77" s="107">
        <v>0</v>
      </c>
      <c r="H77" s="107">
        <f t="shared" si="6"/>
        <v>0</v>
      </c>
    </row>
    <row r="78" spans="1:8" s="28" customFormat="1" ht="21.75" customHeight="1">
      <c r="A78" s="32">
        <v>851</v>
      </c>
      <c r="B78" s="5"/>
      <c r="C78" s="13"/>
      <c r="D78" s="19" t="s">
        <v>74</v>
      </c>
      <c r="E78" s="47">
        <f aca="true" t="shared" si="7" ref="E78:G80">SUM(E79)</f>
        <v>20000</v>
      </c>
      <c r="F78" s="47">
        <f t="shared" si="7"/>
        <v>20000</v>
      </c>
      <c r="G78" s="47">
        <f t="shared" si="7"/>
        <v>0</v>
      </c>
      <c r="H78" s="104">
        <f t="shared" si="6"/>
        <v>0</v>
      </c>
    </row>
    <row r="79" spans="1:8" s="45" customFormat="1" ht="21.75" customHeight="1">
      <c r="A79" s="82"/>
      <c r="B79" s="59">
        <v>85153</v>
      </c>
      <c r="C79" s="85"/>
      <c r="D79" s="14" t="s">
        <v>284</v>
      </c>
      <c r="E79" s="104">
        <f t="shared" si="7"/>
        <v>20000</v>
      </c>
      <c r="F79" s="104">
        <f t="shared" si="7"/>
        <v>20000</v>
      </c>
      <c r="G79" s="104">
        <f t="shared" si="7"/>
        <v>0</v>
      </c>
      <c r="H79" s="104">
        <f t="shared" si="6"/>
        <v>0</v>
      </c>
    </row>
    <row r="80" spans="1:8" s="24" customFormat="1" ht="27" customHeight="1">
      <c r="A80" s="32"/>
      <c r="B80" s="5"/>
      <c r="C80" s="85">
        <v>6060</v>
      </c>
      <c r="D80" s="14" t="s">
        <v>118</v>
      </c>
      <c r="E80" s="104">
        <f t="shared" si="7"/>
        <v>20000</v>
      </c>
      <c r="F80" s="104">
        <f t="shared" si="7"/>
        <v>20000</v>
      </c>
      <c r="G80" s="104">
        <f t="shared" si="7"/>
        <v>0</v>
      </c>
      <c r="H80" s="104">
        <f t="shared" si="6"/>
        <v>0</v>
      </c>
    </row>
    <row r="81" spans="1:8" s="45" customFormat="1" ht="27" customHeight="1">
      <c r="A81" s="32"/>
      <c r="B81" s="5"/>
      <c r="C81" s="85"/>
      <c r="D81" s="57" t="s">
        <v>240</v>
      </c>
      <c r="E81" s="107">
        <v>20000</v>
      </c>
      <c r="F81" s="270">
        <v>20000</v>
      </c>
      <c r="G81" s="107">
        <v>0</v>
      </c>
      <c r="H81" s="107">
        <f t="shared" si="6"/>
        <v>0</v>
      </c>
    </row>
    <row r="82" spans="1:8" s="45" customFormat="1" ht="21.75" customHeight="1">
      <c r="A82" s="32">
        <v>852</v>
      </c>
      <c r="B82" s="5"/>
      <c r="C82" s="13"/>
      <c r="D82" s="19" t="s">
        <v>231</v>
      </c>
      <c r="E82" s="47">
        <f>SUM(E83)</f>
        <v>18550</v>
      </c>
      <c r="F82" s="47">
        <f aca="true" t="shared" si="8" ref="F82:G84">SUM(F83)</f>
        <v>18550</v>
      </c>
      <c r="G82" s="47">
        <f t="shared" si="8"/>
        <v>5512.01</v>
      </c>
      <c r="H82" s="47">
        <f t="shared" si="6"/>
        <v>29.71433962264151</v>
      </c>
    </row>
    <row r="83" spans="1:8" s="45" customFormat="1" ht="21.75" customHeight="1">
      <c r="A83" s="82"/>
      <c r="B83" s="59">
        <v>85219</v>
      </c>
      <c r="C83" s="85"/>
      <c r="D83" s="14" t="s">
        <v>80</v>
      </c>
      <c r="E83" s="104">
        <f>SUM(E84)</f>
        <v>18550</v>
      </c>
      <c r="F83" s="104">
        <f t="shared" si="8"/>
        <v>18550</v>
      </c>
      <c r="G83" s="104">
        <f t="shared" si="8"/>
        <v>5512.01</v>
      </c>
      <c r="H83" s="104">
        <f t="shared" si="6"/>
        <v>29.71433962264151</v>
      </c>
    </row>
    <row r="84" spans="1:8" s="24" customFormat="1" ht="27" customHeight="1">
      <c r="A84" s="82"/>
      <c r="B84" s="59"/>
      <c r="C84" s="85">
        <v>6060</v>
      </c>
      <c r="D84" s="14" t="s">
        <v>118</v>
      </c>
      <c r="E84" s="104">
        <f>SUM(E85)</f>
        <v>18550</v>
      </c>
      <c r="F84" s="104">
        <f t="shared" si="8"/>
        <v>18550</v>
      </c>
      <c r="G84" s="104">
        <f t="shared" si="8"/>
        <v>5512.01</v>
      </c>
      <c r="H84" s="104">
        <f t="shared" si="6"/>
        <v>29.71433962264151</v>
      </c>
    </row>
    <row r="85" spans="1:8" s="24" customFormat="1" ht="21.75" customHeight="1">
      <c r="A85" s="55"/>
      <c r="B85" s="52"/>
      <c r="C85" s="56"/>
      <c r="D85" s="57" t="s">
        <v>315</v>
      </c>
      <c r="E85" s="107">
        <v>18550</v>
      </c>
      <c r="F85" s="270">
        <v>18550</v>
      </c>
      <c r="G85" s="107">
        <v>5512.01</v>
      </c>
      <c r="H85" s="107">
        <f t="shared" si="6"/>
        <v>29.71433962264151</v>
      </c>
    </row>
    <row r="86" spans="1:8" s="28" customFormat="1" ht="21.75" customHeight="1">
      <c r="A86" s="32">
        <v>854</v>
      </c>
      <c r="B86" s="5"/>
      <c r="C86" s="13"/>
      <c r="D86" s="19" t="s">
        <v>81</v>
      </c>
      <c r="E86" s="47">
        <f aca="true" t="shared" si="9" ref="E86:G88">SUM(E87)</f>
        <v>30000</v>
      </c>
      <c r="F86" s="47">
        <f t="shared" si="9"/>
        <v>101000</v>
      </c>
      <c r="G86" s="47">
        <f t="shared" si="9"/>
        <v>19545.05</v>
      </c>
      <c r="H86" s="47">
        <f t="shared" si="6"/>
        <v>19.351534653465347</v>
      </c>
    </row>
    <row r="87" spans="1:8" s="45" customFormat="1" ht="37.5" customHeight="1">
      <c r="A87" s="82"/>
      <c r="B87" s="59">
        <v>85412</v>
      </c>
      <c r="C87" s="85"/>
      <c r="D87" s="42" t="s">
        <v>194</v>
      </c>
      <c r="E87" s="104">
        <f t="shared" si="9"/>
        <v>30000</v>
      </c>
      <c r="F87" s="104">
        <f t="shared" si="9"/>
        <v>101000</v>
      </c>
      <c r="G87" s="104">
        <f t="shared" si="9"/>
        <v>19545.05</v>
      </c>
      <c r="H87" s="104">
        <f t="shared" si="6"/>
        <v>19.351534653465347</v>
      </c>
    </row>
    <row r="88" spans="1:8" s="24" customFormat="1" ht="27" customHeight="1">
      <c r="A88" s="82"/>
      <c r="B88" s="59"/>
      <c r="C88" s="85">
        <v>6050</v>
      </c>
      <c r="D88" s="14" t="s">
        <v>95</v>
      </c>
      <c r="E88" s="104">
        <f t="shared" si="9"/>
        <v>30000</v>
      </c>
      <c r="F88" s="104">
        <f t="shared" si="9"/>
        <v>101000</v>
      </c>
      <c r="G88" s="104">
        <f t="shared" si="9"/>
        <v>19545.05</v>
      </c>
      <c r="H88" s="104">
        <f t="shared" si="6"/>
        <v>19.351534653465347</v>
      </c>
    </row>
    <row r="89" spans="1:8" s="24" customFormat="1" ht="21.75" customHeight="1">
      <c r="A89" s="55"/>
      <c r="B89" s="52"/>
      <c r="C89" s="56"/>
      <c r="D89" s="57" t="s">
        <v>316</v>
      </c>
      <c r="E89" s="107">
        <v>30000</v>
      </c>
      <c r="F89" s="273">
        <v>101000</v>
      </c>
      <c r="G89" s="214">
        <v>19545.05</v>
      </c>
      <c r="H89" s="107">
        <f t="shared" si="6"/>
        <v>19.351534653465347</v>
      </c>
    </row>
    <row r="90" spans="1:8" s="28" customFormat="1" ht="27" customHeight="1">
      <c r="A90" s="32" t="s">
        <v>152</v>
      </c>
      <c r="B90" s="5"/>
      <c r="C90" s="20"/>
      <c r="D90" s="19" t="s">
        <v>83</v>
      </c>
      <c r="E90" s="16">
        <f>SUM(E91,E108)</f>
        <v>665400</v>
      </c>
      <c r="F90" s="16">
        <f>SUM(F91,F108)</f>
        <v>2057650</v>
      </c>
      <c r="G90" s="16">
        <f>SUM(G91,G108)</f>
        <v>76824.8</v>
      </c>
      <c r="H90" s="47">
        <f t="shared" si="6"/>
        <v>3.7336184482297767</v>
      </c>
    </row>
    <row r="91" spans="1:8" s="45" customFormat="1" ht="21.75" customHeight="1">
      <c r="A91" s="82"/>
      <c r="B91" s="83" t="s">
        <v>153</v>
      </c>
      <c r="C91" s="91"/>
      <c r="D91" s="14" t="s">
        <v>84</v>
      </c>
      <c r="E91" s="97">
        <f>SUM(E92,E94,)</f>
        <v>510000</v>
      </c>
      <c r="F91" s="97">
        <f>SUM(F92,F94,)</f>
        <v>1812250</v>
      </c>
      <c r="G91" s="97">
        <f>SUM(G92,G94,)</f>
        <v>7583.35</v>
      </c>
      <c r="H91" s="104">
        <f t="shared" si="6"/>
        <v>0.41844944130224865</v>
      </c>
    </row>
    <row r="92" spans="1:8" s="24" customFormat="1" ht="72" customHeight="1">
      <c r="A92" s="82"/>
      <c r="B92" s="83"/>
      <c r="C92" s="91">
        <v>6010</v>
      </c>
      <c r="D92" s="42" t="s">
        <v>297</v>
      </c>
      <c r="E92" s="97">
        <f>SUM(E93)</f>
        <v>0</v>
      </c>
      <c r="F92" s="97">
        <f>SUM(F93)</f>
        <v>750</v>
      </c>
      <c r="G92" s="97">
        <f>SUM(G93)</f>
        <v>0</v>
      </c>
      <c r="H92" s="104">
        <f t="shared" si="6"/>
        <v>0</v>
      </c>
    </row>
    <row r="93" spans="1:8" s="24" customFormat="1" ht="27" customHeight="1">
      <c r="A93" s="82"/>
      <c r="B93" s="83"/>
      <c r="C93" s="91"/>
      <c r="D93" s="57" t="s">
        <v>435</v>
      </c>
      <c r="E93" s="58">
        <v>0</v>
      </c>
      <c r="F93" s="272">
        <v>750</v>
      </c>
      <c r="G93" s="58">
        <v>0</v>
      </c>
      <c r="H93" s="107">
        <f t="shared" si="6"/>
        <v>0</v>
      </c>
    </row>
    <row r="94" spans="1:8" s="24" customFormat="1" ht="27" customHeight="1">
      <c r="A94" s="82"/>
      <c r="B94" s="83"/>
      <c r="C94" s="84">
        <v>6050</v>
      </c>
      <c r="D94" s="14" t="s">
        <v>95</v>
      </c>
      <c r="E94" s="104">
        <f>SUM(E95:E107)</f>
        <v>510000</v>
      </c>
      <c r="F94" s="104">
        <f>SUM(F95:F107)</f>
        <v>1811500</v>
      </c>
      <c r="G94" s="104">
        <f>SUM(G95:G107)</f>
        <v>7583.35</v>
      </c>
      <c r="H94" s="104">
        <f t="shared" si="6"/>
        <v>0.41862268837979577</v>
      </c>
    </row>
    <row r="95" spans="1:8" s="24" customFormat="1" ht="21.75" customHeight="1">
      <c r="A95" s="55"/>
      <c r="B95" s="111"/>
      <c r="C95" s="121"/>
      <c r="D95" s="60" t="s">
        <v>317</v>
      </c>
      <c r="E95" s="107">
        <v>150000</v>
      </c>
      <c r="F95" s="270">
        <v>150000</v>
      </c>
      <c r="G95" s="107">
        <v>2605.75</v>
      </c>
      <c r="H95" s="107">
        <f t="shared" si="6"/>
        <v>1.7371666666666667</v>
      </c>
    </row>
    <row r="96" spans="1:8" s="28" customFormat="1" ht="21.75" customHeight="1">
      <c r="A96" s="55"/>
      <c r="B96" s="111"/>
      <c r="C96" s="121"/>
      <c r="D96" s="60" t="s">
        <v>318</v>
      </c>
      <c r="E96" s="107">
        <v>110000</v>
      </c>
      <c r="F96" s="270">
        <v>110000</v>
      </c>
      <c r="G96" s="107">
        <v>4977.6</v>
      </c>
      <c r="H96" s="107">
        <f t="shared" si="6"/>
        <v>4.525090909090909</v>
      </c>
    </row>
    <row r="97" spans="1:8" s="28" customFormat="1" ht="62.25" customHeight="1">
      <c r="A97" s="55"/>
      <c r="B97" s="111"/>
      <c r="C97" s="121"/>
      <c r="D97" s="60" t="s">
        <v>428</v>
      </c>
      <c r="E97" s="107">
        <v>250000</v>
      </c>
      <c r="F97" s="270">
        <v>250000</v>
      </c>
      <c r="G97" s="107">
        <v>0</v>
      </c>
      <c r="H97" s="107">
        <f t="shared" si="6"/>
        <v>0</v>
      </c>
    </row>
    <row r="98" spans="1:8" s="28" customFormat="1" ht="35.25" customHeight="1">
      <c r="A98" s="55"/>
      <c r="B98" s="111"/>
      <c r="C98" s="121"/>
      <c r="D98" s="60" t="s">
        <v>449</v>
      </c>
      <c r="E98" s="107">
        <v>0</v>
      </c>
      <c r="F98" s="270">
        <v>5000</v>
      </c>
      <c r="G98" s="107">
        <v>0</v>
      </c>
      <c r="H98" s="107">
        <f t="shared" si="6"/>
        <v>0</v>
      </c>
    </row>
    <row r="99" spans="1:8" s="28" customFormat="1" ht="35.25" customHeight="1">
      <c r="A99" s="55"/>
      <c r="B99" s="111"/>
      <c r="C99" s="121"/>
      <c r="D99" s="60" t="s">
        <v>461</v>
      </c>
      <c r="E99" s="58">
        <v>0</v>
      </c>
      <c r="F99" s="272">
        <v>500000</v>
      </c>
      <c r="G99" s="58">
        <v>0</v>
      </c>
      <c r="H99" s="107">
        <f t="shared" si="6"/>
        <v>0</v>
      </c>
    </row>
    <row r="100" spans="1:8" s="28" customFormat="1" ht="36.75" customHeight="1">
      <c r="A100" s="55"/>
      <c r="B100" s="111"/>
      <c r="C100" s="121"/>
      <c r="D100" s="60" t="s">
        <v>500</v>
      </c>
      <c r="E100" s="58">
        <v>0</v>
      </c>
      <c r="F100" s="272">
        <v>75000</v>
      </c>
      <c r="G100" s="58">
        <v>0</v>
      </c>
      <c r="H100" s="107">
        <f t="shared" si="6"/>
        <v>0</v>
      </c>
    </row>
    <row r="101" spans="1:8" s="28" customFormat="1" ht="27" customHeight="1">
      <c r="A101" s="55"/>
      <c r="B101" s="111"/>
      <c r="C101" s="121"/>
      <c r="D101" s="60" t="s">
        <v>482</v>
      </c>
      <c r="E101" s="58">
        <v>0</v>
      </c>
      <c r="F101" s="272">
        <v>22000</v>
      </c>
      <c r="G101" s="58">
        <v>0</v>
      </c>
      <c r="H101" s="107">
        <f t="shared" si="6"/>
        <v>0</v>
      </c>
    </row>
    <row r="102" spans="1:8" s="28" customFormat="1" ht="22.5">
      <c r="A102" s="55"/>
      <c r="B102" s="111"/>
      <c r="C102" s="121"/>
      <c r="D102" s="60" t="s">
        <v>501</v>
      </c>
      <c r="E102" s="58">
        <v>0</v>
      </c>
      <c r="F102" s="272">
        <v>95000</v>
      </c>
      <c r="G102" s="58">
        <v>0</v>
      </c>
      <c r="H102" s="107">
        <f t="shared" si="6"/>
        <v>0</v>
      </c>
    </row>
    <row r="103" spans="1:8" s="28" customFormat="1" ht="27" customHeight="1">
      <c r="A103" s="55"/>
      <c r="B103" s="111"/>
      <c r="C103" s="121"/>
      <c r="D103" s="60" t="s">
        <v>502</v>
      </c>
      <c r="E103" s="58">
        <v>0</v>
      </c>
      <c r="F103" s="272">
        <v>15000</v>
      </c>
      <c r="G103" s="58">
        <v>0</v>
      </c>
      <c r="H103" s="107">
        <f t="shared" si="6"/>
        <v>0</v>
      </c>
    </row>
    <row r="104" spans="1:8" s="28" customFormat="1" ht="21.75" customHeight="1">
      <c r="A104" s="55"/>
      <c r="B104" s="111"/>
      <c r="C104" s="121"/>
      <c r="D104" s="60" t="s">
        <v>483</v>
      </c>
      <c r="E104" s="58">
        <v>0</v>
      </c>
      <c r="F104" s="272">
        <v>21000</v>
      </c>
      <c r="G104" s="58">
        <v>0</v>
      </c>
      <c r="H104" s="107">
        <f t="shared" si="6"/>
        <v>0</v>
      </c>
    </row>
    <row r="105" spans="1:8" s="28" customFormat="1" ht="27" customHeight="1">
      <c r="A105" s="55"/>
      <c r="B105" s="111"/>
      <c r="C105" s="121"/>
      <c r="D105" s="60" t="s">
        <v>8</v>
      </c>
      <c r="E105" s="58">
        <v>0</v>
      </c>
      <c r="F105" s="274">
        <v>418500</v>
      </c>
      <c r="G105" s="215">
        <v>0</v>
      </c>
      <c r="H105" s="107">
        <f t="shared" si="6"/>
        <v>0</v>
      </c>
    </row>
    <row r="106" spans="1:8" s="28" customFormat="1" ht="27" customHeight="1">
      <c r="A106" s="55"/>
      <c r="B106" s="111"/>
      <c r="C106" s="121"/>
      <c r="D106" s="60" t="s">
        <v>10</v>
      </c>
      <c r="E106" s="58">
        <v>0</v>
      </c>
      <c r="F106" s="274">
        <v>40000</v>
      </c>
      <c r="G106" s="215">
        <v>0</v>
      </c>
      <c r="H106" s="107">
        <f t="shared" si="6"/>
        <v>0</v>
      </c>
    </row>
    <row r="107" spans="1:8" s="28" customFormat="1" ht="27" customHeight="1">
      <c r="A107" s="55"/>
      <c r="B107" s="111"/>
      <c r="C107" s="121"/>
      <c r="D107" s="60" t="s">
        <v>484</v>
      </c>
      <c r="E107" s="58">
        <v>0</v>
      </c>
      <c r="F107" s="272">
        <v>110000</v>
      </c>
      <c r="G107" s="58">
        <v>0</v>
      </c>
      <c r="H107" s="107">
        <f t="shared" si="6"/>
        <v>0</v>
      </c>
    </row>
    <row r="108" spans="1:8" s="28" customFormat="1" ht="21.75" customHeight="1">
      <c r="A108" s="82"/>
      <c r="B108" s="83" t="s">
        <v>162</v>
      </c>
      <c r="C108" s="91"/>
      <c r="D108" s="14" t="s">
        <v>163</v>
      </c>
      <c r="E108" s="97">
        <f>SUM(E109)</f>
        <v>155400</v>
      </c>
      <c r="F108" s="97">
        <f>SUM(F109)</f>
        <v>245400</v>
      </c>
      <c r="G108" s="97">
        <f>SUM(G109)</f>
        <v>69241.45</v>
      </c>
      <c r="H108" s="104">
        <f t="shared" si="6"/>
        <v>28.215749796251018</v>
      </c>
    </row>
    <row r="109" spans="1:8" s="24" customFormat="1" ht="27" customHeight="1">
      <c r="A109" s="82"/>
      <c r="B109" s="59"/>
      <c r="C109" s="84">
        <v>6050</v>
      </c>
      <c r="D109" s="14" t="s">
        <v>95</v>
      </c>
      <c r="E109" s="97">
        <f>SUM(E110:E119)</f>
        <v>155400</v>
      </c>
      <c r="F109" s="97">
        <f>SUM(F110:F119)</f>
        <v>245400</v>
      </c>
      <c r="G109" s="97">
        <f>SUM(G110:G119)</f>
        <v>69241.45</v>
      </c>
      <c r="H109" s="104">
        <f t="shared" si="6"/>
        <v>28.215749796251018</v>
      </c>
    </row>
    <row r="110" spans="1:8" s="24" customFormat="1" ht="21.75" customHeight="1">
      <c r="A110" s="55"/>
      <c r="B110" s="52"/>
      <c r="C110" s="121"/>
      <c r="D110" s="57" t="s">
        <v>319</v>
      </c>
      <c r="E110" s="58">
        <v>85000</v>
      </c>
      <c r="F110" s="272">
        <v>85000</v>
      </c>
      <c r="G110" s="58">
        <v>69241.45</v>
      </c>
      <c r="H110" s="107">
        <f t="shared" si="6"/>
        <v>81.46052941176471</v>
      </c>
    </row>
    <row r="111" spans="1:8" s="28" customFormat="1" ht="40.5" customHeight="1">
      <c r="A111" s="55"/>
      <c r="B111" s="52"/>
      <c r="C111" s="121"/>
      <c r="D111" s="57" t="s">
        <v>400</v>
      </c>
      <c r="E111" s="58">
        <f>20000+4000</f>
        <v>24000</v>
      </c>
      <c r="F111" s="272">
        <v>24000</v>
      </c>
      <c r="G111" s="58">
        <v>0</v>
      </c>
      <c r="H111" s="107">
        <f t="shared" si="6"/>
        <v>0</v>
      </c>
    </row>
    <row r="112" spans="1:8" s="28" customFormat="1" ht="21.75" customHeight="1">
      <c r="A112" s="55"/>
      <c r="B112" s="52"/>
      <c r="C112" s="121"/>
      <c r="D112" s="57" t="s">
        <v>320</v>
      </c>
      <c r="E112" s="58">
        <v>15000</v>
      </c>
      <c r="F112" s="272">
        <v>15000</v>
      </c>
      <c r="G112" s="58">
        <v>0</v>
      </c>
      <c r="H112" s="107">
        <f t="shared" si="6"/>
        <v>0</v>
      </c>
    </row>
    <row r="113" spans="1:8" s="28" customFormat="1" ht="21.75" customHeight="1">
      <c r="A113" s="55"/>
      <c r="B113" s="52"/>
      <c r="C113" s="121"/>
      <c r="D113" s="57" t="s">
        <v>321</v>
      </c>
      <c r="E113" s="107">
        <v>1400</v>
      </c>
      <c r="F113" s="273">
        <v>8400</v>
      </c>
      <c r="G113" s="214">
        <v>0</v>
      </c>
      <c r="H113" s="107">
        <f t="shared" si="6"/>
        <v>0</v>
      </c>
    </row>
    <row r="114" spans="1:8" s="28" customFormat="1" ht="21.75" customHeight="1">
      <c r="A114" s="55"/>
      <c r="B114" s="52"/>
      <c r="C114" s="56"/>
      <c r="D114" s="57" t="s">
        <v>322</v>
      </c>
      <c r="E114" s="107">
        <v>10000</v>
      </c>
      <c r="F114" s="270">
        <v>10000</v>
      </c>
      <c r="G114" s="107">
        <v>0</v>
      </c>
      <c r="H114" s="107">
        <f t="shared" si="6"/>
        <v>0</v>
      </c>
    </row>
    <row r="115" spans="1:8" s="28" customFormat="1" ht="21.75" customHeight="1">
      <c r="A115" s="55"/>
      <c r="B115" s="52"/>
      <c r="C115" s="56"/>
      <c r="D115" s="57" t="s">
        <v>323</v>
      </c>
      <c r="E115" s="107">
        <v>20000</v>
      </c>
      <c r="F115" s="270">
        <v>20000</v>
      </c>
      <c r="G115" s="107">
        <v>0</v>
      </c>
      <c r="H115" s="107">
        <f t="shared" si="6"/>
        <v>0</v>
      </c>
    </row>
    <row r="116" spans="1:8" s="28" customFormat="1" ht="39.75" customHeight="1">
      <c r="A116" s="55"/>
      <c r="B116" s="52"/>
      <c r="C116" s="56"/>
      <c r="D116" s="57" t="s">
        <v>12</v>
      </c>
      <c r="E116" s="107">
        <v>0</v>
      </c>
      <c r="F116" s="270">
        <v>14000</v>
      </c>
      <c r="G116" s="107">
        <v>0</v>
      </c>
      <c r="H116" s="107">
        <f t="shared" si="6"/>
        <v>0</v>
      </c>
    </row>
    <row r="117" spans="1:8" s="28" customFormat="1" ht="27" customHeight="1">
      <c r="A117" s="55"/>
      <c r="B117" s="52"/>
      <c r="C117" s="56"/>
      <c r="D117" s="57" t="s">
        <v>493</v>
      </c>
      <c r="E117" s="107">
        <v>0</v>
      </c>
      <c r="F117" s="270">
        <v>14000</v>
      </c>
      <c r="G117" s="107">
        <v>0</v>
      </c>
      <c r="H117" s="107">
        <f t="shared" si="6"/>
        <v>0</v>
      </c>
    </row>
    <row r="118" spans="1:8" s="28" customFormat="1" ht="21.75" customHeight="1">
      <c r="A118" s="55"/>
      <c r="B118" s="52"/>
      <c r="C118" s="56"/>
      <c r="D118" s="57" t="s">
        <v>494</v>
      </c>
      <c r="E118" s="107">
        <v>0</v>
      </c>
      <c r="F118" s="270">
        <v>25000</v>
      </c>
      <c r="G118" s="107">
        <v>0</v>
      </c>
      <c r="H118" s="107">
        <f t="shared" si="6"/>
        <v>0</v>
      </c>
    </row>
    <row r="119" spans="1:8" s="28" customFormat="1" ht="21.75" customHeight="1">
      <c r="A119" s="55"/>
      <c r="B119" s="52"/>
      <c r="C119" s="56"/>
      <c r="D119" s="57" t="s">
        <v>495</v>
      </c>
      <c r="E119" s="107">
        <v>0</v>
      </c>
      <c r="F119" s="270">
        <v>30000</v>
      </c>
      <c r="G119" s="107">
        <v>0</v>
      </c>
      <c r="H119" s="107">
        <f t="shared" si="6"/>
        <v>0</v>
      </c>
    </row>
    <row r="120" spans="1:8" s="28" customFormat="1" ht="27" customHeight="1">
      <c r="A120" s="32">
        <v>921</v>
      </c>
      <c r="B120" s="5"/>
      <c r="C120" s="20"/>
      <c r="D120" s="19" t="s">
        <v>165</v>
      </c>
      <c r="E120" s="16">
        <f aca="true" t="shared" si="10" ref="E120:G122">SUM(E121)</f>
        <v>4980</v>
      </c>
      <c r="F120" s="271">
        <f t="shared" si="10"/>
        <v>4980</v>
      </c>
      <c r="G120" s="16">
        <f t="shared" si="10"/>
        <v>0</v>
      </c>
      <c r="H120" s="47">
        <f t="shared" si="6"/>
        <v>0</v>
      </c>
    </row>
    <row r="121" spans="1:8" s="28" customFormat="1" ht="21.75" customHeight="1">
      <c r="A121" s="82"/>
      <c r="B121" s="83">
        <v>92109</v>
      </c>
      <c r="C121" s="91"/>
      <c r="D121" s="42" t="s">
        <v>186</v>
      </c>
      <c r="E121" s="97">
        <f t="shared" si="10"/>
        <v>4980</v>
      </c>
      <c r="F121" s="259">
        <f t="shared" si="10"/>
        <v>4980</v>
      </c>
      <c r="G121" s="97">
        <f t="shared" si="10"/>
        <v>0</v>
      </c>
      <c r="H121" s="104">
        <f t="shared" si="6"/>
        <v>0</v>
      </c>
    </row>
    <row r="122" spans="1:8" s="28" customFormat="1" ht="27" customHeight="1">
      <c r="A122" s="82"/>
      <c r="B122" s="83"/>
      <c r="C122" s="84">
        <v>6060</v>
      </c>
      <c r="D122" s="14" t="s">
        <v>118</v>
      </c>
      <c r="E122" s="104">
        <f t="shared" si="10"/>
        <v>4980</v>
      </c>
      <c r="F122" s="104">
        <f t="shared" si="10"/>
        <v>4980</v>
      </c>
      <c r="G122" s="104">
        <f t="shared" si="10"/>
        <v>0</v>
      </c>
      <c r="H122" s="104">
        <f t="shared" si="6"/>
        <v>0</v>
      </c>
    </row>
    <row r="123" spans="1:8" s="28" customFormat="1" ht="30" customHeight="1">
      <c r="A123" s="55"/>
      <c r="B123" s="111"/>
      <c r="C123" s="121"/>
      <c r="D123" s="60" t="s">
        <v>324</v>
      </c>
      <c r="E123" s="107">
        <v>4980</v>
      </c>
      <c r="F123" s="270">
        <v>4980</v>
      </c>
      <c r="G123" s="107">
        <v>0</v>
      </c>
      <c r="H123" s="107">
        <f t="shared" si="6"/>
        <v>0</v>
      </c>
    </row>
    <row r="124" spans="1:8" s="28" customFormat="1" ht="21.75" customHeight="1">
      <c r="A124" s="32">
        <v>926</v>
      </c>
      <c r="B124" s="5"/>
      <c r="C124" s="20"/>
      <c r="D124" s="19" t="s">
        <v>88</v>
      </c>
      <c r="E124" s="16">
        <f>SUM(E125,E128)</f>
        <v>100000</v>
      </c>
      <c r="F124" s="271">
        <f>SUM(F125,F128)</f>
        <v>456740</v>
      </c>
      <c r="G124" s="16">
        <f>SUM(G125,G128)</f>
        <v>39284</v>
      </c>
      <c r="H124" s="47">
        <f t="shared" si="6"/>
        <v>8.600954591233524</v>
      </c>
    </row>
    <row r="125" spans="1:8" s="28" customFormat="1" ht="21.75" customHeight="1">
      <c r="A125" s="82"/>
      <c r="B125" s="83">
        <v>92601</v>
      </c>
      <c r="C125" s="91"/>
      <c r="D125" s="14" t="s">
        <v>301</v>
      </c>
      <c r="E125" s="97">
        <f>SUM(E126)</f>
        <v>100000</v>
      </c>
      <c r="F125" s="259">
        <f>SUM(F126)</f>
        <v>100000</v>
      </c>
      <c r="G125" s="97">
        <f>SUM(G126)</f>
        <v>0</v>
      </c>
      <c r="H125" s="104">
        <f t="shared" si="6"/>
        <v>0</v>
      </c>
    </row>
    <row r="126" spans="1:8" s="28" customFormat="1" ht="27" customHeight="1">
      <c r="A126" s="82"/>
      <c r="B126" s="83"/>
      <c r="C126" s="84">
        <v>6050</v>
      </c>
      <c r="D126" s="14" t="s">
        <v>95</v>
      </c>
      <c r="E126" s="104">
        <f>SUM(E127:E127)</f>
        <v>100000</v>
      </c>
      <c r="F126" s="258">
        <f>SUM(F127:F127)</f>
        <v>100000</v>
      </c>
      <c r="G126" s="104">
        <f>SUM(G127:G127)</f>
        <v>0</v>
      </c>
      <c r="H126" s="104">
        <f t="shared" si="6"/>
        <v>0</v>
      </c>
    </row>
    <row r="127" spans="1:8" s="28" customFormat="1" ht="21.75" customHeight="1">
      <c r="A127" s="55"/>
      <c r="B127" s="111"/>
      <c r="C127" s="121"/>
      <c r="D127" s="60" t="s">
        <v>325</v>
      </c>
      <c r="E127" s="58">
        <v>100000</v>
      </c>
      <c r="F127" s="272">
        <v>100000</v>
      </c>
      <c r="G127" s="58">
        <v>0</v>
      </c>
      <c r="H127" s="107">
        <f t="shared" si="6"/>
        <v>0</v>
      </c>
    </row>
    <row r="128" spans="1:8" s="161" customFormat="1" ht="30" customHeight="1">
      <c r="A128" s="83"/>
      <c r="B128" s="83">
        <v>92605</v>
      </c>
      <c r="C128" s="83"/>
      <c r="D128" s="157" t="s">
        <v>89</v>
      </c>
      <c r="E128" s="158">
        <f>SUM(E129)</f>
        <v>0</v>
      </c>
      <c r="F128" s="275">
        <f>SUM(F129)</f>
        <v>356740</v>
      </c>
      <c r="G128" s="106">
        <f>SUM(G129)</f>
        <v>39284</v>
      </c>
      <c r="H128" s="104">
        <f t="shared" si="6"/>
        <v>11.011941469978135</v>
      </c>
    </row>
    <row r="129" spans="1:8" s="24" customFormat="1" ht="27" customHeight="1">
      <c r="A129" s="83"/>
      <c r="B129" s="83"/>
      <c r="C129" s="83">
        <v>6050</v>
      </c>
      <c r="D129" s="14" t="s">
        <v>95</v>
      </c>
      <c r="E129" s="158">
        <f>SUM(E130:E131)</f>
        <v>0</v>
      </c>
      <c r="F129" s="275">
        <f>SUM(F130:F131)</f>
        <v>356740</v>
      </c>
      <c r="G129" s="106">
        <f>SUM(G130:G131)</f>
        <v>39284</v>
      </c>
      <c r="H129" s="104">
        <f t="shared" si="6"/>
        <v>11.011941469978135</v>
      </c>
    </row>
    <row r="130" spans="1:8" s="24" customFormat="1" ht="30" customHeight="1">
      <c r="A130" s="111"/>
      <c r="B130" s="111"/>
      <c r="C130" s="111"/>
      <c r="D130" s="159" t="s">
        <v>424</v>
      </c>
      <c r="E130" s="160">
        <v>0</v>
      </c>
      <c r="F130" s="276">
        <v>20740</v>
      </c>
      <c r="G130" s="278">
        <v>20740</v>
      </c>
      <c r="H130" s="107">
        <f t="shared" si="6"/>
        <v>100</v>
      </c>
    </row>
    <row r="131" spans="1:8" s="28" customFormat="1" ht="32.25" customHeight="1">
      <c r="A131" s="111"/>
      <c r="B131" s="111"/>
      <c r="C131" s="111"/>
      <c r="D131" s="159" t="s">
        <v>423</v>
      </c>
      <c r="E131" s="160">
        <v>0</v>
      </c>
      <c r="F131" s="281">
        <v>336000</v>
      </c>
      <c r="G131" s="282">
        <v>18544</v>
      </c>
      <c r="H131" s="107">
        <f t="shared" si="6"/>
        <v>5.519047619047619</v>
      </c>
    </row>
    <row r="132" spans="1:8" s="28" customFormat="1" ht="27" customHeight="1">
      <c r="A132" s="10"/>
      <c r="B132" s="10"/>
      <c r="C132" s="10"/>
      <c r="D132" s="131" t="s">
        <v>90</v>
      </c>
      <c r="E132" s="277">
        <f>SUM(E124,E120,E90,E86,E82,E78,E67,E59,E55,E48,E8,)</f>
        <v>2810240</v>
      </c>
      <c r="F132" s="16">
        <f>SUM(F124,F120,F90,F86,F82,F78,F67,F59,F55,F48,F8,)</f>
        <v>6163683</v>
      </c>
      <c r="G132" s="16">
        <f>SUM(G124,G120,G90,G86,G82,G78,G67,G59,G55,G48,G8,)</f>
        <v>443339.23</v>
      </c>
      <c r="H132" s="47">
        <f t="shared" si="6"/>
        <v>7.192764942648737</v>
      </c>
    </row>
    <row r="133" spans="5:8" s="8" customFormat="1" ht="23.25" customHeight="1">
      <c r="E133"/>
      <c r="F133" s="279"/>
      <c r="G133" s="279"/>
      <c r="H133" s="291"/>
    </row>
    <row r="134" spans="6:8" ht="12.75">
      <c r="F134" s="21"/>
      <c r="G134" s="21"/>
      <c r="H134" s="292"/>
    </row>
    <row r="135" spans="5:8" ht="12.75">
      <c r="E135" s="61"/>
      <c r="F135" s="21"/>
      <c r="G135" s="21"/>
      <c r="H135" s="292"/>
    </row>
    <row r="136" spans="6:8" ht="12.75">
      <c r="F136" s="280"/>
      <c r="G136" s="280"/>
      <c r="H136" s="292"/>
    </row>
    <row r="137" spans="6:8" ht="12.75">
      <c r="F137" s="21"/>
      <c r="G137" s="21"/>
      <c r="H137" s="292"/>
    </row>
    <row r="138" spans="6:7" ht="12.75">
      <c r="F138" s="61"/>
      <c r="G138" s="61"/>
    </row>
    <row r="139" spans="6:7" ht="12.75">
      <c r="F139" s="61"/>
      <c r="G139" s="61"/>
    </row>
    <row r="140" spans="6:7" ht="12.75">
      <c r="F140" s="61"/>
      <c r="G140" s="61"/>
    </row>
    <row r="141" spans="6:7" ht="12.75">
      <c r="F141" s="61"/>
      <c r="G141" s="61"/>
    </row>
    <row r="142" spans="6:7" ht="12.75">
      <c r="F142" s="207"/>
      <c r="G142" s="207"/>
    </row>
    <row r="143" spans="6:7" ht="12.75">
      <c r="F143" s="61"/>
      <c r="G143" s="61"/>
    </row>
    <row r="144" spans="6:7" ht="12.75">
      <c r="F144" s="61"/>
      <c r="G144" s="61"/>
    </row>
    <row r="145" spans="6:7" ht="12.75">
      <c r="F145" s="207"/>
      <c r="G145" s="207"/>
    </row>
    <row r="146" ht="12.75">
      <c r="E146" t="s">
        <v>265</v>
      </c>
    </row>
    <row r="147" spans="5:7" ht="12.75">
      <c r="E147" t="s">
        <v>266</v>
      </c>
      <c r="F147" t="s">
        <v>265</v>
      </c>
      <c r="G147" t="s">
        <v>265</v>
      </c>
    </row>
    <row r="148" spans="6:7" ht="12.75">
      <c r="F148" t="s">
        <v>266</v>
      </c>
      <c r="G148" t="s">
        <v>266</v>
      </c>
    </row>
  </sheetData>
  <mergeCells count="11">
    <mergeCell ref="G6:H6"/>
    <mergeCell ref="A6:A7"/>
    <mergeCell ref="B6:B7"/>
    <mergeCell ref="C6:C7"/>
    <mergeCell ref="D6:D7"/>
    <mergeCell ref="E6:E7"/>
    <mergeCell ref="F6:F7"/>
    <mergeCell ref="F1:H1"/>
    <mergeCell ref="F2:H2"/>
    <mergeCell ref="F3:H3"/>
    <mergeCell ref="F4:H4"/>
  </mergeCells>
  <printOptions horizontalCentered="1"/>
  <pageMargins left="0.57" right="0.43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&amp;C&amp;8Wydatki majątkowe - str.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1" sqref="A1:H26"/>
    </sheetView>
  </sheetViews>
  <sheetFormatPr defaultColWidth="9.00390625" defaultRowHeight="12.75"/>
  <cols>
    <col min="1" max="1" width="5.125" style="8" customWidth="1"/>
    <col min="2" max="2" width="7.125" style="8" customWidth="1"/>
    <col min="3" max="3" width="5.125" style="8" customWidth="1"/>
    <col min="4" max="4" width="27.875" style="8" customWidth="1"/>
    <col min="5" max="5" width="12.75390625" style="8" customWidth="1"/>
    <col min="6" max="6" width="12.125" style="61" customWidth="1"/>
    <col min="7" max="7" width="11.25390625" style="61" customWidth="1"/>
    <col min="8" max="8" width="8.25390625" style="177" customWidth="1"/>
  </cols>
  <sheetData>
    <row r="1" spans="5:8" ht="12.75">
      <c r="E1" s="67"/>
      <c r="F1" s="373" t="s">
        <v>552</v>
      </c>
      <c r="G1" s="373"/>
      <c r="H1" s="373"/>
    </row>
    <row r="2" spans="5:8" ht="12.75">
      <c r="E2" s="67"/>
      <c r="F2" s="373" t="s">
        <v>553</v>
      </c>
      <c r="G2" s="373"/>
      <c r="H2" s="373"/>
    </row>
    <row r="3" spans="5:8" ht="12.75">
      <c r="E3" s="67"/>
      <c r="F3" s="373" t="s">
        <v>545</v>
      </c>
      <c r="G3" s="373"/>
      <c r="H3" s="373"/>
    </row>
    <row r="4" spans="5:8" ht="12.75">
      <c r="E4" s="67"/>
      <c r="F4" s="373" t="s">
        <v>546</v>
      </c>
      <c r="G4" s="373"/>
      <c r="H4" s="373"/>
    </row>
    <row r="5" spans="1:7" ht="44.25" customHeight="1">
      <c r="A5" s="390" t="s">
        <v>527</v>
      </c>
      <c r="B5" s="390"/>
      <c r="C5" s="390"/>
      <c r="D5" s="390"/>
      <c r="E5" s="390"/>
      <c r="F5" s="390"/>
      <c r="G5" s="390"/>
    </row>
    <row r="6" spans="1:8" ht="18" customHeight="1">
      <c r="A6" s="331" t="s">
        <v>13</v>
      </c>
      <c r="B6" s="331" t="s">
        <v>14</v>
      </c>
      <c r="C6" s="331" t="s">
        <v>15</v>
      </c>
      <c r="D6" s="331" t="s">
        <v>411</v>
      </c>
      <c r="E6" s="391" t="s">
        <v>171</v>
      </c>
      <c r="F6" s="391" t="s">
        <v>252</v>
      </c>
      <c r="G6" s="370" t="s">
        <v>0</v>
      </c>
      <c r="H6" s="370"/>
    </row>
    <row r="7" spans="1:8" s="8" customFormat="1" ht="18" customHeight="1">
      <c r="A7" s="331"/>
      <c r="B7" s="331"/>
      <c r="C7" s="331"/>
      <c r="D7" s="331"/>
      <c r="E7" s="391"/>
      <c r="F7" s="391"/>
      <c r="G7" s="196" t="s">
        <v>1</v>
      </c>
      <c r="H7" s="2" t="s">
        <v>2</v>
      </c>
    </row>
    <row r="8" spans="1:8" s="8" customFormat="1" ht="21.75" customHeight="1">
      <c r="A8" s="2">
        <v>801</v>
      </c>
      <c r="B8" s="2"/>
      <c r="C8" s="2"/>
      <c r="D8" s="150" t="s">
        <v>134</v>
      </c>
      <c r="E8" s="148">
        <f>SUM(E9)</f>
        <v>2940</v>
      </c>
      <c r="F8" s="148">
        <f>SUM(F9,F14)</f>
        <v>4540</v>
      </c>
      <c r="G8" s="148">
        <f>SUM(G9,G14)</f>
        <v>4073.9799999999996</v>
      </c>
      <c r="H8" s="47">
        <f>G8/F8*100</f>
        <v>89.73524229074889</v>
      </c>
    </row>
    <row r="9" spans="1:8" s="24" customFormat="1" ht="21.75" customHeight="1">
      <c r="A9" s="63"/>
      <c r="B9" s="63">
        <v>80101</v>
      </c>
      <c r="C9" s="63"/>
      <c r="D9" s="62" t="s">
        <v>72</v>
      </c>
      <c r="E9" s="194">
        <f>SUM(E10:E12)</f>
        <v>2940</v>
      </c>
      <c r="F9" s="194">
        <f>SUM(F10:F13)</f>
        <v>3940</v>
      </c>
      <c r="G9" s="194">
        <f>SUM(G10:G13)</f>
        <v>3474.3199999999997</v>
      </c>
      <c r="H9" s="104">
        <f aca="true" t="shared" si="0" ref="H9:H26">G9/F9*100</f>
        <v>88.18071065989847</v>
      </c>
    </row>
    <row r="10" spans="1:8" s="24" customFormat="1" ht="27" customHeight="1">
      <c r="A10" s="63"/>
      <c r="B10" s="63"/>
      <c r="C10" s="98">
        <v>4010</v>
      </c>
      <c r="D10" s="42" t="s">
        <v>106</v>
      </c>
      <c r="E10" s="194">
        <v>2452</v>
      </c>
      <c r="F10" s="104">
        <v>2452</v>
      </c>
      <c r="G10" s="104">
        <v>2143.63</v>
      </c>
      <c r="H10" s="104">
        <f t="shared" si="0"/>
        <v>87.42373572593802</v>
      </c>
    </row>
    <row r="11" spans="1:8" s="24" customFormat="1" ht="21.75" customHeight="1">
      <c r="A11" s="63"/>
      <c r="B11" s="63"/>
      <c r="C11" s="98">
        <v>4110</v>
      </c>
      <c r="D11" s="42" t="s">
        <v>108</v>
      </c>
      <c r="E11" s="194">
        <v>428</v>
      </c>
      <c r="F11" s="104">
        <v>428</v>
      </c>
      <c r="G11" s="104">
        <v>474.28</v>
      </c>
      <c r="H11" s="104">
        <f t="shared" si="0"/>
        <v>110.81308411214951</v>
      </c>
    </row>
    <row r="12" spans="1:8" s="24" customFormat="1" ht="21.75" customHeight="1">
      <c r="A12" s="63"/>
      <c r="B12" s="63"/>
      <c r="C12" s="98">
        <v>4120</v>
      </c>
      <c r="D12" s="42" t="s">
        <v>109</v>
      </c>
      <c r="E12" s="194">
        <v>60</v>
      </c>
      <c r="F12" s="104">
        <v>60</v>
      </c>
      <c r="G12" s="104">
        <v>58.62</v>
      </c>
      <c r="H12" s="104">
        <f t="shared" si="0"/>
        <v>97.7</v>
      </c>
    </row>
    <row r="13" spans="1:8" s="24" customFormat="1" ht="21.75" customHeight="1">
      <c r="A13" s="63"/>
      <c r="B13" s="63"/>
      <c r="C13" s="98">
        <v>4210</v>
      </c>
      <c r="D13" s="42" t="s">
        <v>114</v>
      </c>
      <c r="E13" s="194">
        <v>0</v>
      </c>
      <c r="F13" s="104">
        <v>1000</v>
      </c>
      <c r="G13" s="104">
        <f>297.8+299.99+200</f>
        <v>797.79</v>
      </c>
      <c r="H13" s="104">
        <f t="shared" si="0"/>
        <v>79.779</v>
      </c>
    </row>
    <row r="14" spans="1:8" s="8" customFormat="1" ht="21.75" customHeight="1">
      <c r="A14" s="143"/>
      <c r="B14" s="143">
        <v>80110</v>
      </c>
      <c r="C14" s="98"/>
      <c r="D14" s="42" t="s">
        <v>73</v>
      </c>
      <c r="E14" s="149">
        <f>SUM(E15)</f>
        <v>0</v>
      </c>
      <c r="F14" s="149">
        <f>SUM(F15)</f>
        <v>600</v>
      </c>
      <c r="G14" s="149">
        <f>SUM(G15)</f>
        <v>599.6600000000001</v>
      </c>
      <c r="H14" s="104">
        <f t="shared" si="0"/>
        <v>99.94333333333336</v>
      </c>
    </row>
    <row r="15" spans="1:8" s="8" customFormat="1" ht="21.75" customHeight="1">
      <c r="A15" s="143"/>
      <c r="B15" s="143"/>
      <c r="C15" s="98">
        <v>4210</v>
      </c>
      <c r="D15" s="42" t="s">
        <v>114</v>
      </c>
      <c r="E15" s="149">
        <v>0</v>
      </c>
      <c r="F15" s="104">
        <v>600</v>
      </c>
      <c r="G15" s="104">
        <f>300+299.66</f>
        <v>599.6600000000001</v>
      </c>
      <c r="H15" s="104">
        <f t="shared" si="0"/>
        <v>99.94333333333336</v>
      </c>
    </row>
    <row r="16" spans="1:8" s="7" customFormat="1" ht="27" customHeight="1">
      <c r="A16" s="35" t="s">
        <v>85</v>
      </c>
      <c r="B16" s="5"/>
      <c r="C16" s="5"/>
      <c r="D16" s="19" t="s">
        <v>91</v>
      </c>
      <c r="E16" s="16">
        <f>E19</f>
        <v>45900</v>
      </c>
      <c r="F16" s="148">
        <f>SUM(F17,F19,F21,)</f>
        <v>57400</v>
      </c>
      <c r="G16" s="148">
        <f>SUM(G17,G19,G21,)</f>
        <v>25950</v>
      </c>
      <c r="H16" s="47">
        <f t="shared" si="0"/>
        <v>45.20905923344948</v>
      </c>
    </row>
    <row r="17" spans="1:8" s="24" customFormat="1" ht="27" customHeight="1">
      <c r="A17" s="83"/>
      <c r="B17" s="59">
        <v>92109</v>
      </c>
      <c r="C17" s="59"/>
      <c r="D17" s="14" t="s">
        <v>186</v>
      </c>
      <c r="E17" s="194">
        <f>SUM(E18)</f>
        <v>0</v>
      </c>
      <c r="F17" s="194">
        <f>SUM(F18)</f>
        <v>9500</v>
      </c>
      <c r="G17" s="194">
        <f>SUM(G18)</f>
        <v>1500</v>
      </c>
      <c r="H17" s="104">
        <f t="shared" si="0"/>
        <v>15.789473684210526</v>
      </c>
    </row>
    <row r="18" spans="1:8" s="24" customFormat="1" ht="27" customHeight="1">
      <c r="A18" s="83"/>
      <c r="B18" s="59"/>
      <c r="C18" s="59">
        <v>2480</v>
      </c>
      <c r="D18" s="14" t="s">
        <v>167</v>
      </c>
      <c r="E18" s="97">
        <v>0</v>
      </c>
      <c r="F18" s="97">
        <v>9500</v>
      </c>
      <c r="G18" s="97">
        <v>1500</v>
      </c>
      <c r="H18" s="104">
        <f t="shared" si="0"/>
        <v>15.789473684210526</v>
      </c>
    </row>
    <row r="19" spans="1:8" s="24" customFormat="1" ht="21.75" customHeight="1">
      <c r="A19" s="83"/>
      <c r="B19" s="83" t="s">
        <v>86</v>
      </c>
      <c r="C19" s="59"/>
      <c r="D19" s="14" t="s">
        <v>87</v>
      </c>
      <c r="E19" s="97">
        <f>E20</f>
        <v>45900</v>
      </c>
      <c r="F19" s="97">
        <f>F20</f>
        <v>45900</v>
      </c>
      <c r="G19" s="97">
        <f>G20</f>
        <v>22950</v>
      </c>
      <c r="H19" s="104">
        <f t="shared" si="0"/>
        <v>50</v>
      </c>
    </row>
    <row r="20" spans="1:8" s="24" customFormat="1" ht="27" customHeight="1">
      <c r="A20" s="83"/>
      <c r="B20" s="83"/>
      <c r="C20" s="59">
        <v>2480</v>
      </c>
      <c r="D20" s="14" t="s">
        <v>167</v>
      </c>
      <c r="E20" s="97">
        <v>45900</v>
      </c>
      <c r="F20" s="104">
        <v>45900</v>
      </c>
      <c r="G20" s="104">
        <v>22950</v>
      </c>
      <c r="H20" s="104">
        <f t="shared" si="0"/>
        <v>50</v>
      </c>
    </row>
    <row r="21" spans="1:8" s="24" customFormat="1" ht="21.75" customHeight="1">
      <c r="A21" s="83"/>
      <c r="B21" s="83">
        <v>92118</v>
      </c>
      <c r="C21" s="59"/>
      <c r="D21" s="14" t="s">
        <v>169</v>
      </c>
      <c r="E21" s="194">
        <f>SUM(E22)</f>
        <v>0</v>
      </c>
      <c r="F21" s="194">
        <f>SUM(F22)</f>
        <v>2000</v>
      </c>
      <c r="G21" s="194">
        <f>SUM(G22)</f>
        <v>1500</v>
      </c>
      <c r="H21" s="104">
        <f t="shared" si="0"/>
        <v>75</v>
      </c>
    </row>
    <row r="22" spans="1:8" s="24" customFormat="1" ht="28.5" customHeight="1">
      <c r="A22" s="83"/>
      <c r="B22" s="83"/>
      <c r="C22" s="59">
        <v>2480</v>
      </c>
      <c r="D22" s="14" t="s">
        <v>167</v>
      </c>
      <c r="E22" s="97">
        <v>0</v>
      </c>
      <c r="F22" s="104">
        <v>2000</v>
      </c>
      <c r="G22" s="104">
        <v>1500</v>
      </c>
      <c r="H22" s="104">
        <f t="shared" si="0"/>
        <v>75</v>
      </c>
    </row>
    <row r="23" spans="1:8" s="45" customFormat="1" ht="21.75" customHeight="1">
      <c r="A23" s="35">
        <v>926</v>
      </c>
      <c r="B23" s="35"/>
      <c r="C23" s="5"/>
      <c r="D23" s="40" t="s">
        <v>88</v>
      </c>
      <c r="E23" s="148">
        <f aca="true" t="shared" si="1" ref="E23:G24">SUM(E24)</f>
        <v>0</v>
      </c>
      <c r="F23" s="148">
        <f t="shared" si="1"/>
        <v>600</v>
      </c>
      <c r="G23" s="148">
        <f t="shared" si="1"/>
        <v>0</v>
      </c>
      <c r="H23" s="47">
        <f t="shared" si="0"/>
        <v>0</v>
      </c>
    </row>
    <row r="24" spans="1:8" s="24" customFormat="1" ht="27" customHeight="1">
      <c r="A24" s="83"/>
      <c r="B24" s="83">
        <v>92605</v>
      </c>
      <c r="C24" s="59"/>
      <c r="D24" s="14" t="s">
        <v>89</v>
      </c>
      <c r="E24" s="194">
        <f t="shared" si="1"/>
        <v>0</v>
      </c>
      <c r="F24" s="194">
        <f t="shared" si="1"/>
        <v>600</v>
      </c>
      <c r="G24" s="194">
        <f t="shared" si="1"/>
        <v>0</v>
      </c>
      <c r="H24" s="104">
        <f t="shared" si="0"/>
        <v>0</v>
      </c>
    </row>
    <row r="25" spans="1:8" s="24" customFormat="1" ht="21.75" customHeight="1">
      <c r="A25" s="83"/>
      <c r="B25" s="83"/>
      <c r="C25" s="59">
        <v>4210</v>
      </c>
      <c r="D25" s="42" t="s">
        <v>114</v>
      </c>
      <c r="E25" s="97">
        <v>0</v>
      </c>
      <c r="F25" s="104">
        <v>600</v>
      </c>
      <c r="G25" s="104">
        <v>0</v>
      </c>
      <c r="H25" s="104">
        <f t="shared" si="0"/>
        <v>0</v>
      </c>
    </row>
    <row r="26" spans="1:8" s="7" customFormat="1" ht="24.75" customHeight="1">
      <c r="A26" s="17"/>
      <c r="B26" s="17"/>
      <c r="C26" s="17"/>
      <c r="D26" s="5" t="s">
        <v>90</v>
      </c>
      <c r="E26" s="148">
        <f>SUM(E23,E16,E8,)</f>
        <v>48840</v>
      </c>
      <c r="F26" s="148">
        <f>SUM(F23,F16,F8,)</f>
        <v>62540</v>
      </c>
      <c r="G26" s="148">
        <f>SUM(G23,G16,G8,)</f>
        <v>30023.98</v>
      </c>
      <c r="H26" s="47">
        <f t="shared" si="0"/>
        <v>48.00764310841062</v>
      </c>
    </row>
    <row r="29" ht="12.75">
      <c r="E29" s="27"/>
    </row>
    <row r="30" ht="12.75">
      <c r="E30" s="27"/>
    </row>
    <row r="31" ht="12.75">
      <c r="E31" s="43"/>
    </row>
    <row r="32" ht="12.75">
      <c r="E32" s="27"/>
    </row>
    <row r="33" ht="12.75">
      <c r="E33" s="27"/>
    </row>
  </sheetData>
  <mergeCells count="12">
    <mergeCell ref="A5:G5"/>
    <mergeCell ref="A6:A7"/>
    <mergeCell ref="B6:B7"/>
    <mergeCell ref="C6:C7"/>
    <mergeCell ref="D6:D7"/>
    <mergeCell ref="E6:E7"/>
    <mergeCell ref="F6:F7"/>
    <mergeCell ref="G6:H6"/>
    <mergeCell ref="F1:H1"/>
    <mergeCell ref="F2:H2"/>
    <mergeCell ref="F3:H3"/>
    <mergeCell ref="F4:H4"/>
  </mergeCells>
  <printOptions horizontalCentered="1"/>
  <pageMargins left="0.57" right="0.7874015748031497" top="0.7874015748031497" bottom="0.7874015748031497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2">
      <selection activeCell="A1" sqref="A1:G33"/>
    </sheetView>
  </sheetViews>
  <sheetFormatPr defaultColWidth="9.00390625" defaultRowHeight="12.75"/>
  <cols>
    <col min="1" max="1" width="7.25390625" style="8" customWidth="1"/>
    <col min="2" max="2" width="8.00390625" style="8" customWidth="1"/>
    <col min="3" max="3" width="6.375" style="8" customWidth="1"/>
    <col min="4" max="4" width="29.125" style="8" customWidth="1"/>
    <col min="5" max="5" width="13.125" style="8" customWidth="1"/>
    <col min="6" max="6" width="11.875" style="8" customWidth="1"/>
    <col min="7" max="7" width="6.75390625" style="177" customWidth="1"/>
  </cols>
  <sheetData>
    <row r="1" spans="5:7" ht="12.75">
      <c r="E1" s="373" t="s">
        <v>559</v>
      </c>
      <c r="F1" s="373"/>
      <c r="G1" s="373"/>
    </row>
    <row r="2" spans="5:7" ht="12.75">
      <c r="E2" s="373" t="s">
        <v>544</v>
      </c>
      <c r="F2" s="373"/>
      <c r="G2" s="373"/>
    </row>
    <row r="3" spans="5:7" ht="12.75">
      <c r="E3" s="373" t="s">
        <v>545</v>
      </c>
      <c r="F3" s="373"/>
      <c r="G3" s="373"/>
    </row>
    <row r="4" spans="5:7" ht="12.75">
      <c r="E4" s="373" t="s">
        <v>546</v>
      </c>
      <c r="F4" s="373"/>
      <c r="G4" s="373"/>
    </row>
    <row r="5" spans="1:6" ht="30" customHeight="1">
      <c r="A5" s="394" t="s">
        <v>530</v>
      </c>
      <c r="B5" s="394"/>
      <c r="C5" s="394"/>
      <c r="D5" s="394"/>
      <c r="E5" s="394"/>
      <c r="F5"/>
    </row>
    <row r="6" spans="1:6" ht="19.5" customHeight="1">
      <c r="A6" s="166"/>
      <c r="B6" s="166"/>
      <c r="C6" s="166"/>
      <c r="D6" s="166"/>
      <c r="E6" s="166"/>
      <c r="F6"/>
    </row>
    <row r="7" spans="1:7" ht="32.25" customHeight="1">
      <c r="A7" s="392" t="s">
        <v>327</v>
      </c>
      <c r="B7" s="392"/>
      <c r="C7" s="392"/>
      <c r="D7" s="392"/>
      <c r="E7" s="392"/>
      <c r="F7" s="392"/>
      <c r="G7" s="392"/>
    </row>
    <row r="8" spans="1:7" ht="24.75" customHeight="1">
      <c r="A8" s="12" t="s">
        <v>13</v>
      </c>
      <c r="B8" s="12" t="s">
        <v>14</v>
      </c>
      <c r="C8" s="12" t="s">
        <v>15</v>
      </c>
      <c r="D8" s="12" t="s">
        <v>16</v>
      </c>
      <c r="E8" s="167" t="s">
        <v>171</v>
      </c>
      <c r="F8" s="167" t="s">
        <v>0</v>
      </c>
      <c r="G8" s="181" t="s">
        <v>2</v>
      </c>
    </row>
    <row r="9" spans="1:7" s="8" customFormat="1" ht="27.75" customHeight="1">
      <c r="A9" s="35" t="s">
        <v>152</v>
      </c>
      <c r="B9" s="6"/>
      <c r="C9" s="5"/>
      <c r="D9" s="19" t="s">
        <v>83</v>
      </c>
      <c r="E9" s="16">
        <f>SUM(E10)</f>
        <v>90000</v>
      </c>
      <c r="F9" s="16">
        <f>SUM(F10)</f>
        <v>63117.41</v>
      </c>
      <c r="G9" s="34">
        <f>F9/E9*100</f>
        <v>70.13045555555556</v>
      </c>
    </row>
    <row r="10" spans="1:7" s="8" customFormat="1" ht="30" customHeight="1">
      <c r="A10" s="3"/>
      <c r="B10" s="168">
        <v>90011</v>
      </c>
      <c r="C10" s="4"/>
      <c r="D10" s="169" t="s">
        <v>328</v>
      </c>
      <c r="E10" s="162">
        <f>SUM(E11:E12)</f>
        <v>90000</v>
      </c>
      <c r="F10" s="162">
        <f>SUM(F11:F12)</f>
        <v>63117.41</v>
      </c>
      <c r="G10" s="9">
        <f>F10/E10*100</f>
        <v>70.13045555555556</v>
      </c>
    </row>
    <row r="11" spans="1:7" s="28" customFormat="1" ht="21.75" customHeight="1">
      <c r="A11" s="111"/>
      <c r="B11" s="51"/>
      <c r="C11" s="52"/>
      <c r="D11" s="57" t="s">
        <v>329</v>
      </c>
      <c r="E11" s="58">
        <v>0</v>
      </c>
      <c r="F11" s="58">
        <v>1572</v>
      </c>
      <c r="G11" s="171">
        <v>0</v>
      </c>
    </row>
    <row r="12" spans="1:7" s="8" customFormat="1" ht="21.75" customHeight="1">
      <c r="A12" s="3"/>
      <c r="B12" s="168"/>
      <c r="C12" s="172" t="s">
        <v>224</v>
      </c>
      <c r="D12" s="169" t="s">
        <v>178</v>
      </c>
      <c r="E12" s="162">
        <v>90000</v>
      </c>
      <c r="F12" s="162">
        <v>61545.41</v>
      </c>
      <c r="G12" s="9">
        <f>F12/E12*100</f>
        <v>68.3837888888889</v>
      </c>
    </row>
    <row r="13" spans="1:7" ht="22.5" customHeight="1">
      <c r="A13" s="173"/>
      <c r="B13" s="17"/>
      <c r="C13" s="17"/>
      <c r="D13" s="12" t="s">
        <v>90</v>
      </c>
      <c r="E13" s="16">
        <f>SUM(E9)</f>
        <v>90000</v>
      </c>
      <c r="F13" s="16">
        <f>SUM(F9)</f>
        <v>63117.41</v>
      </c>
      <c r="G13" s="34">
        <f>F13/E13*100</f>
        <v>70.13045555555556</v>
      </c>
    </row>
    <row r="14" ht="18.75" customHeight="1"/>
    <row r="15" spans="1:7" ht="28.5" customHeight="1">
      <c r="A15" s="393" t="s">
        <v>569</v>
      </c>
      <c r="B15" s="393"/>
      <c r="C15" s="393"/>
      <c r="D15" s="393"/>
      <c r="E15" s="393"/>
      <c r="F15" s="393"/>
      <c r="G15" s="393"/>
    </row>
    <row r="16" spans="1:7" ht="24.75" customHeight="1">
      <c r="A16" s="12" t="s">
        <v>13</v>
      </c>
      <c r="B16" s="12" t="s">
        <v>14</v>
      </c>
      <c r="C16" s="12" t="s">
        <v>15</v>
      </c>
      <c r="D16" s="12" t="s">
        <v>16</v>
      </c>
      <c r="E16" s="167" t="s">
        <v>171</v>
      </c>
      <c r="F16" s="167" t="s">
        <v>531</v>
      </c>
      <c r="G16" s="181" t="s">
        <v>2</v>
      </c>
    </row>
    <row r="17" spans="1:7" s="8" customFormat="1" ht="29.25" customHeight="1">
      <c r="A17" s="35" t="s">
        <v>152</v>
      </c>
      <c r="B17" s="6"/>
      <c r="C17" s="5"/>
      <c r="D17" s="19" t="s">
        <v>83</v>
      </c>
      <c r="E17" s="16">
        <f>SUM(E18)</f>
        <v>90000</v>
      </c>
      <c r="F17" s="16">
        <f>SUM(F18)</f>
        <v>61553.10999999999</v>
      </c>
      <c r="G17" s="34">
        <f>F17/E17*100</f>
        <v>68.39234444444445</v>
      </c>
    </row>
    <row r="18" spans="1:7" s="8" customFormat="1" ht="29.25" customHeight="1">
      <c r="A18" s="3"/>
      <c r="B18" s="168">
        <v>90011</v>
      </c>
      <c r="C18" s="4"/>
      <c r="D18" s="169" t="s">
        <v>328</v>
      </c>
      <c r="E18" s="162">
        <f>SUM(E19,E24)</f>
        <v>90000</v>
      </c>
      <c r="F18" s="162">
        <f>SUM(F19,F24)</f>
        <v>61553.10999999999</v>
      </c>
      <c r="G18" s="9">
        <f aca="true" t="shared" si="0" ref="G18:G32">F18/E18*100</f>
        <v>68.39234444444445</v>
      </c>
    </row>
    <row r="19" spans="1:7" s="8" customFormat="1" ht="21.75" customHeight="1">
      <c r="A19" s="3"/>
      <c r="B19" s="168"/>
      <c r="C19" s="4">
        <v>4210</v>
      </c>
      <c r="D19" s="169" t="s">
        <v>94</v>
      </c>
      <c r="E19" s="162">
        <f>SUM(E20:E23)</f>
        <v>8500</v>
      </c>
      <c r="F19" s="162">
        <f>SUM(F20:F23)</f>
        <v>1782.31</v>
      </c>
      <c r="G19" s="9">
        <f t="shared" si="0"/>
        <v>20.96835294117647</v>
      </c>
    </row>
    <row r="20" spans="1:7" s="28" customFormat="1" ht="21.75" customHeight="1">
      <c r="A20" s="111"/>
      <c r="B20" s="51"/>
      <c r="C20" s="329"/>
      <c r="D20" s="57" t="s">
        <v>330</v>
      </c>
      <c r="E20" s="58">
        <v>2000</v>
      </c>
      <c r="F20" s="58">
        <v>0</v>
      </c>
      <c r="G20" s="171">
        <f t="shared" si="0"/>
        <v>0</v>
      </c>
    </row>
    <row r="21" spans="1:7" s="28" customFormat="1" ht="21.75" customHeight="1">
      <c r="A21" s="111"/>
      <c r="B21" s="51"/>
      <c r="C21" s="329"/>
      <c r="D21" s="57" t="s">
        <v>331</v>
      </c>
      <c r="E21" s="58">
        <v>2000</v>
      </c>
      <c r="F21" s="58">
        <v>0</v>
      </c>
      <c r="G21" s="171">
        <f t="shared" si="0"/>
        <v>0</v>
      </c>
    </row>
    <row r="22" spans="1:7" s="28" customFormat="1" ht="21.75" customHeight="1">
      <c r="A22" s="111"/>
      <c r="B22" s="51"/>
      <c r="C22" s="329"/>
      <c r="D22" s="57" t="s">
        <v>332</v>
      </c>
      <c r="E22" s="58">
        <v>2500</v>
      </c>
      <c r="F22" s="58">
        <v>0</v>
      </c>
      <c r="G22" s="171">
        <f t="shared" si="0"/>
        <v>0</v>
      </c>
    </row>
    <row r="23" spans="1:7" s="28" customFormat="1" ht="21.75" customHeight="1">
      <c r="A23" s="111"/>
      <c r="B23" s="51"/>
      <c r="C23" s="329"/>
      <c r="D23" s="57" t="s">
        <v>333</v>
      </c>
      <c r="E23" s="58">
        <v>2000</v>
      </c>
      <c r="F23" s="58">
        <v>1782.31</v>
      </c>
      <c r="G23" s="171">
        <f t="shared" si="0"/>
        <v>89.1155</v>
      </c>
    </row>
    <row r="24" spans="1:9" s="8" customFormat="1" ht="21.75" customHeight="1">
      <c r="A24" s="3"/>
      <c r="B24" s="168"/>
      <c r="C24" s="172">
        <v>4300</v>
      </c>
      <c r="D24" s="169" t="s">
        <v>101</v>
      </c>
      <c r="E24" s="162">
        <f>SUM(E25:E31)</f>
        <v>81500</v>
      </c>
      <c r="F24" s="162">
        <f>SUM(F25:F31)</f>
        <v>59770.799999999996</v>
      </c>
      <c r="G24" s="9">
        <f t="shared" si="0"/>
        <v>73.33840490797544</v>
      </c>
      <c r="I24" s="8">
        <v>59770.8</v>
      </c>
    </row>
    <row r="25" spans="1:9" s="28" customFormat="1" ht="21.75" customHeight="1">
      <c r="A25" s="111"/>
      <c r="B25" s="51"/>
      <c r="C25" s="329"/>
      <c r="D25" s="57" t="s">
        <v>334</v>
      </c>
      <c r="E25" s="58">
        <v>60300</v>
      </c>
      <c r="F25" s="58">
        <f>54397.46</f>
        <v>54397.46</v>
      </c>
      <c r="G25" s="171">
        <f t="shared" si="0"/>
        <v>90.21137645107794</v>
      </c>
      <c r="I25" s="330">
        <f>SUM(I24-F25)</f>
        <v>5373.340000000004</v>
      </c>
    </row>
    <row r="26" spans="1:7" s="28" customFormat="1" ht="21.75" customHeight="1" hidden="1">
      <c r="A26" s="111"/>
      <c r="B26" s="51"/>
      <c r="C26" s="329"/>
      <c r="D26" s="57" t="s">
        <v>335</v>
      </c>
      <c r="E26" s="58">
        <v>0</v>
      </c>
      <c r="F26" s="58"/>
      <c r="G26" s="171" t="e">
        <f t="shared" si="0"/>
        <v>#DIV/0!</v>
      </c>
    </row>
    <row r="27" spans="1:7" s="28" customFormat="1" ht="21.75" customHeight="1" hidden="1">
      <c r="A27" s="111"/>
      <c r="B27" s="51"/>
      <c r="C27" s="329"/>
      <c r="D27" s="57" t="s">
        <v>336</v>
      </c>
      <c r="E27" s="58">
        <v>0</v>
      </c>
      <c r="F27" s="58"/>
      <c r="G27" s="171" t="e">
        <f t="shared" si="0"/>
        <v>#DIV/0!</v>
      </c>
    </row>
    <row r="28" spans="1:7" s="28" customFormat="1" ht="21.75" customHeight="1">
      <c r="A28" s="111"/>
      <c r="B28" s="51"/>
      <c r="C28" s="329"/>
      <c r="D28" s="57" t="s">
        <v>337</v>
      </c>
      <c r="E28" s="58">
        <v>6000</v>
      </c>
      <c r="F28" s="58">
        <f>868.75+301.63+299+1760</f>
        <v>3229.38</v>
      </c>
      <c r="G28" s="171">
        <f t="shared" si="0"/>
        <v>53.823</v>
      </c>
    </row>
    <row r="29" spans="1:7" s="28" customFormat="1" ht="21.75" customHeight="1">
      <c r="A29" s="111"/>
      <c r="B29" s="51"/>
      <c r="C29" s="329"/>
      <c r="D29" s="57" t="s">
        <v>338</v>
      </c>
      <c r="E29" s="58">
        <v>5000</v>
      </c>
      <c r="F29" s="58">
        <v>2143.96</v>
      </c>
      <c r="G29" s="171">
        <f t="shared" si="0"/>
        <v>42.8792</v>
      </c>
    </row>
    <row r="30" spans="1:7" s="28" customFormat="1" ht="24.75" customHeight="1">
      <c r="A30" s="111"/>
      <c r="B30" s="52"/>
      <c r="C30" s="52"/>
      <c r="D30" s="57" t="s">
        <v>339</v>
      </c>
      <c r="E30" s="58">
        <v>10000</v>
      </c>
      <c r="F30" s="58">
        <v>0</v>
      </c>
      <c r="G30" s="171">
        <f t="shared" si="0"/>
        <v>0</v>
      </c>
    </row>
    <row r="31" spans="1:7" s="28" customFormat="1" ht="19.5" customHeight="1">
      <c r="A31" s="111"/>
      <c r="B31" s="52"/>
      <c r="C31" s="52"/>
      <c r="D31" s="57" t="s">
        <v>340</v>
      </c>
      <c r="E31" s="58">
        <v>200</v>
      </c>
      <c r="F31" s="58">
        <v>0</v>
      </c>
      <c r="G31" s="171">
        <f t="shared" si="0"/>
        <v>0</v>
      </c>
    </row>
    <row r="32" spans="1:7" ht="21.75" customHeight="1">
      <c r="A32" s="173"/>
      <c r="B32" s="17"/>
      <c r="C32" s="4"/>
      <c r="D32" s="12" t="s">
        <v>90</v>
      </c>
      <c r="E32" s="16">
        <f>SUM(E18)</f>
        <v>90000</v>
      </c>
      <c r="F32" s="16">
        <f>SUM(F18)</f>
        <v>61553.10999999999</v>
      </c>
      <c r="G32" s="34">
        <f t="shared" si="0"/>
        <v>68.39234444444445</v>
      </c>
    </row>
    <row r="33" spans="1:7" ht="21.75" customHeight="1">
      <c r="A33" s="174"/>
      <c r="B33" s="175"/>
      <c r="C33" s="170"/>
      <c r="D33" s="176" t="s">
        <v>341</v>
      </c>
      <c r="E33" s="16">
        <f>SUM(E13-E32)</f>
        <v>0</v>
      </c>
      <c r="F33" s="16">
        <f>SUM(F13-F32)</f>
        <v>1564.3000000000102</v>
      </c>
      <c r="G33" s="34">
        <v>0</v>
      </c>
    </row>
  </sheetData>
  <mergeCells count="7">
    <mergeCell ref="A7:G7"/>
    <mergeCell ref="A15:G15"/>
    <mergeCell ref="A5:E5"/>
    <mergeCell ref="E1:G1"/>
    <mergeCell ref="E2:G2"/>
    <mergeCell ref="E3:G3"/>
    <mergeCell ref="E4:G4"/>
  </mergeCells>
  <printOptions horizontalCentered="1"/>
  <pageMargins left="0.74" right="0.64" top="0.7874015748031497" bottom="0.7874015748031497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:H65"/>
    </sheetView>
  </sheetViews>
  <sheetFormatPr defaultColWidth="9.00390625" defaultRowHeight="12.75"/>
  <cols>
    <col min="1" max="1" width="5.375" style="8" customWidth="1"/>
    <col min="2" max="2" width="7.25390625" style="8" bestFit="1" customWidth="1"/>
    <col min="3" max="3" width="5.00390625" style="8" customWidth="1"/>
    <col min="4" max="4" width="31.375" style="8" customWidth="1"/>
    <col min="5" max="6" width="12.625" style="0" customWidth="1"/>
    <col min="7" max="7" width="13.25390625" style="0" customWidth="1"/>
    <col min="8" max="8" width="6.375" style="0" customWidth="1"/>
  </cols>
  <sheetData>
    <row r="1" spans="5:8" ht="12.75">
      <c r="E1" s="118"/>
      <c r="F1" s="373" t="s">
        <v>554</v>
      </c>
      <c r="G1" s="373"/>
      <c r="H1" s="373"/>
    </row>
    <row r="2" spans="5:8" ht="12.75">
      <c r="E2" s="118"/>
      <c r="F2" s="373" t="s">
        <v>544</v>
      </c>
      <c r="G2" s="373"/>
      <c r="H2" s="373"/>
    </row>
    <row r="3" spans="5:8" ht="12.75">
      <c r="E3" s="118"/>
      <c r="F3" s="373" t="s">
        <v>545</v>
      </c>
      <c r="G3" s="373"/>
      <c r="H3" s="373"/>
    </row>
    <row r="4" spans="5:8" ht="12.75">
      <c r="E4" s="118"/>
      <c r="F4" s="373" t="s">
        <v>555</v>
      </c>
      <c r="G4" s="373"/>
      <c r="H4" s="373"/>
    </row>
    <row r="5" spans="1:8" ht="37.5" customHeight="1">
      <c r="A5" s="402" t="s">
        <v>536</v>
      </c>
      <c r="B5" s="402"/>
      <c r="C5" s="402"/>
      <c r="D5" s="402"/>
      <c r="E5" s="402"/>
      <c r="F5" s="402"/>
      <c r="G5" s="402"/>
      <c r="H5" s="402"/>
    </row>
    <row r="6" spans="1:4" ht="14.25" customHeight="1">
      <c r="A6" s="132"/>
      <c r="B6" s="132"/>
      <c r="C6" s="132"/>
      <c r="D6" s="132"/>
    </row>
    <row r="7" spans="1:8" ht="20.25" customHeight="1">
      <c r="A7" s="395" t="s">
        <v>564</v>
      </c>
      <c r="B7" s="395"/>
      <c r="C7" s="395"/>
      <c r="D7" s="395"/>
      <c r="E7" s="395"/>
      <c r="F7" s="395"/>
      <c r="G7" s="395"/>
      <c r="H7" s="395"/>
    </row>
    <row r="8" spans="1:8" ht="18" customHeight="1">
      <c r="A8" s="398" t="s">
        <v>13</v>
      </c>
      <c r="B8" s="398" t="s">
        <v>14</v>
      </c>
      <c r="C8" s="398" t="s">
        <v>15</v>
      </c>
      <c r="D8" s="398" t="s">
        <v>16</v>
      </c>
      <c r="E8" s="383" t="s">
        <v>172</v>
      </c>
      <c r="F8" s="383" t="s">
        <v>538</v>
      </c>
      <c r="G8" s="384" t="s">
        <v>0</v>
      </c>
      <c r="H8" s="384"/>
    </row>
    <row r="9" spans="1:8" s="133" customFormat="1" ht="18" customHeight="1">
      <c r="A9" s="399"/>
      <c r="B9" s="399"/>
      <c r="C9" s="399"/>
      <c r="D9" s="399"/>
      <c r="E9" s="383"/>
      <c r="F9" s="383"/>
      <c r="G9" s="119" t="s">
        <v>1</v>
      </c>
      <c r="H9" s="2" t="s">
        <v>2</v>
      </c>
    </row>
    <row r="10" spans="1:8" s="25" customFormat="1" ht="48">
      <c r="A10" s="2">
        <v>756</v>
      </c>
      <c r="B10" s="2"/>
      <c r="C10" s="2"/>
      <c r="D10" s="49" t="s">
        <v>44</v>
      </c>
      <c r="E10" s="34">
        <f>SUM(E11)</f>
        <v>290000</v>
      </c>
      <c r="F10" s="295">
        <f>SUM(E10:E10)</f>
        <v>290000</v>
      </c>
      <c r="G10" s="34">
        <f>SUM(G11)</f>
        <v>233089.06</v>
      </c>
      <c r="H10" s="34">
        <f>G10/F10*100</f>
        <v>80.37553793103449</v>
      </c>
    </row>
    <row r="11" spans="1:8" s="137" customFormat="1" ht="33.75">
      <c r="A11" s="63"/>
      <c r="B11" s="59">
        <v>75618</v>
      </c>
      <c r="C11" s="63"/>
      <c r="D11" s="50" t="s">
        <v>179</v>
      </c>
      <c r="E11" s="124">
        <f>SUM(E12)</f>
        <v>290000</v>
      </c>
      <c r="F11" s="296">
        <f>SUM(E11:E11)</f>
        <v>290000</v>
      </c>
      <c r="G11" s="124">
        <f>SUM(G12)</f>
        <v>233089.06</v>
      </c>
      <c r="H11" s="124">
        <f>G11/F11*100</f>
        <v>80.37553793103449</v>
      </c>
    </row>
    <row r="12" spans="1:8" s="137" customFormat="1" ht="27" customHeight="1">
      <c r="A12" s="63"/>
      <c r="B12" s="63"/>
      <c r="C12" s="138" t="s">
        <v>218</v>
      </c>
      <c r="D12" s="50" t="s">
        <v>76</v>
      </c>
      <c r="E12" s="124">
        <v>290000</v>
      </c>
      <c r="F12" s="296">
        <f>SUM(E12:E12)</f>
        <v>290000</v>
      </c>
      <c r="G12" s="124">
        <v>233089.06</v>
      </c>
      <c r="H12" s="124">
        <f>G12/F12*100</f>
        <v>80.37553793103449</v>
      </c>
    </row>
    <row r="13" spans="1:8" s="1" customFormat="1" ht="21" customHeight="1">
      <c r="A13" s="48"/>
      <c r="B13" s="48"/>
      <c r="C13" s="48"/>
      <c r="D13" s="2" t="s">
        <v>90</v>
      </c>
      <c r="E13" s="34">
        <f>SUM(E10)</f>
        <v>290000</v>
      </c>
      <c r="F13" s="295">
        <f>SUM(E13:E13)</f>
        <v>290000</v>
      </c>
      <c r="G13" s="34">
        <f>SUM(G10)</f>
        <v>233089.06</v>
      </c>
      <c r="H13" s="34">
        <f>G13/F13*100</f>
        <v>80.37553793103449</v>
      </c>
    </row>
    <row r="14" spans="1:7" s="1" customFormat="1" ht="22.5" customHeight="1">
      <c r="A14" s="134"/>
      <c r="B14" s="134"/>
      <c r="C14" s="134"/>
      <c r="D14" s="135"/>
      <c r="E14" s="136"/>
      <c r="F14" s="136"/>
      <c r="G14" s="136"/>
    </row>
    <row r="15" spans="1:8" ht="30.75" customHeight="1">
      <c r="A15" s="395" t="s">
        <v>563</v>
      </c>
      <c r="B15" s="395"/>
      <c r="C15" s="395"/>
      <c r="D15" s="395"/>
      <c r="E15" s="395"/>
      <c r="F15" s="395"/>
      <c r="G15" s="395"/>
      <c r="H15" s="395"/>
    </row>
    <row r="16" spans="1:8" ht="18" customHeight="1">
      <c r="A16" s="398" t="s">
        <v>13</v>
      </c>
      <c r="B16" s="398" t="s">
        <v>14</v>
      </c>
      <c r="C16" s="398" t="s">
        <v>15</v>
      </c>
      <c r="D16" s="400" t="s">
        <v>16</v>
      </c>
      <c r="E16" s="383" t="s">
        <v>172</v>
      </c>
      <c r="F16" s="383" t="s">
        <v>538</v>
      </c>
      <c r="G16" s="396" t="s">
        <v>0</v>
      </c>
      <c r="H16" s="397"/>
    </row>
    <row r="17" spans="1:8" s="140" customFormat="1" ht="18" customHeight="1">
      <c r="A17" s="399"/>
      <c r="B17" s="399"/>
      <c r="C17" s="399"/>
      <c r="D17" s="401"/>
      <c r="E17" s="383"/>
      <c r="F17" s="383"/>
      <c r="G17" s="119" t="s">
        <v>1</v>
      </c>
      <c r="H17" s="297" t="s">
        <v>2</v>
      </c>
    </row>
    <row r="18" spans="1:8" s="140" customFormat="1" ht="21.75" customHeight="1">
      <c r="A18" s="2">
        <v>750</v>
      </c>
      <c r="B18" s="2"/>
      <c r="C18" s="2"/>
      <c r="D18" s="150" t="s">
        <v>32</v>
      </c>
      <c r="E18" s="148">
        <f aca="true" t="shared" si="0" ref="E18:G19">SUM(E19)</f>
        <v>0</v>
      </c>
      <c r="F18" s="148">
        <f t="shared" si="0"/>
        <v>3542</v>
      </c>
      <c r="G18" s="148">
        <f t="shared" si="0"/>
        <v>0</v>
      </c>
      <c r="H18" s="47">
        <f>G18/F18*100</f>
        <v>0</v>
      </c>
    </row>
    <row r="19" spans="1:8" s="210" customFormat="1" ht="27" customHeight="1">
      <c r="A19" s="63"/>
      <c r="B19" s="63">
        <v>75023</v>
      </c>
      <c r="C19" s="63"/>
      <c r="D19" s="42" t="s">
        <v>35</v>
      </c>
      <c r="E19" s="194">
        <f t="shared" si="0"/>
        <v>0</v>
      </c>
      <c r="F19" s="194">
        <f t="shared" si="0"/>
        <v>3542</v>
      </c>
      <c r="G19" s="194">
        <f t="shared" si="0"/>
        <v>0</v>
      </c>
      <c r="H19" s="104">
        <f aca="true" t="shared" si="1" ref="H19:H65">G19/F19*100</f>
        <v>0</v>
      </c>
    </row>
    <row r="20" spans="1:8" s="210" customFormat="1" ht="21.75" customHeight="1">
      <c r="A20" s="63"/>
      <c r="B20" s="63"/>
      <c r="C20" s="63">
        <v>4010</v>
      </c>
      <c r="D20" s="42" t="s">
        <v>106</v>
      </c>
      <c r="E20" s="195">
        <v>0</v>
      </c>
      <c r="F20" s="195">
        <v>3542</v>
      </c>
      <c r="G20" s="195">
        <v>0</v>
      </c>
      <c r="H20" s="104">
        <f t="shared" si="1"/>
        <v>0</v>
      </c>
    </row>
    <row r="21" spans="1:8" s="144" customFormat="1" ht="21.75" customHeight="1">
      <c r="A21" s="2">
        <v>851</v>
      </c>
      <c r="B21" s="2"/>
      <c r="C21" s="2"/>
      <c r="D21" s="145" t="s">
        <v>280</v>
      </c>
      <c r="E21" s="146">
        <f>E24+E22</f>
        <v>118720</v>
      </c>
      <c r="F21" s="146">
        <f>F24+F22</f>
        <v>118720</v>
      </c>
      <c r="G21" s="146">
        <f>G24+G22</f>
        <v>32487.030000000006</v>
      </c>
      <c r="H21" s="47">
        <f t="shared" si="1"/>
        <v>27.364412061994614</v>
      </c>
    </row>
    <row r="22" spans="1:8" s="298" customFormat="1" ht="21.75" customHeight="1">
      <c r="A22" s="178"/>
      <c r="B22" s="63">
        <v>85153</v>
      </c>
      <c r="C22" s="178"/>
      <c r="D22" s="62" t="s">
        <v>285</v>
      </c>
      <c r="E22" s="195">
        <f>SUM(E23:E23)</f>
        <v>20000</v>
      </c>
      <c r="F22" s="195">
        <f>SUM(F23:F23)</f>
        <v>20000</v>
      </c>
      <c r="G22" s="195">
        <f>SUM(G23:G23)</f>
        <v>0</v>
      </c>
      <c r="H22" s="104">
        <f t="shared" si="1"/>
        <v>0</v>
      </c>
    </row>
    <row r="23" spans="1:8" s="298" customFormat="1" ht="27" customHeight="1">
      <c r="A23" s="178"/>
      <c r="B23" s="178"/>
      <c r="C23" s="59">
        <v>6060</v>
      </c>
      <c r="D23" s="42" t="s">
        <v>118</v>
      </c>
      <c r="E23" s="195">
        <v>20000</v>
      </c>
      <c r="F23" s="195">
        <f>SUM(E23:E23)</f>
        <v>20000</v>
      </c>
      <c r="G23" s="195">
        <v>0</v>
      </c>
      <c r="H23" s="104">
        <f t="shared" si="1"/>
        <v>0</v>
      </c>
    </row>
    <row r="24" spans="1:8" s="24" customFormat="1" ht="21.75" customHeight="1">
      <c r="A24" s="83"/>
      <c r="B24" s="83" t="s">
        <v>143</v>
      </c>
      <c r="C24" s="59"/>
      <c r="D24" s="14" t="s">
        <v>75</v>
      </c>
      <c r="E24" s="97">
        <f>SUM(E25:E34)</f>
        <v>98720</v>
      </c>
      <c r="F24" s="195">
        <f>SUM(F25:F34)</f>
        <v>98720</v>
      </c>
      <c r="G24" s="195">
        <f>SUM(G25:G34)</f>
        <v>32487.030000000006</v>
      </c>
      <c r="H24" s="104">
        <f t="shared" si="1"/>
        <v>32.90825567260941</v>
      </c>
    </row>
    <row r="25" spans="1:8" s="24" customFormat="1" ht="33.75">
      <c r="A25" s="83"/>
      <c r="B25" s="83"/>
      <c r="C25" s="59">
        <v>2630</v>
      </c>
      <c r="D25" s="14" t="s">
        <v>296</v>
      </c>
      <c r="E25" s="97">
        <f>10000+16000+40000</f>
        <v>66000</v>
      </c>
      <c r="F25" s="195">
        <v>0</v>
      </c>
      <c r="G25" s="97">
        <v>0</v>
      </c>
      <c r="H25" s="104">
        <v>0</v>
      </c>
    </row>
    <row r="26" spans="1:8" s="24" customFormat="1" ht="45">
      <c r="A26" s="83"/>
      <c r="B26" s="83"/>
      <c r="C26" s="59">
        <v>2710</v>
      </c>
      <c r="D26" s="42" t="s">
        <v>437</v>
      </c>
      <c r="E26" s="97">
        <v>0</v>
      </c>
      <c r="F26" s="195">
        <v>11551</v>
      </c>
      <c r="G26" s="97">
        <v>0</v>
      </c>
      <c r="H26" s="104">
        <f t="shared" si="1"/>
        <v>0</v>
      </c>
    </row>
    <row r="27" spans="1:8" s="24" customFormat="1" ht="33.75">
      <c r="A27" s="83"/>
      <c r="B27" s="83"/>
      <c r="C27" s="98">
        <v>2820</v>
      </c>
      <c r="D27" s="42" t="s">
        <v>406</v>
      </c>
      <c r="E27" s="97">
        <v>0</v>
      </c>
      <c r="F27" s="195">
        <v>7953</v>
      </c>
      <c r="G27" s="97">
        <v>1988.25</v>
      </c>
      <c r="H27" s="104">
        <f t="shared" si="1"/>
        <v>25</v>
      </c>
    </row>
    <row r="28" spans="1:8" s="24" customFormat="1" ht="56.25">
      <c r="A28" s="83"/>
      <c r="B28" s="83"/>
      <c r="C28" s="98">
        <v>2830</v>
      </c>
      <c r="D28" s="42" t="s">
        <v>405</v>
      </c>
      <c r="E28" s="97">
        <v>0</v>
      </c>
      <c r="F28" s="195">
        <v>39147</v>
      </c>
      <c r="G28" s="97">
        <v>19573.5</v>
      </c>
      <c r="H28" s="104">
        <f t="shared" si="1"/>
        <v>50</v>
      </c>
    </row>
    <row r="29" spans="1:8" s="24" customFormat="1" ht="21.75" customHeight="1">
      <c r="A29" s="83"/>
      <c r="B29" s="83"/>
      <c r="C29" s="98">
        <v>4110</v>
      </c>
      <c r="D29" s="42" t="s">
        <v>108</v>
      </c>
      <c r="E29" s="97">
        <v>0</v>
      </c>
      <c r="F29" s="195">
        <v>338</v>
      </c>
      <c r="G29" s="97">
        <v>0</v>
      </c>
      <c r="H29" s="104">
        <f t="shared" si="1"/>
        <v>0</v>
      </c>
    </row>
    <row r="30" spans="1:8" s="24" customFormat="1" ht="21.75" customHeight="1">
      <c r="A30" s="83"/>
      <c r="B30" s="59"/>
      <c r="C30" s="59">
        <v>4170</v>
      </c>
      <c r="D30" s="14" t="s">
        <v>236</v>
      </c>
      <c r="E30" s="104">
        <v>16000</v>
      </c>
      <c r="F30" s="195">
        <v>21616</v>
      </c>
      <c r="G30" s="104">
        <v>7114.88</v>
      </c>
      <c r="H30" s="104">
        <f t="shared" si="1"/>
        <v>32.914877868245746</v>
      </c>
    </row>
    <row r="31" spans="1:8" s="24" customFormat="1" ht="21.75" customHeight="1">
      <c r="A31" s="83"/>
      <c r="B31" s="59"/>
      <c r="C31" s="59">
        <v>4210</v>
      </c>
      <c r="D31" s="14" t="s">
        <v>114</v>
      </c>
      <c r="E31" s="104">
        <v>0</v>
      </c>
      <c r="F31" s="195">
        <v>3293</v>
      </c>
      <c r="G31" s="104">
        <v>2996.24</v>
      </c>
      <c r="H31" s="104">
        <f t="shared" si="1"/>
        <v>90.98815669602186</v>
      </c>
    </row>
    <row r="32" spans="1:8" s="24" customFormat="1" ht="21.75" customHeight="1">
      <c r="A32" s="83"/>
      <c r="B32" s="59"/>
      <c r="C32" s="59">
        <v>4300</v>
      </c>
      <c r="D32" s="14" t="s">
        <v>101</v>
      </c>
      <c r="E32" s="104">
        <f>10000+11000+4000+16000+860+40000+860-10000-16000-40000</f>
        <v>16720</v>
      </c>
      <c r="F32" s="195">
        <v>12250</v>
      </c>
      <c r="G32" s="104">
        <v>685.08</v>
      </c>
      <c r="H32" s="104">
        <f t="shared" si="1"/>
        <v>5.592489795918368</v>
      </c>
    </row>
    <row r="33" spans="1:8" s="24" customFormat="1" ht="21.75" customHeight="1">
      <c r="A33" s="83"/>
      <c r="B33" s="59"/>
      <c r="C33" s="59">
        <v>4350</v>
      </c>
      <c r="D33" s="14" t="s">
        <v>260</v>
      </c>
      <c r="E33" s="104">
        <v>0</v>
      </c>
      <c r="F33" s="195">
        <v>672</v>
      </c>
      <c r="G33" s="104">
        <v>129.08</v>
      </c>
      <c r="H33" s="104">
        <f t="shared" si="1"/>
        <v>19.208333333333336</v>
      </c>
    </row>
    <row r="34" spans="1:8" s="24" customFormat="1" ht="21.75" customHeight="1">
      <c r="A34" s="83"/>
      <c r="B34" s="59"/>
      <c r="C34" s="59">
        <v>4410</v>
      </c>
      <c r="D34" s="14" t="s">
        <v>112</v>
      </c>
      <c r="E34" s="104">
        <v>0</v>
      </c>
      <c r="F34" s="195">
        <v>1900</v>
      </c>
      <c r="G34" s="104">
        <v>0</v>
      </c>
      <c r="H34" s="104">
        <f t="shared" si="1"/>
        <v>0</v>
      </c>
    </row>
    <row r="35" spans="1:8" s="8" customFormat="1" ht="21.75" customHeight="1">
      <c r="A35" s="35">
        <v>852</v>
      </c>
      <c r="B35" s="5"/>
      <c r="C35" s="5"/>
      <c r="D35" s="19" t="s">
        <v>232</v>
      </c>
      <c r="E35" s="16">
        <f>SUM(E38,E36)</f>
        <v>104280</v>
      </c>
      <c r="F35" s="146">
        <f>SUM(E35:E35)</f>
        <v>104280</v>
      </c>
      <c r="G35" s="16">
        <f>SUM(G38,G36)</f>
        <v>32270.379999999997</v>
      </c>
      <c r="H35" s="47">
        <f t="shared" si="1"/>
        <v>30.945895665515916</v>
      </c>
    </row>
    <row r="36" spans="1:8" s="24" customFormat="1" ht="30" customHeight="1">
      <c r="A36" s="83"/>
      <c r="B36" s="83">
        <v>85214</v>
      </c>
      <c r="C36" s="59"/>
      <c r="D36" s="14" t="s">
        <v>261</v>
      </c>
      <c r="E36" s="104">
        <f>SUM(E37)</f>
        <v>3000</v>
      </c>
      <c r="F36" s="195">
        <f>SUM(E36:E36)</f>
        <v>3000</v>
      </c>
      <c r="G36" s="104">
        <f>SUM(G37)</f>
        <v>1450</v>
      </c>
      <c r="H36" s="104">
        <f t="shared" si="1"/>
        <v>48.333333333333336</v>
      </c>
    </row>
    <row r="37" spans="1:8" s="24" customFormat="1" ht="21.75" customHeight="1">
      <c r="A37" s="83"/>
      <c r="B37" s="83"/>
      <c r="C37" s="59">
        <v>3110</v>
      </c>
      <c r="D37" s="14" t="s">
        <v>136</v>
      </c>
      <c r="E37" s="104">
        <v>3000</v>
      </c>
      <c r="F37" s="195">
        <f>SUM(E37:E37)</f>
        <v>3000</v>
      </c>
      <c r="G37" s="104">
        <v>1450</v>
      </c>
      <c r="H37" s="104">
        <f t="shared" si="1"/>
        <v>48.333333333333336</v>
      </c>
    </row>
    <row r="38" spans="1:8" s="24" customFormat="1" ht="21.75" customHeight="1">
      <c r="A38" s="83"/>
      <c r="B38" s="83">
        <v>85219</v>
      </c>
      <c r="C38" s="59"/>
      <c r="D38" s="42" t="s">
        <v>80</v>
      </c>
      <c r="E38" s="97">
        <f>SUM(E39:E53)</f>
        <v>101280</v>
      </c>
      <c r="F38" s="195">
        <f>SUM(E38:E38)</f>
        <v>101280</v>
      </c>
      <c r="G38" s="97">
        <f>SUM(G39:G53)</f>
        <v>30820.379999999997</v>
      </c>
      <c r="H38" s="104">
        <f t="shared" si="1"/>
        <v>30.43086492890995</v>
      </c>
    </row>
    <row r="39" spans="1:8" s="24" customFormat="1" ht="21.75" customHeight="1">
      <c r="A39" s="83"/>
      <c r="B39" s="83"/>
      <c r="C39" s="98">
        <v>4010</v>
      </c>
      <c r="D39" s="42" t="s">
        <v>106</v>
      </c>
      <c r="E39" s="104">
        <v>19769</v>
      </c>
      <c r="F39" s="195">
        <v>21430</v>
      </c>
      <c r="G39" s="104">
        <v>10042.22</v>
      </c>
      <c r="H39" s="104">
        <f t="shared" si="1"/>
        <v>46.86056929538031</v>
      </c>
    </row>
    <row r="40" spans="1:8" s="24" customFormat="1" ht="21.75" customHeight="1">
      <c r="A40" s="83"/>
      <c r="B40" s="83"/>
      <c r="C40" s="98">
        <v>4040</v>
      </c>
      <c r="D40" s="42" t="s">
        <v>107</v>
      </c>
      <c r="E40" s="104">
        <v>1500</v>
      </c>
      <c r="F40" s="195">
        <v>1500</v>
      </c>
      <c r="G40" s="104">
        <v>1416.11</v>
      </c>
      <c r="H40" s="104">
        <f t="shared" si="1"/>
        <v>94.40733333333333</v>
      </c>
    </row>
    <row r="41" spans="1:8" s="24" customFormat="1" ht="21.75" customHeight="1">
      <c r="A41" s="83"/>
      <c r="B41" s="83"/>
      <c r="C41" s="98">
        <v>4110</v>
      </c>
      <c r="D41" s="42" t="s">
        <v>108</v>
      </c>
      <c r="E41" s="104">
        <v>3771</v>
      </c>
      <c r="F41" s="195">
        <v>4050</v>
      </c>
      <c r="G41" s="104">
        <v>2003.19</v>
      </c>
      <c r="H41" s="104">
        <f t="shared" si="1"/>
        <v>49.461481481481485</v>
      </c>
    </row>
    <row r="42" spans="1:8" s="24" customFormat="1" ht="21.75" customHeight="1">
      <c r="A42" s="83"/>
      <c r="B42" s="83"/>
      <c r="C42" s="98">
        <v>4120</v>
      </c>
      <c r="D42" s="42" t="s">
        <v>109</v>
      </c>
      <c r="E42" s="104">
        <v>522</v>
      </c>
      <c r="F42" s="195">
        <v>560</v>
      </c>
      <c r="G42" s="104">
        <v>276.9</v>
      </c>
      <c r="H42" s="104">
        <f t="shared" si="1"/>
        <v>49.44642857142857</v>
      </c>
    </row>
    <row r="43" spans="1:8" s="24" customFormat="1" ht="21.75" customHeight="1">
      <c r="A43" s="83"/>
      <c r="B43" s="83"/>
      <c r="C43" s="98">
        <v>4170</v>
      </c>
      <c r="D43" s="42" t="s">
        <v>236</v>
      </c>
      <c r="E43" s="104">
        <v>13200</v>
      </c>
      <c r="F43" s="195">
        <v>13200</v>
      </c>
      <c r="G43" s="104">
        <v>7003</v>
      </c>
      <c r="H43" s="104">
        <f t="shared" si="1"/>
        <v>53.053030303030305</v>
      </c>
    </row>
    <row r="44" spans="1:8" s="24" customFormat="1" ht="21.75" customHeight="1">
      <c r="A44" s="83"/>
      <c r="B44" s="83"/>
      <c r="C44" s="98">
        <v>4210</v>
      </c>
      <c r="D44" s="14" t="s">
        <v>114</v>
      </c>
      <c r="E44" s="104">
        <v>9300</v>
      </c>
      <c r="F44" s="195">
        <v>9300</v>
      </c>
      <c r="G44" s="104">
        <v>6778.09</v>
      </c>
      <c r="H44" s="104">
        <f t="shared" si="1"/>
        <v>72.882688172043</v>
      </c>
    </row>
    <row r="45" spans="1:8" s="24" customFormat="1" ht="21.75" customHeight="1">
      <c r="A45" s="83"/>
      <c r="B45" s="83"/>
      <c r="C45" s="98">
        <v>4280</v>
      </c>
      <c r="D45" s="14" t="s">
        <v>248</v>
      </c>
      <c r="E45" s="104">
        <v>150</v>
      </c>
      <c r="F45" s="195">
        <v>150</v>
      </c>
      <c r="G45" s="104">
        <v>0</v>
      </c>
      <c r="H45" s="104">
        <f t="shared" si="1"/>
        <v>0</v>
      </c>
    </row>
    <row r="46" spans="1:8" s="24" customFormat="1" ht="21.75" customHeight="1">
      <c r="A46" s="83"/>
      <c r="B46" s="83"/>
      <c r="C46" s="98">
        <v>4300</v>
      </c>
      <c r="D46" s="14" t="s">
        <v>101</v>
      </c>
      <c r="E46" s="104">
        <v>46605</v>
      </c>
      <c r="F46" s="195">
        <v>43527</v>
      </c>
      <c r="G46" s="104">
        <v>277.85</v>
      </c>
      <c r="H46" s="104">
        <f t="shared" si="1"/>
        <v>0.6383394215084891</v>
      </c>
    </row>
    <row r="47" spans="1:8" s="24" customFormat="1" ht="21.75" customHeight="1">
      <c r="A47" s="83"/>
      <c r="B47" s="83"/>
      <c r="C47" s="98">
        <v>4350</v>
      </c>
      <c r="D47" s="14" t="s">
        <v>260</v>
      </c>
      <c r="E47" s="104">
        <v>665</v>
      </c>
      <c r="F47" s="195">
        <v>521</v>
      </c>
      <c r="G47" s="104">
        <v>161.02</v>
      </c>
      <c r="H47" s="104">
        <f t="shared" si="1"/>
        <v>30.905950095969292</v>
      </c>
    </row>
    <row r="48" spans="1:8" s="24" customFormat="1" ht="27" customHeight="1">
      <c r="A48" s="83"/>
      <c r="B48" s="83"/>
      <c r="C48" s="98">
        <v>4370</v>
      </c>
      <c r="D48" s="42" t="s">
        <v>289</v>
      </c>
      <c r="E48" s="104">
        <v>2400</v>
      </c>
      <c r="F48" s="195">
        <v>2844</v>
      </c>
      <c r="G48" s="104">
        <v>944.25</v>
      </c>
      <c r="H48" s="104">
        <f t="shared" si="1"/>
        <v>33.20147679324894</v>
      </c>
    </row>
    <row r="49" spans="1:8" s="24" customFormat="1" ht="27" customHeight="1">
      <c r="A49" s="83"/>
      <c r="B49" s="83"/>
      <c r="C49" s="98">
        <v>4400</v>
      </c>
      <c r="D49" s="42" t="s">
        <v>290</v>
      </c>
      <c r="E49" s="104">
        <v>1922</v>
      </c>
      <c r="F49" s="195">
        <v>1922</v>
      </c>
      <c r="G49" s="104">
        <v>992.62</v>
      </c>
      <c r="H49" s="104">
        <f t="shared" si="1"/>
        <v>51.645161290322584</v>
      </c>
    </row>
    <row r="50" spans="1:8" s="24" customFormat="1" ht="21.75" customHeight="1">
      <c r="A50" s="83"/>
      <c r="B50" s="83"/>
      <c r="C50" s="98">
        <v>4410</v>
      </c>
      <c r="D50" s="42" t="s">
        <v>112</v>
      </c>
      <c r="E50" s="104">
        <v>500</v>
      </c>
      <c r="F50" s="195">
        <v>800</v>
      </c>
      <c r="G50" s="104">
        <v>248.13</v>
      </c>
      <c r="H50" s="104">
        <f t="shared" si="1"/>
        <v>31.01625</v>
      </c>
    </row>
    <row r="51" spans="1:8" s="24" customFormat="1" ht="27" customHeight="1">
      <c r="A51" s="83"/>
      <c r="B51" s="83"/>
      <c r="C51" s="98">
        <v>4440</v>
      </c>
      <c r="D51" s="42" t="s">
        <v>110</v>
      </c>
      <c r="E51" s="104">
        <v>776</v>
      </c>
      <c r="F51" s="195">
        <f>SUM(E51:E51)</f>
        <v>776</v>
      </c>
      <c r="G51" s="104">
        <v>582</v>
      </c>
      <c r="H51" s="104">
        <f t="shared" si="1"/>
        <v>75</v>
      </c>
    </row>
    <row r="52" spans="1:8" s="24" customFormat="1" ht="27" customHeight="1">
      <c r="A52" s="83"/>
      <c r="B52" s="83"/>
      <c r="C52" s="98">
        <v>4700</v>
      </c>
      <c r="D52" s="42" t="s">
        <v>292</v>
      </c>
      <c r="E52" s="104">
        <v>0</v>
      </c>
      <c r="F52" s="195">
        <v>500</v>
      </c>
      <c r="G52" s="104">
        <v>95</v>
      </c>
      <c r="H52" s="104">
        <f t="shared" si="1"/>
        <v>19</v>
      </c>
    </row>
    <row r="53" spans="1:8" s="24" customFormat="1" ht="33.75">
      <c r="A53" s="83"/>
      <c r="B53" s="83"/>
      <c r="C53" s="98">
        <v>4740</v>
      </c>
      <c r="D53" s="42" t="s">
        <v>291</v>
      </c>
      <c r="E53" s="104">
        <v>200</v>
      </c>
      <c r="F53" s="195">
        <f>SUM(E53:E53)</f>
        <v>200</v>
      </c>
      <c r="G53" s="104">
        <v>0</v>
      </c>
      <c r="H53" s="104">
        <f t="shared" si="1"/>
        <v>0</v>
      </c>
    </row>
    <row r="54" spans="1:8" s="8" customFormat="1" ht="21.75" customHeight="1">
      <c r="A54" s="35" t="s">
        <v>146</v>
      </c>
      <c r="B54" s="5"/>
      <c r="C54" s="5"/>
      <c r="D54" s="19" t="s">
        <v>81</v>
      </c>
      <c r="E54" s="16">
        <f>SUM(E55)</f>
        <v>47000</v>
      </c>
      <c r="F54" s="146">
        <f>SUM(E54:E54)</f>
        <v>47000</v>
      </c>
      <c r="G54" s="16">
        <f>SUM(G55)</f>
        <v>0</v>
      </c>
      <c r="H54" s="47">
        <f t="shared" si="1"/>
        <v>0</v>
      </c>
    </row>
    <row r="55" spans="1:8" s="24" customFormat="1" ht="27" customHeight="1">
      <c r="A55" s="83"/>
      <c r="B55" s="83" t="s">
        <v>150</v>
      </c>
      <c r="C55" s="59"/>
      <c r="D55" s="14" t="s">
        <v>151</v>
      </c>
      <c r="E55" s="97">
        <f>SUM(E56:E60)</f>
        <v>47000</v>
      </c>
      <c r="F55" s="97">
        <f>SUM(F56:F60)</f>
        <v>43458</v>
      </c>
      <c r="G55" s="97">
        <f>SUM(G56:G60)</f>
        <v>0</v>
      </c>
      <c r="H55" s="104">
        <f t="shared" si="1"/>
        <v>0</v>
      </c>
    </row>
    <row r="56" spans="1:8" s="24" customFormat="1" ht="33.75">
      <c r="A56" s="83"/>
      <c r="B56" s="83"/>
      <c r="C56" s="59">
        <v>2630</v>
      </c>
      <c r="D56" s="14" t="s">
        <v>296</v>
      </c>
      <c r="E56" s="97">
        <v>36000</v>
      </c>
      <c r="F56" s="195">
        <v>0</v>
      </c>
      <c r="G56" s="97">
        <v>0</v>
      </c>
      <c r="H56" s="104">
        <v>0</v>
      </c>
    </row>
    <row r="57" spans="1:8" s="24" customFormat="1" ht="33.75">
      <c r="A57" s="83"/>
      <c r="B57" s="83"/>
      <c r="C57" s="59">
        <v>2820</v>
      </c>
      <c r="D57" s="42" t="s">
        <v>406</v>
      </c>
      <c r="E57" s="97">
        <v>0</v>
      </c>
      <c r="F57" s="195">
        <v>9290</v>
      </c>
      <c r="G57" s="97">
        <v>0</v>
      </c>
      <c r="H57" s="104">
        <f t="shared" si="1"/>
        <v>0</v>
      </c>
    </row>
    <row r="58" spans="1:8" s="24" customFormat="1" ht="56.25">
      <c r="A58" s="83"/>
      <c r="B58" s="83"/>
      <c r="C58" s="59">
        <v>2830</v>
      </c>
      <c r="D58" s="42" t="s">
        <v>405</v>
      </c>
      <c r="E58" s="97">
        <v>0</v>
      </c>
      <c r="F58" s="195">
        <v>26710</v>
      </c>
      <c r="G58" s="97">
        <v>0</v>
      </c>
      <c r="H58" s="104">
        <f t="shared" si="1"/>
        <v>0</v>
      </c>
    </row>
    <row r="59" spans="1:8" s="24" customFormat="1" ht="21.75" customHeight="1">
      <c r="A59" s="83"/>
      <c r="B59" s="83"/>
      <c r="C59" s="59">
        <v>4210</v>
      </c>
      <c r="D59" s="14" t="s">
        <v>114</v>
      </c>
      <c r="E59" s="104">
        <v>5500</v>
      </c>
      <c r="F59" s="195">
        <v>6303</v>
      </c>
      <c r="G59" s="104">
        <v>0</v>
      </c>
      <c r="H59" s="104">
        <f t="shared" si="1"/>
        <v>0</v>
      </c>
    </row>
    <row r="60" spans="1:8" s="24" customFormat="1" ht="21.75" customHeight="1">
      <c r="A60" s="59"/>
      <c r="B60" s="59"/>
      <c r="C60" s="59">
        <v>4300</v>
      </c>
      <c r="D60" s="14" t="s">
        <v>101</v>
      </c>
      <c r="E60" s="104">
        <f>5500</f>
        <v>5500</v>
      </c>
      <c r="F60" s="195">
        <v>1155</v>
      </c>
      <c r="G60" s="104">
        <v>0</v>
      </c>
      <c r="H60" s="104">
        <f t="shared" si="1"/>
        <v>0</v>
      </c>
    </row>
    <row r="61" spans="1:8" s="8" customFormat="1" ht="21.75" customHeight="1">
      <c r="A61" s="35" t="s">
        <v>170</v>
      </c>
      <c r="B61" s="5"/>
      <c r="C61" s="5"/>
      <c r="D61" s="19" t="s">
        <v>88</v>
      </c>
      <c r="E61" s="16">
        <f>SUM(E62)</f>
        <v>20000</v>
      </c>
      <c r="F61" s="146">
        <f>SUM(E61:E61)</f>
        <v>20000</v>
      </c>
      <c r="G61" s="16">
        <f>SUM(G62)</f>
        <v>4400.3</v>
      </c>
      <c r="H61" s="47">
        <f t="shared" si="1"/>
        <v>22.0015</v>
      </c>
    </row>
    <row r="62" spans="1:8" s="24" customFormat="1" ht="30" customHeight="1">
      <c r="A62" s="59"/>
      <c r="B62" s="93">
        <v>92605</v>
      </c>
      <c r="C62" s="59"/>
      <c r="D62" s="14" t="s">
        <v>89</v>
      </c>
      <c r="E62" s="104">
        <f>SUM(E63:E64)</f>
        <v>20000</v>
      </c>
      <c r="F62" s="104">
        <f>SUM(F63:F64)</f>
        <v>20000</v>
      </c>
      <c r="G62" s="104">
        <f>SUM(G63:G64)</f>
        <v>4400.3</v>
      </c>
      <c r="H62" s="104">
        <f t="shared" si="1"/>
        <v>22.0015</v>
      </c>
    </row>
    <row r="63" spans="1:8" s="24" customFormat="1" ht="21.75" customHeight="1">
      <c r="A63" s="59"/>
      <c r="B63" s="93"/>
      <c r="C63" s="59">
        <v>4170</v>
      </c>
      <c r="D63" s="14" t="s">
        <v>236</v>
      </c>
      <c r="E63" s="104">
        <v>20000</v>
      </c>
      <c r="F63" s="195">
        <v>15960</v>
      </c>
      <c r="G63" s="104">
        <v>4400.3</v>
      </c>
      <c r="H63" s="104">
        <f t="shared" si="1"/>
        <v>27.570802005012535</v>
      </c>
    </row>
    <row r="64" spans="1:8" s="24" customFormat="1" ht="21.75" customHeight="1">
      <c r="A64" s="59"/>
      <c r="B64" s="93"/>
      <c r="C64" s="59">
        <v>4300</v>
      </c>
      <c r="D64" s="14" t="s">
        <v>101</v>
      </c>
      <c r="E64" s="104">
        <v>0</v>
      </c>
      <c r="F64" s="195">
        <v>4040</v>
      </c>
      <c r="G64" s="104">
        <v>0</v>
      </c>
      <c r="H64" s="104">
        <f t="shared" si="1"/>
        <v>0</v>
      </c>
    </row>
    <row r="65" spans="1:8" s="45" customFormat="1" ht="22.5" customHeight="1">
      <c r="A65" s="139"/>
      <c r="B65" s="139"/>
      <c r="C65" s="139"/>
      <c r="D65" s="6" t="s">
        <v>90</v>
      </c>
      <c r="E65" s="16">
        <f>E35+E21+E54+E61+E18</f>
        <v>290000</v>
      </c>
      <c r="F65" s="146">
        <f>SUM(E65:E65)</f>
        <v>290000</v>
      </c>
      <c r="G65" s="16">
        <f>G35+G21+G54+G61</f>
        <v>69157.71</v>
      </c>
      <c r="H65" s="104">
        <f t="shared" si="1"/>
        <v>23.847486206896555</v>
      </c>
    </row>
  </sheetData>
  <mergeCells count="21">
    <mergeCell ref="A7:H7"/>
    <mergeCell ref="A5:H5"/>
    <mergeCell ref="A8:A9"/>
    <mergeCell ref="F8:F9"/>
    <mergeCell ref="E8:E9"/>
    <mergeCell ref="D8:D9"/>
    <mergeCell ref="C8:C9"/>
    <mergeCell ref="B8:B9"/>
    <mergeCell ref="A15:H15"/>
    <mergeCell ref="G8:H8"/>
    <mergeCell ref="E16:E17"/>
    <mergeCell ref="F16:F17"/>
    <mergeCell ref="G16:H16"/>
    <mergeCell ref="A16:A17"/>
    <mergeCell ref="B16:B17"/>
    <mergeCell ref="C16:C17"/>
    <mergeCell ref="D16:D17"/>
    <mergeCell ref="F1:H1"/>
    <mergeCell ref="F2:H2"/>
    <mergeCell ref="F3:H3"/>
    <mergeCell ref="F4:H4"/>
  </mergeCells>
  <printOptions horizontalCentered="1"/>
  <pageMargins left="0.5118110236220472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izawalniak</cp:lastModifiedBy>
  <cp:lastPrinted>2007-08-27T10:16:57Z</cp:lastPrinted>
  <dcterms:created xsi:type="dcterms:W3CDTF">2002-10-21T08:56:44Z</dcterms:created>
  <dcterms:modified xsi:type="dcterms:W3CDTF">2006-11-16T11:50:59Z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