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firstSheet="9" activeTab="13"/>
  </bookViews>
  <sheets>
    <sheet name="dochody 2009 zał.1" sheetId="1" r:id="rId1"/>
    <sheet name="wydatki 2009 zał.2" sheetId="2" r:id="rId2"/>
    <sheet name="dot. otrzym.2007 zał.3" sheetId="3" r:id="rId3"/>
    <sheet name="zał. 4 dotacje przek." sheetId="4" r:id="rId4"/>
    <sheet name="admin.zał 5" sheetId="5" r:id="rId5"/>
    <sheet name="wyd.maj.zał 6 " sheetId="6" r:id="rId6"/>
    <sheet name="poroz. zał 7" sheetId="7" r:id="rId7"/>
    <sheet name="zał 8 " sheetId="8" r:id="rId8"/>
    <sheet name="zał. 9 GFOŚiGW" sheetId="9" r:id="rId9"/>
    <sheet name="GKRPA zał. 10" sheetId="10" r:id="rId10"/>
    <sheet name="deficyt zał. 11" sheetId="11" r:id="rId11"/>
    <sheet name="Zał.12 zakłady budżetow" sheetId="12" r:id="rId12"/>
    <sheet name="WPI nr 13 " sheetId="13" r:id="rId13"/>
    <sheet name="doch.admin zał. 14" sheetId="14" r:id="rId14"/>
  </sheets>
  <definedNames>
    <definedName name="_xlnm.Print_Area" localSheetId="9">'GKRPA zał. 10'!$A:$IV</definedName>
    <definedName name="_xlnm.Print_Titles" localSheetId="4">'admin.zał 5'!$6:$6</definedName>
    <definedName name="_xlnm.Print_Titles" localSheetId="0">'dochody 2009 zał.1'!$6:$6</definedName>
    <definedName name="_xlnm.Print_Titles" localSheetId="2">'dot. otrzym.2007 zał.3'!$6:$6</definedName>
    <definedName name="_xlnm.Print_Titles" localSheetId="9">'GKRPA zał. 10'!$7:$7</definedName>
    <definedName name="_xlnm.Print_Titles" localSheetId="6">'poroz. zał 7'!$6:$6</definedName>
    <definedName name="_xlnm.Print_Titles" localSheetId="5">'wyd.maj.zał 6 '!$6:$6</definedName>
    <definedName name="_xlnm.Print_Titles" localSheetId="1">'wydatki 2009 zał.2'!$6:$6</definedName>
    <definedName name="_xlnm.Print_Titles" localSheetId="7">'zał 8 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E2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</commentList>
</comments>
</file>

<file path=xl/sharedStrings.xml><?xml version="1.0" encoding="utf-8"?>
<sst xmlns="http://schemas.openxmlformats.org/spreadsheetml/2006/main" count="1375" uniqueCount="488">
  <si>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</si>
  <si>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</si>
  <si>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</si>
  <si>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</si>
  <si>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</si>
  <si>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</si>
  <si>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</si>
  <si>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</si>
  <si>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</si>
  <si>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</si>
  <si>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</si>
  <si>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</si>
  <si>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</si>
  <si>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</si>
  <si>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</si>
  <si>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</si>
  <si>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</si>
  <si>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</si>
  <si>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</si>
  <si>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</si>
  <si>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</si>
  <si>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</si>
  <si>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</si>
  <si>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</si>
  <si>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</si>
  <si>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</si>
  <si>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</si>
  <si>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</si>
  <si>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</si>
  <si>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</si>
  <si>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</si>
  <si>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</si>
  <si>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</si>
  <si>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</si>
  <si>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</si>
  <si>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</si>
  <si>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</si>
  <si>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</si>
  <si>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</si>
  <si>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</si>
  <si>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</si>
  <si>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</si>
  <si>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</si>
  <si>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</si>
  <si>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</si>
  <si>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</si>
  <si>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</si>
  <si>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</si>
  <si>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</si>
  <si>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</si>
  <si>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</si>
  <si>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</si>
  <si>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</si>
  <si>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</si>
  <si>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</si>
  <si>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</si>
  <si>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</si>
  <si>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</si>
  <si>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</si>
  <si>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</si>
  <si>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</si>
  <si>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</si>
  <si>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</si>
  <si>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</si>
  <si>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</si>
  <si>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</si>
  <si>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</si>
  <si>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</si>
  <si>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</si>
  <si>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</si>
  <si>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</si>
  <si>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</si>
  <si>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</si>
  <si>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</si>
  <si>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</si>
  <si>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</si>
  <si>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</si>
  <si>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</si>
  <si>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</si>
  <si>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</si>
  <si>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</si>
  <si>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</si>
  <si>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</si>
  <si>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</si>
  <si>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</si>
  <si>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</si>
  <si>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</si>
  <si>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</si>
  <si>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</si>
  <si>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</si>
  <si>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</si>
  <si>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</si>
  <si>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</si>
  <si>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</si>
  <si>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</si>
  <si>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</si>
  <si>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</si>
  <si>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</si>
  <si>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</si>
  <si>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</si>
  <si>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</si>
  <si>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</si>
  <si>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</si>
  <si>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</si>
  <si>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</si>
  <si>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</si>
  <si>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</si>
  <si>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</si>
  <si>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</si>
  <si>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</si>
  <si>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</si>
  <si>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</si>
  <si>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</si>
  <si>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</si>
  <si>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</si>
  <si>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</si>
  <si>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</si>
  <si>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</si>
  <si>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</si>
  <si>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</si>
  <si>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</si>
  <si>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</si>
  <si>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</si>
  <si>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</si>
  <si>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</si>
  <si>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</si>
  <si>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</si>
  <si>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</si>
  <si>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</si>
  <si>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</si>
  <si>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</si>
  <si>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</si>
  <si>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</si>
  <si>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</si>
  <si>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</si>
  <si>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</si>
  <si>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</si>
  <si>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</si>
  <si>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</si>
  <si>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</si>
  <si>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</si>
  <si>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</si>
  <si>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</si>
  <si>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</si>
  <si>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</si>
  <si>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</si>
  <si>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</si>
  <si>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</si>
  <si>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plan </t>
  </si>
  <si>
    <t>przychody</t>
  </si>
  <si>
    <t>rozchody</t>
  </si>
  <si>
    <t>spłaty otrzymanych krajowych pożyczek i kredytów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</si>
  <si>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</si>
  <si>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</si>
  <si>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</si>
  <si>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</si>
  <si>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</si>
  <si>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</si>
  <si>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</si>
  <si>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</si>
  <si>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</si>
  <si>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</si>
  <si>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</si>
  <si>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</si>
  <si>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</si>
  <si>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</si>
  <si>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</si>
  <si>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</si>
  <si>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</si>
  <si>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</si>
  <si>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</si>
  <si>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</si>
  <si>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</si>
  <si>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</si>
  <si>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</si>
  <si>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</si>
  <si>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</si>
  <si>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</si>
  <si>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</si>
  <si>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</si>
  <si>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</si>
  <si>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</si>
  <si>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</si>
  <si>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</si>
  <si>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</si>
  <si>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</si>
  <si>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</si>
  <si>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</si>
  <si>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</si>
  <si>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</si>
  <si>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</si>
  <si>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</si>
  <si>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</si>
  <si>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</si>
  <si>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</si>
  <si>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</si>
  <si>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</si>
  <si>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</si>
  <si>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</si>
  <si>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</si>
  <si>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</si>
  <si>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</si>
  <si>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>Załącznik Nr 2</t>
  </si>
  <si>
    <t>Załącznik Nr 3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</si>
  <si>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</si>
  <si>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</si>
  <si>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</si>
  <si>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</si>
  <si>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</si>
  <si>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</si>
  <si>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</si>
  <si>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</si>
  <si>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zwiększenia</t>
  </si>
  <si>
    <t>zmniejszenia</t>
  </si>
  <si>
    <t>instytucje kultury fizycznej</t>
  </si>
  <si>
    <t>wykup innych papierów wartościowych</t>
  </si>
  <si>
    <t>zakup usług zdrowotnych</t>
  </si>
  <si>
    <t>plan po 
zmianach</t>
  </si>
  <si>
    <t>różne jednostki obsługi gospodarki mieszkaniowej</t>
  </si>
  <si>
    <t>odsetki od nieterminowych wpłat 
z tytułu podatków i opłat</t>
  </si>
  <si>
    <t>dotacje celowe otrzymane 
z budżetu państwa na realizację własnych zadań bieżących gmin (związków gmin)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</si>
  <si>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</si>
  <si>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</si>
  <si>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</si>
  <si>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</si>
  <si>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</si>
  <si>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przychody z zaciągniętych pożyczek na finansowanie zadań realizowanych z udziałem środków pochodzących z budżetu Unii Eropejskiej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</si>
  <si>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</si>
  <si>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</si>
  <si>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</si>
  <si>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</si>
  <si>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</si>
  <si>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</si>
  <si>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</si>
  <si>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</si>
  <si>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</si>
  <si>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</si>
  <si>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</si>
  <si>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</si>
  <si>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</si>
  <si>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</si>
  <si>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</si>
  <si>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Załącznik Nr 5</t>
  </si>
  <si>
    <t>Załącznik Nr 7</t>
  </si>
  <si>
    <t>Załącznik Nr 10</t>
  </si>
  <si>
    <t xml:space="preserve">      Ochrona zdrowia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</si>
  <si>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</si>
  <si>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</si>
  <si>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zwalczanie narkomanii</t>
  </si>
  <si>
    <t xml:space="preserve">do Uchwały Nr </t>
  </si>
  <si>
    <t xml:space="preserve">z dnia 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</si>
  <si>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</si>
  <si>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</si>
  <si>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</si>
  <si>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</si>
  <si>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</si>
  <si>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</si>
  <si>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</si>
  <si>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</si>
  <si>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</si>
  <si>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Załącznik Nr 6</t>
  </si>
  <si>
    <t>Załącznik Nr 14</t>
  </si>
  <si>
    <t>Załącznik Nr 9</t>
  </si>
  <si>
    <t xml:space="preserve">Przychody Gminnego Funduszu Ochrony Środowiska i Gospodarki Wodnej </t>
  </si>
  <si>
    <t>plan po
zmianach</t>
  </si>
  <si>
    <t>Fundusz Ochrony Środowiska i Gospodarki Wodnej</t>
  </si>
  <si>
    <t xml:space="preserve">Wydatki Gminnego Funduszu Ochrony Środowiska i Gospodarki Wodnej </t>
  </si>
  <si>
    <t>fundusz obrotowy na koniec roku</t>
  </si>
  <si>
    <t>L.p.</t>
  </si>
  <si>
    <t>Nazwa programu lub zadania z kontraktu</t>
  </si>
  <si>
    <t>Cel</t>
  </si>
  <si>
    <t>Jendostka organizacyjna odpowiedzialna za realizację lub koordynująca</t>
  </si>
  <si>
    <t>Okres realizacji                               (w latach)</t>
  </si>
  <si>
    <t>Łączne nakłady finansowe</t>
  </si>
  <si>
    <t>Wydatki</t>
  </si>
  <si>
    <t>1.</t>
  </si>
  <si>
    <t>Urząd Miejski Trzcianki</t>
  </si>
  <si>
    <t>3.</t>
  </si>
  <si>
    <t>4.</t>
  </si>
  <si>
    <t>l.p.</t>
  </si>
  <si>
    <t>Wyszczególnienie</t>
  </si>
  <si>
    <t>Przychody</t>
  </si>
  <si>
    <t>ogółem</t>
  </si>
  <si>
    <t>w tym: dotacja z budżetu</t>
  </si>
  <si>
    <t>wydatki osobowe</t>
  </si>
  <si>
    <t>wydatki rzeczowe</t>
  </si>
  <si>
    <t>wydatki inwestycyjne</t>
  </si>
  <si>
    <t>I</t>
  </si>
  <si>
    <t>II.</t>
  </si>
  <si>
    <t>Rachunek dochodów własnych</t>
  </si>
  <si>
    <t>Załacznik Nr 4</t>
  </si>
  <si>
    <t>Nazwa jednostki</t>
  </si>
  <si>
    <t>Zakres dotacji</t>
  </si>
  <si>
    <t>Kwota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</si>
  <si>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</si>
  <si>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</si>
  <si>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</si>
  <si>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</si>
  <si>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prowadzenie szkoły</t>
  </si>
  <si>
    <t>Oddział Przedszkolny przy Katolickiej Szkole Podstawowej św. Siostry Faustyny w Trzciance</t>
  </si>
  <si>
    <t>prowadzenie oddziału przedszkolnego</t>
  </si>
  <si>
    <t>Trzcianecki Dom Kultury</t>
  </si>
  <si>
    <t>działalność instytucji kultury</t>
  </si>
  <si>
    <t>Biblioteka Publiczna Miasta i Gminy im. Kazimiery Iłłakowiczówny</t>
  </si>
  <si>
    <t>działalność instytucji kultury - porozumienie</t>
  </si>
  <si>
    <t>Muzeum Ziemi Nadnoteckiej im. Wiktora Stachowiaka</t>
  </si>
  <si>
    <t>konkurs</t>
  </si>
  <si>
    <t>realizacja programów o charakterze profilaktyczno - edukacyjnym</t>
  </si>
  <si>
    <t xml:space="preserve">organizacja wypoczynku </t>
  </si>
  <si>
    <t xml:space="preserve">Starostwo Powiatowe </t>
  </si>
  <si>
    <t>utrzymanie hali sportowo-widowiskowej przy L.O. w Trzciance</t>
  </si>
  <si>
    <t>Starostwo Powiatowe</t>
  </si>
  <si>
    <t>utrzymanie pracownika ZNP</t>
  </si>
  <si>
    <t xml:space="preserve">Zakłady budżetowe 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</si>
  <si>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</si>
  <si>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</si>
  <si>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</si>
  <si>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</si>
  <si>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</si>
  <si>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prowadzenie świetlic wychowawczych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</si>
  <si>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</si>
  <si>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</si>
  <si>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</si>
  <si>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</si>
  <si>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Rozdział</t>
  </si>
  <si>
    <t>przedszkola</t>
  </si>
  <si>
    <t>wpływy z tytułu przekształcenia prawa użytkowania wieczystego przysługującego osobom fizycznym 
w prawo własności</t>
  </si>
  <si>
    <t>rekompensaty utraconych dochodów w podatkach
 i opłatach lokalnych</t>
  </si>
  <si>
    <t>zakup usług obejmujących wykonanie ekspertyz, analiz
 i opinii</t>
  </si>
  <si>
    <t>Dochody od osób prawnych, od osób fizycznych i od innych jednostek nieposiadających osobowości prawnej oraz wydatki związane 
z ich poborem</t>
  </si>
  <si>
    <t>zakup akcesoriów komputerowych, w tym programów
 i licencji</t>
  </si>
  <si>
    <t>Załącznik Nr 12</t>
  </si>
  <si>
    <t>rezerwa na inwestycje i zakupy inwestycyjne</t>
  </si>
  <si>
    <t>Różne rolziczenia</t>
  </si>
  <si>
    <t>Dochody budżetu gminy Trzcianka - plan na rok 2009</t>
  </si>
  <si>
    <t xml:space="preserve">Wydatki  budżetu gminy Trzcianka - plan na rok 2009 </t>
  </si>
  <si>
    <t xml:space="preserve">Dotacje otrzymywane do budżetu - plan na rok 2009                                    </t>
  </si>
  <si>
    <t>Zakres i kwoty dotacji dla zakładów budżetowych, niepublicznych jednostek oświaty, samorządowych instytucji kultury, jednostek niezaliczanych do sektora finansów publicznych oraz na realizację porozumień zawartych między jednostami samorządu terytorialnego - plan na rok 2009</t>
  </si>
  <si>
    <t>Wydatki związane z realizacją zadań z zakresu administracji rządowej i innych zadań zleconych ustawami - plan na rok 2009</t>
  </si>
  <si>
    <t>Wydatki związane z realizacją zadań wspólnych realizowanych 
w drodze umów lub porozumień między jednostkami samorządu terytorialnego - plan na rok 2009</t>
  </si>
  <si>
    <t>z dnia</t>
  </si>
  <si>
    <t>Przychody i wydatki Gminnego Funduszu Ochrony Środowiska i Gospodarki Wodnej - plan na rok 2009</t>
  </si>
  <si>
    <t>Dochody i wydatki na rok 2009 z tytułu opłat za wydawanie zezwoleń na sprzedaż napojów alkoholowych oraz wydatki na realizację zadań określonych w programie profilaktyki i rozwiązywania problemów alkoholowych</t>
  </si>
  <si>
    <t>Przychody i wydatki zakładów budżetowych oraz rachunek dochodów własnych - plan na rok 2009</t>
  </si>
  <si>
    <t>Dochody związane z realizacją zadań z zakresu administracji rządowej i innych zadań zleconych ustawami - plan na rok 2009</t>
  </si>
  <si>
    <t>Wydatki na wieloletnie programy inwestycyjne w latach 2009 - 2011</t>
  </si>
  <si>
    <t>składki na ubezpieczenie zdrowotne opłacane za osoby pobierające niektóre świadczenia 
z pomocy społecznej, niektóre świadczenia rodzinne oraz za osoby uczestniczące w zajęciach w centrum integracji społecznej</t>
  </si>
  <si>
    <t>zakup akcesoriów komputerowych, w tym programów  i licencji</t>
  </si>
  <si>
    <t>Dochody z tytułu opłat za wydawanie zezwoleń na sprzedaż napojów alkoholowych - plan na rok 2009</t>
  </si>
  <si>
    <t>Wydatki na realizację zadań określonych w programie profilaktyki i rozwiązywania problemów alkoholowych - plan na rok 2009</t>
  </si>
  <si>
    <t>Przychody i rozchody - plan na rok 2009</t>
  </si>
  <si>
    <t>Wydatki majątkowe - plan na rok 2009</t>
  </si>
  <si>
    <t>1) Zakłady budżetowe</t>
  </si>
  <si>
    <t xml:space="preserve">2) Niepubliczne jednostki systemu oświaty </t>
  </si>
  <si>
    <t xml:space="preserve">3) Samorządowe instytucje kultury </t>
  </si>
  <si>
    <t xml:space="preserve">5) Dotacje celowe na realizację porozumień  </t>
  </si>
  <si>
    <t>dotacja celowa z budżetu na finansowanie lub dofinansowanie zadań zleconych do realizacji stowarzyszeniom</t>
  </si>
  <si>
    <t>odsetki i dyskonto od skarbowych papierów wartościowych,  kredytów i pożyczek oraz innych instrumentów finansowych, związanych z obsługą długu krajowego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</si>
  <si>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</si>
  <si>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</si>
  <si>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 xml:space="preserve">  </t>
  </si>
  <si>
    <t>Sołectwo Górnica</t>
  </si>
  <si>
    <t>Sołectwo Łomnica</t>
  </si>
  <si>
    <t>Sołectwo Nowa Wieś</t>
  </si>
  <si>
    <t>Sołectwo Pokrzywno</t>
  </si>
  <si>
    <t>Sołectwo Przyłęki</t>
  </si>
  <si>
    <t>Sołectwo Runowo</t>
  </si>
  <si>
    <t>Sołectwo Rychlik</t>
  </si>
  <si>
    <t>Sołectwo Sarcz</t>
  </si>
  <si>
    <t>Sołectwo Siedlisko</t>
  </si>
  <si>
    <t>Sołectwo Smolarnia</t>
  </si>
  <si>
    <t>Sołectwo Wapniarnia I</t>
  </si>
  <si>
    <t>Sołectwo Biała</t>
  </si>
  <si>
    <t>Sołectwo Biernatowo</t>
  </si>
  <si>
    <t>Sołectwo Niekursko</t>
  </si>
  <si>
    <t>Sołectwo Radolin</t>
  </si>
  <si>
    <t>Sołectwo Stobno</t>
  </si>
  <si>
    <t>Sołectwo Straduń</t>
  </si>
  <si>
    <t>Sołectwo Wapniarnia III</t>
  </si>
  <si>
    <t>4210</t>
  </si>
  <si>
    <t>Sołectwo Teresin</t>
  </si>
  <si>
    <t>Sołectwo Wrząca</t>
  </si>
  <si>
    <t>zakup materiałów i wypozażenia</t>
  </si>
  <si>
    <t>zakup usług dostępu do sieci internet</t>
  </si>
  <si>
    <t>kolonie i obozy oraz inne formy wypoczynku dzieci i młodzieży</t>
  </si>
  <si>
    <t>4300</t>
  </si>
  <si>
    <t>4260</t>
  </si>
  <si>
    <t>Wydatki jednostek pomocniczych gminy - plan na rok 2009</t>
  </si>
  <si>
    <t>Budowa chodnika w Białej (wydatek sołecki)</t>
  </si>
  <si>
    <t>Budowa chodnika w Radolinie (wydatek sołecki)</t>
  </si>
  <si>
    <t>Budowa chodnika w Siedlisku (wydatek sołecki)</t>
  </si>
  <si>
    <t>zakup równiarki na potrzeby sołectwa Nowa Wieś (wydatek sołecki)</t>
  </si>
  <si>
    <t xml:space="preserve">Publiczne Gimnazjum Katolickie </t>
  </si>
  <si>
    <t>prowadzenie gimnazjum</t>
  </si>
  <si>
    <t>zakup worków na nieczystości</t>
  </si>
  <si>
    <t>zakup drzew i krzewów</t>
  </si>
  <si>
    <t>popularyzacja wiedzy o środowisku</t>
  </si>
  <si>
    <t>zakup taśmy przeciwko szkodnikom</t>
  </si>
  <si>
    <t>wywóz pojemników na szkło</t>
  </si>
  <si>
    <t>aktualizacja programu ochrony środowiska</t>
  </si>
  <si>
    <t>program usuwania azbestu</t>
  </si>
  <si>
    <t>nasadzenia drzew i krzewów</t>
  </si>
  <si>
    <t>wywóz kontenerów na wsiach</t>
  </si>
  <si>
    <t>utrzymanie terenów zielonych nad jeziorem Sarcz, Logo, Parka Grottgera</t>
  </si>
  <si>
    <t>koszty prowadzenia rachunku bankowego</t>
  </si>
  <si>
    <t>0370</t>
  </si>
  <si>
    <t>opłata od posiadania psów</t>
  </si>
  <si>
    <t>Budowa jezdni na ulicy Krętej</t>
  </si>
  <si>
    <t>przebudowa ulicy Matejki</t>
  </si>
  <si>
    <t>przebudowa łącznika ulicy Konarskiego i Powstańców Wlkp</t>
  </si>
  <si>
    <t>przebudowa ulicy Kościuszki I etap</t>
  </si>
  <si>
    <t>przebudowa placu przy Urzędzie Miejskim</t>
  </si>
  <si>
    <t>projekty techniczne dróg</t>
  </si>
  <si>
    <t>wykupy nieruchomości</t>
  </si>
  <si>
    <t>dopłaty w spółkach prawa handlowego</t>
  </si>
  <si>
    <t>termomodernizacja Szkoły Podstawowej Nr 3</t>
  </si>
  <si>
    <t>termomodernizacja Gimnzajum Nr 1</t>
  </si>
  <si>
    <t>budowa placów zabaw</t>
  </si>
  <si>
    <t>budowa kanalizacji sanitarnej we Wrzącej</t>
  </si>
  <si>
    <t>budowa kanalizacji sanitarnej na ulicy Reymonta 
I etap</t>
  </si>
  <si>
    <t>modernizacja kanalizacji sanitarnej na ulicy Prostej</t>
  </si>
  <si>
    <t>budowa kanalizacji sanitarnej na "Osiedlu Kwiatowym" I etap</t>
  </si>
  <si>
    <t>budowa kanalizacji sanitarnej i deszczowej na Osiedlu Poniatowskiego</t>
  </si>
  <si>
    <t>budowa wodociągu w Runowie</t>
  </si>
  <si>
    <t>budowa wodociągu w Biernatowie</t>
  </si>
  <si>
    <t>gaspodarka odpadami</t>
  </si>
  <si>
    <t>budowa piezometrów na wysypisku odpadów komunalnych</t>
  </si>
  <si>
    <t>budowa oświetlenia ulicy Gorzowskiej II etap</t>
  </si>
  <si>
    <t>budowa oświetlenia na ulicy Bocznej i Krętej</t>
  </si>
  <si>
    <t>modernizacja oświetlenia ulicznego wzdłuż drogi 178 w Trzciance</t>
  </si>
  <si>
    <t>budowa oświetlenia Wapniarnia III</t>
  </si>
  <si>
    <t>budowa oświetlenia w Siedlisku</t>
  </si>
  <si>
    <t>budowa oświetlenia we Wrzącej</t>
  </si>
  <si>
    <t>gospodarka odpadami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</si>
  <si>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</si>
  <si>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</si>
  <si>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</si>
  <si>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</si>
  <si>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wniesienie udziałów do Spółki OSIR Sp. z o.o.</t>
  </si>
  <si>
    <t>wydatki na zakup i objęcie akcji, wniesienie wkładów do spółek prawa handlowego oraz na uzupełnienie funduszy statutowych banków państwowych i innych instytucji finansowych</t>
  </si>
  <si>
    <t>stypendia różne</t>
  </si>
  <si>
    <t>Parafia Rzymskokatolicka  pw. Trójcy Świętej w Róży Wielkiej</t>
  </si>
  <si>
    <t>4) Jednostki niezaliczane do sektora finansów publicznych</t>
  </si>
  <si>
    <t>Ochotnicze Straże Pożarne</t>
  </si>
  <si>
    <t>dofinansowanie działalności Warsztatów Terapii Zajęciowej</t>
  </si>
  <si>
    <t>6) Dotacje na pomoc finansową</t>
  </si>
  <si>
    <t>rezerwa celowa na zakup samochodu dla Państwowej Straży Pożarnej w Czarnkowie</t>
  </si>
  <si>
    <t>zakup wyposażenia na plac zabaw w Stobnie Suszarnia (wydatek sołecki)</t>
  </si>
  <si>
    <t>doposażenie jednostek</t>
  </si>
  <si>
    <t>składki na ubezpieczenie zdrowotne opłacane za osoby pobierające niektóre świadczenia z pomocy społecznej, niektóre świadczenia rodzinne oraz za osoby uczestniczące 
w zajęciach w centrum integracji społecznej</t>
  </si>
  <si>
    <t xml:space="preserve">wpływy z podatku rolnego, podatku leśnego,podatku od spadków i darowizn, podatku od czynności cywilnoprawnych oraz podatków i opłat lokalnych od osób fizycznych </t>
  </si>
  <si>
    <t>dochody z najmu i dzierżawy składników majątkowych Skarbu Państwa, jednostek samorządu terytorialnego lub  innych jednostek zaliczanych do sektora finansów publicznych oraz innych umów 
o podobnym charakterze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</si>
  <si>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</si>
  <si>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</si>
  <si>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modernizacja kotłowni olejowej na gaz ziemny</t>
  </si>
  <si>
    <t>budowa ulicy Żwirowej</t>
  </si>
  <si>
    <t>przebudowa chodnika przy ulicy Fredry i ulicy Rzecznej</t>
  </si>
  <si>
    <t>budowa chodnika na ulicy Kopernika</t>
  </si>
  <si>
    <t>oświetlenie ulicy Chełmońskiego</t>
  </si>
  <si>
    <t>budowa oświetlenia drogi od wsi Straduń w kierunku Trzcianki</t>
  </si>
  <si>
    <t>2.</t>
  </si>
  <si>
    <t>Wykupy nieruchomości (obowiązkowe wykupy działek pod drogi)</t>
  </si>
  <si>
    <t>rozbudowa gimnazjum i sali sportowej przy Gimnazjum w Siedlisku</t>
  </si>
  <si>
    <t>2009-2010</t>
  </si>
  <si>
    <t>2009-2011</t>
  </si>
  <si>
    <t>Modernizacja dróg gminnych</t>
  </si>
  <si>
    <t xml:space="preserve">lata finansowania </t>
  </si>
  <si>
    <t>Rozbudowa gimnazjum i sali sportowej przy Gimnazjum w Siedlisku</t>
  </si>
  <si>
    <t>budowa bazy rekreacyjno - sportowej</t>
  </si>
  <si>
    <t>ochrona środowiska, uzbrojenia terenów</t>
  </si>
  <si>
    <t>poprawa stanu nawierzchni dróg i chodników</t>
  </si>
  <si>
    <t>Załącznik Nr 13</t>
  </si>
  <si>
    <t>dotacja celowa na pomoc finansową udzielaną między jednostkami samorządu terytorialnego na dofinansowanie własnych zadań bieżących</t>
  </si>
  <si>
    <t>dotacja przedmiotowa z budżetu dla jednostek nie zaliczanych do sektora finansów publicznych</t>
  </si>
  <si>
    <t>Dotacje na zadania bieżące</t>
  </si>
  <si>
    <t>prace konserwatorskie i roboty budowlane przy kościele zabytkowym 
p.w. Matki Bożej Królowej Polski w Łomnicy</t>
  </si>
  <si>
    <t>budowa budynków gospodarczego na ul. Koszykowej</t>
  </si>
  <si>
    <t>sprzęt komputerowy, oprogramowanie, zasilanie awaryjne</t>
  </si>
  <si>
    <t>rezerwa na współpracę z WZDW</t>
  </si>
  <si>
    <t>PT sieci wodociągowej i kanalizacji sanitarnej ( os. Fałata, 
os. Poniatowskiego, os. Domańskiego)</t>
  </si>
  <si>
    <t>Załącznik Nr 8</t>
  </si>
  <si>
    <t>Załącznik Nr 11</t>
  </si>
  <si>
    <t>różnica</t>
  </si>
  <si>
    <t>5.</t>
  </si>
  <si>
    <t>Budowa kanalizacji sanitarnej we Wrzącej</t>
  </si>
  <si>
    <t>Termomodernizacja obiektów oświatowych i kultury</t>
  </si>
  <si>
    <t>wykup nieruchomości i działek po zmianach w planie</t>
  </si>
  <si>
    <t>przebudowa drogi na ulicy Ogrodowej II etap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</si>
</sst>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9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color indexed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color indexed="10"/>
      <name val="Arial CE"/>
      <family val="2"/>
    </font>
    <font>
      <i/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0" fontId="4" fillId="0" borderId="11" xfId="0" applyFont="1" applyFill="1" applyBorder="1" applyAlignment="1" quotePrefix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indent="1"/>
    </xf>
    <xf numFmtId="0" fontId="2" fillId="33" borderId="11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2" fillId="33" borderId="16" xfId="0" applyFont="1" applyFill="1" applyBorder="1" applyAlignment="1">
      <alignment horizontal="left" vertical="center" wrapText="1" indent="1"/>
    </xf>
    <xf numFmtId="4" fontId="2" fillId="33" borderId="1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 wrapText="1" indent="1"/>
    </xf>
    <xf numFmtId="4" fontId="8" fillId="33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indent="1"/>
    </xf>
    <xf numFmtId="3" fontId="0" fillId="0" borderId="18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5" fillId="1" borderId="10" xfId="0" applyFont="1" applyFill="1" applyBorder="1" applyAlignment="1">
      <alignment horizontal="center" vertical="center"/>
    </xf>
    <xf numFmtId="0" fontId="5" fillId="1" borderId="10" xfId="0" applyFont="1" applyFill="1" applyBorder="1" applyAlignment="1">
      <alignment horizontal="left" vertical="center" indent="1"/>
    </xf>
    <xf numFmtId="3" fontId="10" fillId="1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left" vertical="center"/>
    </xf>
    <xf numFmtId="4" fontId="5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4" fontId="4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/>
    </xf>
    <xf numFmtId="0" fontId="0" fillId="0" borderId="0" xfId="52" applyFont="1" applyAlignment="1">
      <alignment horizontal="left" vertical="center" indent="1"/>
      <protection/>
    </xf>
    <xf numFmtId="0" fontId="0" fillId="0" borderId="0" xfId="52" applyFont="1" applyAlignment="1">
      <alignment horizontal="center" vertical="center"/>
      <protection/>
    </xf>
    <xf numFmtId="0" fontId="10" fillId="0" borderId="0" xfId="52" applyFont="1">
      <alignment/>
      <protection/>
    </xf>
    <xf numFmtId="0" fontId="18" fillId="0" borderId="0" xfId="52" applyFont="1" applyAlignment="1">
      <alignment horizontal="center" vertical="center"/>
      <protection/>
    </xf>
    <xf numFmtId="0" fontId="18" fillId="0" borderId="0" xfId="52" applyFont="1" applyAlignment="1">
      <alignment horizontal="left" vertical="center" indent="1"/>
      <protection/>
    </xf>
    <xf numFmtId="4" fontId="18" fillId="0" borderId="0" xfId="52" applyNumberFormat="1" applyFont="1" applyFill="1" applyAlignment="1">
      <alignment horizontal="right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 quotePrefix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left" vertical="center" wrapText="1" indent="1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0" fontId="3" fillId="0" borderId="10" xfId="52" applyFont="1" applyBorder="1" applyAlignment="1" quotePrefix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left" vertical="center" wrapText="1" indent="1"/>
      <protection/>
    </xf>
    <xf numFmtId="0" fontId="2" fillId="0" borderId="10" xfId="52" applyFont="1" applyBorder="1" applyAlignment="1" quotePrefix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 indent="1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left" vertical="center" wrapText="1" indent="2"/>
      <protection/>
    </xf>
    <xf numFmtId="4" fontId="8" fillId="0" borderId="10" xfId="52" applyNumberFormat="1" applyFont="1" applyFill="1" applyBorder="1" applyAlignment="1">
      <alignment horizontal="right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vertical="center" wrapText="1" indent="2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 quotePrefix="1">
      <alignment horizontal="center" vertical="center" wrapText="1"/>
      <protection/>
    </xf>
    <xf numFmtId="0" fontId="6" fillId="0" borderId="10" xfId="52" applyFont="1" applyBorder="1" applyAlignment="1" quotePrefix="1">
      <alignment horizontal="center" vertical="center" wrapText="1"/>
      <protection/>
    </xf>
    <xf numFmtId="0" fontId="2" fillId="0" borderId="12" xfId="52" applyFont="1" applyBorder="1" applyAlignment="1">
      <alignment horizontal="left" vertical="center" wrapText="1" indent="2"/>
      <protection/>
    </xf>
    <xf numFmtId="0" fontId="2" fillId="0" borderId="10" xfId="52" applyFont="1" applyBorder="1" applyAlignment="1">
      <alignment horizontal="left" vertical="center" inden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2" fillId="0" borderId="10" xfId="52" applyFont="1" applyBorder="1" applyAlignment="1">
      <alignment horizontal="left" vertical="center" wrapText="1" indent="2"/>
      <protection/>
    </xf>
    <xf numFmtId="0" fontId="4" fillId="0" borderId="0" xfId="52" applyFont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4" fontId="8" fillId="34" borderId="10" xfId="52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Alignment="1">
      <alignment/>
    </xf>
    <xf numFmtId="0" fontId="57" fillId="0" borderId="0" xfId="0" applyFont="1" applyFill="1" applyAlignment="1">
      <alignment/>
    </xf>
    <xf numFmtId="4" fontId="58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4" fontId="6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4" fontId="2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4" fontId="2" fillId="0" borderId="11" xfId="0" applyNumberFormat="1" applyFont="1" applyFill="1" applyBorder="1" applyAlignment="1" quotePrefix="1">
      <alignment horizontal="right" vertical="center" wrapText="1"/>
    </xf>
    <xf numFmtId="0" fontId="2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1" xfId="0" applyNumberFormat="1" applyFont="1" applyFill="1" applyBorder="1" applyAlignment="1" quotePrefix="1">
      <alignment horizontal="right" vertical="center" wrapText="1"/>
    </xf>
    <xf numFmtId="3" fontId="21" fillId="0" borderId="18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2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sołtysi 2007 projekt koszulk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4">
      <selection activeCell="G14" sqref="G14"/>
    </sheetView>
  </sheetViews>
  <sheetFormatPr defaultColWidth="9.00390625" defaultRowHeight="12.75"/>
  <cols>
    <col min="1" max="1" width="5.25390625" style="9" customWidth="1"/>
    <col min="2" max="2" width="7.625" style="9" customWidth="1"/>
    <col min="3" max="3" width="5.25390625" style="9" customWidth="1"/>
    <col min="4" max="4" width="49.625" style="9" customWidth="1"/>
    <col min="5" max="5" width="20.25390625" style="38" customWidth="1"/>
    <col min="6" max="6" width="11.25390625" style="30" bestFit="1" customWidth="1"/>
    <col min="7" max="7" width="19.375" style="30" customWidth="1"/>
    <col min="8" max="9" width="11.75390625" style="29" bestFit="1" customWidth="1"/>
    <col min="10" max="10" width="12.75390625" style="29" bestFit="1" customWidth="1"/>
    <col min="11" max="12" width="9.125" style="29" customWidth="1"/>
    <col min="13" max="13" width="10.00390625" style="29" bestFit="1" customWidth="1"/>
  </cols>
  <sheetData>
    <row r="1" spans="1:7" ht="12.75">
      <c r="A1" s="75"/>
      <c r="B1" s="75"/>
      <c r="C1" s="75"/>
      <c r="D1" s="75"/>
      <c r="E1" s="76" t="s">
        <v>201</v>
      </c>
      <c r="F1" s="123"/>
      <c r="G1" s="123"/>
    </row>
    <row r="2" spans="1:7" ht="12.75">
      <c r="A2" s="75"/>
      <c r="B2" s="75"/>
      <c r="C2" s="75"/>
      <c r="D2" s="75"/>
      <c r="E2" s="76" t="s">
        <v>249</v>
      </c>
      <c r="F2" s="123"/>
      <c r="G2" s="123"/>
    </row>
    <row r="3" spans="1:7" ht="12.75">
      <c r="A3" s="75"/>
      <c r="B3" s="75"/>
      <c r="C3" s="75"/>
      <c r="D3" s="75"/>
      <c r="E3" s="76" t="s">
        <v>155</v>
      </c>
      <c r="F3" s="123"/>
      <c r="G3" s="123"/>
    </row>
    <row r="4" spans="1:7" ht="12.75">
      <c r="A4" s="75"/>
      <c r="B4" s="75"/>
      <c r="C4" s="75"/>
      <c r="D4" s="75"/>
      <c r="E4" s="76" t="s">
        <v>250</v>
      </c>
      <c r="F4" s="123"/>
      <c r="G4" s="123"/>
    </row>
    <row r="5" spans="1:7" ht="18.75" customHeight="1">
      <c r="A5" s="217" t="s">
        <v>334</v>
      </c>
      <c r="B5" s="217"/>
      <c r="C5" s="217"/>
      <c r="D5" s="217"/>
      <c r="E5" s="217"/>
      <c r="F5" s="219"/>
      <c r="G5" s="219"/>
    </row>
    <row r="6" spans="1:13" s="9" customFormat="1" ht="24.75" customHeight="1">
      <c r="A6" s="7" t="s">
        <v>0</v>
      </c>
      <c r="B6" s="6" t="s">
        <v>1</v>
      </c>
      <c r="C6" s="28" t="s">
        <v>2</v>
      </c>
      <c r="D6" s="7" t="s">
        <v>3</v>
      </c>
      <c r="E6" s="10" t="s">
        <v>147</v>
      </c>
      <c r="F6" s="220"/>
      <c r="G6" s="220"/>
      <c r="H6" s="31"/>
      <c r="I6" s="31"/>
      <c r="J6" s="31"/>
      <c r="K6" s="31"/>
      <c r="L6" s="31"/>
      <c r="M6" s="31"/>
    </row>
    <row r="7" spans="1:13" s="9" customFormat="1" ht="24" customHeight="1">
      <c r="A7" s="121" t="s">
        <v>4</v>
      </c>
      <c r="B7" s="6"/>
      <c r="C7" s="28"/>
      <c r="D7" s="196" t="s">
        <v>5</v>
      </c>
      <c r="E7" s="21">
        <f>SUM(E8)</f>
        <v>239800</v>
      </c>
      <c r="F7" s="221"/>
      <c r="G7" s="221"/>
      <c r="H7" s="31"/>
      <c r="I7" s="31"/>
      <c r="J7" s="31"/>
      <c r="K7" s="31"/>
      <c r="L7" s="31"/>
      <c r="M7" s="31"/>
    </row>
    <row r="8" spans="1:13" s="32" customFormat="1" ht="24" customHeight="1">
      <c r="A8" s="98"/>
      <c r="B8" s="96" t="s">
        <v>315</v>
      </c>
      <c r="C8" s="100"/>
      <c r="D8" s="197" t="s">
        <v>6</v>
      </c>
      <c r="E8" s="105">
        <f>SUM(E9:E10)</f>
        <v>239800</v>
      </c>
      <c r="F8" s="222"/>
      <c r="G8" s="222"/>
      <c r="H8" s="223"/>
      <c r="I8" s="223"/>
      <c r="J8" s="223"/>
      <c r="K8" s="223"/>
      <c r="L8" s="223"/>
      <c r="M8" s="223"/>
    </row>
    <row r="9" spans="1:13" s="32" customFormat="1" ht="45">
      <c r="A9" s="98"/>
      <c r="B9" s="66"/>
      <c r="C9" s="99" t="s">
        <v>171</v>
      </c>
      <c r="D9" s="97" t="s">
        <v>57</v>
      </c>
      <c r="E9" s="105">
        <f>110000+9800</f>
        <v>119800</v>
      </c>
      <c r="F9" s="222"/>
      <c r="G9" s="222"/>
      <c r="H9" s="223"/>
      <c r="I9" s="223"/>
      <c r="J9" s="223"/>
      <c r="K9" s="223"/>
      <c r="L9" s="223"/>
      <c r="M9" s="224"/>
    </row>
    <row r="10" spans="1:13" s="32" customFormat="1" ht="22.5">
      <c r="A10" s="98"/>
      <c r="B10" s="66"/>
      <c r="C10" s="99" t="s">
        <v>316</v>
      </c>
      <c r="D10" s="97" t="s">
        <v>317</v>
      </c>
      <c r="E10" s="105">
        <v>120000</v>
      </c>
      <c r="F10" s="222"/>
      <c r="G10" s="222"/>
      <c r="H10" s="224"/>
      <c r="I10" s="223"/>
      <c r="J10" s="225"/>
      <c r="K10" s="223"/>
      <c r="L10" s="223"/>
      <c r="M10" s="223"/>
    </row>
    <row r="11" spans="1:13" s="8" customFormat="1" ht="24" customHeight="1">
      <c r="A11" s="40" t="s">
        <v>8</v>
      </c>
      <c r="B11" s="4"/>
      <c r="C11" s="5"/>
      <c r="D11" s="41" t="s">
        <v>9</v>
      </c>
      <c r="E11" s="77">
        <f>SUM(E12,)</f>
        <v>4801700</v>
      </c>
      <c r="F11" s="226"/>
      <c r="G11" s="226"/>
      <c r="H11" s="227"/>
      <c r="I11" s="227"/>
      <c r="J11" s="228"/>
      <c r="K11" s="227"/>
      <c r="L11" s="227"/>
      <c r="M11" s="227"/>
    </row>
    <row r="12" spans="1:13" s="32" customFormat="1" ht="24" customHeight="1">
      <c r="A12" s="92"/>
      <c r="B12" s="93" t="s">
        <v>10</v>
      </c>
      <c r="C12" s="100"/>
      <c r="D12" s="97" t="s">
        <v>158</v>
      </c>
      <c r="E12" s="91">
        <f>SUM(E13:E17)</f>
        <v>4801700</v>
      </c>
      <c r="F12" s="123"/>
      <c r="G12" s="123"/>
      <c r="H12" s="223"/>
      <c r="I12" s="223"/>
      <c r="J12" s="223"/>
      <c r="K12" s="223"/>
      <c r="L12" s="223"/>
      <c r="M12" s="223"/>
    </row>
    <row r="13" spans="1:13" s="32" customFormat="1" ht="24" customHeight="1">
      <c r="A13" s="92"/>
      <c r="B13" s="66"/>
      <c r="C13" s="99" t="s">
        <v>170</v>
      </c>
      <c r="D13" s="97" t="s">
        <v>232</v>
      </c>
      <c r="E13" s="91">
        <v>140000</v>
      </c>
      <c r="F13" s="123"/>
      <c r="G13" s="123"/>
      <c r="H13" s="223"/>
      <c r="I13" s="223"/>
      <c r="J13" s="223"/>
      <c r="K13" s="223"/>
      <c r="L13" s="223"/>
      <c r="M13" s="223"/>
    </row>
    <row r="14" spans="1:13" s="32" customFormat="1" ht="45">
      <c r="A14" s="92"/>
      <c r="B14" s="66"/>
      <c r="C14" s="94" t="s">
        <v>171</v>
      </c>
      <c r="D14" s="97" t="s">
        <v>57</v>
      </c>
      <c r="E14" s="91">
        <f>16000+82000+8000+4000+1420000+280000</f>
        <v>1810000</v>
      </c>
      <c r="F14" s="123"/>
      <c r="G14" s="123"/>
      <c r="H14" s="223"/>
      <c r="I14" s="223"/>
      <c r="J14" s="223"/>
      <c r="K14" s="223"/>
      <c r="L14" s="223"/>
      <c r="M14" s="223"/>
    </row>
    <row r="15" spans="1:13" s="32" customFormat="1" ht="33.75">
      <c r="A15" s="92"/>
      <c r="B15" s="66"/>
      <c r="C15" s="94" t="s">
        <v>252</v>
      </c>
      <c r="D15" s="97" t="s">
        <v>326</v>
      </c>
      <c r="E15" s="91">
        <v>30000</v>
      </c>
      <c r="F15" s="123"/>
      <c r="G15" s="123"/>
      <c r="H15" s="224"/>
      <c r="I15" s="223"/>
      <c r="J15" s="223"/>
      <c r="K15" s="223"/>
      <c r="L15" s="223"/>
      <c r="M15" s="223"/>
    </row>
    <row r="16" spans="1:13" s="32" customFormat="1" ht="24" customHeight="1">
      <c r="A16" s="92"/>
      <c r="B16" s="66"/>
      <c r="C16" s="94" t="s">
        <v>316</v>
      </c>
      <c r="D16" s="97" t="s">
        <v>317</v>
      </c>
      <c r="E16" s="91">
        <f>402400+486700+1308000+400000+164600+50000</f>
        <v>2811700</v>
      </c>
      <c r="F16" s="123"/>
      <c r="G16" s="123"/>
      <c r="H16" s="224"/>
      <c r="I16" s="223"/>
      <c r="J16" s="223"/>
      <c r="K16" s="223"/>
      <c r="L16" s="223"/>
      <c r="M16" s="223"/>
    </row>
    <row r="17" spans="1:13" s="32" customFormat="1" ht="21.75" customHeight="1">
      <c r="A17" s="92"/>
      <c r="B17" s="66"/>
      <c r="C17" s="94" t="s">
        <v>172</v>
      </c>
      <c r="D17" s="97" t="s">
        <v>11</v>
      </c>
      <c r="E17" s="91">
        <v>10000</v>
      </c>
      <c r="F17" s="123"/>
      <c r="G17" s="123"/>
      <c r="H17" s="223"/>
      <c r="I17" s="223"/>
      <c r="J17" s="223"/>
      <c r="K17" s="223"/>
      <c r="L17" s="223"/>
      <c r="M17" s="223"/>
    </row>
    <row r="18" spans="1:13" s="8" customFormat="1" ht="24" customHeight="1">
      <c r="A18" s="40" t="s">
        <v>15</v>
      </c>
      <c r="B18" s="4"/>
      <c r="C18" s="5"/>
      <c r="D18" s="41" t="s">
        <v>16</v>
      </c>
      <c r="E18" s="77">
        <f>SUM(E19,E22)</f>
        <v>172350</v>
      </c>
      <c r="F18" s="226"/>
      <c r="G18" s="226"/>
      <c r="H18" s="227"/>
      <c r="I18" s="227"/>
      <c r="J18" s="227"/>
      <c r="K18" s="227"/>
      <c r="L18" s="227"/>
      <c r="M18" s="227"/>
    </row>
    <row r="19" spans="1:13" s="32" customFormat="1" ht="24" customHeight="1">
      <c r="A19" s="92"/>
      <c r="B19" s="93">
        <v>75011</v>
      </c>
      <c r="C19" s="100"/>
      <c r="D19" s="97" t="s">
        <v>17</v>
      </c>
      <c r="E19" s="91">
        <f>SUM(E20:E21)</f>
        <v>160350</v>
      </c>
      <c r="F19" s="123"/>
      <c r="G19" s="123"/>
      <c r="H19" s="223"/>
      <c r="I19" s="223"/>
      <c r="J19" s="223"/>
      <c r="K19" s="223"/>
      <c r="L19" s="223"/>
      <c r="M19" s="223"/>
    </row>
    <row r="20" spans="1:13" s="32" customFormat="1" ht="33.75">
      <c r="A20" s="92"/>
      <c r="B20" s="66"/>
      <c r="C20" s="94">
        <v>2010</v>
      </c>
      <c r="D20" s="97" t="s">
        <v>233</v>
      </c>
      <c r="E20" s="105">
        <v>156600</v>
      </c>
      <c r="F20" s="222"/>
      <c r="G20" s="222"/>
      <c r="H20" s="224"/>
      <c r="I20" s="223"/>
      <c r="J20" s="223"/>
      <c r="K20" s="223"/>
      <c r="L20" s="223"/>
      <c r="M20" s="223"/>
    </row>
    <row r="21" spans="1:13" s="32" customFormat="1" ht="33.75">
      <c r="A21" s="92"/>
      <c r="B21" s="66"/>
      <c r="C21" s="94">
        <v>2360</v>
      </c>
      <c r="D21" s="97" t="s">
        <v>196</v>
      </c>
      <c r="E21" s="91">
        <v>3750</v>
      </c>
      <c r="F21" s="123"/>
      <c r="G21" s="222"/>
      <c r="H21" s="223"/>
      <c r="I21" s="223"/>
      <c r="J21" s="223"/>
      <c r="K21" s="223"/>
      <c r="L21" s="223"/>
      <c r="M21" s="223"/>
    </row>
    <row r="22" spans="1:13" s="32" customFormat="1" ht="24" customHeight="1">
      <c r="A22" s="92"/>
      <c r="B22" s="66">
        <v>75023</v>
      </c>
      <c r="C22" s="94"/>
      <c r="D22" s="50" t="s">
        <v>19</v>
      </c>
      <c r="E22" s="91">
        <f>SUM(E23)</f>
        <v>12000</v>
      </c>
      <c r="F22" s="123"/>
      <c r="G22" s="123"/>
      <c r="H22" s="223"/>
      <c r="I22" s="223"/>
      <c r="J22" s="223"/>
      <c r="K22" s="223"/>
      <c r="L22" s="223"/>
      <c r="M22" s="223"/>
    </row>
    <row r="23" spans="1:13" s="32" customFormat="1" ht="21.75" customHeight="1">
      <c r="A23" s="92"/>
      <c r="B23" s="66"/>
      <c r="C23" s="94" t="s">
        <v>173</v>
      </c>
      <c r="D23" s="97" t="s">
        <v>12</v>
      </c>
      <c r="E23" s="91">
        <f>8250+3750</f>
        <v>12000</v>
      </c>
      <c r="F23" s="123"/>
      <c r="G23" s="123"/>
      <c r="H23" s="223"/>
      <c r="I23" s="223"/>
      <c r="J23" s="223"/>
      <c r="K23" s="223"/>
      <c r="L23" s="223"/>
      <c r="M23" s="223"/>
    </row>
    <row r="24" spans="1:13" s="8" customFormat="1" ht="24">
      <c r="A24" s="40">
        <v>751</v>
      </c>
      <c r="B24" s="6"/>
      <c r="C24" s="28"/>
      <c r="D24" s="41" t="s">
        <v>20</v>
      </c>
      <c r="E24" s="77">
        <f>SUM(E25)</f>
        <v>3910</v>
      </c>
      <c r="F24" s="226"/>
      <c r="G24" s="226"/>
      <c r="H24" s="227"/>
      <c r="I24" s="227"/>
      <c r="J24" s="227"/>
      <c r="K24" s="227"/>
      <c r="L24" s="227"/>
      <c r="M24" s="227"/>
    </row>
    <row r="25" spans="1:13" s="32" customFormat="1" ht="22.5">
      <c r="A25" s="98"/>
      <c r="B25" s="93">
        <v>75101</v>
      </c>
      <c r="C25" s="100"/>
      <c r="D25" s="97" t="s">
        <v>21</v>
      </c>
      <c r="E25" s="91">
        <f>SUM(E26)</f>
        <v>3910</v>
      </c>
      <c r="F25" s="123"/>
      <c r="G25" s="123"/>
      <c r="H25" s="223"/>
      <c r="I25" s="223"/>
      <c r="J25" s="223"/>
      <c r="K25" s="223"/>
      <c r="L25" s="223"/>
      <c r="M25" s="223"/>
    </row>
    <row r="26" spans="1:13" s="32" customFormat="1" ht="33.75">
      <c r="A26" s="98"/>
      <c r="B26" s="93"/>
      <c r="C26" s="100">
        <v>2010</v>
      </c>
      <c r="D26" s="97" t="s">
        <v>233</v>
      </c>
      <c r="E26" s="91">
        <v>3910</v>
      </c>
      <c r="F26" s="123"/>
      <c r="G26" s="123"/>
      <c r="H26" s="224"/>
      <c r="I26" s="223"/>
      <c r="J26" s="223"/>
      <c r="K26" s="223"/>
      <c r="L26" s="223"/>
      <c r="M26" s="223"/>
    </row>
    <row r="27" spans="1:13" s="8" customFormat="1" ht="30" customHeight="1">
      <c r="A27" s="40" t="s">
        <v>22</v>
      </c>
      <c r="B27" s="4"/>
      <c r="C27" s="5"/>
      <c r="D27" s="41" t="s">
        <v>23</v>
      </c>
      <c r="E27" s="77">
        <f>SUM(E28)</f>
        <v>5500</v>
      </c>
      <c r="F27" s="226"/>
      <c r="G27" s="226"/>
      <c r="H27" s="227"/>
      <c r="I27" s="227"/>
      <c r="J27" s="227"/>
      <c r="K27" s="227"/>
      <c r="L27" s="227"/>
      <c r="M27" s="227"/>
    </row>
    <row r="28" spans="1:13" s="32" customFormat="1" ht="24" customHeight="1">
      <c r="A28" s="98"/>
      <c r="B28" s="93" t="s">
        <v>24</v>
      </c>
      <c r="C28" s="100"/>
      <c r="D28" s="97" t="s">
        <v>25</v>
      </c>
      <c r="E28" s="91">
        <f>SUM(E29:E30)</f>
        <v>5500</v>
      </c>
      <c r="F28" s="123"/>
      <c r="G28" s="123"/>
      <c r="H28" s="223"/>
      <c r="I28" s="223"/>
      <c r="J28" s="223"/>
      <c r="K28" s="223"/>
      <c r="L28" s="223"/>
      <c r="M28" s="223"/>
    </row>
    <row r="29" spans="1:13" s="32" customFormat="1" ht="21.75" customHeight="1">
      <c r="A29" s="98"/>
      <c r="B29" s="66"/>
      <c r="C29" s="94" t="s">
        <v>174</v>
      </c>
      <c r="D29" s="97" t="s">
        <v>26</v>
      </c>
      <c r="E29" s="91">
        <v>5000</v>
      </c>
      <c r="F29" s="123"/>
      <c r="G29" s="123"/>
      <c r="H29" s="223"/>
      <c r="I29" s="223"/>
      <c r="J29" s="223"/>
      <c r="K29" s="223"/>
      <c r="L29" s="223"/>
      <c r="M29" s="223"/>
    </row>
    <row r="30" spans="1:13" s="32" customFormat="1" ht="21.75" customHeight="1">
      <c r="A30" s="98"/>
      <c r="B30" s="66"/>
      <c r="C30" s="94" t="s">
        <v>172</v>
      </c>
      <c r="D30" s="97" t="s">
        <v>11</v>
      </c>
      <c r="E30" s="91">
        <v>500</v>
      </c>
      <c r="F30" s="123"/>
      <c r="G30" s="123"/>
      <c r="H30" s="223"/>
      <c r="I30" s="223"/>
      <c r="J30" s="223"/>
      <c r="K30" s="223"/>
      <c r="L30" s="223"/>
      <c r="M30" s="223"/>
    </row>
    <row r="31" spans="1:13" s="8" customFormat="1" ht="36">
      <c r="A31" s="40" t="s">
        <v>27</v>
      </c>
      <c r="B31" s="4"/>
      <c r="C31" s="5"/>
      <c r="D31" s="41" t="s">
        <v>163</v>
      </c>
      <c r="E31" s="77">
        <f>SUM(E32,E35,E42,E51,E56,)</f>
        <v>23034971</v>
      </c>
      <c r="F31" s="226"/>
      <c r="G31" s="226"/>
      <c r="H31" s="227"/>
      <c r="I31" s="227"/>
      <c r="J31" s="227"/>
      <c r="K31" s="227"/>
      <c r="L31" s="227"/>
      <c r="M31" s="227"/>
    </row>
    <row r="32" spans="1:13" s="32" customFormat="1" ht="24" customHeight="1">
      <c r="A32" s="92"/>
      <c r="B32" s="66">
        <v>75601</v>
      </c>
      <c r="C32" s="100"/>
      <c r="D32" s="97" t="s">
        <v>29</v>
      </c>
      <c r="E32" s="91">
        <f>SUM(E33:E34)</f>
        <v>52500</v>
      </c>
      <c r="F32" s="123"/>
      <c r="G32" s="123"/>
      <c r="H32" s="223"/>
      <c r="I32" s="223"/>
      <c r="J32" s="223"/>
      <c r="K32" s="223"/>
      <c r="L32" s="223"/>
      <c r="M32" s="223"/>
    </row>
    <row r="33" spans="1:13" s="32" customFormat="1" ht="24" customHeight="1">
      <c r="A33" s="92"/>
      <c r="B33" s="66"/>
      <c r="C33" s="99" t="s">
        <v>175</v>
      </c>
      <c r="D33" s="97" t="s">
        <v>30</v>
      </c>
      <c r="E33" s="91">
        <v>50000</v>
      </c>
      <c r="F33" s="123"/>
      <c r="G33" s="123"/>
      <c r="H33" s="223"/>
      <c r="I33" s="223"/>
      <c r="J33" s="223"/>
      <c r="K33" s="223"/>
      <c r="L33" s="223"/>
      <c r="M33" s="223"/>
    </row>
    <row r="34" spans="1:13" s="32" customFormat="1" ht="24" customHeight="1">
      <c r="A34" s="92"/>
      <c r="B34" s="66"/>
      <c r="C34" s="99" t="s">
        <v>176</v>
      </c>
      <c r="D34" s="97" t="s">
        <v>37</v>
      </c>
      <c r="E34" s="91">
        <v>2500</v>
      </c>
      <c r="F34" s="123"/>
      <c r="G34" s="123"/>
      <c r="H34" s="223"/>
      <c r="I34" s="223"/>
      <c r="J34" s="223"/>
      <c r="K34" s="223"/>
      <c r="L34" s="223"/>
      <c r="M34" s="223"/>
    </row>
    <row r="35" spans="1:13" s="32" customFormat="1" ht="33.75">
      <c r="A35" s="92"/>
      <c r="B35" s="93" t="s">
        <v>31</v>
      </c>
      <c r="C35" s="100"/>
      <c r="D35" s="97" t="s">
        <v>207</v>
      </c>
      <c r="E35" s="91">
        <f>SUM(E36:E41)</f>
        <v>7208496</v>
      </c>
      <c r="F35" s="123"/>
      <c r="G35" s="123"/>
      <c r="H35" s="223"/>
      <c r="I35" s="223"/>
      <c r="J35" s="223"/>
      <c r="K35" s="223"/>
      <c r="L35" s="223"/>
      <c r="M35" s="223"/>
    </row>
    <row r="36" spans="1:13" s="32" customFormat="1" ht="21.75" customHeight="1">
      <c r="A36" s="92"/>
      <c r="B36" s="93"/>
      <c r="C36" s="94" t="s">
        <v>177</v>
      </c>
      <c r="D36" s="97" t="s">
        <v>32</v>
      </c>
      <c r="E36" s="91">
        <v>6458259</v>
      </c>
      <c r="F36" s="123"/>
      <c r="G36" s="123"/>
      <c r="H36" s="223"/>
      <c r="I36" s="223"/>
      <c r="J36" s="223"/>
      <c r="K36" s="223"/>
      <c r="L36" s="223"/>
      <c r="M36" s="223"/>
    </row>
    <row r="37" spans="1:13" s="32" customFormat="1" ht="21.75" customHeight="1">
      <c r="A37" s="92"/>
      <c r="B37" s="93"/>
      <c r="C37" s="94" t="s">
        <v>178</v>
      </c>
      <c r="D37" s="97" t="s">
        <v>33</v>
      </c>
      <c r="E37" s="91">
        <v>25000</v>
      </c>
      <c r="F37" s="123"/>
      <c r="G37" s="123"/>
      <c r="H37" s="223"/>
      <c r="I37" s="223"/>
      <c r="J37" s="223"/>
      <c r="K37" s="223"/>
      <c r="L37" s="223"/>
      <c r="M37" s="223"/>
    </row>
    <row r="38" spans="1:13" s="32" customFormat="1" ht="21.75" customHeight="1">
      <c r="A38" s="92"/>
      <c r="B38" s="93"/>
      <c r="C38" s="94" t="s">
        <v>179</v>
      </c>
      <c r="D38" s="97" t="s">
        <v>34</v>
      </c>
      <c r="E38" s="91">
        <v>350823</v>
      </c>
      <c r="F38" s="123"/>
      <c r="G38" s="123"/>
      <c r="H38" s="223"/>
      <c r="I38" s="223"/>
      <c r="J38" s="223"/>
      <c r="K38" s="223"/>
      <c r="L38" s="223"/>
      <c r="M38" s="223"/>
    </row>
    <row r="39" spans="1:13" s="32" customFormat="1" ht="21.75" customHeight="1">
      <c r="A39" s="92"/>
      <c r="B39" s="93"/>
      <c r="C39" s="94" t="s">
        <v>180</v>
      </c>
      <c r="D39" s="97" t="s">
        <v>35</v>
      </c>
      <c r="E39" s="91">
        <f>65000+20000</f>
        <v>85000</v>
      </c>
      <c r="F39" s="123"/>
      <c r="G39" s="123"/>
      <c r="H39" s="223"/>
      <c r="I39" s="223"/>
      <c r="J39" s="223"/>
      <c r="K39" s="223"/>
      <c r="L39" s="223"/>
      <c r="M39" s="223"/>
    </row>
    <row r="40" spans="1:13" s="32" customFormat="1" ht="24" customHeight="1">
      <c r="A40" s="92"/>
      <c r="B40" s="93"/>
      <c r="C40" s="89" t="s">
        <v>176</v>
      </c>
      <c r="D40" s="86" t="s">
        <v>219</v>
      </c>
      <c r="E40" s="101">
        <v>25000</v>
      </c>
      <c r="F40" s="229"/>
      <c r="G40" s="123"/>
      <c r="H40" s="223"/>
      <c r="I40" s="223"/>
      <c r="J40" s="223"/>
      <c r="K40" s="223"/>
      <c r="L40" s="223"/>
      <c r="M40" s="223"/>
    </row>
    <row r="41" spans="1:13" s="32" customFormat="1" ht="24" customHeight="1">
      <c r="A41" s="92"/>
      <c r="B41" s="93"/>
      <c r="C41" s="94">
        <v>2680</v>
      </c>
      <c r="D41" s="97" t="s">
        <v>327</v>
      </c>
      <c r="E41" s="91">
        <v>264414</v>
      </c>
      <c r="F41" s="123"/>
      <c r="G41" s="123"/>
      <c r="H41" s="223"/>
      <c r="I41" s="223"/>
      <c r="J41" s="223"/>
      <c r="K41" s="224"/>
      <c r="L41" s="223"/>
      <c r="M41" s="223"/>
    </row>
    <row r="42" spans="1:13" s="32" customFormat="1" ht="33.75">
      <c r="A42" s="92"/>
      <c r="B42" s="93">
        <v>75616</v>
      </c>
      <c r="C42" s="94"/>
      <c r="D42" s="97" t="s">
        <v>450</v>
      </c>
      <c r="E42" s="91">
        <f>SUM(E43:E50)</f>
        <v>4073240</v>
      </c>
      <c r="F42" s="123"/>
      <c r="G42" s="123"/>
      <c r="H42" s="223"/>
      <c r="I42" s="223"/>
      <c r="J42" s="223"/>
      <c r="K42" s="223"/>
      <c r="L42" s="223"/>
      <c r="M42" s="223"/>
    </row>
    <row r="43" spans="1:13" s="32" customFormat="1" ht="21.75" customHeight="1">
      <c r="A43" s="92"/>
      <c r="B43" s="93"/>
      <c r="C43" s="94" t="s">
        <v>177</v>
      </c>
      <c r="D43" s="97" t="s">
        <v>32</v>
      </c>
      <c r="E43" s="91">
        <v>2447240</v>
      </c>
      <c r="F43" s="123"/>
      <c r="G43" s="123"/>
      <c r="H43" s="223"/>
      <c r="I43" s="223"/>
      <c r="J43" s="223"/>
      <c r="K43" s="223"/>
      <c r="L43" s="223"/>
      <c r="M43" s="223"/>
    </row>
    <row r="44" spans="1:13" s="32" customFormat="1" ht="21.75" customHeight="1">
      <c r="A44" s="92"/>
      <c r="B44" s="93"/>
      <c r="C44" s="94" t="s">
        <v>178</v>
      </c>
      <c r="D44" s="97" t="s">
        <v>33</v>
      </c>
      <c r="E44" s="91">
        <v>575000</v>
      </c>
      <c r="F44" s="123"/>
      <c r="G44" s="123"/>
      <c r="H44" s="223"/>
      <c r="I44" s="223"/>
      <c r="J44" s="223"/>
      <c r="K44" s="223"/>
      <c r="L44" s="223"/>
      <c r="M44" s="223"/>
    </row>
    <row r="45" spans="1:13" s="32" customFormat="1" ht="21.75" customHeight="1">
      <c r="A45" s="92"/>
      <c r="B45" s="93"/>
      <c r="C45" s="94" t="s">
        <v>179</v>
      </c>
      <c r="D45" s="97" t="s">
        <v>34</v>
      </c>
      <c r="E45" s="91">
        <v>9000</v>
      </c>
      <c r="F45" s="123"/>
      <c r="G45" s="123"/>
      <c r="H45" s="223"/>
      <c r="I45" s="223"/>
      <c r="J45" s="223"/>
      <c r="K45" s="223"/>
      <c r="L45" s="223"/>
      <c r="M45" s="223"/>
    </row>
    <row r="46" spans="1:13" s="32" customFormat="1" ht="21.75" customHeight="1">
      <c r="A46" s="92"/>
      <c r="B46" s="93"/>
      <c r="C46" s="94" t="s">
        <v>180</v>
      </c>
      <c r="D46" s="97" t="s">
        <v>35</v>
      </c>
      <c r="E46" s="91">
        <f>160000+60000</f>
        <v>220000</v>
      </c>
      <c r="F46" s="123"/>
      <c r="G46" s="123"/>
      <c r="H46" s="223"/>
      <c r="I46" s="223"/>
      <c r="J46" s="223"/>
      <c r="K46" s="223"/>
      <c r="L46" s="223"/>
      <c r="M46" s="223"/>
    </row>
    <row r="47" spans="1:13" s="32" customFormat="1" ht="21.75" customHeight="1">
      <c r="A47" s="92"/>
      <c r="B47" s="93"/>
      <c r="C47" s="94" t="s">
        <v>405</v>
      </c>
      <c r="D47" s="97" t="s">
        <v>406</v>
      </c>
      <c r="E47" s="91">
        <v>2000</v>
      </c>
      <c r="F47" s="123"/>
      <c r="G47" s="123"/>
      <c r="H47" s="223"/>
      <c r="I47" s="223"/>
      <c r="J47" s="223"/>
      <c r="K47" s="223"/>
      <c r="L47" s="223"/>
      <c r="M47" s="223"/>
    </row>
    <row r="48" spans="1:13" s="32" customFormat="1" ht="21.75" customHeight="1">
      <c r="A48" s="92"/>
      <c r="B48" s="93"/>
      <c r="C48" s="94" t="s">
        <v>181</v>
      </c>
      <c r="D48" s="97" t="s">
        <v>38</v>
      </c>
      <c r="E48" s="91">
        <v>70000</v>
      </c>
      <c r="F48" s="123"/>
      <c r="G48" s="123"/>
      <c r="H48" s="223"/>
      <c r="I48" s="223"/>
      <c r="J48" s="223"/>
      <c r="K48" s="223"/>
      <c r="L48" s="223"/>
      <c r="M48" s="223"/>
    </row>
    <row r="49" spans="1:13" s="32" customFormat="1" ht="21.75" customHeight="1">
      <c r="A49" s="92"/>
      <c r="B49" s="93"/>
      <c r="C49" s="94" t="s">
        <v>183</v>
      </c>
      <c r="D49" s="97" t="s">
        <v>39</v>
      </c>
      <c r="E49" s="91">
        <v>700000</v>
      </c>
      <c r="F49" s="123"/>
      <c r="G49" s="123"/>
      <c r="H49" s="223"/>
      <c r="I49" s="223"/>
      <c r="J49" s="223"/>
      <c r="K49" s="223"/>
      <c r="L49" s="223"/>
      <c r="M49" s="223"/>
    </row>
    <row r="50" spans="1:13" s="32" customFormat="1" ht="24" customHeight="1">
      <c r="A50" s="92"/>
      <c r="B50" s="93"/>
      <c r="C50" s="94" t="s">
        <v>176</v>
      </c>
      <c r="D50" s="97" t="s">
        <v>219</v>
      </c>
      <c r="E50" s="91">
        <v>50000</v>
      </c>
      <c r="F50" s="123"/>
      <c r="G50" s="123"/>
      <c r="H50" s="223"/>
      <c r="I50" s="223"/>
      <c r="J50" s="223"/>
      <c r="K50" s="223"/>
      <c r="L50" s="223"/>
      <c r="M50" s="223"/>
    </row>
    <row r="51" spans="1:13" s="32" customFormat="1" ht="22.5">
      <c r="A51" s="92"/>
      <c r="B51" s="93" t="s">
        <v>40</v>
      </c>
      <c r="C51" s="100"/>
      <c r="D51" s="97" t="s">
        <v>41</v>
      </c>
      <c r="E51" s="91">
        <f>SUM(E52:E55)</f>
        <v>670000</v>
      </c>
      <c r="F51" s="123"/>
      <c r="G51" s="123"/>
      <c r="H51" s="223"/>
      <c r="I51" s="223"/>
      <c r="J51" s="223"/>
      <c r="K51" s="223"/>
      <c r="L51" s="223"/>
      <c r="M51" s="223"/>
    </row>
    <row r="52" spans="1:13" s="32" customFormat="1" ht="21.75" customHeight="1">
      <c r="A52" s="92"/>
      <c r="B52" s="93"/>
      <c r="C52" s="94" t="s">
        <v>184</v>
      </c>
      <c r="D52" s="97" t="s">
        <v>42</v>
      </c>
      <c r="E52" s="91">
        <v>120000</v>
      </c>
      <c r="F52" s="123"/>
      <c r="G52" s="123"/>
      <c r="H52" s="223"/>
      <c r="I52" s="223"/>
      <c r="J52" s="223"/>
      <c r="K52" s="223"/>
      <c r="L52" s="223"/>
      <c r="M52" s="223"/>
    </row>
    <row r="53" spans="1:13" s="32" customFormat="1" ht="21.75" customHeight="1">
      <c r="A53" s="92"/>
      <c r="B53" s="93"/>
      <c r="C53" s="94" t="s">
        <v>182</v>
      </c>
      <c r="D53" s="97" t="s">
        <v>36</v>
      </c>
      <c r="E53" s="91">
        <v>20000</v>
      </c>
      <c r="F53" s="123"/>
      <c r="G53" s="123"/>
      <c r="H53" s="223"/>
      <c r="I53" s="223"/>
      <c r="J53" s="223"/>
      <c r="K53" s="223"/>
      <c r="L53" s="223"/>
      <c r="M53" s="223"/>
    </row>
    <row r="54" spans="1:13" s="32" customFormat="1" ht="24" customHeight="1">
      <c r="A54" s="92"/>
      <c r="B54" s="93"/>
      <c r="C54" s="94" t="s">
        <v>188</v>
      </c>
      <c r="D54" s="97" t="s">
        <v>251</v>
      </c>
      <c r="E54" s="91">
        <v>330000</v>
      </c>
      <c r="F54" s="123"/>
      <c r="G54" s="123"/>
      <c r="H54" s="223"/>
      <c r="I54" s="223"/>
      <c r="J54" s="223"/>
      <c r="K54" s="223"/>
      <c r="L54" s="223"/>
      <c r="M54" s="223"/>
    </row>
    <row r="55" spans="1:13" s="32" customFormat="1" ht="22.5">
      <c r="A55" s="92"/>
      <c r="B55" s="93"/>
      <c r="C55" s="94" t="s">
        <v>169</v>
      </c>
      <c r="D55" s="97" t="s">
        <v>7</v>
      </c>
      <c r="E55" s="91">
        <f>170000+30000</f>
        <v>200000</v>
      </c>
      <c r="F55" s="123"/>
      <c r="G55" s="123"/>
      <c r="H55" s="223"/>
      <c r="I55" s="223"/>
      <c r="J55" s="223"/>
      <c r="K55" s="223"/>
      <c r="L55" s="223"/>
      <c r="M55" s="223"/>
    </row>
    <row r="56" spans="1:13" s="32" customFormat="1" ht="24" customHeight="1">
      <c r="A56" s="92"/>
      <c r="B56" s="93" t="s">
        <v>43</v>
      </c>
      <c r="C56" s="100"/>
      <c r="D56" s="97" t="s">
        <v>44</v>
      </c>
      <c r="E56" s="91">
        <f>SUM(E57:E58)</f>
        <v>11030735</v>
      </c>
      <c r="F56" s="123"/>
      <c r="G56" s="123"/>
      <c r="H56" s="223"/>
      <c r="I56" s="223"/>
      <c r="J56" s="223"/>
      <c r="K56" s="223"/>
      <c r="L56" s="223"/>
      <c r="M56" s="223"/>
    </row>
    <row r="57" spans="1:13" s="32" customFormat="1" ht="21.75" customHeight="1">
      <c r="A57" s="92"/>
      <c r="B57" s="93"/>
      <c r="C57" s="94" t="s">
        <v>185</v>
      </c>
      <c r="D57" s="97" t="s">
        <v>45</v>
      </c>
      <c r="E57" s="91">
        <v>10030735</v>
      </c>
      <c r="F57" s="123"/>
      <c r="G57" s="123"/>
      <c r="H57" s="223"/>
      <c r="I57" s="223"/>
      <c r="J57" s="223"/>
      <c r="K57" s="223"/>
      <c r="L57" s="223"/>
      <c r="M57" s="223"/>
    </row>
    <row r="58" spans="1:13" s="32" customFormat="1" ht="21.75" customHeight="1">
      <c r="A58" s="92"/>
      <c r="B58" s="93"/>
      <c r="C58" s="94" t="s">
        <v>186</v>
      </c>
      <c r="D58" s="97" t="s">
        <v>46</v>
      </c>
      <c r="E58" s="91">
        <v>1000000</v>
      </c>
      <c r="F58" s="123"/>
      <c r="G58" s="123"/>
      <c r="H58" s="223"/>
      <c r="I58" s="223"/>
      <c r="J58" s="223"/>
      <c r="K58" s="223"/>
      <c r="L58" s="223"/>
      <c r="M58" s="223"/>
    </row>
    <row r="59" spans="1:13" s="8" customFormat="1" ht="24" customHeight="1">
      <c r="A59" s="40" t="s">
        <v>47</v>
      </c>
      <c r="B59" s="4"/>
      <c r="C59" s="5"/>
      <c r="D59" s="41" t="s">
        <v>48</v>
      </c>
      <c r="E59" s="77">
        <f>SUM(E60,E62,E64,E66)</f>
        <v>19119259</v>
      </c>
      <c r="F59" s="226"/>
      <c r="G59" s="226"/>
      <c r="H59" s="227"/>
      <c r="I59" s="227"/>
      <c r="J59" s="227"/>
      <c r="K59" s="227"/>
      <c r="L59" s="227"/>
      <c r="M59" s="227"/>
    </row>
    <row r="60" spans="1:13" s="32" customFormat="1" ht="24" customHeight="1">
      <c r="A60" s="92"/>
      <c r="B60" s="93" t="s">
        <v>49</v>
      </c>
      <c r="C60" s="100"/>
      <c r="D60" s="97" t="s">
        <v>50</v>
      </c>
      <c r="E60" s="91">
        <f>SUM(E61)</f>
        <v>14073448</v>
      </c>
      <c r="F60" s="123"/>
      <c r="G60" s="123"/>
      <c r="H60" s="223"/>
      <c r="I60" s="223"/>
      <c r="J60" s="223"/>
      <c r="K60" s="223"/>
      <c r="L60" s="223"/>
      <c r="M60" s="223"/>
    </row>
    <row r="61" spans="1:13" s="32" customFormat="1" ht="21.75" customHeight="1">
      <c r="A61" s="92"/>
      <c r="B61" s="93"/>
      <c r="C61" s="94">
        <v>2920</v>
      </c>
      <c r="D61" s="97" t="s">
        <v>51</v>
      </c>
      <c r="E61" s="91">
        <v>14073448</v>
      </c>
      <c r="F61" s="123"/>
      <c r="G61" s="123"/>
      <c r="H61" s="223"/>
      <c r="I61" s="223"/>
      <c r="J61" s="223"/>
      <c r="K61" s="223"/>
      <c r="L61" s="223"/>
      <c r="M61" s="223"/>
    </row>
    <row r="62" spans="1:13" s="32" customFormat="1" ht="21.75" customHeight="1">
      <c r="A62" s="92"/>
      <c r="B62" s="93" t="s">
        <v>198</v>
      </c>
      <c r="C62" s="100"/>
      <c r="D62" s="97" t="s">
        <v>197</v>
      </c>
      <c r="E62" s="91">
        <f>SUM(E63)</f>
        <v>4225670</v>
      </c>
      <c r="F62" s="123"/>
      <c r="G62" s="123"/>
      <c r="H62" s="223"/>
      <c r="I62" s="223"/>
      <c r="J62" s="223"/>
      <c r="K62" s="223"/>
      <c r="L62" s="223"/>
      <c r="M62" s="223"/>
    </row>
    <row r="63" spans="1:13" s="32" customFormat="1" ht="21.75" customHeight="1">
      <c r="A63" s="92"/>
      <c r="B63" s="93"/>
      <c r="C63" s="94">
        <v>2920</v>
      </c>
      <c r="D63" s="97" t="s">
        <v>51</v>
      </c>
      <c r="E63" s="91">
        <v>4225670</v>
      </c>
      <c r="F63" s="123"/>
      <c r="G63" s="123"/>
      <c r="H63" s="223"/>
      <c r="I63" s="223"/>
      <c r="J63" s="223"/>
      <c r="K63" s="223"/>
      <c r="L63" s="223"/>
      <c r="M63" s="223"/>
    </row>
    <row r="64" spans="1:13" s="32" customFormat="1" ht="21" customHeight="1">
      <c r="A64" s="92"/>
      <c r="B64" s="93">
        <v>75814</v>
      </c>
      <c r="C64" s="100"/>
      <c r="D64" s="97" t="s">
        <v>52</v>
      </c>
      <c r="E64" s="91">
        <f>SUM(E65)</f>
        <v>50000</v>
      </c>
      <c r="F64" s="123"/>
      <c r="G64" s="123"/>
      <c r="H64" s="223"/>
      <c r="I64" s="223"/>
      <c r="J64" s="223"/>
      <c r="K64" s="223"/>
      <c r="L64" s="223"/>
      <c r="M64" s="223"/>
    </row>
    <row r="65" spans="1:13" s="32" customFormat="1" ht="21.75" customHeight="1">
      <c r="A65" s="92"/>
      <c r="B65" s="93"/>
      <c r="C65" s="94" t="s">
        <v>172</v>
      </c>
      <c r="D65" s="97" t="s">
        <v>11</v>
      </c>
      <c r="E65" s="91">
        <v>50000</v>
      </c>
      <c r="F65" s="123"/>
      <c r="G65" s="123"/>
      <c r="H65" s="223"/>
      <c r="I65" s="223"/>
      <c r="J65" s="223"/>
      <c r="K65" s="223"/>
      <c r="L65" s="223"/>
      <c r="M65" s="223"/>
    </row>
    <row r="66" spans="1:13" s="32" customFormat="1" ht="20.25" customHeight="1">
      <c r="A66" s="92"/>
      <c r="B66" s="93" t="s">
        <v>236</v>
      </c>
      <c r="C66" s="100"/>
      <c r="D66" s="97" t="s">
        <v>237</v>
      </c>
      <c r="E66" s="91">
        <f>SUM(E67)</f>
        <v>770141</v>
      </c>
      <c r="F66" s="123"/>
      <c r="G66" s="123"/>
      <c r="H66" s="223"/>
      <c r="I66" s="223"/>
      <c r="J66" s="223"/>
      <c r="K66" s="223"/>
      <c r="L66" s="223"/>
      <c r="M66" s="223"/>
    </row>
    <row r="67" spans="1:13" s="32" customFormat="1" ht="21.75" customHeight="1">
      <c r="A67" s="92"/>
      <c r="B67" s="93"/>
      <c r="C67" s="94">
        <v>2920</v>
      </c>
      <c r="D67" s="97" t="s">
        <v>51</v>
      </c>
      <c r="E67" s="91">
        <v>770141</v>
      </c>
      <c r="F67" s="123"/>
      <c r="G67" s="123"/>
      <c r="H67" s="223"/>
      <c r="I67" s="223"/>
      <c r="J67" s="223"/>
      <c r="K67" s="223"/>
      <c r="L67" s="223"/>
      <c r="M67" s="223"/>
    </row>
    <row r="68" spans="1:13" s="32" customFormat="1" ht="24" customHeight="1">
      <c r="A68" s="45" t="s">
        <v>112</v>
      </c>
      <c r="B68" s="46"/>
      <c r="C68" s="47"/>
      <c r="D68" s="48" t="s">
        <v>113</v>
      </c>
      <c r="E68" s="77">
        <f>SUM(E69,E75,E77,E83,E80)</f>
        <v>268995</v>
      </c>
      <c r="F68" s="226"/>
      <c r="G68" s="226"/>
      <c r="H68" s="223"/>
      <c r="I68" s="223"/>
      <c r="J68" s="223"/>
      <c r="K68" s="223"/>
      <c r="L68" s="223"/>
      <c r="M68" s="223"/>
    </row>
    <row r="69" spans="1:13" s="32" customFormat="1" ht="24" customHeight="1">
      <c r="A69" s="87"/>
      <c r="B69" s="102" t="s">
        <v>114</v>
      </c>
      <c r="C69" s="106"/>
      <c r="D69" s="50" t="s">
        <v>53</v>
      </c>
      <c r="E69" s="91">
        <f>SUM(E70:E74)</f>
        <v>77684</v>
      </c>
      <c r="F69" s="123"/>
      <c r="G69" s="123"/>
      <c r="H69" s="223"/>
      <c r="I69" s="223"/>
      <c r="J69" s="223"/>
      <c r="K69" s="223"/>
      <c r="L69" s="223"/>
      <c r="M69" s="223"/>
    </row>
    <row r="70" spans="1:13" s="32" customFormat="1" ht="24" customHeight="1">
      <c r="A70" s="102"/>
      <c r="B70" s="102"/>
      <c r="C70" s="103" t="s">
        <v>194</v>
      </c>
      <c r="D70" s="50" t="s">
        <v>152</v>
      </c>
      <c r="E70" s="91">
        <v>400</v>
      </c>
      <c r="F70" s="123"/>
      <c r="G70" s="123"/>
      <c r="H70" s="223"/>
      <c r="I70" s="223"/>
      <c r="J70" s="223"/>
      <c r="K70" s="223"/>
      <c r="L70" s="223"/>
      <c r="M70" s="223"/>
    </row>
    <row r="71" spans="1:13" s="32" customFormat="1" ht="45">
      <c r="A71" s="102"/>
      <c r="B71" s="87"/>
      <c r="C71" s="103" t="s">
        <v>171</v>
      </c>
      <c r="D71" s="50" t="s">
        <v>57</v>
      </c>
      <c r="E71" s="91">
        <v>48899</v>
      </c>
      <c r="F71" s="123"/>
      <c r="G71" s="123"/>
      <c r="H71" s="223"/>
      <c r="I71" s="223"/>
      <c r="J71" s="223"/>
      <c r="K71" s="223"/>
      <c r="L71" s="223"/>
      <c r="M71" s="223"/>
    </row>
    <row r="72" spans="1:13" s="32" customFormat="1" ht="23.25" customHeight="1">
      <c r="A72" s="102"/>
      <c r="B72" s="87"/>
      <c r="C72" s="157" t="s">
        <v>172</v>
      </c>
      <c r="D72" s="86" t="s">
        <v>11</v>
      </c>
      <c r="E72" s="91">
        <v>853</v>
      </c>
      <c r="F72" s="123"/>
      <c r="G72" s="123"/>
      <c r="H72" s="223"/>
      <c r="I72" s="223"/>
      <c r="J72" s="223"/>
      <c r="K72" s="223"/>
      <c r="L72" s="223"/>
      <c r="M72" s="223"/>
    </row>
    <row r="73" spans="1:13" s="32" customFormat="1" ht="22.5" customHeight="1">
      <c r="A73" s="102"/>
      <c r="B73" s="87"/>
      <c r="C73" s="157" t="s">
        <v>173</v>
      </c>
      <c r="D73" s="50" t="s">
        <v>12</v>
      </c>
      <c r="E73" s="91">
        <v>22750</v>
      </c>
      <c r="F73" s="123"/>
      <c r="G73" s="123"/>
      <c r="H73" s="223"/>
      <c r="I73" s="223"/>
      <c r="J73" s="223"/>
      <c r="K73" s="223"/>
      <c r="L73" s="223"/>
      <c r="M73" s="223"/>
    </row>
    <row r="74" spans="1:13" s="32" customFormat="1" ht="33.75">
      <c r="A74" s="102"/>
      <c r="B74" s="87"/>
      <c r="C74" s="157">
        <v>2310</v>
      </c>
      <c r="D74" s="50" t="s">
        <v>259</v>
      </c>
      <c r="E74" s="91">
        <v>4782</v>
      </c>
      <c r="F74" s="123"/>
      <c r="G74" s="123"/>
      <c r="H74" s="223"/>
      <c r="I74" s="223"/>
      <c r="J74" s="224"/>
      <c r="K74" s="223"/>
      <c r="L74" s="223"/>
      <c r="M74" s="223"/>
    </row>
    <row r="75" spans="1:13" s="32" customFormat="1" ht="24" customHeight="1">
      <c r="A75" s="92"/>
      <c r="B75" s="93">
        <v>80104</v>
      </c>
      <c r="C75" s="94"/>
      <c r="D75" s="50" t="s">
        <v>127</v>
      </c>
      <c r="E75" s="91">
        <f>SUM(E76)</f>
        <v>2000</v>
      </c>
      <c r="F75" s="123"/>
      <c r="G75" s="123"/>
      <c r="H75" s="223"/>
      <c r="I75" s="223"/>
      <c r="J75" s="223"/>
      <c r="K75" s="223"/>
      <c r="L75" s="223"/>
      <c r="M75" s="223"/>
    </row>
    <row r="76" spans="1:13" s="32" customFormat="1" ht="45">
      <c r="A76" s="92"/>
      <c r="B76" s="93"/>
      <c r="C76" s="94" t="s">
        <v>171</v>
      </c>
      <c r="D76" s="50" t="s">
        <v>57</v>
      </c>
      <c r="E76" s="91">
        <v>2000</v>
      </c>
      <c r="F76" s="123"/>
      <c r="G76" s="123"/>
      <c r="H76" s="223"/>
      <c r="I76" s="223"/>
      <c r="J76" s="223"/>
      <c r="K76" s="223"/>
      <c r="L76" s="223"/>
      <c r="M76" s="223"/>
    </row>
    <row r="77" spans="1:13" s="32" customFormat="1" ht="24" customHeight="1">
      <c r="A77" s="92"/>
      <c r="B77" s="93">
        <v>80110</v>
      </c>
      <c r="C77" s="94"/>
      <c r="D77" s="50" t="s">
        <v>54</v>
      </c>
      <c r="E77" s="91">
        <f>SUM(E78:E79)</f>
        <v>8519</v>
      </c>
      <c r="F77" s="123"/>
      <c r="G77" s="123"/>
      <c r="H77" s="223"/>
      <c r="I77" s="223"/>
      <c r="J77" s="223"/>
      <c r="K77" s="223"/>
      <c r="L77" s="223"/>
      <c r="M77" s="223"/>
    </row>
    <row r="78" spans="1:13" s="32" customFormat="1" ht="45">
      <c r="A78" s="92"/>
      <c r="B78" s="93"/>
      <c r="C78" s="94" t="s">
        <v>171</v>
      </c>
      <c r="D78" s="50" t="s">
        <v>57</v>
      </c>
      <c r="E78" s="91">
        <v>8510</v>
      </c>
      <c r="F78" s="123"/>
      <c r="G78" s="123"/>
      <c r="H78" s="223"/>
      <c r="I78" s="223"/>
      <c r="J78" s="223"/>
      <c r="K78" s="223"/>
      <c r="L78" s="223"/>
      <c r="M78" s="223"/>
    </row>
    <row r="79" spans="1:13" s="32" customFormat="1" ht="22.5" customHeight="1">
      <c r="A79" s="92"/>
      <c r="B79" s="93"/>
      <c r="C79" s="94" t="s">
        <v>172</v>
      </c>
      <c r="D79" s="86" t="s">
        <v>11</v>
      </c>
      <c r="E79" s="91">
        <v>9</v>
      </c>
      <c r="F79" s="123"/>
      <c r="G79" s="123"/>
      <c r="H79" s="223"/>
      <c r="I79" s="223"/>
      <c r="J79" s="223"/>
      <c r="K79" s="223"/>
      <c r="L79" s="223"/>
      <c r="M79" s="223"/>
    </row>
    <row r="80" spans="1:13" s="32" customFormat="1" ht="22.5" customHeight="1">
      <c r="A80" s="92"/>
      <c r="B80" s="93">
        <v>80148</v>
      </c>
      <c r="C80" s="94"/>
      <c r="D80" s="86" t="s">
        <v>320</v>
      </c>
      <c r="E80" s="91">
        <f>SUM(E81:E82)</f>
        <v>129806</v>
      </c>
      <c r="F80" s="123"/>
      <c r="G80" s="123"/>
      <c r="H80" s="223"/>
      <c r="I80" s="223"/>
      <c r="J80" s="223"/>
      <c r="K80" s="223"/>
      <c r="L80" s="223"/>
      <c r="M80" s="223"/>
    </row>
    <row r="81" spans="1:13" s="32" customFormat="1" ht="22.5" customHeight="1">
      <c r="A81" s="92"/>
      <c r="B81" s="93"/>
      <c r="C81" s="94" t="s">
        <v>209</v>
      </c>
      <c r="D81" s="86" t="s">
        <v>210</v>
      </c>
      <c r="E81" s="91">
        <v>129800</v>
      </c>
      <c r="F81" s="123"/>
      <c r="G81" s="123"/>
      <c r="H81" s="223"/>
      <c r="I81" s="223"/>
      <c r="J81" s="223"/>
      <c r="K81" s="223"/>
      <c r="L81" s="223"/>
      <c r="M81" s="223"/>
    </row>
    <row r="82" spans="1:13" s="32" customFormat="1" ht="22.5" customHeight="1">
      <c r="A82" s="92"/>
      <c r="B82" s="93"/>
      <c r="C82" s="94" t="s">
        <v>172</v>
      </c>
      <c r="D82" s="86" t="s">
        <v>11</v>
      </c>
      <c r="E82" s="91">
        <v>6</v>
      </c>
      <c r="F82" s="123"/>
      <c r="G82" s="123"/>
      <c r="H82" s="223"/>
      <c r="I82" s="223"/>
      <c r="J82" s="223"/>
      <c r="K82" s="223"/>
      <c r="L82" s="223"/>
      <c r="M82" s="223"/>
    </row>
    <row r="83" spans="1:13" s="32" customFormat="1" ht="24" customHeight="1">
      <c r="A83" s="92"/>
      <c r="B83" s="93">
        <v>80195</v>
      </c>
      <c r="C83" s="94"/>
      <c r="D83" s="86" t="s">
        <v>6</v>
      </c>
      <c r="E83" s="91">
        <f>SUM(E84)</f>
        <v>50986</v>
      </c>
      <c r="F83" s="123"/>
      <c r="G83" s="123"/>
      <c r="H83" s="223"/>
      <c r="I83" s="223"/>
      <c r="J83" s="223"/>
      <c r="K83" s="223"/>
      <c r="L83" s="223"/>
      <c r="M83" s="223"/>
    </row>
    <row r="84" spans="1:13" s="32" customFormat="1" ht="22.5">
      <c r="A84" s="92"/>
      <c r="B84" s="93"/>
      <c r="C84" s="94">
        <v>2030</v>
      </c>
      <c r="D84" s="97" t="s">
        <v>234</v>
      </c>
      <c r="E84" s="91">
        <v>50986</v>
      </c>
      <c r="F84" s="123"/>
      <c r="G84" s="123"/>
      <c r="H84" s="223"/>
      <c r="I84" s="223"/>
      <c r="J84" s="223"/>
      <c r="K84" s="223"/>
      <c r="L84" s="223"/>
      <c r="M84" s="223"/>
    </row>
    <row r="85" spans="1:13" s="8" customFormat="1" ht="24.75" customHeight="1">
      <c r="A85" s="40" t="s">
        <v>164</v>
      </c>
      <c r="B85" s="4"/>
      <c r="C85" s="5"/>
      <c r="D85" s="41" t="s">
        <v>200</v>
      </c>
      <c r="E85" s="77">
        <f>SUM(E86,E88,E90,E94,E98,)</f>
        <v>9133600</v>
      </c>
      <c r="F85" s="226"/>
      <c r="G85" s="226"/>
      <c r="H85" s="227"/>
      <c r="I85" s="227"/>
      <c r="J85" s="227"/>
      <c r="K85" s="227"/>
      <c r="L85" s="227"/>
      <c r="M85" s="227"/>
    </row>
    <row r="86" spans="1:13" s="32" customFormat="1" ht="33.75">
      <c r="A86" s="92"/>
      <c r="B86" s="66">
        <v>85212</v>
      </c>
      <c r="C86" s="99"/>
      <c r="D86" s="97" t="s">
        <v>247</v>
      </c>
      <c r="E86" s="91">
        <f>SUM(E87:E87)</f>
        <v>6479100</v>
      </c>
      <c r="F86" s="123"/>
      <c r="G86" s="123"/>
      <c r="H86" s="223"/>
      <c r="I86" s="223"/>
      <c r="J86" s="223"/>
      <c r="K86" s="223"/>
      <c r="L86" s="223"/>
      <c r="M86" s="223"/>
    </row>
    <row r="87" spans="1:13" s="32" customFormat="1" ht="33.75">
      <c r="A87" s="92"/>
      <c r="B87" s="66"/>
      <c r="C87" s="99">
        <v>2010</v>
      </c>
      <c r="D87" s="97" t="s">
        <v>233</v>
      </c>
      <c r="E87" s="91">
        <v>6479100</v>
      </c>
      <c r="F87" s="123"/>
      <c r="G87" s="123"/>
      <c r="H87" s="223"/>
      <c r="I87" s="223"/>
      <c r="J87" s="223"/>
      <c r="K87" s="223"/>
      <c r="L87" s="223"/>
      <c r="M87" s="223"/>
    </row>
    <row r="88" spans="1:13" s="32" customFormat="1" ht="46.5" customHeight="1">
      <c r="A88" s="92"/>
      <c r="B88" s="66">
        <v>85213</v>
      </c>
      <c r="C88" s="100"/>
      <c r="D88" s="97" t="s">
        <v>346</v>
      </c>
      <c r="E88" s="91">
        <f>SUM(E89)</f>
        <v>59100</v>
      </c>
      <c r="F88" s="123"/>
      <c r="G88" s="123"/>
      <c r="H88" s="223"/>
      <c r="I88" s="223"/>
      <c r="J88" s="223"/>
      <c r="K88" s="223"/>
      <c r="L88" s="223"/>
      <c r="M88" s="223"/>
    </row>
    <row r="89" spans="1:13" s="32" customFormat="1" ht="33.75">
      <c r="A89" s="92"/>
      <c r="B89" s="66"/>
      <c r="C89" s="100">
        <v>2010</v>
      </c>
      <c r="D89" s="97" t="s">
        <v>233</v>
      </c>
      <c r="E89" s="91">
        <v>59100</v>
      </c>
      <c r="F89" s="123"/>
      <c r="G89" s="123"/>
      <c r="H89" s="224"/>
      <c r="I89" s="223"/>
      <c r="J89" s="223"/>
      <c r="K89" s="223"/>
      <c r="L89" s="223"/>
      <c r="M89" s="223"/>
    </row>
    <row r="90" spans="1:13" s="32" customFormat="1" ht="26.25" customHeight="1">
      <c r="A90" s="92"/>
      <c r="B90" s="93" t="s">
        <v>165</v>
      </c>
      <c r="C90" s="100"/>
      <c r="D90" s="97" t="s">
        <v>58</v>
      </c>
      <c r="E90" s="91">
        <f>SUM(E91:E93)</f>
        <v>1126700</v>
      </c>
      <c r="F90" s="123"/>
      <c r="G90" s="123"/>
      <c r="H90" s="223"/>
      <c r="I90" s="223"/>
      <c r="J90" s="223"/>
      <c r="K90" s="223"/>
      <c r="L90" s="223"/>
      <c r="M90" s="223"/>
    </row>
    <row r="91" spans="1:13" s="32" customFormat="1" ht="26.25" customHeight="1">
      <c r="A91" s="92"/>
      <c r="B91" s="93"/>
      <c r="C91" s="99" t="s">
        <v>209</v>
      </c>
      <c r="D91" s="97" t="s">
        <v>210</v>
      </c>
      <c r="E91" s="91">
        <v>2600</v>
      </c>
      <c r="F91" s="123"/>
      <c r="G91" s="123"/>
      <c r="H91" s="223"/>
      <c r="I91" s="223"/>
      <c r="J91" s="223"/>
      <c r="K91" s="223"/>
      <c r="L91" s="223"/>
      <c r="M91" s="223"/>
    </row>
    <row r="92" spans="1:13" s="32" customFormat="1" ht="33.75">
      <c r="A92" s="92"/>
      <c r="B92" s="93"/>
      <c r="C92" s="94">
        <v>2010</v>
      </c>
      <c r="D92" s="97" t="s">
        <v>233</v>
      </c>
      <c r="E92" s="91">
        <v>468000</v>
      </c>
      <c r="F92" s="123"/>
      <c r="G92" s="123"/>
      <c r="H92" s="224"/>
      <c r="I92" s="223"/>
      <c r="J92" s="223"/>
      <c r="K92" s="223"/>
      <c r="L92" s="223"/>
      <c r="M92" s="223"/>
    </row>
    <row r="93" spans="1:13" s="32" customFormat="1" ht="22.5">
      <c r="A93" s="92"/>
      <c r="B93" s="93"/>
      <c r="C93" s="94">
        <v>2030</v>
      </c>
      <c r="D93" s="97" t="s">
        <v>234</v>
      </c>
      <c r="E93" s="91">
        <v>656100</v>
      </c>
      <c r="F93" s="123"/>
      <c r="G93" s="123"/>
      <c r="H93" s="223"/>
      <c r="I93" s="224"/>
      <c r="J93" s="223"/>
      <c r="K93" s="223"/>
      <c r="L93" s="223"/>
      <c r="M93" s="223"/>
    </row>
    <row r="94" spans="1:13" s="32" customFormat="1" ht="24" customHeight="1">
      <c r="A94" s="92"/>
      <c r="B94" s="93" t="s">
        <v>166</v>
      </c>
      <c r="C94" s="100"/>
      <c r="D94" s="97" t="s">
        <v>60</v>
      </c>
      <c r="E94" s="91">
        <f>SUM(E95:E97)</f>
        <v>602400</v>
      </c>
      <c r="F94" s="123"/>
      <c r="G94" s="123"/>
      <c r="H94" s="223"/>
      <c r="I94" s="223"/>
      <c r="J94" s="223"/>
      <c r="K94" s="223"/>
      <c r="L94" s="223"/>
      <c r="M94" s="223"/>
    </row>
    <row r="95" spans="1:13" s="32" customFormat="1" ht="56.25">
      <c r="A95" s="92"/>
      <c r="B95" s="93"/>
      <c r="C95" s="99" t="s">
        <v>171</v>
      </c>
      <c r="D95" s="50" t="s">
        <v>451</v>
      </c>
      <c r="E95" s="91">
        <v>2800</v>
      </c>
      <c r="F95" s="123"/>
      <c r="G95" s="123"/>
      <c r="H95" s="223"/>
      <c r="I95" s="223"/>
      <c r="J95" s="223"/>
      <c r="K95" s="223"/>
      <c r="L95" s="223"/>
      <c r="M95" s="223"/>
    </row>
    <row r="96" spans="1:13" s="32" customFormat="1" ht="21.75" customHeight="1">
      <c r="A96" s="92"/>
      <c r="B96" s="93"/>
      <c r="C96" s="99" t="s">
        <v>172</v>
      </c>
      <c r="D96" s="97" t="s">
        <v>11</v>
      </c>
      <c r="E96" s="91">
        <v>1800</v>
      </c>
      <c r="F96" s="123"/>
      <c r="G96" s="123"/>
      <c r="H96" s="223"/>
      <c r="I96" s="223"/>
      <c r="J96" s="223"/>
      <c r="K96" s="223"/>
      <c r="L96" s="223"/>
      <c r="M96" s="223"/>
    </row>
    <row r="97" spans="1:13" s="32" customFormat="1" ht="22.5">
      <c r="A97" s="92"/>
      <c r="B97" s="93"/>
      <c r="C97" s="94">
        <v>2030</v>
      </c>
      <c r="D97" s="97" t="s">
        <v>234</v>
      </c>
      <c r="E97" s="91">
        <v>597800</v>
      </c>
      <c r="F97" s="123"/>
      <c r="G97" s="123"/>
      <c r="H97" s="223"/>
      <c r="I97" s="224"/>
      <c r="J97" s="223"/>
      <c r="K97" s="223"/>
      <c r="L97" s="223"/>
      <c r="M97" s="223"/>
    </row>
    <row r="98" spans="1:13" s="32" customFormat="1" ht="24" customHeight="1">
      <c r="A98" s="92"/>
      <c r="B98" s="93">
        <v>85295</v>
      </c>
      <c r="C98" s="94"/>
      <c r="D98" s="97" t="s">
        <v>221</v>
      </c>
      <c r="E98" s="91">
        <f>SUM(E99:E100)</f>
        <v>866300</v>
      </c>
      <c r="F98" s="123"/>
      <c r="G98" s="123"/>
      <c r="H98" s="223"/>
      <c r="I98" s="223"/>
      <c r="J98" s="223"/>
      <c r="K98" s="223"/>
      <c r="L98" s="223"/>
      <c r="M98" s="223"/>
    </row>
    <row r="99" spans="1:13" s="32" customFormat="1" ht="24" customHeight="1">
      <c r="A99" s="92"/>
      <c r="B99" s="93"/>
      <c r="C99" s="99" t="s">
        <v>209</v>
      </c>
      <c r="D99" s="97" t="s">
        <v>210</v>
      </c>
      <c r="E99" s="91">
        <v>325000</v>
      </c>
      <c r="F99" s="123"/>
      <c r="G99" s="123"/>
      <c r="H99" s="223"/>
      <c r="I99" s="223"/>
      <c r="J99" s="223"/>
      <c r="K99" s="223"/>
      <c r="L99" s="223"/>
      <c r="M99" s="223"/>
    </row>
    <row r="100" spans="1:13" s="32" customFormat="1" ht="22.5">
      <c r="A100" s="92"/>
      <c r="B100" s="93"/>
      <c r="C100" s="94">
        <v>2030</v>
      </c>
      <c r="D100" s="97" t="s">
        <v>234</v>
      </c>
      <c r="E100" s="91">
        <v>541300</v>
      </c>
      <c r="F100" s="123"/>
      <c r="G100" s="123"/>
      <c r="H100" s="223"/>
      <c r="I100" s="224"/>
      <c r="J100" s="223"/>
      <c r="K100" s="223"/>
      <c r="L100" s="223"/>
      <c r="M100" s="223"/>
    </row>
    <row r="101" spans="1:13" s="9" customFormat="1" ht="24" customHeight="1">
      <c r="A101" s="40">
        <v>900</v>
      </c>
      <c r="B101" s="43"/>
      <c r="C101" s="44"/>
      <c r="D101" s="41" t="s">
        <v>63</v>
      </c>
      <c r="E101" s="77">
        <f>SUM(E104,E102)</f>
        <v>16000</v>
      </c>
      <c r="F101" s="226"/>
      <c r="G101" s="226"/>
      <c r="H101" s="31"/>
      <c r="I101" s="31"/>
      <c r="J101" s="31"/>
      <c r="K101" s="31"/>
      <c r="L101" s="31"/>
      <c r="M101" s="31"/>
    </row>
    <row r="102" spans="1:13" s="276" customFormat="1" ht="24" customHeight="1">
      <c r="A102" s="281"/>
      <c r="B102" s="282">
        <v>90001</v>
      </c>
      <c r="C102" s="283"/>
      <c r="D102" s="50" t="s">
        <v>64</v>
      </c>
      <c r="E102" s="284">
        <f>SUM(E103)</f>
        <v>10000</v>
      </c>
      <c r="F102" s="285"/>
      <c r="G102" s="285"/>
      <c r="H102" s="286"/>
      <c r="I102" s="286"/>
      <c r="J102" s="286"/>
      <c r="K102" s="286"/>
      <c r="L102" s="286"/>
      <c r="M102" s="286"/>
    </row>
    <row r="103" spans="1:13" s="276" customFormat="1" ht="24" customHeight="1">
      <c r="A103" s="287"/>
      <c r="B103" s="288"/>
      <c r="C103" s="99" t="s">
        <v>173</v>
      </c>
      <c r="D103" s="97" t="s">
        <v>12</v>
      </c>
      <c r="E103" s="284">
        <v>10000</v>
      </c>
      <c r="F103" s="289"/>
      <c r="G103" s="289"/>
      <c r="H103" s="286"/>
      <c r="I103" s="286"/>
      <c r="J103" s="286"/>
      <c r="K103" s="286"/>
      <c r="L103" s="286"/>
      <c r="M103" s="286"/>
    </row>
    <row r="104" spans="1:13" s="32" customFormat="1" ht="24" customHeight="1">
      <c r="A104" s="92"/>
      <c r="B104" s="93">
        <v>90095</v>
      </c>
      <c r="C104" s="94"/>
      <c r="D104" s="97" t="s">
        <v>6</v>
      </c>
      <c r="E104" s="91">
        <f>SUM(E105)</f>
        <v>6000</v>
      </c>
      <c r="F104" s="123"/>
      <c r="G104" s="123"/>
      <c r="H104" s="223"/>
      <c r="I104" s="223"/>
      <c r="J104" s="223"/>
      <c r="K104" s="223"/>
      <c r="L104" s="223"/>
      <c r="M104" s="223"/>
    </row>
    <row r="105" spans="1:13" s="32" customFormat="1" ht="21.75" customHeight="1">
      <c r="A105" s="92"/>
      <c r="B105" s="93"/>
      <c r="C105" s="94" t="s">
        <v>187</v>
      </c>
      <c r="D105" s="97" t="s">
        <v>318</v>
      </c>
      <c r="E105" s="91">
        <v>6000</v>
      </c>
      <c r="F105" s="123"/>
      <c r="G105" s="123"/>
      <c r="H105" s="223"/>
      <c r="I105" s="223"/>
      <c r="J105" s="223"/>
      <c r="K105" s="223"/>
      <c r="L105" s="223"/>
      <c r="M105" s="223"/>
    </row>
    <row r="106" spans="1:13" s="9" customFormat="1" ht="24" customHeight="1">
      <c r="A106" s="40" t="s">
        <v>65</v>
      </c>
      <c r="B106" s="4"/>
      <c r="C106" s="5"/>
      <c r="D106" s="41" t="s">
        <v>71</v>
      </c>
      <c r="E106" s="77">
        <f>SUM(E107)</f>
        <v>60000</v>
      </c>
      <c r="F106" s="226"/>
      <c r="G106" s="226"/>
      <c r="H106" s="31"/>
      <c r="I106" s="31"/>
      <c r="J106" s="31"/>
      <c r="K106" s="31"/>
      <c r="L106" s="31"/>
      <c r="M106" s="31"/>
    </row>
    <row r="107" spans="1:13" s="32" customFormat="1" ht="24" customHeight="1">
      <c r="A107" s="92"/>
      <c r="B107" s="93" t="s">
        <v>66</v>
      </c>
      <c r="C107" s="100"/>
      <c r="D107" s="97" t="s">
        <v>67</v>
      </c>
      <c r="E107" s="91">
        <f>SUM(E108)</f>
        <v>60000</v>
      </c>
      <c r="F107" s="123"/>
      <c r="G107" s="123"/>
      <c r="H107" s="223"/>
      <c r="I107" s="223"/>
      <c r="J107" s="223"/>
      <c r="K107" s="223"/>
      <c r="L107" s="223"/>
      <c r="M107" s="223"/>
    </row>
    <row r="108" spans="1:13" s="32" customFormat="1" ht="33.75">
      <c r="A108" s="93"/>
      <c r="B108" s="93"/>
      <c r="C108" s="94">
        <v>2320</v>
      </c>
      <c r="D108" s="97" t="s">
        <v>235</v>
      </c>
      <c r="E108" s="91">
        <v>60000</v>
      </c>
      <c r="F108" s="123"/>
      <c r="G108" s="123"/>
      <c r="H108" s="223"/>
      <c r="I108" s="223"/>
      <c r="J108" s="224"/>
      <c r="K108" s="223"/>
      <c r="L108" s="223"/>
      <c r="M108" s="223"/>
    </row>
    <row r="109" spans="1:10" ht="26.25" customHeight="1">
      <c r="A109" s="17"/>
      <c r="B109" s="18"/>
      <c r="C109" s="19"/>
      <c r="D109" s="20" t="s">
        <v>70</v>
      </c>
      <c r="E109" s="77">
        <f>SUM(E7,E11,E18,E24,E27,E31,E59,E85,E101,E106,E68)</f>
        <v>56856085</v>
      </c>
      <c r="F109" s="226"/>
      <c r="G109" s="226"/>
      <c r="H109" s="218"/>
      <c r="I109" s="218"/>
      <c r="J109" s="218"/>
    </row>
    <row r="110" spans="8:10" ht="12.75">
      <c r="H110" s="163"/>
      <c r="I110" s="163"/>
      <c r="J110" s="218"/>
    </row>
    <row r="111" ht="12.75">
      <c r="D111" s="125"/>
    </row>
    <row r="112" ht="12.75">
      <c r="D112" s="125"/>
    </row>
    <row r="113" ht="12.75">
      <c r="D113" s="125"/>
    </row>
    <row r="114" ht="12.75">
      <c r="D114" s="124"/>
    </row>
    <row r="127" spans="5:7" ht="12.75">
      <c r="E127" s="70"/>
      <c r="F127" s="143"/>
      <c r="G127" s="143"/>
    </row>
    <row r="128" spans="5:7" ht="12.75">
      <c r="E128" s="70"/>
      <c r="F128" s="143"/>
      <c r="G128" s="143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C34">
      <selection activeCell="E17" sqref="E17"/>
    </sheetView>
  </sheetViews>
  <sheetFormatPr defaultColWidth="9.00390625" defaultRowHeight="12.75"/>
  <cols>
    <col min="1" max="1" width="5.375" style="9" customWidth="1"/>
    <col min="2" max="2" width="7.375" style="9" customWidth="1"/>
    <col min="3" max="3" width="5.00390625" style="9" customWidth="1"/>
    <col min="4" max="4" width="39.875" style="9" customWidth="1"/>
    <col min="5" max="5" width="19.75390625" style="0" customWidth="1"/>
  </cols>
  <sheetData>
    <row r="1" ht="12.75">
      <c r="E1" s="76" t="s">
        <v>244</v>
      </c>
    </row>
    <row r="2" ht="12.75">
      <c r="E2" s="76" t="s">
        <v>249</v>
      </c>
    </row>
    <row r="3" ht="12.75">
      <c r="E3" s="76" t="s">
        <v>155</v>
      </c>
    </row>
    <row r="4" ht="12.75">
      <c r="E4" s="76" t="s">
        <v>250</v>
      </c>
    </row>
    <row r="5" spans="1:4" ht="66.75" customHeight="1">
      <c r="A5" s="366" t="s">
        <v>342</v>
      </c>
      <c r="B5" s="366"/>
      <c r="C5" s="366"/>
      <c r="D5" s="366"/>
    </row>
    <row r="6" spans="1:5" ht="32.25" customHeight="1">
      <c r="A6" s="367" t="s">
        <v>348</v>
      </c>
      <c r="B6" s="367"/>
      <c r="C6" s="367"/>
      <c r="D6" s="367"/>
      <c r="E6" s="367"/>
    </row>
    <row r="7" spans="1:14" s="140" customFormat="1" ht="24.75" customHeight="1">
      <c r="A7" s="2" t="s">
        <v>0</v>
      </c>
      <c r="B7" s="2" t="s">
        <v>1</v>
      </c>
      <c r="C7" s="2" t="s">
        <v>2</v>
      </c>
      <c r="D7" s="2" t="s">
        <v>3</v>
      </c>
      <c r="E7" s="127" t="s">
        <v>147</v>
      </c>
      <c r="I7" s="368"/>
      <c r="J7" s="368"/>
      <c r="K7" s="368"/>
      <c r="L7" s="232"/>
      <c r="M7" s="232"/>
      <c r="N7" s="232"/>
    </row>
    <row r="8" spans="1:14" s="33" customFormat="1" ht="36">
      <c r="A8" s="2">
        <v>756</v>
      </c>
      <c r="B8" s="2"/>
      <c r="C8" s="2"/>
      <c r="D8" s="57" t="s">
        <v>28</v>
      </c>
      <c r="E8" s="42">
        <f>SUM(E9)</f>
        <v>330000</v>
      </c>
      <c r="I8" s="368"/>
      <c r="J8" s="368"/>
      <c r="K8" s="368"/>
      <c r="L8" s="232"/>
      <c r="M8" s="232"/>
      <c r="N8" s="232"/>
    </row>
    <row r="9" spans="1:14" s="144" customFormat="1" ht="33.75">
      <c r="A9" s="72"/>
      <c r="B9" s="66">
        <v>75618</v>
      </c>
      <c r="C9" s="72"/>
      <c r="D9" s="58" t="s">
        <v>153</v>
      </c>
      <c r="E9" s="132">
        <f>SUM(E10)</f>
        <v>330000</v>
      </c>
      <c r="I9" s="368"/>
      <c r="J9" s="368"/>
      <c r="K9" s="368"/>
      <c r="L9" s="232"/>
      <c r="M9" s="232"/>
      <c r="N9" s="232"/>
    </row>
    <row r="10" spans="1:14" s="144" customFormat="1" ht="23.25" customHeight="1">
      <c r="A10" s="72"/>
      <c r="B10" s="72"/>
      <c r="C10" s="145" t="s">
        <v>188</v>
      </c>
      <c r="D10" s="97" t="s">
        <v>251</v>
      </c>
      <c r="E10" s="132">
        <v>330000</v>
      </c>
      <c r="I10" s="365"/>
      <c r="J10" s="365"/>
      <c r="K10" s="365"/>
      <c r="L10" s="233"/>
      <c r="M10" s="233"/>
      <c r="N10" s="233"/>
    </row>
    <row r="11" spans="1:14" s="1" customFormat="1" ht="21" customHeight="1">
      <c r="A11" s="56"/>
      <c r="B11" s="56"/>
      <c r="C11" s="56"/>
      <c r="D11" s="2" t="s">
        <v>70</v>
      </c>
      <c r="E11" s="42">
        <f>SUM(E8)</f>
        <v>330000</v>
      </c>
      <c r="I11" s="365"/>
      <c r="J11" s="365"/>
      <c r="K11" s="365"/>
      <c r="L11" s="233"/>
      <c r="M11" s="233"/>
      <c r="N11" s="233"/>
    </row>
    <row r="12" spans="1:14" s="1" customFormat="1" ht="22.5" customHeight="1">
      <c r="A12" s="141"/>
      <c r="B12" s="141"/>
      <c r="C12" s="141"/>
      <c r="D12" s="142"/>
      <c r="E12" s="143"/>
      <c r="I12" s="365"/>
      <c r="J12" s="365"/>
      <c r="K12" s="365"/>
      <c r="L12" s="233"/>
      <c r="M12" s="233"/>
      <c r="N12" s="233"/>
    </row>
    <row r="13" spans="1:14" ht="44.25" customHeight="1">
      <c r="A13" s="362" t="s">
        <v>349</v>
      </c>
      <c r="B13" s="362"/>
      <c r="C13" s="362"/>
      <c r="D13" s="362"/>
      <c r="E13" s="362"/>
      <c r="I13" s="365"/>
      <c r="J13" s="365"/>
      <c r="K13" s="365"/>
      <c r="L13" s="233"/>
      <c r="M13" s="233"/>
      <c r="N13" s="233"/>
    </row>
    <row r="14" spans="1:14" s="147" customFormat="1" ht="23.25" customHeight="1">
      <c r="A14" s="2" t="s">
        <v>0</v>
      </c>
      <c r="B14" s="2" t="s">
        <v>1</v>
      </c>
      <c r="C14" s="2" t="s">
        <v>2</v>
      </c>
      <c r="D14" s="2" t="s">
        <v>3</v>
      </c>
      <c r="E14" s="127" t="s">
        <v>147</v>
      </c>
      <c r="I14" s="369"/>
      <c r="J14" s="369"/>
      <c r="K14" s="369"/>
      <c r="L14" s="234"/>
      <c r="M14" s="234"/>
      <c r="N14" s="234"/>
    </row>
    <row r="15" spans="1:14" s="150" customFormat="1" ht="23.25" customHeight="1">
      <c r="A15" s="2">
        <v>851</v>
      </c>
      <c r="B15" s="2"/>
      <c r="C15" s="2"/>
      <c r="D15" s="151" t="s">
        <v>245</v>
      </c>
      <c r="E15" s="152">
        <f>E18+E16</f>
        <v>161208</v>
      </c>
      <c r="I15" s="370"/>
      <c r="J15" s="370"/>
      <c r="K15" s="370"/>
      <c r="L15" s="235"/>
      <c r="M15" s="235"/>
      <c r="N15" s="235"/>
    </row>
    <row r="16" spans="1:14" s="150" customFormat="1" ht="19.5" customHeight="1">
      <c r="A16" s="2"/>
      <c r="B16" s="72">
        <v>85153</v>
      </c>
      <c r="C16" s="2"/>
      <c r="D16" s="69" t="s">
        <v>248</v>
      </c>
      <c r="E16" s="154">
        <f>SUM(E17:E17)</f>
        <v>6360</v>
      </c>
      <c r="I16" s="368"/>
      <c r="J16" s="368"/>
      <c r="K16" s="368"/>
      <c r="L16" s="144"/>
      <c r="M16" s="144"/>
      <c r="N16" s="144"/>
    </row>
    <row r="17" spans="1:14" s="150" customFormat="1" ht="19.5" customHeight="1">
      <c r="A17" s="2"/>
      <c r="B17" s="2"/>
      <c r="C17" s="66">
        <v>4300</v>
      </c>
      <c r="D17" s="50" t="s">
        <v>82</v>
      </c>
      <c r="E17" s="154">
        <f>5600+760</f>
        <v>6360</v>
      </c>
      <c r="I17" s="365"/>
      <c r="J17" s="365"/>
      <c r="K17" s="365"/>
      <c r="L17" s="233"/>
      <c r="M17" s="233"/>
      <c r="N17" s="233"/>
    </row>
    <row r="18" spans="1:14" s="32" customFormat="1" ht="21.75" customHeight="1">
      <c r="A18" s="93"/>
      <c r="B18" s="93" t="s">
        <v>122</v>
      </c>
      <c r="C18" s="66"/>
      <c r="D18" s="16" t="s">
        <v>56</v>
      </c>
      <c r="E18" s="105">
        <f>SUM(E19:E25)</f>
        <v>154848</v>
      </c>
      <c r="I18" s="233"/>
      <c r="J18" s="233"/>
      <c r="K18" s="233"/>
      <c r="L18" s="233"/>
      <c r="M18" s="233"/>
      <c r="N18" s="233"/>
    </row>
    <row r="19" spans="1:14" s="32" customFormat="1" ht="22.5">
      <c r="A19" s="93"/>
      <c r="B19" s="93"/>
      <c r="C19" s="106">
        <v>2630</v>
      </c>
      <c r="D19" s="50" t="s">
        <v>473</v>
      </c>
      <c r="E19" s="105">
        <f>70850-850</f>
        <v>70000</v>
      </c>
      <c r="I19" s="233"/>
      <c r="J19" s="233"/>
      <c r="K19" s="233"/>
      <c r="L19" s="233"/>
      <c r="M19" s="233"/>
      <c r="N19" s="233"/>
    </row>
    <row r="20" spans="1:14" s="32" customFormat="1" ht="20.25" customHeight="1">
      <c r="A20" s="93"/>
      <c r="B20" s="93"/>
      <c r="C20" s="66">
        <v>4110</v>
      </c>
      <c r="D20" s="50" t="s">
        <v>89</v>
      </c>
      <c r="E20" s="105">
        <v>1758</v>
      </c>
      <c r="I20" s="233"/>
      <c r="J20" s="233"/>
      <c r="K20" s="233"/>
      <c r="L20" s="233"/>
      <c r="M20" s="233"/>
      <c r="N20" s="233"/>
    </row>
    <row r="21" spans="1:14" s="32" customFormat="1" ht="21.75" customHeight="1">
      <c r="A21" s="93"/>
      <c r="B21" s="66"/>
      <c r="C21" s="66">
        <v>4170</v>
      </c>
      <c r="D21" s="16" t="s">
        <v>206</v>
      </c>
      <c r="E21" s="112">
        <f>21000+16800</f>
        <v>37800</v>
      </c>
      <c r="I21" s="234"/>
      <c r="J21" s="234"/>
      <c r="K21" s="234"/>
      <c r="L21" s="234"/>
      <c r="M21" s="234"/>
      <c r="N21" s="234"/>
    </row>
    <row r="22" spans="1:14" s="32" customFormat="1" ht="21.75" customHeight="1">
      <c r="A22" s="93"/>
      <c r="B22" s="66"/>
      <c r="C22" s="66">
        <v>4210</v>
      </c>
      <c r="D22" s="16" t="s">
        <v>95</v>
      </c>
      <c r="E22" s="112">
        <f>5000+3000</f>
        <v>8000</v>
      </c>
      <c r="I22" s="233"/>
      <c r="J22" s="233"/>
      <c r="K22" s="233"/>
      <c r="L22" s="233"/>
      <c r="M22" s="233"/>
      <c r="N22" s="233"/>
    </row>
    <row r="23" spans="1:5" s="32" customFormat="1" ht="21.75" customHeight="1">
      <c r="A23" s="93"/>
      <c r="B23" s="66"/>
      <c r="C23" s="66">
        <v>4220</v>
      </c>
      <c r="D23" s="16" t="s">
        <v>190</v>
      </c>
      <c r="E23" s="112">
        <v>10000</v>
      </c>
    </row>
    <row r="24" spans="1:5" s="32" customFormat="1" ht="20.25" customHeight="1">
      <c r="A24" s="93"/>
      <c r="B24" s="66"/>
      <c r="C24" s="66">
        <v>4300</v>
      </c>
      <c r="D24" s="16" t="s">
        <v>82</v>
      </c>
      <c r="E24" s="112">
        <f>2240+3000+15000+5000+850</f>
        <v>26090</v>
      </c>
    </row>
    <row r="25" spans="1:5" s="32" customFormat="1" ht="21" customHeight="1">
      <c r="A25" s="93"/>
      <c r="B25" s="66"/>
      <c r="C25" s="66">
        <v>4410</v>
      </c>
      <c r="D25" s="50" t="s">
        <v>93</v>
      </c>
      <c r="E25" s="112">
        <v>1200</v>
      </c>
    </row>
    <row r="26" spans="1:5" s="9" customFormat="1" ht="21.75" customHeight="1">
      <c r="A26" s="43">
        <v>852</v>
      </c>
      <c r="B26" s="6"/>
      <c r="C26" s="6"/>
      <c r="D26" s="26" t="s">
        <v>200</v>
      </c>
      <c r="E26" s="21">
        <f>SUM(E27,)</f>
        <v>103792</v>
      </c>
    </row>
    <row r="27" spans="1:5" s="32" customFormat="1" ht="21.75" customHeight="1">
      <c r="A27" s="93"/>
      <c r="B27" s="93">
        <v>85219</v>
      </c>
      <c r="C27" s="66"/>
      <c r="D27" s="50" t="s">
        <v>60</v>
      </c>
      <c r="E27" s="105">
        <f>SUM(E28:E41)</f>
        <v>103792</v>
      </c>
    </row>
    <row r="28" spans="1:5" s="32" customFormat="1" ht="21.75" customHeight="1">
      <c r="A28" s="93"/>
      <c r="B28" s="93"/>
      <c r="C28" s="106">
        <v>4010</v>
      </c>
      <c r="D28" s="50" t="s">
        <v>87</v>
      </c>
      <c r="E28" s="112">
        <v>28577</v>
      </c>
    </row>
    <row r="29" spans="1:5" s="32" customFormat="1" ht="21.75" customHeight="1">
      <c r="A29" s="93"/>
      <c r="B29" s="93"/>
      <c r="C29" s="106">
        <v>4040</v>
      </c>
      <c r="D29" s="50" t="s">
        <v>88</v>
      </c>
      <c r="E29" s="112">
        <v>2774</v>
      </c>
    </row>
    <row r="30" spans="1:5" s="32" customFormat="1" ht="21.75" customHeight="1">
      <c r="A30" s="93"/>
      <c r="B30" s="93"/>
      <c r="C30" s="106">
        <v>4110</v>
      </c>
      <c r="D30" s="50" t="s">
        <v>89</v>
      </c>
      <c r="E30" s="112">
        <v>5234</v>
      </c>
    </row>
    <row r="31" spans="1:5" s="32" customFormat="1" ht="21.75" customHeight="1">
      <c r="A31" s="93"/>
      <c r="B31" s="93"/>
      <c r="C31" s="106">
        <v>4120</v>
      </c>
      <c r="D31" s="50" t="s">
        <v>90</v>
      </c>
      <c r="E31" s="112">
        <v>768</v>
      </c>
    </row>
    <row r="32" spans="1:5" s="32" customFormat="1" ht="21.75" customHeight="1">
      <c r="A32" s="93"/>
      <c r="B32" s="93"/>
      <c r="C32" s="106">
        <v>4170</v>
      </c>
      <c r="D32" s="50" t="s">
        <v>206</v>
      </c>
      <c r="E32" s="112">
        <v>13200</v>
      </c>
    </row>
    <row r="33" spans="1:5" s="32" customFormat="1" ht="21.75" customHeight="1">
      <c r="A33" s="93"/>
      <c r="B33" s="93"/>
      <c r="C33" s="106">
        <v>4210</v>
      </c>
      <c r="D33" s="16" t="s">
        <v>95</v>
      </c>
      <c r="E33" s="112">
        <f>3100-300</f>
        <v>2800</v>
      </c>
    </row>
    <row r="34" spans="1:5" s="32" customFormat="1" ht="21.75" customHeight="1">
      <c r="A34" s="93"/>
      <c r="B34" s="93"/>
      <c r="C34" s="106">
        <v>4300</v>
      </c>
      <c r="D34" s="16" t="s">
        <v>82</v>
      </c>
      <c r="E34" s="112">
        <v>42600</v>
      </c>
    </row>
    <row r="35" spans="1:5" s="32" customFormat="1" ht="21.75" customHeight="1">
      <c r="A35" s="93"/>
      <c r="B35" s="93"/>
      <c r="C35" s="106">
        <v>4350</v>
      </c>
      <c r="D35" s="16" t="s">
        <v>225</v>
      </c>
      <c r="E35" s="112">
        <v>550</v>
      </c>
    </row>
    <row r="36" spans="1:5" s="32" customFormat="1" ht="21.75" customHeight="1">
      <c r="A36" s="93"/>
      <c r="B36" s="93"/>
      <c r="C36" s="106">
        <v>4370</v>
      </c>
      <c r="D36" s="50" t="s">
        <v>253</v>
      </c>
      <c r="E36" s="112">
        <v>2500</v>
      </c>
    </row>
    <row r="37" spans="1:5" s="32" customFormat="1" ht="26.25" customHeight="1">
      <c r="A37" s="93"/>
      <c r="B37" s="93"/>
      <c r="C37" s="106">
        <v>4400</v>
      </c>
      <c r="D37" s="50" t="s">
        <v>314</v>
      </c>
      <c r="E37" s="112">
        <v>2104</v>
      </c>
    </row>
    <row r="38" spans="1:5" s="32" customFormat="1" ht="18.75" customHeight="1">
      <c r="A38" s="93"/>
      <c r="B38" s="93"/>
      <c r="C38" s="106">
        <v>4410</v>
      </c>
      <c r="D38" s="50" t="s">
        <v>93</v>
      </c>
      <c r="E38" s="112">
        <v>447</v>
      </c>
    </row>
    <row r="39" spans="1:5" s="32" customFormat="1" ht="19.5" customHeight="1">
      <c r="A39" s="93"/>
      <c r="B39" s="93"/>
      <c r="C39" s="106">
        <v>4440</v>
      </c>
      <c r="D39" s="50" t="s">
        <v>91</v>
      </c>
      <c r="E39" s="112">
        <v>1138</v>
      </c>
    </row>
    <row r="40" spans="1:5" s="32" customFormat="1" ht="19.5" customHeight="1">
      <c r="A40" s="93"/>
      <c r="B40" s="93"/>
      <c r="C40" s="106">
        <v>4610</v>
      </c>
      <c r="D40" s="50" t="s">
        <v>193</v>
      </c>
      <c r="E40" s="112">
        <v>800</v>
      </c>
    </row>
    <row r="41" spans="1:5" s="32" customFormat="1" ht="22.5">
      <c r="A41" s="93"/>
      <c r="B41" s="93"/>
      <c r="C41" s="106">
        <v>4740</v>
      </c>
      <c r="D41" s="50" t="s">
        <v>254</v>
      </c>
      <c r="E41" s="112">
        <v>300</v>
      </c>
    </row>
    <row r="42" spans="1:5" s="9" customFormat="1" ht="24.75" customHeight="1">
      <c r="A42" s="43" t="s">
        <v>125</v>
      </c>
      <c r="B42" s="6"/>
      <c r="C42" s="6"/>
      <c r="D42" s="26" t="s">
        <v>61</v>
      </c>
      <c r="E42" s="21">
        <f>SUM(E43)</f>
        <v>65000</v>
      </c>
    </row>
    <row r="43" spans="1:5" s="32" customFormat="1" ht="22.5">
      <c r="A43" s="93"/>
      <c r="B43" s="93" t="s">
        <v>129</v>
      </c>
      <c r="C43" s="66"/>
      <c r="D43" s="16" t="s">
        <v>130</v>
      </c>
      <c r="E43" s="105">
        <f>SUM(E44:E44)</f>
        <v>65000</v>
      </c>
    </row>
    <row r="44" spans="1:5" s="32" customFormat="1" ht="22.5">
      <c r="A44" s="93"/>
      <c r="B44" s="93"/>
      <c r="C44" s="106">
        <v>2630</v>
      </c>
      <c r="D44" s="50" t="s">
        <v>473</v>
      </c>
      <c r="E44" s="105">
        <v>65000</v>
      </c>
    </row>
    <row r="45" spans="1:5" s="53" customFormat="1" ht="22.5" customHeight="1">
      <c r="A45" s="146"/>
      <c r="B45" s="146"/>
      <c r="C45" s="146"/>
      <c r="D45" s="7" t="s">
        <v>70</v>
      </c>
      <c r="E45" s="21">
        <f>E26+E15+E42</f>
        <v>330000</v>
      </c>
    </row>
  </sheetData>
  <sheetProtection/>
  <mergeCells count="14">
    <mergeCell ref="I13:K13"/>
    <mergeCell ref="I14:K14"/>
    <mergeCell ref="I15:K15"/>
    <mergeCell ref="I16:K16"/>
    <mergeCell ref="I17:K17"/>
    <mergeCell ref="A5:D5"/>
    <mergeCell ref="A6:E6"/>
    <mergeCell ref="A13:E13"/>
    <mergeCell ref="I7:K7"/>
    <mergeCell ref="I8:K8"/>
    <mergeCell ref="I9:K9"/>
    <mergeCell ref="I10:K10"/>
    <mergeCell ref="I11:K11"/>
    <mergeCell ref="I12:K12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.125" style="32" customWidth="1"/>
    <col min="2" max="2" width="45.625" style="32" customWidth="1"/>
    <col min="3" max="3" width="17.875" style="32" customWidth="1"/>
    <col min="4" max="4" width="16.875" style="32" customWidth="1"/>
  </cols>
  <sheetData>
    <row r="1" spans="3:4" ht="12.75">
      <c r="C1" s="76"/>
      <c r="D1" s="76" t="s">
        <v>481</v>
      </c>
    </row>
    <row r="2" spans="3:4" ht="12.75">
      <c r="C2" s="76"/>
      <c r="D2" s="76" t="s">
        <v>249</v>
      </c>
    </row>
    <row r="3" spans="3:4" ht="12.75">
      <c r="C3" s="76"/>
      <c r="D3" s="76" t="s">
        <v>155</v>
      </c>
    </row>
    <row r="4" spans="3:4" ht="12.75">
      <c r="C4" s="76"/>
      <c r="D4" s="76" t="s">
        <v>250</v>
      </c>
    </row>
    <row r="5" ht="12.75">
      <c r="C5" s="76"/>
    </row>
    <row r="6" spans="1:3" s="39" customFormat="1" ht="21.75" customHeight="1">
      <c r="A6" s="371" t="s">
        <v>350</v>
      </c>
      <c r="B6" s="371"/>
      <c r="C6" s="371"/>
    </row>
    <row r="7" spans="1:3" s="39" customFormat="1" ht="12" customHeight="1">
      <c r="A7" s="130"/>
      <c r="B7" s="130"/>
      <c r="C7" s="130"/>
    </row>
    <row r="8" spans="1:4" s="9" customFormat="1" ht="24" customHeight="1">
      <c r="A8" s="372" t="s">
        <v>2</v>
      </c>
      <c r="B8" s="372" t="s">
        <v>3</v>
      </c>
      <c r="C8" s="373" t="s">
        <v>148</v>
      </c>
      <c r="D8" s="373"/>
    </row>
    <row r="9" spans="1:4" s="9" customFormat="1" ht="24" customHeight="1">
      <c r="A9" s="372"/>
      <c r="B9" s="372"/>
      <c r="C9" s="131" t="s">
        <v>149</v>
      </c>
      <c r="D9" s="131" t="s">
        <v>150</v>
      </c>
    </row>
    <row r="10" spans="1:4" s="9" customFormat="1" ht="49.5" customHeight="1" hidden="1">
      <c r="A10" s="2">
        <v>903</v>
      </c>
      <c r="B10" s="57" t="s">
        <v>226</v>
      </c>
      <c r="C10" s="131"/>
      <c r="D10" s="131"/>
    </row>
    <row r="11" spans="1:4" s="9" customFormat="1" ht="42" customHeight="1">
      <c r="A11" s="2">
        <v>952</v>
      </c>
      <c r="B11" s="57" t="s">
        <v>156</v>
      </c>
      <c r="C11" s="11">
        <v>14904691</v>
      </c>
      <c r="D11" s="11">
        <v>0</v>
      </c>
    </row>
    <row r="12" spans="1:4" s="9" customFormat="1" ht="42" customHeight="1">
      <c r="A12" s="2">
        <v>982</v>
      </c>
      <c r="B12" s="57" t="s">
        <v>215</v>
      </c>
      <c r="C12" s="11"/>
      <c r="D12" s="11">
        <v>450000</v>
      </c>
    </row>
    <row r="13" spans="1:4" s="9" customFormat="1" ht="42" customHeight="1">
      <c r="A13" s="2">
        <v>992</v>
      </c>
      <c r="B13" s="57" t="s">
        <v>151</v>
      </c>
      <c r="C13" s="11">
        <v>0</v>
      </c>
      <c r="D13" s="11">
        <v>3273000</v>
      </c>
    </row>
    <row r="14" spans="1:4" s="9" customFormat="1" ht="42" customHeight="1">
      <c r="A14" s="142"/>
      <c r="B14" s="127" t="s">
        <v>70</v>
      </c>
      <c r="C14" s="11">
        <f>SUM(C11:C13)</f>
        <v>14904691</v>
      </c>
      <c r="D14" s="11">
        <f>SUM(D11:D13)</f>
        <v>3723000</v>
      </c>
    </row>
    <row r="15" spans="2:4" s="9" customFormat="1" ht="42" customHeight="1">
      <c r="B15" s="2" t="s">
        <v>482</v>
      </c>
      <c r="C15" s="374">
        <f>SUM(C14-D14)</f>
        <v>11181691</v>
      </c>
      <c r="D15" s="374"/>
    </row>
  </sheetData>
  <sheetProtection/>
  <mergeCells count="5">
    <mergeCell ref="A6:C6"/>
    <mergeCell ref="A8:A9"/>
    <mergeCell ref="B8:B9"/>
    <mergeCell ref="C8:D8"/>
    <mergeCell ref="C15:D15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4.625" style="0" customWidth="1"/>
    <col min="2" max="2" width="8.875" style="0" customWidth="1"/>
    <col min="3" max="3" width="41.00390625" style="0" customWidth="1"/>
    <col min="4" max="4" width="12.75390625" style="0" customWidth="1"/>
    <col min="5" max="5" width="11.375" style="0" bestFit="1" customWidth="1"/>
    <col min="6" max="6" width="12.75390625" style="0" customWidth="1"/>
    <col min="7" max="7" width="11.375" style="0" bestFit="1" customWidth="1"/>
    <col min="8" max="8" width="11.125" style="0" customWidth="1"/>
    <col min="9" max="9" width="12.00390625" style="0" customWidth="1"/>
  </cols>
  <sheetData>
    <row r="1" ht="12.75">
      <c r="H1" t="s">
        <v>331</v>
      </c>
    </row>
    <row r="2" ht="12.75">
      <c r="H2" t="s">
        <v>249</v>
      </c>
    </row>
    <row r="3" ht="12.75">
      <c r="H3" t="s">
        <v>155</v>
      </c>
    </row>
    <row r="4" ht="12.75">
      <c r="H4" t="s">
        <v>340</v>
      </c>
    </row>
    <row r="7" spans="1:2" ht="15">
      <c r="A7" s="185" t="s">
        <v>343</v>
      </c>
      <c r="B7" s="185"/>
    </row>
    <row r="9" spans="1:9" s="187" customFormat="1" ht="22.5" customHeight="1">
      <c r="A9" s="375" t="s">
        <v>279</v>
      </c>
      <c r="B9" s="379" t="s">
        <v>324</v>
      </c>
      <c r="C9" s="375" t="s">
        <v>280</v>
      </c>
      <c r="D9" s="375" t="s">
        <v>281</v>
      </c>
      <c r="E9" s="375"/>
      <c r="F9" s="376" t="s">
        <v>274</v>
      </c>
      <c r="G9" s="377"/>
      <c r="H9" s="377"/>
      <c r="I9" s="378"/>
    </row>
    <row r="10" spans="1:9" s="187" customFormat="1" ht="36">
      <c r="A10" s="375"/>
      <c r="B10" s="380"/>
      <c r="C10" s="375"/>
      <c r="D10" s="186" t="s">
        <v>282</v>
      </c>
      <c r="E10" s="127" t="s">
        <v>283</v>
      </c>
      <c r="F10" s="186" t="s">
        <v>282</v>
      </c>
      <c r="G10" s="127" t="s">
        <v>284</v>
      </c>
      <c r="H10" s="127" t="s">
        <v>285</v>
      </c>
      <c r="I10" s="127" t="s">
        <v>286</v>
      </c>
    </row>
    <row r="11" spans="1:9" s="189" customFormat="1" ht="14.25" customHeight="1">
      <c r="A11" s="188">
        <v>1</v>
      </c>
      <c r="B11" s="188"/>
      <c r="C11" s="188">
        <v>2</v>
      </c>
      <c r="D11" s="188">
        <v>3</v>
      </c>
      <c r="E11" s="188">
        <v>4</v>
      </c>
      <c r="F11" s="188">
        <v>5</v>
      </c>
      <c r="G11" s="188">
        <v>6</v>
      </c>
      <c r="H11" s="188">
        <v>7</v>
      </c>
      <c r="I11" s="188">
        <v>8</v>
      </c>
    </row>
    <row r="12" spans="1:11" s="13" customFormat="1" ht="24.75" customHeight="1">
      <c r="A12" s="210" t="s">
        <v>287</v>
      </c>
      <c r="B12" s="210"/>
      <c r="C12" s="211" t="s">
        <v>313</v>
      </c>
      <c r="D12" s="212">
        <f aca="true" t="shared" si="0" ref="D12:I12">SUM(D13:D14)</f>
        <v>4241705</v>
      </c>
      <c r="E12" s="212">
        <f t="shared" si="0"/>
        <v>3368735</v>
      </c>
      <c r="F12" s="212">
        <f t="shared" si="0"/>
        <v>4241705</v>
      </c>
      <c r="G12" s="212">
        <f t="shared" si="0"/>
        <v>3001527</v>
      </c>
      <c r="H12" s="212">
        <f t="shared" si="0"/>
        <v>1184178</v>
      </c>
      <c r="I12" s="212">
        <f t="shared" si="0"/>
        <v>56000</v>
      </c>
      <c r="J12" s="190"/>
      <c r="K12" s="213"/>
    </row>
    <row r="13" spans="1:11" s="8" customFormat="1" ht="24.75" customHeight="1">
      <c r="A13" s="198"/>
      <c r="B13" s="198">
        <v>80104</v>
      </c>
      <c r="C13" s="199" t="s">
        <v>325</v>
      </c>
      <c r="D13" s="327">
        <v>4228018</v>
      </c>
      <c r="E13" s="328">
        <v>3355048</v>
      </c>
      <c r="F13" s="329">
        <f>SUM(G13:I13)</f>
        <v>4228018</v>
      </c>
      <c r="G13" s="200">
        <v>3001527</v>
      </c>
      <c r="H13" s="200">
        <f>292721+872970+4800</f>
        <v>1170491</v>
      </c>
      <c r="I13" s="200">
        <f>60800-4800</f>
        <v>56000</v>
      </c>
      <c r="J13" s="201"/>
      <c r="K13" s="278"/>
    </row>
    <row r="14" spans="1:11" s="8" customFormat="1" ht="24.75" customHeight="1">
      <c r="A14" s="202"/>
      <c r="B14" s="202">
        <v>80146</v>
      </c>
      <c r="C14" s="203" t="s">
        <v>157</v>
      </c>
      <c r="D14" s="329">
        <v>13687</v>
      </c>
      <c r="E14" s="330">
        <v>13687</v>
      </c>
      <c r="F14" s="329">
        <f>SUM(G14:I14)</f>
        <v>13687</v>
      </c>
      <c r="G14" s="204">
        <v>0</v>
      </c>
      <c r="H14" s="204">
        <v>13687</v>
      </c>
      <c r="I14" s="204">
        <v>0</v>
      </c>
      <c r="J14" s="201"/>
      <c r="K14" s="278">
        <f>F13-D13</f>
        <v>0</v>
      </c>
    </row>
    <row r="15" spans="1:10" s="13" customFormat="1" ht="24.75" customHeight="1">
      <c r="A15" s="210" t="s">
        <v>288</v>
      </c>
      <c r="B15" s="210"/>
      <c r="C15" s="211" t="s">
        <v>289</v>
      </c>
      <c r="D15" s="212">
        <f>SUM(D16:D17)</f>
        <v>2825</v>
      </c>
      <c r="E15" s="212">
        <f>SUM(E16:E17)</f>
        <v>0</v>
      </c>
      <c r="F15" s="212">
        <f>SUM(G15:I15)</f>
        <v>2825</v>
      </c>
      <c r="G15" s="212">
        <f>SUM(G16:G17)</f>
        <v>0</v>
      </c>
      <c r="H15" s="212">
        <f>SUM(H16:H17)</f>
        <v>2825</v>
      </c>
      <c r="I15" s="212">
        <f>SUM(I16:I17)</f>
        <v>0</v>
      </c>
      <c r="J15" s="190"/>
    </row>
    <row r="16" spans="1:10" s="8" customFormat="1" ht="24.75" customHeight="1">
      <c r="A16" s="202"/>
      <c r="B16" s="202">
        <v>80101</v>
      </c>
      <c r="C16" s="205" t="s">
        <v>53</v>
      </c>
      <c r="D16" s="329">
        <v>1720</v>
      </c>
      <c r="E16" s="330">
        <v>0</v>
      </c>
      <c r="F16" s="329">
        <f>SUM(G16:I16)</f>
        <v>1720</v>
      </c>
      <c r="G16" s="330">
        <v>0</v>
      </c>
      <c r="H16" s="204">
        <v>1720</v>
      </c>
      <c r="I16" s="204">
        <v>0</v>
      </c>
      <c r="J16" s="201"/>
    </row>
    <row r="17" spans="1:10" s="8" customFormat="1" ht="24.75" customHeight="1">
      <c r="A17" s="202"/>
      <c r="B17" s="202">
        <v>80110</v>
      </c>
      <c r="C17" s="205" t="s">
        <v>54</v>
      </c>
      <c r="D17" s="329">
        <v>1105</v>
      </c>
      <c r="E17" s="330">
        <v>0</v>
      </c>
      <c r="F17" s="329">
        <f>SUM(G17:I17)</f>
        <v>1105</v>
      </c>
      <c r="G17" s="330">
        <v>0</v>
      </c>
      <c r="H17" s="204">
        <v>1105</v>
      </c>
      <c r="I17" s="204">
        <v>0</v>
      </c>
      <c r="J17" s="201"/>
    </row>
    <row r="18" spans="1:10" s="29" customFormat="1" ht="12.75">
      <c r="A18" s="206"/>
      <c r="B18" s="206"/>
      <c r="C18" s="207"/>
      <c r="D18" s="208"/>
      <c r="E18" s="209"/>
      <c r="F18" s="208"/>
      <c r="G18" s="209"/>
      <c r="H18" s="209"/>
      <c r="I18" s="209"/>
      <c r="J18" s="208"/>
    </row>
    <row r="19" spans="1:10" s="29" customFormat="1" ht="12.75">
      <c r="A19" s="206"/>
      <c r="B19" s="206"/>
      <c r="C19" s="207"/>
      <c r="D19" s="208"/>
      <c r="E19" s="209"/>
      <c r="F19" s="208"/>
      <c r="G19" s="209"/>
      <c r="H19" s="209"/>
      <c r="I19" s="209"/>
      <c r="J19" s="208"/>
    </row>
    <row r="20" spans="1:10" s="29" customFormat="1" ht="12.75">
      <c r="A20" s="206"/>
      <c r="B20" s="206"/>
      <c r="C20" s="207"/>
      <c r="D20" s="208"/>
      <c r="E20" s="209"/>
      <c r="F20" s="208"/>
      <c r="G20" s="209"/>
      <c r="H20" s="209"/>
      <c r="I20" s="209"/>
      <c r="J20" s="208"/>
    </row>
    <row r="21" spans="1:10" s="29" customFormat="1" ht="12.75">
      <c r="A21" s="206"/>
      <c r="B21" s="206"/>
      <c r="C21" s="207"/>
      <c r="D21" s="208"/>
      <c r="E21" s="209"/>
      <c r="F21" s="208"/>
      <c r="G21" s="209"/>
      <c r="H21" s="209"/>
      <c r="I21" s="209"/>
      <c r="J21" s="208"/>
    </row>
    <row r="22" spans="4:10" s="29" customFormat="1" ht="12.75">
      <c r="D22" s="208"/>
      <c r="E22" s="208"/>
      <c r="F22" s="208"/>
      <c r="G22" s="208"/>
      <c r="H22" s="208"/>
      <c r="I22" s="208"/>
      <c r="J22" s="208"/>
    </row>
  </sheetData>
  <sheetProtection/>
  <mergeCells count="5">
    <mergeCell ref="A9:A10"/>
    <mergeCell ref="C9:C10"/>
    <mergeCell ref="D9:E9"/>
    <mergeCell ref="F9:I9"/>
    <mergeCell ref="B9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.25390625" style="0" customWidth="1"/>
    <col min="2" max="2" width="21.125" style="0" customWidth="1"/>
    <col min="3" max="3" width="22.375" style="0" customWidth="1"/>
    <col min="4" max="4" width="15.125" style="0" customWidth="1"/>
    <col min="5" max="5" width="14.125" style="0" customWidth="1"/>
    <col min="6" max="6" width="14.25390625" style="0" customWidth="1"/>
    <col min="7" max="7" width="13.125" style="183" customWidth="1"/>
    <col min="8" max="9" width="12.125" style="183" customWidth="1"/>
  </cols>
  <sheetData>
    <row r="1" spans="1:9" ht="12.75">
      <c r="A1" s="334"/>
      <c r="B1" s="334"/>
      <c r="C1" s="334"/>
      <c r="D1" s="334"/>
      <c r="E1" s="334"/>
      <c r="F1" s="335"/>
      <c r="G1" s="336" t="s">
        <v>471</v>
      </c>
      <c r="H1" s="337"/>
      <c r="I1" s="337"/>
    </row>
    <row r="2" spans="1:9" ht="12.75">
      <c r="A2" s="334"/>
      <c r="B2" s="334"/>
      <c r="C2" s="334"/>
      <c r="D2" s="334"/>
      <c r="E2" s="334"/>
      <c r="F2" s="335"/>
      <c r="G2" s="336" t="s">
        <v>249</v>
      </c>
      <c r="H2" s="337"/>
      <c r="I2" s="337"/>
    </row>
    <row r="3" spans="1:9" ht="12.75">
      <c r="A3" s="334"/>
      <c r="B3" s="334"/>
      <c r="C3" s="334"/>
      <c r="D3" s="334"/>
      <c r="E3" s="334"/>
      <c r="F3" s="335"/>
      <c r="G3" s="336" t="s">
        <v>155</v>
      </c>
      <c r="H3" s="337"/>
      <c r="I3" s="337"/>
    </row>
    <row r="4" spans="1:9" ht="12.75">
      <c r="A4" s="334"/>
      <c r="B4" s="334"/>
      <c r="C4" s="334"/>
      <c r="D4" s="334"/>
      <c r="E4" s="334"/>
      <c r="F4" s="335"/>
      <c r="G4" s="336" t="s">
        <v>250</v>
      </c>
      <c r="H4" s="337"/>
      <c r="I4" s="337"/>
    </row>
    <row r="5" spans="1:9" ht="24" customHeight="1">
      <c r="A5" s="338" t="s">
        <v>345</v>
      </c>
      <c r="B5" s="334"/>
      <c r="C5" s="338"/>
      <c r="D5" s="338"/>
      <c r="E5" s="338"/>
      <c r="F5" s="338"/>
      <c r="G5" s="337"/>
      <c r="H5" s="337"/>
      <c r="I5" s="337"/>
    </row>
    <row r="6" spans="1:9" s="184" customFormat="1" ht="21" customHeight="1">
      <c r="A6" s="382" t="s">
        <v>268</v>
      </c>
      <c r="B6" s="385" t="s">
        <v>269</v>
      </c>
      <c r="C6" s="385" t="s">
        <v>270</v>
      </c>
      <c r="D6" s="385" t="s">
        <v>271</v>
      </c>
      <c r="E6" s="385" t="s">
        <v>272</v>
      </c>
      <c r="F6" s="385" t="s">
        <v>273</v>
      </c>
      <c r="G6" s="388" t="s">
        <v>466</v>
      </c>
      <c r="H6" s="388"/>
      <c r="I6" s="388"/>
    </row>
    <row r="7" spans="1:9" s="184" customFormat="1" ht="50.25" customHeight="1">
      <c r="A7" s="383"/>
      <c r="B7" s="386"/>
      <c r="C7" s="386"/>
      <c r="D7" s="386"/>
      <c r="E7" s="386"/>
      <c r="F7" s="386"/>
      <c r="G7" s="381">
        <v>2009</v>
      </c>
      <c r="H7" s="381">
        <v>2010</v>
      </c>
      <c r="I7" s="381">
        <v>2011</v>
      </c>
    </row>
    <row r="8" spans="1:9" s="184" customFormat="1" ht="21" customHeight="1">
      <c r="A8" s="383"/>
      <c r="B8" s="387"/>
      <c r="C8" s="387"/>
      <c r="D8" s="387"/>
      <c r="E8" s="387"/>
      <c r="F8" s="387"/>
      <c r="G8" s="381"/>
      <c r="H8" s="381"/>
      <c r="I8" s="381"/>
    </row>
    <row r="9" spans="1:9" s="32" customFormat="1" ht="18" customHeight="1">
      <c r="A9" s="384"/>
      <c r="B9" s="339">
        <v>1</v>
      </c>
      <c r="C9" s="339">
        <v>2</v>
      </c>
      <c r="D9" s="340">
        <v>3</v>
      </c>
      <c r="E9" s="341">
        <v>4</v>
      </c>
      <c r="F9" s="342">
        <v>5</v>
      </c>
      <c r="G9" s="341">
        <v>6</v>
      </c>
      <c r="H9" s="341">
        <v>7</v>
      </c>
      <c r="I9" s="341">
        <v>8</v>
      </c>
    </row>
    <row r="10" spans="1:9" s="32" customFormat="1" ht="43.5" customHeight="1">
      <c r="A10" s="341" t="s">
        <v>275</v>
      </c>
      <c r="B10" s="294" t="s">
        <v>461</v>
      </c>
      <c r="C10" s="294" t="s">
        <v>486</v>
      </c>
      <c r="D10" s="343" t="s">
        <v>276</v>
      </c>
      <c r="E10" s="344" t="s">
        <v>464</v>
      </c>
      <c r="F10" s="345">
        <v>1800000</v>
      </c>
      <c r="G10" s="346">
        <v>800000</v>
      </c>
      <c r="H10" s="346">
        <v>500000</v>
      </c>
      <c r="I10" s="346">
        <v>500000</v>
      </c>
    </row>
    <row r="11" spans="1:9" s="144" customFormat="1" ht="43.5" customHeight="1">
      <c r="A11" s="341" t="s">
        <v>460</v>
      </c>
      <c r="B11" s="294" t="s">
        <v>467</v>
      </c>
      <c r="C11" s="294" t="s">
        <v>468</v>
      </c>
      <c r="D11" s="343" t="s">
        <v>276</v>
      </c>
      <c r="E11" s="344" t="s">
        <v>463</v>
      </c>
      <c r="F11" s="347">
        <v>6573000</v>
      </c>
      <c r="G11" s="346">
        <v>1720000</v>
      </c>
      <c r="H11" s="346">
        <v>4853000</v>
      </c>
      <c r="I11" s="346">
        <v>0</v>
      </c>
    </row>
    <row r="12" spans="1:9" s="32" customFormat="1" ht="33.75">
      <c r="A12" s="341" t="s">
        <v>277</v>
      </c>
      <c r="B12" s="294" t="s">
        <v>485</v>
      </c>
      <c r="C12" s="294" t="s">
        <v>469</v>
      </c>
      <c r="D12" s="343" t="s">
        <v>276</v>
      </c>
      <c r="E12" s="344" t="s">
        <v>464</v>
      </c>
      <c r="F12" s="347">
        <v>9000000</v>
      </c>
      <c r="G12" s="346">
        <v>4100000</v>
      </c>
      <c r="H12" s="346">
        <v>2200000</v>
      </c>
      <c r="I12" s="346">
        <v>1000000</v>
      </c>
    </row>
    <row r="13" spans="1:9" ht="33.75">
      <c r="A13" s="341" t="s">
        <v>278</v>
      </c>
      <c r="B13" s="294" t="s">
        <v>465</v>
      </c>
      <c r="C13" s="294" t="s">
        <v>470</v>
      </c>
      <c r="D13" s="343" t="s">
        <v>276</v>
      </c>
      <c r="E13" s="344" t="s">
        <v>464</v>
      </c>
      <c r="F13" s="347">
        <f>SUM(G13:I13)</f>
        <v>6195920</v>
      </c>
      <c r="G13" s="346">
        <v>5145920</v>
      </c>
      <c r="H13" s="346">
        <v>420000</v>
      </c>
      <c r="I13" s="346">
        <v>630000</v>
      </c>
    </row>
    <row r="14" spans="1:9" ht="32.25" customHeight="1">
      <c r="A14" s="341" t="s">
        <v>483</v>
      </c>
      <c r="B14" s="348" t="s">
        <v>484</v>
      </c>
      <c r="C14" s="294" t="s">
        <v>469</v>
      </c>
      <c r="D14" s="343" t="s">
        <v>276</v>
      </c>
      <c r="E14" s="344" t="s">
        <v>464</v>
      </c>
      <c r="F14" s="347">
        <f>SUM(G14:I14)</f>
        <v>6010000</v>
      </c>
      <c r="G14" s="346">
        <v>1660000</v>
      </c>
      <c r="H14" s="346">
        <v>2250000</v>
      </c>
      <c r="I14" s="346">
        <v>2100000</v>
      </c>
    </row>
    <row r="15" ht="12.75">
      <c r="B15" s="333"/>
    </row>
  </sheetData>
  <sheetProtection/>
  <mergeCells count="10">
    <mergeCell ref="G7:G8"/>
    <mergeCell ref="H7:H8"/>
    <mergeCell ref="I7:I8"/>
    <mergeCell ref="A6:A9"/>
    <mergeCell ref="F6:F8"/>
    <mergeCell ref="E6:E8"/>
    <mergeCell ref="D6:D8"/>
    <mergeCell ref="C6:C8"/>
    <mergeCell ref="B6:B8"/>
    <mergeCell ref="G6:I6"/>
  </mergeCells>
  <printOptions horizontalCentered="1"/>
  <pageMargins left="0.32" right="0.35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5.75390625" style="9" customWidth="1"/>
    <col min="2" max="2" width="8.25390625" style="9" customWidth="1"/>
    <col min="3" max="3" width="5.75390625" style="9" customWidth="1"/>
    <col min="4" max="4" width="32.375" style="9" bestFit="1" customWidth="1"/>
    <col min="5" max="5" width="20.375" style="9" customWidth="1"/>
  </cols>
  <sheetData>
    <row r="1" ht="12.75">
      <c r="E1" s="32" t="s">
        <v>261</v>
      </c>
    </row>
    <row r="2" ht="12.75">
      <c r="E2" s="34" t="s">
        <v>249</v>
      </c>
    </row>
    <row r="3" ht="12.75">
      <c r="E3" s="34" t="s">
        <v>155</v>
      </c>
    </row>
    <row r="4" ht="12.75">
      <c r="E4" s="34" t="s">
        <v>250</v>
      </c>
    </row>
    <row r="5" ht="12.75">
      <c r="E5"/>
    </row>
    <row r="8" spans="1:5" ht="43.5" customHeight="1">
      <c r="A8" s="351" t="s">
        <v>344</v>
      </c>
      <c r="B8" s="351"/>
      <c r="C8" s="351"/>
      <c r="D8" s="351"/>
      <c r="E8" s="351"/>
    </row>
    <row r="9" spans="1:5" ht="17.25" customHeight="1">
      <c r="A9" s="54"/>
      <c r="B9" s="54"/>
      <c r="C9" s="54"/>
      <c r="D9" s="54"/>
      <c r="E9" s="54"/>
    </row>
    <row r="10" spans="1:5" ht="12.75">
      <c r="A10" s="54"/>
      <c r="B10" s="54"/>
      <c r="C10" s="54"/>
      <c r="D10" s="54"/>
      <c r="E10" s="35"/>
    </row>
    <row r="11" spans="1:5" s="9" customFormat="1" ht="24.75" customHeight="1">
      <c r="A11" s="14" t="s">
        <v>0</v>
      </c>
      <c r="B11" s="14" t="s">
        <v>1</v>
      </c>
      <c r="C11" s="14" t="s">
        <v>2</v>
      </c>
      <c r="D11" s="20" t="s">
        <v>3</v>
      </c>
      <c r="E11" s="24" t="s">
        <v>147</v>
      </c>
    </row>
    <row r="12" spans="1:5" ht="24.75" customHeight="1">
      <c r="A12" s="43" t="s">
        <v>15</v>
      </c>
      <c r="B12" s="6"/>
      <c r="C12" s="28"/>
      <c r="D12" s="41" t="s">
        <v>16</v>
      </c>
      <c r="E12" s="55">
        <f>SUM(E13)</f>
        <v>75000</v>
      </c>
    </row>
    <row r="13" spans="1:5" ht="24.75" customHeight="1">
      <c r="A13" s="3"/>
      <c r="B13" s="3">
        <v>75011</v>
      </c>
      <c r="C13" s="5"/>
      <c r="D13" s="22" t="s">
        <v>17</v>
      </c>
      <c r="E13" s="25">
        <f>SUM(E14:E14)</f>
        <v>75000</v>
      </c>
    </row>
    <row r="14" spans="1:5" ht="24" customHeight="1">
      <c r="A14" s="3"/>
      <c r="B14" s="3"/>
      <c r="C14" s="153" t="s">
        <v>194</v>
      </c>
      <c r="D14" s="22" t="s">
        <v>152</v>
      </c>
      <c r="E14" s="25">
        <v>75000</v>
      </c>
    </row>
    <row r="15" spans="1:5" ht="24.75" customHeight="1">
      <c r="A15" s="12"/>
      <c r="B15" s="12"/>
      <c r="C15" s="12"/>
      <c r="D15" s="20" t="s">
        <v>70</v>
      </c>
      <c r="E15" s="55">
        <f>SUM(E12)</f>
        <v>75000</v>
      </c>
    </row>
  </sheetData>
  <sheetProtection/>
  <mergeCells count="1">
    <mergeCell ref="A8:E8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9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5.75390625" style="9" customWidth="1"/>
    <col min="2" max="2" width="8.125" style="9" customWidth="1"/>
    <col min="3" max="3" width="6.625" style="9" customWidth="1"/>
    <col min="4" max="4" width="46.00390625" style="9" customWidth="1"/>
    <col min="5" max="5" width="19.75390625" style="38" customWidth="1"/>
  </cols>
  <sheetData>
    <row r="1" spans="1:5" ht="12.75">
      <c r="A1" s="133"/>
      <c r="B1" s="133"/>
      <c r="C1" s="133"/>
      <c r="D1" s="133"/>
      <c r="E1" s="76" t="s">
        <v>202</v>
      </c>
    </row>
    <row r="2" spans="1:5" ht="12.75">
      <c r="A2" s="133"/>
      <c r="B2" s="133"/>
      <c r="C2" s="133"/>
      <c r="D2" s="133"/>
      <c r="E2" s="76" t="s">
        <v>249</v>
      </c>
    </row>
    <row r="3" spans="1:5" ht="12.75">
      <c r="A3" s="133"/>
      <c r="B3" s="133"/>
      <c r="C3" s="133"/>
      <c r="D3" s="133"/>
      <c r="E3" s="76" t="s">
        <v>155</v>
      </c>
    </row>
    <row r="4" spans="1:5" ht="12.75">
      <c r="A4" s="133"/>
      <c r="B4" s="133"/>
      <c r="C4" s="133"/>
      <c r="D4" s="133"/>
      <c r="E4" s="76" t="s">
        <v>250</v>
      </c>
    </row>
    <row r="5" spans="1:5" ht="21" customHeight="1">
      <c r="A5" s="349" t="s">
        <v>335</v>
      </c>
      <c r="B5" s="349"/>
      <c r="C5" s="349"/>
      <c r="D5" s="349"/>
      <c r="E5" s="349"/>
    </row>
    <row r="6" spans="1:5" s="9" customFormat="1" ht="24.75" customHeight="1">
      <c r="A6" s="47" t="s">
        <v>0</v>
      </c>
      <c r="B6" s="47" t="s">
        <v>1</v>
      </c>
      <c r="C6" s="47" t="s">
        <v>2</v>
      </c>
      <c r="D6" s="47" t="s">
        <v>3</v>
      </c>
      <c r="E6" s="78" t="s">
        <v>147</v>
      </c>
    </row>
    <row r="7" spans="1:5" s="13" customFormat="1" ht="21" customHeight="1">
      <c r="A7" s="45" t="s">
        <v>4</v>
      </c>
      <c r="B7" s="79"/>
      <c r="C7" s="80"/>
      <c r="D7" s="48" t="s">
        <v>5</v>
      </c>
      <c r="E7" s="49">
        <f>SUM(E8,)</f>
        <v>12000</v>
      </c>
    </row>
    <row r="8" spans="1:5" s="32" customFormat="1" ht="21" customHeight="1">
      <c r="A8" s="87"/>
      <c r="B8" s="102" t="s">
        <v>72</v>
      </c>
      <c r="C8" s="90"/>
      <c r="D8" s="50" t="s">
        <v>73</v>
      </c>
      <c r="E8" s="101">
        <f>SUM(E9)</f>
        <v>12000</v>
      </c>
    </row>
    <row r="9" spans="1:5" s="32" customFormat="1" ht="24">
      <c r="A9" s="103"/>
      <c r="B9" s="104"/>
      <c r="C9" s="90">
        <v>2850</v>
      </c>
      <c r="D9" s="50" t="s">
        <v>74</v>
      </c>
      <c r="E9" s="101">
        <v>12000</v>
      </c>
    </row>
    <row r="10" spans="1:5" s="8" customFormat="1" ht="21" customHeight="1">
      <c r="A10" s="45" t="s">
        <v>77</v>
      </c>
      <c r="B10" s="46"/>
      <c r="C10" s="47"/>
      <c r="D10" s="48" t="s">
        <v>78</v>
      </c>
      <c r="E10" s="49">
        <f>E11</f>
        <v>5719925</v>
      </c>
    </row>
    <row r="11" spans="1:5" s="32" customFormat="1" ht="21" customHeight="1">
      <c r="A11" s="87"/>
      <c r="B11" s="102" t="s">
        <v>79</v>
      </c>
      <c r="C11" s="106"/>
      <c r="D11" s="50" t="s">
        <v>80</v>
      </c>
      <c r="E11" s="101">
        <f>SUM(E12:E16)</f>
        <v>5719925</v>
      </c>
    </row>
    <row r="12" spans="1:5" s="32" customFormat="1" ht="21" customHeight="1">
      <c r="A12" s="87"/>
      <c r="B12" s="107"/>
      <c r="C12" s="87">
        <v>4210</v>
      </c>
      <c r="D12" s="50" t="s">
        <v>75</v>
      </c>
      <c r="E12" s="101">
        <v>57205</v>
      </c>
    </row>
    <row r="13" spans="1:5" s="32" customFormat="1" ht="21" customHeight="1">
      <c r="A13" s="87"/>
      <c r="B13" s="107"/>
      <c r="C13" s="87">
        <v>4270</v>
      </c>
      <c r="D13" s="50" t="s">
        <v>81</v>
      </c>
      <c r="E13" s="101">
        <f>70000+15000+60000</f>
        <v>145000</v>
      </c>
    </row>
    <row r="14" spans="1:5" s="32" customFormat="1" ht="21" customHeight="1">
      <c r="A14" s="87"/>
      <c r="B14" s="107"/>
      <c r="C14" s="87">
        <v>4300</v>
      </c>
      <c r="D14" s="50" t="s">
        <v>82</v>
      </c>
      <c r="E14" s="101">
        <f>21800+200000+80000+30000+25000</f>
        <v>356800</v>
      </c>
    </row>
    <row r="15" spans="1:5" s="32" customFormat="1" ht="21" customHeight="1">
      <c r="A15" s="87"/>
      <c r="B15" s="107"/>
      <c r="C15" s="87">
        <v>6050</v>
      </c>
      <c r="D15" s="50" t="s">
        <v>76</v>
      </c>
      <c r="E15" s="101">
        <f>14120+3800+18000+5110000</f>
        <v>5145920</v>
      </c>
    </row>
    <row r="16" spans="1:5" s="32" customFormat="1" ht="21" customHeight="1">
      <c r="A16" s="87"/>
      <c r="B16" s="107"/>
      <c r="C16" s="87">
        <v>6060</v>
      </c>
      <c r="D16" s="50" t="s">
        <v>99</v>
      </c>
      <c r="E16" s="101">
        <v>15000</v>
      </c>
    </row>
    <row r="17" spans="1:5" s="8" customFormat="1" ht="21" customHeight="1">
      <c r="A17" s="45" t="s">
        <v>8</v>
      </c>
      <c r="B17" s="46"/>
      <c r="C17" s="47"/>
      <c r="D17" s="48" t="s">
        <v>9</v>
      </c>
      <c r="E17" s="49">
        <f>SUM(E18,E20,E29,E31)</f>
        <v>3482512</v>
      </c>
    </row>
    <row r="18" spans="1:5" s="32" customFormat="1" ht="21" customHeight="1">
      <c r="A18" s="87"/>
      <c r="B18" s="107">
        <v>70004</v>
      </c>
      <c r="C18" s="106"/>
      <c r="D18" s="50" t="s">
        <v>218</v>
      </c>
      <c r="E18" s="101">
        <f>SUM(E19)</f>
        <v>45000</v>
      </c>
    </row>
    <row r="19" spans="1:5" s="32" customFormat="1" ht="21" customHeight="1">
      <c r="A19" s="87"/>
      <c r="B19" s="107"/>
      <c r="C19" s="106">
        <v>4300</v>
      </c>
      <c r="D19" s="50" t="s">
        <v>82</v>
      </c>
      <c r="E19" s="101">
        <v>45000</v>
      </c>
    </row>
    <row r="20" spans="1:5" s="32" customFormat="1" ht="21" customHeight="1">
      <c r="A20" s="87"/>
      <c r="B20" s="102" t="s">
        <v>10</v>
      </c>
      <c r="C20" s="106"/>
      <c r="D20" s="50" t="s">
        <v>158</v>
      </c>
      <c r="E20" s="101">
        <f>SUM(E21:E28)</f>
        <v>2236932</v>
      </c>
    </row>
    <row r="21" spans="1:5" s="32" customFormat="1" ht="21" customHeight="1">
      <c r="A21" s="87"/>
      <c r="B21" s="102"/>
      <c r="C21" s="106">
        <v>4210</v>
      </c>
      <c r="D21" s="50" t="s">
        <v>75</v>
      </c>
      <c r="E21" s="101">
        <v>30000</v>
      </c>
    </row>
    <row r="22" spans="1:5" s="32" customFormat="1" ht="21" customHeight="1">
      <c r="A22" s="87"/>
      <c r="B22" s="102"/>
      <c r="C22" s="106">
        <v>4260</v>
      </c>
      <c r="D22" s="50" t="s">
        <v>98</v>
      </c>
      <c r="E22" s="101">
        <v>106000</v>
      </c>
    </row>
    <row r="23" spans="1:5" s="32" customFormat="1" ht="21" customHeight="1">
      <c r="A23" s="87"/>
      <c r="B23" s="102"/>
      <c r="C23" s="106">
        <v>4270</v>
      </c>
      <c r="D23" s="50" t="s">
        <v>81</v>
      </c>
      <c r="E23" s="101">
        <v>900000</v>
      </c>
    </row>
    <row r="24" spans="1:5" s="32" customFormat="1" ht="21" customHeight="1">
      <c r="A24" s="87"/>
      <c r="B24" s="107"/>
      <c r="C24" s="87">
        <v>4300</v>
      </c>
      <c r="D24" s="50" t="s">
        <v>82</v>
      </c>
      <c r="E24" s="101">
        <f>136600+160000</f>
        <v>296600</v>
      </c>
    </row>
    <row r="25" spans="1:5" s="32" customFormat="1" ht="24">
      <c r="A25" s="87"/>
      <c r="B25" s="107"/>
      <c r="C25" s="87">
        <v>4400</v>
      </c>
      <c r="D25" s="50" t="s">
        <v>314</v>
      </c>
      <c r="E25" s="101">
        <v>778500</v>
      </c>
    </row>
    <row r="26" spans="1:5" s="32" customFormat="1" ht="21" customHeight="1">
      <c r="A26" s="87"/>
      <c r="B26" s="107"/>
      <c r="C26" s="87">
        <v>4480</v>
      </c>
      <c r="D26" s="50" t="s">
        <v>32</v>
      </c>
      <c r="E26" s="101">
        <v>132</v>
      </c>
    </row>
    <row r="27" spans="1:5" s="32" customFormat="1" ht="21" customHeight="1">
      <c r="A27" s="87"/>
      <c r="B27" s="107"/>
      <c r="C27" s="106">
        <v>4510</v>
      </c>
      <c r="D27" s="50" t="s">
        <v>154</v>
      </c>
      <c r="E27" s="101">
        <v>700</v>
      </c>
    </row>
    <row r="28" spans="1:5" s="32" customFormat="1" ht="21" customHeight="1">
      <c r="A28" s="87"/>
      <c r="B28" s="107"/>
      <c r="C28" s="87">
        <v>6050</v>
      </c>
      <c r="D28" s="50" t="s">
        <v>76</v>
      </c>
      <c r="E28" s="101">
        <f>65000+60000</f>
        <v>125000</v>
      </c>
    </row>
    <row r="29" spans="1:5" s="32" customFormat="1" ht="21" customHeight="1">
      <c r="A29" s="87"/>
      <c r="B29" s="107">
        <v>70021</v>
      </c>
      <c r="C29" s="87"/>
      <c r="D29" s="50" t="s">
        <v>192</v>
      </c>
      <c r="E29" s="101">
        <f>SUM(E30:E30)</f>
        <v>400000</v>
      </c>
    </row>
    <row r="30" spans="1:5" s="32" customFormat="1" ht="21" customHeight="1">
      <c r="A30" s="87"/>
      <c r="B30" s="107"/>
      <c r="C30" s="87">
        <v>4150</v>
      </c>
      <c r="D30" s="50" t="s">
        <v>414</v>
      </c>
      <c r="E30" s="101">
        <v>400000</v>
      </c>
    </row>
    <row r="31" spans="1:5" s="32" customFormat="1" ht="21" customHeight="1">
      <c r="A31" s="87"/>
      <c r="B31" s="102">
        <v>70095</v>
      </c>
      <c r="C31" s="106"/>
      <c r="D31" s="50" t="s">
        <v>6</v>
      </c>
      <c r="E31" s="101">
        <f>SUM(E32:E34)</f>
        <v>800580</v>
      </c>
    </row>
    <row r="32" spans="1:5" s="32" customFormat="1" ht="21" customHeight="1">
      <c r="A32" s="87"/>
      <c r="B32" s="102"/>
      <c r="C32" s="106">
        <v>4260</v>
      </c>
      <c r="D32" s="50" t="s">
        <v>98</v>
      </c>
      <c r="E32" s="101">
        <v>500</v>
      </c>
    </row>
    <row r="33" spans="1:5" s="32" customFormat="1" ht="21" customHeight="1">
      <c r="A33" s="87"/>
      <c r="B33" s="102"/>
      <c r="C33" s="106">
        <v>4300</v>
      </c>
      <c r="D33" s="50" t="s">
        <v>82</v>
      </c>
      <c r="E33" s="101">
        <v>80</v>
      </c>
    </row>
    <row r="34" spans="1:5" s="32" customFormat="1" ht="21" customHeight="1">
      <c r="A34" s="87"/>
      <c r="B34" s="102"/>
      <c r="C34" s="87">
        <v>6050</v>
      </c>
      <c r="D34" s="50" t="s">
        <v>76</v>
      </c>
      <c r="E34" s="101">
        <v>800000</v>
      </c>
    </row>
    <row r="35" spans="1:5" s="8" customFormat="1" ht="21" customHeight="1">
      <c r="A35" s="45" t="s">
        <v>13</v>
      </c>
      <c r="B35" s="46"/>
      <c r="C35" s="47"/>
      <c r="D35" s="48" t="s">
        <v>83</v>
      </c>
      <c r="E35" s="49">
        <f>SUM(E36,E38)</f>
        <v>370500</v>
      </c>
    </row>
    <row r="36" spans="1:5" s="32" customFormat="1" ht="21" customHeight="1">
      <c r="A36" s="87"/>
      <c r="B36" s="102" t="s">
        <v>84</v>
      </c>
      <c r="C36" s="106"/>
      <c r="D36" s="50" t="s">
        <v>85</v>
      </c>
      <c r="E36" s="101">
        <f>SUM(E37:E37)</f>
        <v>250000</v>
      </c>
    </row>
    <row r="37" spans="1:5" s="32" customFormat="1" ht="21" customHeight="1">
      <c r="A37" s="87"/>
      <c r="B37" s="102"/>
      <c r="C37" s="87">
        <v>4300</v>
      </c>
      <c r="D37" s="50" t="s">
        <v>82</v>
      </c>
      <c r="E37" s="101">
        <v>250000</v>
      </c>
    </row>
    <row r="38" spans="1:5" s="32" customFormat="1" ht="21" customHeight="1">
      <c r="A38" s="87"/>
      <c r="B38" s="102">
        <v>71035</v>
      </c>
      <c r="C38" s="87"/>
      <c r="D38" s="50" t="s">
        <v>14</v>
      </c>
      <c r="E38" s="101">
        <f>SUM(E39:E41)</f>
        <v>120500</v>
      </c>
    </row>
    <row r="39" spans="1:5" s="32" customFormat="1" ht="21" customHeight="1">
      <c r="A39" s="87"/>
      <c r="B39" s="102"/>
      <c r="C39" s="87">
        <v>4260</v>
      </c>
      <c r="D39" s="50" t="s">
        <v>98</v>
      </c>
      <c r="E39" s="101">
        <f>500+2000</f>
        <v>2500</v>
      </c>
    </row>
    <row r="40" spans="1:5" s="32" customFormat="1" ht="21" customHeight="1">
      <c r="A40" s="87"/>
      <c r="B40" s="102"/>
      <c r="C40" s="87">
        <v>4270</v>
      </c>
      <c r="D40" s="50" t="s">
        <v>81</v>
      </c>
      <c r="E40" s="101">
        <v>100000</v>
      </c>
    </row>
    <row r="41" spans="1:5" s="32" customFormat="1" ht="21" customHeight="1">
      <c r="A41" s="87"/>
      <c r="B41" s="102"/>
      <c r="C41" s="87">
        <v>4300</v>
      </c>
      <c r="D41" s="50" t="s">
        <v>82</v>
      </c>
      <c r="E41" s="101">
        <v>18000</v>
      </c>
    </row>
    <row r="42" spans="1:5" s="8" customFormat="1" ht="21" customHeight="1">
      <c r="A42" s="45" t="s">
        <v>15</v>
      </c>
      <c r="B42" s="46"/>
      <c r="C42" s="47"/>
      <c r="D42" s="48" t="s">
        <v>86</v>
      </c>
      <c r="E42" s="49">
        <f>SUM(E43,E60,E71,E95,E108,)</f>
        <v>6340577</v>
      </c>
    </row>
    <row r="43" spans="1:5" s="32" customFormat="1" ht="21" customHeight="1">
      <c r="A43" s="87"/>
      <c r="B43" s="102">
        <v>75011</v>
      </c>
      <c r="C43" s="106"/>
      <c r="D43" s="50" t="s">
        <v>17</v>
      </c>
      <c r="E43" s="101">
        <f>SUM(E44:E59)</f>
        <v>382320</v>
      </c>
    </row>
    <row r="44" spans="1:5" s="32" customFormat="1" ht="21" customHeight="1">
      <c r="A44" s="87"/>
      <c r="B44" s="102"/>
      <c r="C44" s="106">
        <v>3020</v>
      </c>
      <c r="D44" s="50" t="s">
        <v>205</v>
      </c>
      <c r="E44" s="101">
        <v>1760</v>
      </c>
    </row>
    <row r="45" spans="1:5" s="32" customFormat="1" ht="21" customHeight="1">
      <c r="A45" s="87"/>
      <c r="B45" s="107"/>
      <c r="C45" s="87">
        <v>4010</v>
      </c>
      <c r="D45" s="50" t="s">
        <v>87</v>
      </c>
      <c r="E45" s="101">
        <f>112525+155895</f>
        <v>268420</v>
      </c>
    </row>
    <row r="46" spans="1:5" s="32" customFormat="1" ht="21" customHeight="1">
      <c r="A46" s="87"/>
      <c r="B46" s="107"/>
      <c r="C46" s="87">
        <v>4040</v>
      </c>
      <c r="D46" s="50" t="s">
        <v>88</v>
      </c>
      <c r="E46" s="101">
        <v>19000</v>
      </c>
    </row>
    <row r="47" spans="1:5" s="32" customFormat="1" ht="21" customHeight="1">
      <c r="A47" s="87"/>
      <c r="B47" s="107"/>
      <c r="C47" s="87">
        <v>4110</v>
      </c>
      <c r="D47" s="50" t="s">
        <v>89</v>
      </c>
      <c r="E47" s="101">
        <f>13626+29582</f>
        <v>43208</v>
      </c>
    </row>
    <row r="48" spans="1:5" s="32" customFormat="1" ht="21" customHeight="1">
      <c r="A48" s="87"/>
      <c r="B48" s="107"/>
      <c r="C48" s="87">
        <v>4120</v>
      </c>
      <c r="D48" s="50" t="s">
        <v>90</v>
      </c>
      <c r="E48" s="101">
        <f>2186+4743</f>
        <v>6929</v>
      </c>
    </row>
    <row r="49" spans="1:5" s="32" customFormat="1" ht="21" customHeight="1">
      <c r="A49" s="87"/>
      <c r="B49" s="107"/>
      <c r="C49" s="87">
        <v>4210</v>
      </c>
      <c r="D49" s="50" t="s">
        <v>95</v>
      </c>
      <c r="E49" s="101">
        <v>13980</v>
      </c>
    </row>
    <row r="50" spans="1:5" s="32" customFormat="1" ht="21" customHeight="1">
      <c r="A50" s="87"/>
      <c r="B50" s="107"/>
      <c r="C50" s="87">
        <v>4270</v>
      </c>
      <c r="D50" s="50" t="s">
        <v>81</v>
      </c>
      <c r="E50" s="101">
        <v>2000</v>
      </c>
    </row>
    <row r="51" spans="1:5" s="32" customFormat="1" ht="21" customHeight="1">
      <c r="A51" s="87"/>
      <c r="B51" s="107"/>
      <c r="C51" s="87">
        <v>4280</v>
      </c>
      <c r="D51" s="50" t="s">
        <v>240</v>
      </c>
      <c r="E51" s="101">
        <v>960</v>
      </c>
    </row>
    <row r="52" spans="1:5" s="32" customFormat="1" ht="21" customHeight="1">
      <c r="A52" s="87"/>
      <c r="B52" s="107"/>
      <c r="C52" s="87">
        <v>4300</v>
      </c>
      <c r="D52" s="50" t="s">
        <v>82</v>
      </c>
      <c r="E52" s="101">
        <v>5000</v>
      </c>
    </row>
    <row r="53" spans="1:5" s="32" customFormat="1" ht="24">
      <c r="A53" s="87"/>
      <c r="B53" s="107"/>
      <c r="C53" s="87">
        <v>4370</v>
      </c>
      <c r="D53" s="50" t="s">
        <v>253</v>
      </c>
      <c r="E53" s="101">
        <v>2000</v>
      </c>
    </row>
    <row r="54" spans="1:5" s="32" customFormat="1" ht="21" customHeight="1">
      <c r="A54" s="87"/>
      <c r="B54" s="107"/>
      <c r="C54" s="87">
        <v>4410</v>
      </c>
      <c r="D54" s="50" t="s">
        <v>93</v>
      </c>
      <c r="E54" s="101">
        <v>1000</v>
      </c>
    </row>
    <row r="55" spans="1:5" s="32" customFormat="1" ht="21" customHeight="1">
      <c r="A55" s="87"/>
      <c r="B55" s="107"/>
      <c r="C55" s="87">
        <v>4430</v>
      </c>
      <c r="D55" s="50" t="s">
        <v>97</v>
      </c>
      <c r="E55" s="101">
        <v>3500</v>
      </c>
    </row>
    <row r="56" spans="1:5" s="32" customFormat="1" ht="21" customHeight="1">
      <c r="A56" s="87"/>
      <c r="B56" s="107"/>
      <c r="C56" s="90">
        <v>4440</v>
      </c>
      <c r="D56" s="50" t="s">
        <v>91</v>
      </c>
      <c r="E56" s="101">
        <v>9263</v>
      </c>
    </row>
    <row r="57" spans="1:5" s="32" customFormat="1" ht="24">
      <c r="A57" s="87"/>
      <c r="B57" s="107"/>
      <c r="C57" s="90">
        <v>4700</v>
      </c>
      <c r="D57" s="50" t="s">
        <v>323</v>
      </c>
      <c r="E57" s="101">
        <v>3300</v>
      </c>
    </row>
    <row r="58" spans="1:5" s="32" customFormat="1" ht="24">
      <c r="A58" s="87"/>
      <c r="B58" s="107"/>
      <c r="C58" s="90">
        <v>4740</v>
      </c>
      <c r="D58" s="50" t="s">
        <v>254</v>
      </c>
      <c r="E58" s="101">
        <v>1000</v>
      </c>
    </row>
    <row r="59" spans="1:5" s="32" customFormat="1" ht="21" customHeight="1">
      <c r="A59" s="87"/>
      <c r="B59" s="107"/>
      <c r="C59" s="90">
        <v>4750</v>
      </c>
      <c r="D59" s="50" t="s">
        <v>255</v>
      </c>
      <c r="E59" s="101">
        <v>1000</v>
      </c>
    </row>
    <row r="60" spans="1:5" s="32" customFormat="1" ht="21" customHeight="1">
      <c r="A60" s="106"/>
      <c r="B60" s="102" t="s">
        <v>94</v>
      </c>
      <c r="C60" s="106"/>
      <c r="D60" s="50" t="s">
        <v>159</v>
      </c>
      <c r="E60" s="101">
        <f>SUM(E61:E70)</f>
        <v>312700</v>
      </c>
    </row>
    <row r="61" spans="1:5" s="32" customFormat="1" ht="21" customHeight="1">
      <c r="A61" s="106"/>
      <c r="B61" s="102"/>
      <c r="C61" s="87">
        <v>3030</v>
      </c>
      <c r="D61" s="50" t="s">
        <v>92</v>
      </c>
      <c r="E61" s="101">
        <v>261600</v>
      </c>
    </row>
    <row r="62" spans="1:5" s="32" customFormat="1" ht="21" customHeight="1">
      <c r="A62" s="106"/>
      <c r="B62" s="102"/>
      <c r="C62" s="87">
        <v>4170</v>
      </c>
      <c r="D62" s="50" t="s">
        <v>208</v>
      </c>
      <c r="E62" s="101">
        <v>2000</v>
      </c>
    </row>
    <row r="63" spans="1:5" s="32" customFormat="1" ht="21" customHeight="1">
      <c r="A63" s="106"/>
      <c r="B63" s="102"/>
      <c r="C63" s="87">
        <v>4210</v>
      </c>
      <c r="D63" s="50" t="s">
        <v>95</v>
      </c>
      <c r="E63" s="101">
        <v>17500</v>
      </c>
    </row>
    <row r="64" spans="1:5" s="32" customFormat="1" ht="21" customHeight="1">
      <c r="A64" s="106"/>
      <c r="B64" s="102"/>
      <c r="C64" s="87">
        <v>4300</v>
      </c>
      <c r="D64" s="50" t="s">
        <v>82</v>
      </c>
      <c r="E64" s="101">
        <v>22000</v>
      </c>
    </row>
    <row r="65" spans="1:5" s="32" customFormat="1" ht="21" customHeight="1">
      <c r="A65" s="106"/>
      <c r="B65" s="102"/>
      <c r="C65" s="87">
        <v>4370</v>
      </c>
      <c r="D65" s="50" t="s">
        <v>253</v>
      </c>
      <c r="E65" s="101">
        <v>100</v>
      </c>
    </row>
    <row r="66" spans="1:5" s="32" customFormat="1" ht="21" customHeight="1">
      <c r="A66" s="106"/>
      <c r="B66" s="102"/>
      <c r="C66" s="87">
        <v>4410</v>
      </c>
      <c r="D66" s="50" t="s">
        <v>93</v>
      </c>
      <c r="E66" s="101">
        <v>4000</v>
      </c>
    </row>
    <row r="67" spans="1:5" s="32" customFormat="1" ht="21" customHeight="1">
      <c r="A67" s="106"/>
      <c r="B67" s="102"/>
      <c r="C67" s="87">
        <v>4420</v>
      </c>
      <c r="D67" s="50" t="s">
        <v>96</v>
      </c>
      <c r="E67" s="101">
        <v>2000</v>
      </c>
    </row>
    <row r="68" spans="1:5" s="32" customFormat="1" ht="21" customHeight="1">
      <c r="A68" s="106"/>
      <c r="B68" s="102"/>
      <c r="C68" s="90">
        <v>4430</v>
      </c>
      <c r="D68" s="50" t="s">
        <v>97</v>
      </c>
      <c r="E68" s="101">
        <v>500</v>
      </c>
    </row>
    <row r="69" spans="1:5" s="32" customFormat="1" ht="24">
      <c r="A69" s="106"/>
      <c r="B69" s="102"/>
      <c r="C69" s="90">
        <v>4740</v>
      </c>
      <c r="D69" s="50" t="s">
        <v>452</v>
      </c>
      <c r="E69" s="101">
        <v>2000</v>
      </c>
    </row>
    <row r="70" spans="1:5" s="32" customFormat="1" ht="21" customHeight="1">
      <c r="A70" s="106"/>
      <c r="B70" s="102"/>
      <c r="C70" s="90">
        <v>4750</v>
      </c>
      <c r="D70" s="50" t="s">
        <v>255</v>
      </c>
      <c r="E70" s="101">
        <v>1000</v>
      </c>
    </row>
    <row r="71" spans="1:5" s="32" customFormat="1" ht="21" customHeight="1">
      <c r="A71" s="106"/>
      <c r="B71" s="102" t="s">
        <v>18</v>
      </c>
      <c r="C71" s="106"/>
      <c r="D71" s="50" t="s">
        <v>19</v>
      </c>
      <c r="E71" s="101">
        <f>SUM(E72:E94)</f>
        <v>5019517</v>
      </c>
    </row>
    <row r="72" spans="1:5" s="32" customFormat="1" ht="21" customHeight="1">
      <c r="A72" s="106"/>
      <c r="B72" s="102"/>
      <c r="C72" s="87">
        <v>3020</v>
      </c>
      <c r="D72" s="50" t="s">
        <v>205</v>
      </c>
      <c r="E72" s="101">
        <v>24500</v>
      </c>
    </row>
    <row r="73" spans="1:5" s="32" customFormat="1" ht="21" customHeight="1">
      <c r="A73" s="106"/>
      <c r="B73" s="102"/>
      <c r="C73" s="87">
        <v>4010</v>
      </c>
      <c r="D73" s="50" t="s">
        <v>87</v>
      </c>
      <c r="E73" s="101">
        <f>3084359-100000</f>
        <v>2984359</v>
      </c>
    </row>
    <row r="74" spans="1:5" s="32" customFormat="1" ht="21" customHeight="1">
      <c r="A74" s="106"/>
      <c r="B74" s="102"/>
      <c r="C74" s="87">
        <v>4040</v>
      </c>
      <c r="D74" s="50" t="s">
        <v>88</v>
      </c>
      <c r="E74" s="101">
        <v>182000</v>
      </c>
    </row>
    <row r="75" spans="1:5" s="32" customFormat="1" ht="21" customHeight="1">
      <c r="A75" s="106"/>
      <c r="B75" s="102"/>
      <c r="C75" s="87">
        <v>4110</v>
      </c>
      <c r="D75" s="50" t="s">
        <v>89</v>
      </c>
      <c r="E75" s="101">
        <f>511390-15000</f>
        <v>496390</v>
      </c>
    </row>
    <row r="76" spans="1:5" s="32" customFormat="1" ht="21" customHeight="1">
      <c r="A76" s="106"/>
      <c r="B76" s="102"/>
      <c r="C76" s="87">
        <v>4120</v>
      </c>
      <c r="D76" s="50" t="s">
        <v>90</v>
      </c>
      <c r="E76" s="101">
        <v>91712</v>
      </c>
    </row>
    <row r="77" spans="1:5" s="32" customFormat="1" ht="21" customHeight="1">
      <c r="A77" s="106"/>
      <c r="B77" s="102"/>
      <c r="C77" s="87">
        <v>4170</v>
      </c>
      <c r="D77" s="50" t="s">
        <v>208</v>
      </c>
      <c r="E77" s="101">
        <v>23728</v>
      </c>
    </row>
    <row r="78" spans="1:5" s="32" customFormat="1" ht="21" customHeight="1">
      <c r="A78" s="106"/>
      <c r="B78" s="102"/>
      <c r="C78" s="87">
        <v>4210</v>
      </c>
      <c r="D78" s="50" t="s">
        <v>95</v>
      </c>
      <c r="E78" s="101">
        <v>216450</v>
      </c>
    </row>
    <row r="79" spans="1:5" s="32" customFormat="1" ht="21" customHeight="1">
      <c r="A79" s="106"/>
      <c r="B79" s="102"/>
      <c r="C79" s="87">
        <v>4260</v>
      </c>
      <c r="D79" s="50" t="s">
        <v>98</v>
      </c>
      <c r="E79" s="101">
        <v>89200</v>
      </c>
    </row>
    <row r="80" spans="1:5" s="32" customFormat="1" ht="21" customHeight="1">
      <c r="A80" s="106"/>
      <c r="B80" s="102"/>
      <c r="C80" s="87">
        <v>4270</v>
      </c>
      <c r="D80" s="50" t="s">
        <v>81</v>
      </c>
      <c r="E80" s="101">
        <f>10000+100000+20000</f>
        <v>130000</v>
      </c>
    </row>
    <row r="81" spans="1:5" s="32" customFormat="1" ht="21" customHeight="1">
      <c r="A81" s="106"/>
      <c r="B81" s="102"/>
      <c r="C81" s="87">
        <v>4280</v>
      </c>
      <c r="D81" s="50" t="s">
        <v>240</v>
      </c>
      <c r="E81" s="101">
        <v>10000</v>
      </c>
    </row>
    <row r="82" spans="1:5" s="32" customFormat="1" ht="21" customHeight="1">
      <c r="A82" s="106"/>
      <c r="B82" s="102"/>
      <c r="C82" s="87">
        <v>4300</v>
      </c>
      <c r="D82" s="50" t="s">
        <v>82</v>
      </c>
      <c r="E82" s="101">
        <v>210700</v>
      </c>
    </row>
    <row r="83" spans="1:5" s="32" customFormat="1" ht="21" customHeight="1">
      <c r="A83" s="106"/>
      <c r="B83" s="102"/>
      <c r="C83" s="87">
        <v>4350</v>
      </c>
      <c r="D83" s="50" t="s">
        <v>227</v>
      </c>
      <c r="E83" s="101">
        <v>15000</v>
      </c>
    </row>
    <row r="84" spans="1:5" s="32" customFormat="1" ht="24">
      <c r="A84" s="106"/>
      <c r="B84" s="102"/>
      <c r="C84" s="87">
        <v>4360</v>
      </c>
      <c r="D84" s="50" t="s">
        <v>256</v>
      </c>
      <c r="E84" s="101">
        <v>23500</v>
      </c>
    </row>
    <row r="85" spans="1:5" s="32" customFormat="1" ht="24">
      <c r="A85" s="106"/>
      <c r="B85" s="102"/>
      <c r="C85" s="87">
        <v>4370</v>
      </c>
      <c r="D85" s="50" t="s">
        <v>253</v>
      </c>
      <c r="E85" s="101">
        <v>51500</v>
      </c>
    </row>
    <row r="86" spans="1:5" s="32" customFormat="1" ht="21" customHeight="1">
      <c r="A86" s="106"/>
      <c r="B86" s="102"/>
      <c r="C86" s="87">
        <v>4410</v>
      </c>
      <c r="D86" s="50" t="s">
        <v>93</v>
      </c>
      <c r="E86" s="101">
        <v>53200</v>
      </c>
    </row>
    <row r="87" spans="1:5" s="32" customFormat="1" ht="21" customHeight="1">
      <c r="A87" s="106"/>
      <c r="B87" s="102"/>
      <c r="C87" s="106">
        <v>4420</v>
      </c>
      <c r="D87" s="50" t="s">
        <v>96</v>
      </c>
      <c r="E87" s="101">
        <v>5000</v>
      </c>
    </row>
    <row r="88" spans="1:5" s="32" customFormat="1" ht="21" customHeight="1">
      <c r="A88" s="106"/>
      <c r="B88" s="102"/>
      <c r="C88" s="90">
        <v>4430</v>
      </c>
      <c r="D88" s="50" t="s">
        <v>97</v>
      </c>
      <c r="E88" s="101">
        <v>63502</v>
      </c>
    </row>
    <row r="89" spans="1:5" s="32" customFormat="1" ht="21" customHeight="1">
      <c r="A89" s="106"/>
      <c r="B89" s="102"/>
      <c r="C89" s="90">
        <v>4440</v>
      </c>
      <c r="D89" s="50" t="s">
        <v>91</v>
      </c>
      <c r="E89" s="101">
        <f>125776-5000</f>
        <v>120776</v>
      </c>
    </row>
    <row r="90" spans="1:5" s="32" customFormat="1" ht="21" customHeight="1">
      <c r="A90" s="106"/>
      <c r="B90" s="102"/>
      <c r="C90" s="90">
        <v>4510</v>
      </c>
      <c r="D90" s="50" t="s">
        <v>154</v>
      </c>
      <c r="E90" s="101">
        <v>4000</v>
      </c>
    </row>
    <row r="91" spans="1:5" s="32" customFormat="1" ht="24">
      <c r="A91" s="106"/>
      <c r="B91" s="102"/>
      <c r="C91" s="90">
        <v>4700</v>
      </c>
      <c r="D91" s="50" t="s">
        <v>323</v>
      </c>
      <c r="E91" s="101">
        <v>31000</v>
      </c>
    </row>
    <row r="92" spans="1:5" s="32" customFormat="1" ht="24">
      <c r="A92" s="106"/>
      <c r="B92" s="102"/>
      <c r="C92" s="90">
        <v>4740</v>
      </c>
      <c r="D92" s="50" t="s">
        <v>254</v>
      </c>
      <c r="E92" s="101">
        <v>20000</v>
      </c>
    </row>
    <row r="93" spans="1:5" s="32" customFormat="1" ht="21" customHeight="1">
      <c r="A93" s="106"/>
      <c r="B93" s="102"/>
      <c r="C93" s="90">
        <v>4750</v>
      </c>
      <c r="D93" s="50" t="s">
        <v>255</v>
      </c>
      <c r="E93" s="101">
        <v>38000</v>
      </c>
    </row>
    <row r="94" spans="1:5" s="32" customFormat="1" ht="21" customHeight="1">
      <c r="A94" s="106"/>
      <c r="B94" s="102"/>
      <c r="C94" s="90">
        <v>6060</v>
      </c>
      <c r="D94" s="50" t="s">
        <v>99</v>
      </c>
      <c r="E94" s="101">
        <v>135000</v>
      </c>
    </row>
    <row r="95" spans="1:5" s="32" customFormat="1" ht="21" customHeight="1">
      <c r="A95" s="106"/>
      <c r="B95" s="102">
        <v>75075</v>
      </c>
      <c r="C95" s="106"/>
      <c r="D95" s="50" t="s">
        <v>223</v>
      </c>
      <c r="E95" s="101">
        <f>SUM(E96:E107)</f>
        <v>501460</v>
      </c>
    </row>
    <row r="96" spans="1:5" s="32" customFormat="1" ht="21" customHeight="1">
      <c r="A96" s="106"/>
      <c r="B96" s="102"/>
      <c r="C96" s="106">
        <v>3020</v>
      </c>
      <c r="D96" s="50" t="s">
        <v>205</v>
      </c>
      <c r="E96" s="101">
        <v>12000</v>
      </c>
    </row>
    <row r="97" spans="1:5" s="32" customFormat="1" ht="21" customHeight="1">
      <c r="A97" s="106"/>
      <c r="B97" s="102"/>
      <c r="C97" s="106">
        <v>4110</v>
      </c>
      <c r="D97" s="50" t="s">
        <v>89</v>
      </c>
      <c r="E97" s="101">
        <v>1000</v>
      </c>
    </row>
    <row r="98" spans="1:5" s="32" customFormat="1" ht="21" customHeight="1">
      <c r="A98" s="106"/>
      <c r="B98" s="102"/>
      <c r="C98" s="106">
        <v>4120</v>
      </c>
      <c r="D98" s="50" t="s">
        <v>90</v>
      </c>
      <c r="E98" s="101">
        <v>100</v>
      </c>
    </row>
    <row r="99" spans="1:5" s="32" customFormat="1" ht="21" customHeight="1">
      <c r="A99" s="106"/>
      <c r="B99" s="102"/>
      <c r="C99" s="106">
        <v>4170</v>
      </c>
      <c r="D99" s="50" t="s">
        <v>208</v>
      </c>
      <c r="E99" s="101">
        <v>6000</v>
      </c>
    </row>
    <row r="100" spans="1:5" s="32" customFormat="1" ht="21" customHeight="1">
      <c r="A100" s="106"/>
      <c r="B100" s="102"/>
      <c r="C100" s="106">
        <v>4210</v>
      </c>
      <c r="D100" s="50" t="s">
        <v>95</v>
      </c>
      <c r="E100" s="101">
        <v>190000</v>
      </c>
    </row>
    <row r="101" spans="1:5" s="32" customFormat="1" ht="21" customHeight="1">
      <c r="A101" s="106"/>
      <c r="B101" s="102"/>
      <c r="C101" s="87">
        <v>4300</v>
      </c>
      <c r="D101" s="50" t="s">
        <v>82</v>
      </c>
      <c r="E101" s="101">
        <f>268360+3000</f>
        <v>271360</v>
      </c>
    </row>
    <row r="102" spans="1:5" s="32" customFormat="1" ht="21" customHeight="1">
      <c r="A102" s="106"/>
      <c r="B102" s="102"/>
      <c r="C102" s="87">
        <v>4350</v>
      </c>
      <c r="D102" s="50" t="s">
        <v>225</v>
      </c>
      <c r="E102" s="101">
        <v>5000</v>
      </c>
    </row>
    <row r="103" spans="1:5" s="32" customFormat="1" ht="21" customHeight="1">
      <c r="A103" s="106"/>
      <c r="B103" s="102"/>
      <c r="C103" s="87">
        <v>4410</v>
      </c>
      <c r="D103" s="50" t="s">
        <v>93</v>
      </c>
      <c r="E103" s="101">
        <v>3000</v>
      </c>
    </row>
    <row r="104" spans="1:5" s="32" customFormat="1" ht="21" customHeight="1">
      <c r="A104" s="106"/>
      <c r="B104" s="102"/>
      <c r="C104" s="106">
        <v>4420</v>
      </c>
      <c r="D104" s="50" t="s">
        <v>96</v>
      </c>
      <c r="E104" s="101">
        <v>3000</v>
      </c>
    </row>
    <row r="105" spans="1:5" s="32" customFormat="1" ht="21" customHeight="1">
      <c r="A105" s="106"/>
      <c r="B105" s="102"/>
      <c r="C105" s="87">
        <v>4430</v>
      </c>
      <c r="D105" s="50" t="s">
        <v>97</v>
      </c>
      <c r="E105" s="101">
        <v>3000</v>
      </c>
    </row>
    <row r="106" spans="1:5" s="32" customFormat="1" ht="24">
      <c r="A106" s="106"/>
      <c r="B106" s="102"/>
      <c r="C106" s="87">
        <v>4740</v>
      </c>
      <c r="D106" s="50" t="s">
        <v>254</v>
      </c>
      <c r="E106" s="101">
        <v>1000</v>
      </c>
    </row>
    <row r="107" spans="1:5" s="32" customFormat="1" ht="24">
      <c r="A107" s="106"/>
      <c r="B107" s="102"/>
      <c r="C107" s="87">
        <v>4750</v>
      </c>
      <c r="D107" s="50" t="s">
        <v>330</v>
      </c>
      <c r="E107" s="101">
        <v>6000</v>
      </c>
    </row>
    <row r="108" spans="1:5" s="32" customFormat="1" ht="21" customHeight="1">
      <c r="A108" s="106"/>
      <c r="B108" s="102">
        <v>75095</v>
      </c>
      <c r="C108" s="87"/>
      <c r="D108" s="50" t="s">
        <v>6</v>
      </c>
      <c r="E108" s="101">
        <f>SUM(E109:E114)</f>
        <v>124580</v>
      </c>
    </row>
    <row r="109" spans="1:5" s="32" customFormat="1" ht="21" customHeight="1">
      <c r="A109" s="106"/>
      <c r="B109" s="102"/>
      <c r="C109" s="87">
        <v>3030</v>
      </c>
      <c r="D109" s="50" t="s">
        <v>92</v>
      </c>
      <c r="E109" s="101">
        <v>60000</v>
      </c>
    </row>
    <row r="110" spans="1:5" s="32" customFormat="1" ht="21" customHeight="1">
      <c r="A110" s="106"/>
      <c r="B110" s="102"/>
      <c r="C110" s="87">
        <v>4210</v>
      </c>
      <c r="D110" s="50" t="s">
        <v>95</v>
      </c>
      <c r="E110" s="101">
        <f>22980+1000</f>
        <v>23980</v>
      </c>
    </row>
    <row r="111" spans="1:5" s="32" customFormat="1" ht="21" customHeight="1">
      <c r="A111" s="106"/>
      <c r="B111" s="102"/>
      <c r="C111" s="87">
        <v>4300</v>
      </c>
      <c r="D111" s="50" t="s">
        <v>82</v>
      </c>
      <c r="E111" s="101">
        <v>5500</v>
      </c>
    </row>
    <row r="112" spans="1:5" s="32" customFormat="1" ht="21" customHeight="1">
      <c r="A112" s="106"/>
      <c r="B112" s="102"/>
      <c r="C112" s="87">
        <v>4410</v>
      </c>
      <c r="D112" s="50" t="s">
        <v>93</v>
      </c>
      <c r="E112" s="101">
        <v>5000</v>
      </c>
    </row>
    <row r="113" spans="1:5" s="32" customFormat="1" ht="21" customHeight="1">
      <c r="A113" s="106"/>
      <c r="B113" s="102"/>
      <c r="C113" s="87">
        <v>4430</v>
      </c>
      <c r="D113" s="50" t="s">
        <v>97</v>
      </c>
      <c r="E113" s="101">
        <v>30000</v>
      </c>
    </row>
    <row r="114" spans="1:5" s="32" customFormat="1" ht="24">
      <c r="A114" s="106"/>
      <c r="B114" s="102"/>
      <c r="C114" s="87">
        <v>4740</v>
      </c>
      <c r="D114" s="50" t="s">
        <v>254</v>
      </c>
      <c r="E114" s="101">
        <v>100</v>
      </c>
    </row>
    <row r="115" spans="1:5" s="8" customFormat="1" ht="24">
      <c r="A115" s="45">
        <v>751</v>
      </c>
      <c r="B115" s="46"/>
      <c r="C115" s="47"/>
      <c r="D115" s="48" t="s">
        <v>101</v>
      </c>
      <c r="E115" s="49">
        <f>SUM(E116)</f>
        <v>3910</v>
      </c>
    </row>
    <row r="116" spans="1:5" s="32" customFormat="1" ht="24">
      <c r="A116" s="106"/>
      <c r="B116" s="102">
        <v>75101</v>
      </c>
      <c r="C116" s="106"/>
      <c r="D116" s="50" t="s">
        <v>21</v>
      </c>
      <c r="E116" s="101">
        <f>SUM(E117:E120)</f>
        <v>3910</v>
      </c>
    </row>
    <row r="117" spans="1:5" s="32" customFormat="1" ht="21" customHeight="1">
      <c r="A117" s="106"/>
      <c r="B117" s="102"/>
      <c r="C117" s="87">
        <v>4210</v>
      </c>
      <c r="D117" s="50" t="s">
        <v>95</v>
      </c>
      <c r="E117" s="101">
        <v>1410</v>
      </c>
    </row>
    <row r="118" spans="1:5" s="32" customFormat="1" ht="24">
      <c r="A118" s="106"/>
      <c r="B118" s="102"/>
      <c r="C118" s="87">
        <v>4700</v>
      </c>
      <c r="D118" s="50" t="s">
        <v>323</v>
      </c>
      <c r="E118" s="101">
        <v>500</v>
      </c>
    </row>
    <row r="119" spans="1:5" s="32" customFormat="1" ht="24">
      <c r="A119" s="106"/>
      <c r="B119" s="102"/>
      <c r="C119" s="87">
        <v>4740</v>
      </c>
      <c r="D119" s="50" t="s">
        <v>254</v>
      </c>
      <c r="E119" s="101">
        <v>1000</v>
      </c>
    </row>
    <row r="120" spans="1:5" s="32" customFormat="1" ht="21" customHeight="1">
      <c r="A120" s="106"/>
      <c r="B120" s="102"/>
      <c r="C120" s="87">
        <v>4750</v>
      </c>
      <c r="D120" s="50" t="s">
        <v>255</v>
      </c>
      <c r="E120" s="101">
        <v>1000</v>
      </c>
    </row>
    <row r="121" spans="1:5" s="8" customFormat="1" ht="24.75" customHeight="1">
      <c r="A121" s="45" t="s">
        <v>22</v>
      </c>
      <c r="B121" s="46"/>
      <c r="C121" s="47"/>
      <c r="D121" s="48" t="s">
        <v>23</v>
      </c>
      <c r="E121" s="49">
        <f>SUM(E122,E136,E153,)</f>
        <v>448253</v>
      </c>
    </row>
    <row r="122" spans="1:5" s="32" customFormat="1" ht="21.75" customHeight="1">
      <c r="A122" s="106"/>
      <c r="B122" s="102" t="s">
        <v>102</v>
      </c>
      <c r="C122" s="106"/>
      <c r="D122" s="50" t="s">
        <v>103</v>
      </c>
      <c r="E122" s="101">
        <f>SUM(E123:E135)</f>
        <v>184000</v>
      </c>
    </row>
    <row r="123" spans="1:5" s="32" customFormat="1" ht="24">
      <c r="A123" s="106"/>
      <c r="B123" s="102"/>
      <c r="C123" s="106">
        <v>2820</v>
      </c>
      <c r="D123" s="50" t="s">
        <v>356</v>
      </c>
      <c r="E123" s="101">
        <v>10000</v>
      </c>
    </row>
    <row r="124" spans="1:5" s="32" customFormat="1" ht="21" customHeight="1">
      <c r="A124" s="106"/>
      <c r="B124" s="102"/>
      <c r="C124" s="106">
        <v>3020</v>
      </c>
      <c r="D124" s="50" t="s">
        <v>205</v>
      </c>
      <c r="E124" s="101">
        <v>19350</v>
      </c>
    </row>
    <row r="125" spans="1:5" s="32" customFormat="1" ht="21" customHeight="1">
      <c r="A125" s="106"/>
      <c r="B125" s="102"/>
      <c r="C125" s="106">
        <v>3030</v>
      </c>
      <c r="D125" s="50" t="s">
        <v>92</v>
      </c>
      <c r="E125" s="101">
        <v>15000</v>
      </c>
    </row>
    <row r="126" spans="1:5" s="32" customFormat="1" ht="21" customHeight="1">
      <c r="A126" s="106"/>
      <c r="B126" s="102"/>
      <c r="C126" s="106">
        <v>4110</v>
      </c>
      <c r="D126" s="50" t="s">
        <v>89</v>
      </c>
      <c r="E126" s="101">
        <v>4550</v>
      </c>
    </row>
    <row r="127" spans="1:5" s="32" customFormat="1" ht="21" customHeight="1">
      <c r="A127" s="106"/>
      <c r="B127" s="102"/>
      <c r="C127" s="106">
        <v>4120</v>
      </c>
      <c r="D127" s="50" t="s">
        <v>241</v>
      </c>
      <c r="E127" s="101">
        <v>700</v>
      </c>
    </row>
    <row r="128" spans="1:5" s="32" customFormat="1" ht="21" customHeight="1">
      <c r="A128" s="106"/>
      <c r="B128" s="102"/>
      <c r="C128" s="87">
        <v>4170</v>
      </c>
      <c r="D128" s="50" t="s">
        <v>208</v>
      </c>
      <c r="E128" s="101">
        <v>28500</v>
      </c>
    </row>
    <row r="129" spans="1:5" s="32" customFormat="1" ht="21" customHeight="1">
      <c r="A129" s="106"/>
      <c r="B129" s="102"/>
      <c r="C129" s="87">
        <v>4210</v>
      </c>
      <c r="D129" s="50" t="s">
        <v>95</v>
      </c>
      <c r="E129" s="101">
        <f>9000+43500</f>
        <v>52500</v>
      </c>
    </row>
    <row r="130" spans="1:5" s="32" customFormat="1" ht="21" customHeight="1">
      <c r="A130" s="106"/>
      <c r="B130" s="102"/>
      <c r="C130" s="87">
        <v>4260</v>
      </c>
      <c r="D130" s="50" t="s">
        <v>98</v>
      </c>
      <c r="E130" s="101">
        <v>15000</v>
      </c>
    </row>
    <row r="131" spans="1:5" s="32" customFormat="1" ht="21" customHeight="1">
      <c r="A131" s="106"/>
      <c r="B131" s="102"/>
      <c r="C131" s="87">
        <v>4270</v>
      </c>
      <c r="D131" s="50" t="s">
        <v>81</v>
      </c>
      <c r="E131" s="101">
        <v>13000</v>
      </c>
    </row>
    <row r="132" spans="1:5" s="32" customFormat="1" ht="21" customHeight="1">
      <c r="A132" s="106"/>
      <c r="B132" s="102"/>
      <c r="C132" s="87">
        <v>4280</v>
      </c>
      <c r="D132" s="50" t="s">
        <v>240</v>
      </c>
      <c r="E132" s="101">
        <v>6000</v>
      </c>
    </row>
    <row r="133" spans="1:5" s="32" customFormat="1" ht="21" customHeight="1">
      <c r="A133" s="106"/>
      <c r="B133" s="102"/>
      <c r="C133" s="87">
        <v>4300</v>
      </c>
      <c r="D133" s="50" t="s">
        <v>82</v>
      </c>
      <c r="E133" s="101">
        <v>5400</v>
      </c>
    </row>
    <row r="134" spans="1:5" s="32" customFormat="1" ht="21" customHeight="1">
      <c r="A134" s="106"/>
      <c r="B134" s="102"/>
      <c r="C134" s="87">
        <v>4410</v>
      </c>
      <c r="D134" s="50" t="s">
        <v>93</v>
      </c>
      <c r="E134" s="101">
        <v>4000</v>
      </c>
    </row>
    <row r="135" spans="1:5" s="32" customFormat="1" ht="21" customHeight="1">
      <c r="A135" s="106"/>
      <c r="B135" s="102"/>
      <c r="C135" s="87">
        <v>4430</v>
      </c>
      <c r="D135" s="50" t="s">
        <v>97</v>
      </c>
      <c r="E135" s="101">
        <v>10000</v>
      </c>
    </row>
    <row r="136" spans="1:5" s="32" customFormat="1" ht="21" customHeight="1">
      <c r="A136" s="106"/>
      <c r="B136" s="102">
        <v>75416</v>
      </c>
      <c r="C136" s="106"/>
      <c r="D136" s="50" t="s">
        <v>25</v>
      </c>
      <c r="E136" s="101">
        <f>SUM(E137:E152)</f>
        <v>259253</v>
      </c>
    </row>
    <row r="137" spans="1:5" s="32" customFormat="1" ht="21" customHeight="1">
      <c r="A137" s="106"/>
      <c r="B137" s="102"/>
      <c r="C137" s="87">
        <v>3020</v>
      </c>
      <c r="D137" s="50" t="s">
        <v>205</v>
      </c>
      <c r="E137" s="101">
        <v>6045</v>
      </c>
    </row>
    <row r="138" spans="1:5" s="32" customFormat="1" ht="21" customHeight="1">
      <c r="A138" s="106"/>
      <c r="B138" s="102"/>
      <c r="C138" s="87">
        <v>4010</v>
      </c>
      <c r="D138" s="50" t="s">
        <v>87</v>
      </c>
      <c r="E138" s="101">
        <v>176055</v>
      </c>
    </row>
    <row r="139" spans="1:5" s="32" customFormat="1" ht="21" customHeight="1">
      <c r="A139" s="106"/>
      <c r="B139" s="102"/>
      <c r="C139" s="87">
        <v>4040</v>
      </c>
      <c r="D139" s="50" t="s">
        <v>88</v>
      </c>
      <c r="E139" s="101">
        <v>10000</v>
      </c>
    </row>
    <row r="140" spans="1:5" s="32" customFormat="1" ht="21" customHeight="1">
      <c r="A140" s="106"/>
      <c r="B140" s="102"/>
      <c r="C140" s="87">
        <v>4110</v>
      </c>
      <c r="D140" s="50" t="s">
        <v>89</v>
      </c>
      <c r="E140" s="101">
        <v>28487</v>
      </c>
    </row>
    <row r="141" spans="1:5" s="32" customFormat="1" ht="21" customHeight="1">
      <c r="A141" s="106"/>
      <c r="B141" s="102"/>
      <c r="C141" s="87">
        <v>4120</v>
      </c>
      <c r="D141" s="50" t="s">
        <v>90</v>
      </c>
      <c r="E141" s="101">
        <v>4491</v>
      </c>
    </row>
    <row r="142" spans="1:5" s="32" customFormat="1" ht="21" customHeight="1">
      <c r="A142" s="106"/>
      <c r="B142" s="102"/>
      <c r="C142" s="87">
        <v>4210</v>
      </c>
      <c r="D142" s="50" t="s">
        <v>95</v>
      </c>
      <c r="E142" s="101">
        <v>12900</v>
      </c>
    </row>
    <row r="143" spans="1:5" s="32" customFormat="1" ht="21" customHeight="1">
      <c r="A143" s="106"/>
      <c r="B143" s="102"/>
      <c r="C143" s="87">
        <v>4270</v>
      </c>
      <c r="D143" s="50" t="s">
        <v>81</v>
      </c>
      <c r="E143" s="101">
        <v>2000</v>
      </c>
    </row>
    <row r="144" spans="1:5" s="32" customFormat="1" ht="21" customHeight="1">
      <c r="A144" s="106"/>
      <c r="B144" s="102"/>
      <c r="C144" s="87">
        <v>4280</v>
      </c>
      <c r="D144" s="50" t="s">
        <v>240</v>
      </c>
      <c r="E144" s="101">
        <v>1200</v>
      </c>
    </row>
    <row r="145" spans="1:5" s="32" customFormat="1" ht="21" customHeight="1">
      <c r="A145" s="106"/>
      <c r="B145" s="102"/>
      <c r="C145" s="87">
        <v>4300</v>
      </c>
      <c r="D145" s="50" t="s">
        <v>82</v>
      </c>
      <c r="E145" s="101">
        <v>3000</v>
      </c>
    </row>
    <row r="146" spans="1:5" s="32" customFormat="1" ht="24">
      <c r="A146" s="106"/>
      <c r="B146" s="102"/>
      <c r="C146" s="87">
        <v>4360</v>
      </c>
      <c r="D146" s="50" t="s">
        <v>256</v>
      </c>
      <c r="E146" s="101">
        <v>1800</v>
      </c>
    </row>
    <row r="147" spans="1:5" s="32" customFormat="1" ht="24">
      <c r="A147" s="106"/>
      <c r="B147" s="102"/>
      <c r="C147" s="87">
        <v>4400</v>
      </c>
      <c r="D147" s="50" t="s">
        <v>314</v>
      </c>
      <c r="E147" s="101">
        <v>1000</v>
      </c>
    </row>
    <row r="148" spans="1:5" s="32" customFormat="1" ht="21" customHeight="1">
      <c r="A148" s="106"/>
      <c r="B148" s="102"/>
      <c r="C148" s="87">
        <v>4410</v>
      </c>
      <c r="D148" s="50" t="s">
        <v>93</v>
      </c>
      <c r="E148" s="101">
        <v>1200</v>
      </c>
    </row>
    <row r="149" spans="1:5" s="32" customFormat="1" ht="21" customHeight="1">
      <c r="A149" s="106"/>
      <c r="B149" s="102"/>
      <c r="C149" s="90">
        <v>4430</v>
      </c>
      <c r="D149" s="50" t="s">
        <v>97</v>
      </c>
      <c r="E149" s="101">
        <v>3500</v>
      </c>
    </row>
    <row r="150" spans="1:5" s="32" customFormat="1" ht="21" customHeight="1">
      <c r="A150" s="106"/>
      <c r="B150" s="102"/>
      <c r="C150" s="90">
        <v>4440</v>
      </c>
      <c r="D150" s="50" t="s">
        <v>91</v>
      </c>
      <c r="E150" s="101">
        <v>4875</v>
      </c>
    </row>
    <row r="151" spans="1:5" s="32" customFormat="1" ht="21" customHeight="1">
      <c r="A151" s="106"/>
      <c r="B151" s="102"/>
      <c r="C151" s="90">
        <v>4510</v>
      </c>
      <c r="D151" s="50" t="s">
        <v>154</v>
      </c>
      <c r="E151" s="101">
        <v>200</v>
      </c>
    </row>
    <row r="152" spans="1:5" s="32" customFormat="1" ht="24">
      <c r="A152" s="106"/>
      <c r="B152" s="102"/>
      <c r="C152" s="90">
        <v>4700</v>
      </c>
      <c r="D152" s="50" t="s">
        <v>323</v>
      </c>
      <c r="E152" s="101">
        <v>2500</v>
      </c>
    </row>
    <row r="153" spans="1:5" s="32" customFormat="1" ht="21" customHeight="1">
      <c r="A153" s="106"/>
      <c r="B153" s="102" t="s">
        <v>104</v>
      </c>
      <c r="C153" s="106"/>
      <c r="D153" s="50" t="s">
        <v>6</v>
      </c>
      <c r="E153" s="101">
        <f>SUM(E154:E154)</f>
        <v>5000</v>
      </c>
    </row>
    <row r="154" spans="1:5" s="32" customFormat="1" ht="21" customHeight="1">
      <c r="A154" s="106"/>
      <c r="B154" s="102"/>
      <c r="C154" s="90">
        <v>4430</v>
      </c>
      <c r="D154" s="50" t="s">
        <v>97</v>
      </c>
      <c r="E154" s="101">
        <v>5000</v>
      </c>
    </row>
    <row r="155" spans="1:5" s="53" customFormat="1" ht="48">
      <c r="A155" s="47">
        <v>756</v>
      </c>
      <c r="B155" s="81"/>
      <c r="C155" s="80"/>
      <c r="D155" s="48" t="s">
        <v>329</v>
      </c>
      <c r="E155" s="49">
        <f>SUM(E156)</f>
        <v>109900</v>
      </c>
    </row>
    <row r="156" spans="1:5" s="32" customFormat="1" ht="25.5" customHeight="1">
      <c r="A156" s="106"/>
      <c r="B156" s="102">
        <v>75647</v>
      </c>
      <c r="C156" s="90"/>
      <c r="D156" s="50" t="s">
        <v>191</v>
      </c>
      <c r="E156" s="101">
        <f>SUM(E157:E164)</f>
        <v>109900</v>
      </c>
    </row>
    <row r="157" spans="1:5" s="32" customFormat="1" ht="21" customHeight="1">
      <c r="A157" s="106"/>
      <c r="B157" s="102"/>
      <c r="C157" s="90">
        <v>4100</v>
      </c>
      <c r="D157" s="50" t="s">
        <v>100</v>
      </c>
      <c r="E157" s="101">
        <v>40000</v>
      </c>
    </row>
    <row r="158" spans="1:5" s="32" customFormat="1" ht="21" customHeight="1">
      <c r="A158" s="106"/>
      <c r="B158" s="102"/>
      <c r="C158" s="90">
        <v>4170</v>
      </c>
      <c r="D158" s="50" t="s">
        <v>208</v>
      </c>
      <c r="E158" s="101">
        <v>5000</v>
      </c>
    </row>
    <row r="159" spans="1:5" s="32" customFormat="1" ht="21" customHeight="1">
      <c r="A159" s="106"/>
      <c r="B159" s="102"/>
      <c r="C159" s="90">
        <v>4210</v>
      </c>
      <c r="D159" s="50" t="s">
        <v>75</v>
      </c>
      <c r="E159" s="101">
        <v>2000</v>
      </c>
    </row>
    <row r="160" spans="1:5" s="32" customFormat="1" ht="21" customHeight="1">
      <c r="A160" s="106"/>
      <c r="B160" s="102"/>
      <c r="C160" s="90">
        <v>4300</v>
      </c>
      <c r="D160" s="50" t="s">
        <v>82</v>
      </c>
      <c r="E160" s="101">
        <v>20000</v>
      </c>
    </row>
    <row r="161" spans="1:5" s="32" customFormat="1" ht="21" customHeight="1">
      <c r="A161" s="106"/>
      <c r="B161" s="102"/>
      <c r="C161" s="90">
        <v>4430</v>
      </c>
      <c r="D161" s="50" t="s">
        <v>97</v>
      </c>
      <c r="E161" s="101">
        <v>4900</v>
      </c>
    </row>
    <row r="162" spans="1:5" s="32" customFormat="1" ht="21" customHeight="1">
      <c r="A162" s="106"/>
      <c r="B162" s="102"/>
      <c r="C162" s="90">
        <v>4610</v>
      </c>
      <c r="D162" s="50" t="s">
        <v>193</v>
      </c>
      <c r="E162" s="101">
        <f>24000+10000</f>
        <v>34000</v>
      </c>
    </row>
    <row r="163" spans="1:5" s="32" customFormat="1" ht="24">
      <c r="A163" s="106"/>
      <c r="B163" s="102"/>
      <c r="C163" s="90">
        <v>4740</v>
      </c>
      <c r="D163" s="50" t="s">
        <v>254</v>
      </c>
      <c r="E163" s="101">
        <v>2000</v>
      </c>
    </row>
    <row r="164" spans="1:5" s="32" customFormat="1" ht="21" customHeight="1">
      <c r="A164" s="106"/>
      <c r="B164" s="102"/>
      <c r="C164" s="90">
        <v>4750</v>
      </c>
      <c r="D164" s="50" t="s">
        <v>255</v>
      </c>
      <c r="E164" s="101">
        <v>2000</v>
      </c>
    </row>
    <row r="165" spans="1:5" s="8" customFormat="1" ht="21.75" customHeight="1">
      <c r="A165" s="45" t="s">
        <v>105</v>
      </c>
      <c r="B165" s="46"/>
      <c r="C165" s="47"/>
      <c r="D165" s="48" t="s">
        <v>106</v>
      </c>
      <c r="E165" s="49">
        <f>SUM(E166)</f>
        <v>356637</v>
      </c>
    </row>
    <row r="166" spans="1:5" s="32" customFormat="1" ht="24">
      <c r="A166" s="87"/>
      <c r="B166" s="102" t="s">
        <v>107</v>
      </c>
      <c r="C166" s="106"/>
      <c r="D166" s="50" t="s">
        <v>108</v>
      </c>
      <c r="E166" s="101">
        <f>SUM(E167:E167)</f>
        <v>356637</v>
      </c>
    </row>
    <row r="167" spans="1:5" s="32" customFormat="1" ht="36">
      <c r="A167" s="87"/>
      <c r="B167" s="107"/>
      <c r="C167" s="106">
        <v>8070</v>
      </c>
      <c r="D167" s="50" t="s">
        <v>357</v>
      </c>
      <c r="E167" s="101">
        <v>356637</v>
      </c>
    </row>
    <row r="168" spans="1:5" s="8" customFormat="1" ht="21" customHeight="1">
      <c r="A168" s="45" t="s">
        <v>47</v>
      </c>
      <c r="B168" s="46"/>
      <c r="C168" s="47"/>
      <c r="D168" s="48" t="s">
        <v>48</v>
      </c>
      <c r="E168" s="49">
        <f>SUM(E169)</f>
        <v>1167300</v>
      </c>
    </row>
    <row r="169" spans="1:5" s="32" customFormat="1" ht="21" customHeight="1">
      <c r="A169" s="87"/>
      <c r="B169" s="102" t="s">
        <v>109</v>
      </c>
      <c r="C169" s="106"/>
      <c r="D169" s="50" t="s">
        <v>110</v>
      </c>
      <c r="E169" s="101">
        <f>SUM(E170:E171)</f>
        <v>1167300</v>
      </c>
    </row>
    <row r="170" spans="1:5" s="32" customFormat="1" ht="21" customHeight="1">
      <c r="A170" s="87"/>
      <c r="B170" s="107"/>
      <c r="C170" s="106">
        <v>4810</v>
      </c>
      <c r="D170" s="50" t="s">
        <v>111</v>
      </c>
      <c r="E170" s="101">
        <f>68800+48500+200000+300000</f>
        <v>617300</v>
      </c>
    </row>
    <row r="171" spans="1:5" s="32" customFormat="1" ht="21" customHeight="1">
      <c r="A171" s="87"/>
      <c r="B171" s="107"/>
      <c r="C171" s="106">
        <v>6800</v>
      </c>
      <c r="D171" s="50" t="s">
        <v>332</v>
      </c>
      <c r="E171" s="101">
        <f>150000+400000</f>
        <v>550000</v>
      </c>
    </row>
    <row r="172" spans="1:5" s="9" customFormat="1" ht="20.25" customHeight="1">
      <c r="A172" s="45" t="s">
        <v>112</v>
      </c>
      <c r="B172" s="46"/>
      <c r="C172" s="47"/>
      <c r="D172" s="48" t="s">
        <v>113</v>
      </c>
      <c r="E172" s="49">
        <f>SUM(E173,E198,E212,E215,E240,E247,E250,E261)</f>
        <v>27468430</v>
      </c>
    </row>
    <row r="173" spans="1:5" s="32" customFormat="1" ht="22.5" customHeight="1">
      <c r="A173" s="87"/>
      <c r="B173" s="102" t="s">
        <v>114</v>
      </c>
      <c r="C173" s="106"/>
      <c r="D173" s="50" t="s">
        <v>53</v>
      </c>
      <c r="E173" s="101">
        <f>SUM(E174:E197)</f>
        <v>13620346</v>
      </c>
    </row>
    <row r="174" spans="1:5" s="32" customFormat="1" ht="25.5" customHeight="1">
      <c r="A174" s="87"/>
      <c r="B174" s="102"/>
      <c r="C174" s="106">
        <v>2540</v>
      </c>
      <c r="D174" s="50" t="s">
        <v>195</v>
      </c>
      <c r="E174" s="101">
        <v>447149</v>
      </c>
    </row>
    <row r="175" spans="1:5" s="32" customFormat="1" ht="21" customHeight="1">
      <c r="A175" s="87"/>
      <c r="B175" s="102"/>
      <c r="C175" s="87">
        <v>3020</v>
      </c>
      <c r="D175" s="50" t="s">
        <v>231</v>
      </c>
      <c r="E175" s="101">
        <v>195991</v>
      </c>
    </row>
    <row r="176" spans="1:5" s="32" customFormat="1" ht="21" customHeight="1">
      <c r="A176" s="87"/>
      <c r="B176" s="102"/>
      <c r="C176" s="87">
        <v>4010</v>
      </c>
      <c r="D176" s="50" t="s">
        <v>87</v>
      </c>
      <c r="E176" s="101">
        <v>7107101</v>
      </c>
    </row>
    <row r="177" spans="1:5" s="32" customFormat="1" ht="21" customHeight="1">
      <c r="A177" s="87"/>
      <c r="B177" s="102"/>
      <c r="C177" s="87">
        <v>4040</v>
      </c>
      <c r="D177" s="50" t="s">
        <v>88</v>
      </c>
      <c r="E177" s="101">
        <v>551652</v>
      </c>
    </row>
    <row r="178" spans="1:5" s="32" customFormat="1" ht="21" customHeight="1">
      <c r="A178" s="87"/>
      <c r="B178" s="102"/>
      <c r="C178" s="87">
        <v>4110</v>
      </c>
      <c r="D178" s="50" t="s">
        <v>89</v>
      </c>
      <c r="E178" s="101">
        <v>1159019</v>
      </c>
    </row>
    <row r="179" spans="1:5" s="32" customFormat="1" ht="21" customHeight="1">
      <c r="A179" s="87"/>
      <c r="B179" s="102"/>
      <c r="C179" s="87">
        <v>4120</v>
      </c>
      <c r="D179" s="50" t="s">
        <v>90</v>
      </c>
      <c r="E179" s="101">
        <v>186008</v>
      </c>
    </row>
    <row r="180" spans="1:5" s="32" customFormat="1" ht="21" customHeight="1">
      <c r="A180" s="87"/>
      <c r="B180" s="102"/>
      <c r="C180" s="87">
        <v>4170</v>
      </c>
      <c r="D180" s="50" t="s">
        <v>208</v>
      </c>
      <c r="E180" s="101">
        <v>13100</v>
      </c>
    </row>
    <row r="181" spans="1:5" s="32" customFormat="1" ht="21" customHeight="1">
      <c r="A181" s="87"/>
      <c r="B181" s="102"/>
      <c r="C181" s="87">
        <v>4210</v>
      </c>
      <c r="D181" s="50" t="s">
        <v>95</v>
      </c>
      <c r="E181" s="101">
        <f>6800+450205</f>
        <v>457005</v>
      </c>
    </row>
    <row r="182" spans="1:5" s="32" customFormat="1" ht="21" customHeight="1">
      <c r="A182" s="87"/>
      <c r="B182" s="102"/>
      <c r="C182" s="106">
        <v>4230</v>
      </c>
      <c r="D182" s="50" t="s">
        <v>321</v>
      </c>
      <c r="E182" s="101">
        <v>2000</v>
      </c>
    </row>
    <row r="183" spans="1:5" s="32" customFormat="1" ht="21" customHeight="1">
      <c r="A183" s="87"/>
      <c r="B183" s="102"/>
      <c r="C183" s="106">
        <v>4240</v>
      </c>
      <c r="D183" s="50" t="s">
        <v>126</v>
      </c>
      <c r="E183" s="101">
        <f>500+84060</f>
        <v>84560</v>
      </c>
    </row>
    <row r="184" spans="1:5" s="32" customFormat="1" ht="21" customHeight="1">
      <c r="A184" s="87"/>
      <c r="B184" s="102"/>
      <c r="C184" s="87">
        <v>4260</v>
      </c>
      <c r="D184" s="50" t="s">
        <v>98</v>
      </c>
      <c r="E184" s="101">
        <v>505430</v>
      </c>
    </row>
    <row r="185" spans="1:5" s="32" customFormat="1" ht="21" customHeight="1">
      <c r="A185" s="87"/>
      <c r="B185" s="102"/>
      <c r="C185" s="87">
        <v>4270</v>
      </c>
      <c r="D185" s="50" t="s">
        <v>81</v>
      </c>
      <c r="E185" s="101">
        <v>153158</v>
      </c>
    </row>
    <row r="186" spans="1:5" s="32" customFormat="1" ht="21" customHeight="1">
      <c r="A186" s="87"/>
      <c r="B186" s="102"/>
      <c r="C186" s="87">
        <v>4280</v>
      </c>
      <c r="D186" s="50" t="s">
        <v>216</v>
      </c>
      <c r="E186" s="101">
        <v>18900</v>
      </c>
    </row>
    <row r="187" spans="1:5" s="32" customFormat="1" ht="21" customHeight="1">
      <c r="A187" s="87"/>
      <c r="B187" s="102"/>
      <c r="C187" s="87">
        <v>4300</v>
      </c>
      <c r="D187" s="50" t="s">
        <v>82</v>
      </c>
      <c r="E187" s="101">
        <v>110748</v>
      </c>
    </row>
    <row r="188" spans="1:5" s="32" customFormat="1" ht="21" customHeight="1">
      <c r="A188" s="87"/>
      <c r="B188" s="102"/>
      <c r="C188" s="87">
        <v>4350</v>
      </c>
      <c r="D188" s="50" t="s">
        <v>225</v>
      </c>
      <c r="E188" s="101">
        <v>4050</v>
      </c>
    </row>
    <row r="189" spans="1:5" s="32" customFormat="1" ht="24">
      <c r="A189" s="87"/>
      <c r="B189" s="102"/>
      <c r="C189" s="87">
        <v>4370</v>
      </c>
      <c r="D189" s="16" t="s">
        <v>253</v>
      </c>
      <c r="E189" s="101">
        <v>20770</v>
      </c>
    </row>
    <row r="190" spans="1:5" s="32" customFormat="1" ht="24">
      <c r="A190" s="87"/>
      <c r="B190" s="102"/>
      <c r="C190" s="87">
        <v>4390</v>
      </c>
      <c r="D190" s="50" t="s">
        <v>328</v>
      </c>
      <c r="E190" s="101">
        <v>5400</v>
      </c>
    </row>
    <row r="191" spans="1:5" s="32" customFormat="1" ht="21" customHeight="1">
      <c r="A191" s="87"/>
      <c r="B191" s="102"/>
      <c r="C191" s="87">
        <v>4410</v>
      </c>
      <c r="D191" s="50" t="s">
        <v>93</v>
      </c>
      <c r="E191" s="101">
        <v>18780</v>
      </c>
    </row>
    <row r="192" spans="1:5" s="32" customFormat="1" ht="21" customHeight="1">
      <c r="A192" s="87"/>
      <c r="B192" s="102"/>
      <c r="C192" s="90">
        <v>4430</v>
      </c>
      <c r="D192" s="50" t="s">
        <v>97</v>
      </c>
      <c r="E192" s="101">
        <v>8100</v>
      </c>
    </row>
    <row r="193" spans="1:5" s="32" customFormat="1" ht="21" customHeight="1">
      <c r="A193" s="87"/>
      <c r="B193" s="102"/>
      <c r="C193" s="90">
        <v>4440</v>
      </c>
      <c r="D193" s="50" t="s">
        <v>91</v>
      </c>
      <c r="E193" s="101">
        <v>414975</v>
      </c>
    </row>
    <row r="194" spans="1:5" s="32" customFormat="1" ht="24">
      <c r="A194" s="87"/>
      <c r="B194" s="102"/>
      <c r="C194" s="90">
        <v>4700</v>
      </c>
      <c r="D194" s="50" t="s">
        <v>323</v>
      </c>
      <c r="E194" s="101">
        <v>8860</v>
      </c>
    </row>
    <row r="195" spans="1:5" s="32" customFormat="1" ht="24">
      <c r="A195" s="87"/>
      <c r="B195" s="102"/>
      <c r="C195" s="90">
        <v>4740</v>
      </c>
      <c r="D195" s="16" t="s">
        <v>254</v>
      </c>
      <c r="E195" s="101">
        <v>5900</v>
      </c>
    </row>
    <row r="196" spans="1:5" s="32" customFormat="1" ht="21" customHeight="1">
      <c r="A196" s="87"/>
      <c r="B196" s="102"/>
      <c r="C196" s="90">
        <v>4750</v>
      </c>
      <c r="D196" s="16" t="s">
        <v>255</v>
      </c>
      <c r="E196" s="101">
        <v>41690</v>
      </c>
    </row>
    <row r="197" spans="1:5" s="32" customFormat="1" ht="21" customHeight="1">
      <c r="A197" s="87"/>
      <c r="B197" s="102"/>
      <c r="C197" s="90">
        <v>6050</v>
      </c>
      <c r="D197" s="16" t="s">
        <v>76</v>
      </c>
      <c r="E197" s="101">
        <v>2100000</v>
      </c>
    </row>
    <row r="198" spans="1:5" s="32" customFormat="1" ht="21" customHeight="1">
      <c r="A198" s="87"/>
      <c r="B198" s="102">
        <v>80103</v>
      </c>
      <c r="C198" s="90"/>
      <c r="D198" s="50" t="s">
        <v>222</v>
      </c>
      <c r="E198" s="101">
        <f>SUM(E199:E211)</f>
        <v>449927</v>
      </c>
    </row>
    <row r="199" spans="1:5" s="32" customFormat="1" ht="25.5" customHeight="1">
      <c r="A199" s="87"/>
      <c r="B199" s="102"/>
      <c r="C199" s="106">
        <v>2540</v>
      </c>
      <c r="D199" s="50" t="s">
        <v>195</v>
      </c>
      <c r="E199" s="101">
        <v>61433</v>
      </c>
    </row>
    <row r="200" spans="1:5" s="32" customFormat="1" ht="21" customHeight="1">
      <c r="A200" s="87"/>
      <c r="B200" s="102"/>
      <c r="C200" s="106">
        <v>3020</v>
      </c>
      <c r="D200" s="50" t="s">
        <v>205</v>
      </c>
      <c r="E200" s="101">
        <v>19723</v>
      </c>
    </row>
    <row r="201" spans="1:5" s="32" customFormat="1" ht="21" customHeight="1">
      <c r="A201" s="87"/>
      <c r="B201" s="102"/>
      <c r="C201" s="106">
        <v>4010</v>
      </c>
      <c r="D201" s="50" t="s">
        <v>87</v>
      </c>
      <c r="E201" s="101">
        <v>258770</v>
      </c>
    </row>
    <row r="202" spans="1:5" s="32" customFormat="1" ht="21" customHeight="1">
      <c r="A202" s="87"/>
      <c r="B202" s="102"/>
      <c r="C202" s="106">
        <v>4040</v>
      </c>
      <c r="D202" s="50" t="s">
        <v>88</v>
      </c>
      <c r="E202" s="101">
        <v>19531</v>
      </c>
    </row>
    <row r="203" spans="1:5" s="32" customFormat="1" ht="21" customHeight="1">
      <c r="A203" s="87"/>
      <c r="B203" s="102"/>
      <c r="C203" s="106">
        <v>4110</v>
      </c>
      <c r="D203" s="50" t="s">
        <v>89</v>
      </c>
      <c r="E203" s="101">
        <v>43218</v>
      </c>
    </row>
    <row r="204" spans="1:5" s="32" customFormat="1" ht="21" customHeight="1">
      <c r="A204" s="87"/>
      <c r="B204" s="102"/>
      <c r="C204" s="106">
        <v>4120</v>
      </c>
      <c r="D204" s="50" t="s">
        <v>90</v>
      </c>
      <c r="E204" s="101">
        <v>7444</v>
      </c>
    </row>
    <row r="205" spans="1:5" s="32" customFormat="1" ht="21" customHeight="1">
      <c r="A205" s="87"/>
      <c r="B205" s="102"/>
      <c r="C205" s="106">
        <v>4210</v>
      </c>
      <c r="D205" s="50" t="s">
        <v>75</v>
      </c>
      <c r="E205" s="101">
        <f>1700+8950</f>
        <v>10650</v>
      </c>
    </row>
    <row r="206" spans="1:5" s="32" customFormat="1" ht="21" customHeight="1">
      <c r="A206" s="87"/>
      <c r="B206" s="102"/>
      <c r="C206" s="106">
        <v>4240</v>
      </c>
      <c r="D206" s="50" t="s">
        <v>126</v>
      </c>
      <c r="E206" s="101">
        <v>3200</v>
      </c>
    </row>
    <row r="207" spans="1:5" s="32" customFormat="1" ht="21" customHeight="1">
      <c r="A207" s="87"/>
      <c r="B207" s="102"/>
      <c r="C207" s="106">
        <v>4260</v>
      </c>
      <c r="D207" s="50" t="s">
        <v>98</v>
      </c>
      <c r="E207" s="101">
        <v>600</v>
      </c>
    </row>
    <row r="208" spans="1:5" s="32" customFormat="1" ht="21" customHeight="1">
      <c r="A208" s="87"/>
      <c r="B208" s="102"/>
      <c r="C208" s="106">
        <v>4270</v>
      </c>
      <c r="D208" s="50" t="s">
        <v>81</v>
      </c>
      <c r="E208" s="101">
        <v>6000</v>
      </c>
    </row>
    <row r="209" spans="1:5" s="32" customFormat="1" ht="21" customHeight="1">
      <c r="A209" s="87"/>
      <c r="B209" s="102"/>
      <c r="C209" s="106">
        <v>4280</v>
      </c>
      <c r="D209" s="50" t="s">
        <v>216</v>
      </c>
      <c r="E209" s="101">
        <v>600</v>
      </c>
    </row>
    <row r="210" spans="1:5" s="32" customFormat="1" ht="21" customHeight="1">
      <c r="A210" s="87"/>
      <c r="B210" s="102"/>
      <c r="C210" s="106">
        <v>4440</v>
      </c>
      <c r="D210" s="50" t="s">
        <v>117</v>
      </c>
      <c r="E210" s="101">
        <v>18558</v>
      </c>
    </row>
    <row r="211" spans="1:5" s="32" customFormat="1" ht="27" customHeight="1">
      <c r="A211" s="87"/>
      <c r="B211" s="102"/>
      <c r="C211" s="106">
        <v>4740</v>
      </c>
      <c r="D211" s="16" t="s">
        <v>254</v>
      </c>
      <c r="E211" s="101">
        <v>200</v>
      </c>
    </row>
    <row r="212" spans="1:5" s="32" customFormat="1" ht="21" customHeight="1">
      <c r="A212" s="108"/>
      <c r="B212" s="102" t="s">
        <v>116</v>
      </c>
      <c r="C212" s="106"/>
      <c r="D212" s="50" t="s">
        <v>127</v>
      </c>
      <c r="E212" s="101">
        <f>SUM(E213:E214)</f>
        <v>3355548</v>
      </c>
    </row>
    <row r="213" spans="1:5" s="32" customFormat="1" ht="21" customHeight="1">
      <c r="A213" s="108"/>
      <c r="B213" s="102"/>
      <c r="C213" s="106">
        <v>2510</v>
      </c>
      <c r="D213" s="50" t="s">
        <v>128</v>
      </c>
      <c r="E213" s="101">
        <v>3355048</v>
      </c>
    </row>
    <row r="214" spans="1:5" s="32" customFormat="1" ht="21" customHeight="1">
      <c r="A214" s="108"/>
      <c r="B214" s="102"/>
      <c r="C214" s="106">
        <v>4210</v>
      </c>
      <c r="D214" s="50" t="s">
        <v>75</v>
      </c>
      <c r="E214" s="101">
        <v>500</v>
      </c>
    </row>
    <row r="215" spans="1:5" s="32" customFormat="1" ht="21" customHeight="1">
      <c r="A215" s="108"/>
      <c r="B215" s="102" t="s">
        <v>118</v>
      </c>
      <c r="C215" s="106"/>
      <c r="D215" s="50" t="s">
        <v>54</v>
      </c>
      <c r="E215" s="101">
        <f>SUM(E216:E239)</f>
        <v>9135030</v>
      </c>
    </row>
    <row r="216" spans="1:5" s="32" customFormat="1" ht="36">
      <c r="A216" s="108"/>
      <c r="B216" s="102"/>
      <c r="C216" s="106">
        <v>2590</v>
      </c>
      <c r="D216" s="50" t="s">
        <v>358</v>
      </c>
      <c r="E216" s="101">
        <v>101210</v>
      </c>
    </row>
    <row r="217" spans="1:5" s="32" customFormat="1" ht="21" customHeight="1">
      <c r="A217" s="87"/>
      <c r="B217" s="102"/>
      <c r="C217" s="106">
        <v>3020</v>
      </c>
      <c r="D217" s="50" t="s">
        <v>205</v>
      </c>
      <c r="E217" s="101">
        <v>42171</v>
      </c>
    </row>
    <row r="218" spans="1:5" s="32" customFormat="1" ht="21" customHeight="1">
      <c r="A218" s="87"/>
      <c r="B218" s="102"/>
      <c r="C218" s="106">
        <v>4010</v>
      </c>
      <c r="D218" s="50" t="s">
        <v>87</v>
      </c>
      <c r="E218" s="101">
        <v>3501950</v>
      </c>
    </row>
    <row r="219" spans="1:5" s="32" customFormat="1" ht="21" customHeight="1">
      <c r="A219" s="87"/>
      <c r="B219" s="102"/>
      <c r="C219" s="106">
        <v>4040</v>
      </c>
      <c r="D219" s="50" t="s">
        <v>88</v>
      </c>
      <c r="E219" s="101">
        <v>264234</v>
      </c>
    </row>
    <row r="220" spans="1:5" s="32" customFormat="1" ht="21" customHeight="1">
      <c r="A220" s="87"/>
      <c r="B220" s="102"/>
      <c r="C220" s="106">
        <v>4110</v>
      </c>
      <c r="D220" s="50" t="s">
        <v>89</v>
      </c>
      <c r="E220" s="101">
        <v>570864</v>
      </c>
    </row>
    <row r="221" spans="1:5" s="32" customFormat="1" ht="21" customHeight="1">
      <c r="A221" s="87"/>
      <c r="B221" s="102"/>
      <c r="C221" s="106">
        <v>4120</v>
      </c>
      <c r="D221" s="50" t="s">
        <v>90</v>
      </c>
      <c r="E221" s="101">
        <v>94292</v>
      </c>
    </row>
    <row r="222" spans="1:5" s="32" customFormat="1" ht="21" customHeight="1">
      <c r="A222" s="87"/>
      <c r="B222" s="102"/>
      <c r="C222" s="106">
        <v>4170</v>
      </c>
      <c r="D222" s="50" t="s">
        <v>208</v>
      </c>
      <c r="E222" s="101">
        <v>12700</v>
      </c>
    </row>
    <row r="223" spans="1:5" s="32" customFormat="1" ht="21" customHeight="1">
      <c r="A223" s="87"/>
      <c r="B223" s="102"/>
      <c r="C223" s="106">
        <v>4210</v>
      </c>
      <c r="D223" s="50" t="s">
        <v>95</v>
      </c>
      <c r="E223" s="101">
        <f>1000+170700</f>
        <v>171700</v>
      </c>
    </row>
    <row r="224" spans="1:5" s="32" customFormat="1" ht="21" customHeight="1">
      <c r="A224" s="87"/>
      <c r="B224" s="102"/>
      <c r="C224" s="106">
        <v>4230</v>
      </c>
      <c r="D224" s="50" t="s">
        <v>321</v>
      </c>
      <c r="E224" s="101">
        <v>1500</v>
      </c>
    </row>
    <row r="225" spans="1:5" s="32" customFormat="1" ht="21" customHeight="1">
      <c r="A225" s="87"/>
      <c r="B225" s="102"/>
      <c r="C225" s="106">
        <v>4240</v>
      </c>
      <c r="D225" s="50" t="s">
        <v>126</v>
      </c>
      <c r="E225" s="101">
        <v>11100</v>
      </c>
    </row>
    <row r="226" spans="1:5" s="32" customFormat="1" ht="21" customHeight="1">
      <c r="A226" s="87"/>
      <c r="B226" s="102"/>
      <c r="C226" s="106">
        <v>4260</v>
      </c>
      <c r="D226" s="50" t="s">
        <v>98</v>
      </c>
      <c r="E226" s="101">
        <v>291500</v>
      </c>
    </row>
    <row r="227" spans="1:5" s="32" customFormat="1" ht="21" customHeight="1">
      <c r="A227" s="87"/>
      <c r="B227" s="102"/>
      <c r="C227" s="106">
        <v>4270</v>
      </c>
      <c r="D227" s="50" t="s">
        <v>81</v>
      </c>
      <c r="E227" s="101">
        <v>49550</v>
      </c>
    </row>
    <row r="228" spans="1:5" s="32" customFormat="1" ht="21" customHeight="1">
      <c r="A228" s="87"/>
      <c r="B228" s="102"/>
      <c r="C228" s="106">
        <v>4280</v>
      </c>
      <c r="D228" s="50" t="s">
        <v>216</v>
      </c>
      <c r="E228" s="101">
        <v>8400</v>
      </c>
    </row>
    <row r="229" spans="1:5" s="32" customFormat="1" ht="21" customHeight="1">
      <c r="A229" s="87"/>
      <c r="B229" s="102"/>
      <c r="C229" s="106">
        <v>4300</v>
      </c>
      <c r="D229" s="50" t="s">
        <v>82</v>
      </c>
      <c r="E229" s="101">
        <v>44500</v>
      </c>
    </row>
    <row r="230" spans="1:5" s="32" customFormat="1" ht="21" customHeight="1">
      <c r="A230" s="87"/>
      <c r="B230" s="102"/>
      <c r="C230" s="106">
        <v>4350</v>
      </c>
      <c r="D230" s="50" t="s">
        <v>225</v>
      </c>
      <c r="E230" s="101">
        <v>2400</v>
      </c>
    </row>
    <row r="231" spans="1:5" s="32" customFormat="1" ht="22.5">
      <c r="A231" s="87"/>
      <c r="B231" s="102"/>
      <c r="C231" s="106">
        <v>4370</v>
      </c>
      <c r="D231" s="16" t="s">
        <v>253</v>
      </c>
      <c r="E231" s="101">
        <v>9000</v>
      </c>
    </row>
    <row r="232" spans="1:5" s="32" customFormat="1" ht="21" customHeight="1">
      <c r="A232" s="87"/>
      <c r="B232" s="102"/>
      <c r="C232" s="106">
        <v>4390</v>
      </c>
      <c r="D232" s="50" t="s">
        <v>359</v>
      </c>
      <c r="E232" s="101">
        <v>800</v>
      </c>
    </row>
    <row r="233" spans="1:5" s="32" customFormat="1" ht="21" customHeight="1">
      <c r="A233" s="87"/>
      <c r="B233" s="102"/>
      <c r="C233" s="106">
        <v>4410</v>
      </c>
      <c r="D233" s="50" t="s">
        <v>93</v>
      </c>
      <c r="E233" s="101">
        <v>6000</v>
      </c>
    </row>
    <row r="234" spans="1:5" s="32" customFormat="1" ht="21" customHeight="1">
      <c r="A234" s="87"/>
      <c r="B234" s="102"/>
      <c r="C234" s="106">
        <v>4430</v>
      </c>
      <c r="D234" s="50" t="s">
        <v>97</v>
      </c>
      <c r="E234" s="101">
        <v>4000</v>
      </c>
    </row>
    <row r="235" spans="1:5" s="32" customFormat="1" ht="21" customHeight="1">
      <c r="A235" s="87"/>
      <c r="B235" s="102"/>
      <c r="C235" s="106">
        <v>4440</v>
      </c>
      <c r="D235" s="50" t="s">
        <v>91</v>
      </c>
      <c r="E235" s="101">
        <v>205309</v>
      </c>
    </row>
    <row r="236" spans="1:5" s="32" customFormat="1" ht="27" customHeight="1">
      <c r="A236" s="87"/>
      <c r="B236" s="102"/>
      <c r="C236" s="106">
        <v>4700</v>
      </c>
      <c r="D236" s="50" t="s">
        <v>323</v>
      </c>
      <c r="E236" s="101">
        <v>2500</v>
      </c>
    </row>
    <row r="237" spans="1:5" s="32" customFormat="1" ht="27" customHeight="1">
      <c r="A237" s="87"/>
      <c r="B237" s="102"/>
      <c r="C237" s="106">
        <v>4740</v>
      </c>
      <c r="D237" s="16" t="s">
        <v>254</v>
      </c>
      <c r="E237" s="101">
        <v>4500</v>
      </c>
    </row>
    <row r="238" spans="1:5" s="32" customFormat="1" ht="21" customHeight="1">
      <c r="A238" s="87"/>
      <c r="B238" s="102"/>
      <c r="C238" s="106">
        <v>4750</v>
      </c>
      <c r="D238" s="16" t="s">
        <v>255</v>
      </c>
      <c r="E238" s="101">
        <v>14850</v>
      </c>
    </row>
    <row r="239" spans="1:5" s="32" customFormat="1" ht="21" customHeight="1">
      <c r="A239" s="87"/>
      <c r="B239" s="102"/>
      <c r="C239" s="106">
        <v>6050</v>
      </c>
      <c r="D239" s="16" t="s">
        <v>76</v>
      </c>
      <c r="E239" s="101">
        <f>4720000-1000000</f>
        <v>3720000</v>
      </c>
    </row>
    <row r="240" spans="1:5" s="32" customFormat="1" ht="21" customHeight="1">
      <c r="A240" s="87"/>
      <c r="B240" s="92" t="s">
        <v>119</v>
      </c>
      <c r="C240" s="66"/>
      <c r="D240" s="16" t="s">
        <v>120</v>
      </c>
      <c r="E240" s="91">
        <f>SUM(E241:E246)</f>
        <v>309460</v>
      </c>
    </row>
    <row r="241" spans="1:5" s="32" customFormat="1" ht="21" customHeight="1">
      <c r="A241" s="87"/>
      <c r="B241" s="92"/>
      <c r="C241" s="66">
        <v>4110</v>
      </c>
      <c r="D241" s="50" t="s">
        <v>89</v>
      </c>
      <c r="E241" s="91">
        <v>2592</v>
      </c>
    </row>
    <row r="242" spans="1:5" s="32" customFormat="1" ht="21" customHeight="1">
      <c r="A242" s="87"/>
      <c r="B242" s="92"/>
      <c r="C242" s="66">
        <v>4120</v>
      </c>
      <c r="D242" s="50" t="s">
        <v>90</v>
      </c>
      <c r="E242" s="91">
        <v>368</v>
      </c>
    </row>
    <row r="243" spans="1:5" s="32" customFormat="1" ht="21" customHeight="1">
      <c r="A243" s="87"/>
      <c r="B243" s="92"/>
      <c r="C243" s="66">
        <v>4170</v>
      </c>
      <c r="D243" s="50" t="s">
        <v>208</v>
      </c>
      <c r="E243" s="91">
        <v>24000</v>
      </c>
    </row>
    <row r="244" spans="1:5" s="32" customFormat="1" ht="21" customHeight="1">
      <c r="A244" s="87"/>
      <c r="B244" s="92"/>
      <c r="C244" s="66">
        <v>4210</v>
      </c>
      <c r="D244" s="16" t="s">
        <v>95</v>
      </c>
      <c r="E244" s="91">
        <v>45000</v>
      </c>
    </row>
    <row r="245" spans="1:5" s="32" customFormat="1" ht="21" customHeight="1">
      <c r="A245" s="87"/>
      <c r="B245" s="92"/>
      <c r="C245" s="66">
        <v>4300</v>
      </c>
      <c r="D245" s="16" t="s">
        <v>82</v>
      </c>
      <c r="E245" s="91">
        <f>215000+10000+8000</f>
        <v>233000</v>
      </c>
    </row>
    <row r="246" spans="1:5" s="32" customFormat="1" ht="21" customHeight="1">
      <c r="A246" s="87"/>
      <c r="B246" s="92"/>
      <c r="C246" s="66">
        <v>4430</v>
      </c>
      <c r="D246" s="50" t="s">
        <v>97</v>
      </c>
      <c r="E246" s="91">
        <v>4500</v>
      </c>
    </row>
    <row r="247" spans="1:5" s="32" customFormat="1" ht="21" customHeight="1">
      <c r="A247" s="87"/>
      <c r="B247" s="107">
        <v>80146</v>
      </c>
      <c r="C247" s="90"/>
      <c r="D247" s="50" t="s">
        <v>157</v>
      </c>
      <c r="E247" s="101">
        <f>SUM(E248:E249)</f>
        <v>109224</v>
      </c>
    </row>
    <row r="248" spans="1:5" s="32" customFormat="1" ht="21" customHeight="1">
      <c r="A248" s="87"/>
      <c r="B248" s="107"/>
      <c r="C248" s="90">
        <v>2510</v>
      </c>
      <c r="D248" s="50" t="s">
        <v>128</v>
      </c>
      <c r="E248" s="101">
        <v>13687</v>
      </c>
    </row>
    <row r="249" spans="1:5" s="32" customFormat="1" ht="21" customHeight="1">
      <c r="A249" s="87"/>
      <c r="B249" s="107"/>
      <c r="C249" s="90">
        <v>4300</v>
      </c>
      <c r="D249" s="50" t="s">
        <v>82</v>
      </c>
      <c r="E249" s="101">
        <v>95537</v>
      </c>
    </row>
    <row r="250" spans="1:5" s="32" customFormat="1" ht="21" customHeight="1">
      <c r="A250" s="87"/>
      <c r="B250" s="107">
        <v>80148</v>
      </c>
      <c r="C250" s="90"/>
      <c r="D250" s="50" t="s">
        <v>320</v>
      </c>
      <c r="E250" s="101">
        <f>SUM(E251:E260)</f>
        <v>257225</v>
      </c>
    </row>
    <row r="251" spans="1:5" s="32" customFormat="1" ht="21" customHeight="1">
      <c r="A251" s="87"/>
      <c r="B251" s="107"/>
      <c r="C251" s="106">
        <v>3020</v>
      </c>
      <c r="D251" s="50" t="s">
        <v>205</v>
      </c>
      <c r="E251" s="101">
        <v>185</v>
      </c>
    </row>
    <row r="252" spans="1:5" s="32" customFormat="1" ht="21" customHeight="1">
      <c r="A252" s="87"/>
      <c r="B252" s="107"/>
      <c r="C252" s="106">
        <v>4010</v>
      </c>
      <c r="D252" s="50" t="s">
        <v>87</v>
      </c>
      <c r="E252" s="101">
        <v>103619</v>
      </c>
    </row>
    <row r="253" spans="1:5" s="32" customFormat="1" ht="21" customHeight="1">
      <c r="A253" s="87"/>
      <c r="B253" s="107"/>
      <c r="C253" s="106">
        <v>4040</v>
      </c>
      <c r="D253" s="50" t="s">
        <v>88</v>
      </c>
      <c r="E253" s="101">
        <v>7647</v>
      </c>
    </row>
    <row r="254" spans="1:5" s="32" customFormat="1" ht="21" customHeight="1">
      <c r="A254" s="87"/>
      <c r="B254" s="107"/>
      <c r="C254" s="106">
        <v>4110</v>
      </c>
      <c r="D254" s="50" t="s">
        <v>89</v>
      </c>
      <c r="E254" s="101">
        <v>17383</v>
      </c>
    </row>
    <row r="255" spans="1:5" s="32" customFormat="1" ht="21" customHeight="1">
      <c r="A255" s="87"/>
      <c r="B255" s="107"/>
      <c r="C255" s="106">
        <v>4120</v>
      </c>
      <c r="D255" s="50" t="s">
        <v>90</v>
      </c>
      <c r="E255" s="101">
        <v>2895</v>
      </c>
    </row>
    <row r="256" spans="1:5" s="32" customFormat="1" ht="21" customHeight="1">
      <c r="A256" s="87"/>
      <c r="B256" s="107"/>
      <c r="C256" s="106">
        <v>4170</v>
      </c>
      <c r="D256" s="50" t="s">
        <v>208</v>
      </c>
      <c r="E256" s="101">
        <v>4000</v>
      </c>
    </row>
    <row r="257" spans="1:5" s="32" customFormat="1" ht="21" customHeight="1">
      <c r="A257" s="87"/>
      <c r="B257" s="107"/>
      <c r="C257" s="106">
        <v>4210</v>
      </c>
      <c r="D257" s="50" t="s">
        <v>75</v>
      </c>
      <c r="E257" s="101">
        <v>3990</v>
      </c>
    </row>
    <row r="258" spans="1:5" s="32" customFormat="1" ht="21" customHeight="1">
      <c r="A258" s="87"/>
      <c r="B258" s="107"/>
      <c r="C258" s="106">
        <v>4220</v>
      </c>
      <c r="D258" s="16" t="s">
        <v>190</v>
      </c>
      <c r="E258" s="101">
        <v>112000</v>
      </c>
    </row>
    <row r="259" spans="1:5" s="32" customFormat="1" ht="21" customHeight="1">
      <c r="A259" s="87"/>
      <c r="B259" s="107"/>
      <c r="C259" s="106">
        <v>4280</v>
      </c>
      <c r="D259" s="50" t="s">
        <v>216</v>
      </c>
      <c r="E259" s="101">
        <v>160</v>
      </c>
    </row>
    <row r="260" spans="1:5" s="32" customFormat="1" ht="21" customHeight="1">
      <c r="A260" s="87"/>
      <c r="B260" s="107"/>
      <c r="C260" s="106">
        <v>4440</v>
      </c>
      <c r="D260" s="50" t="s">
        <v>91</v>
      </c>
      <c r="E260" s="101">
        <v>5346</v>
      </c>
    </row>
    <row r="261" spans="1:5" s="32" customFormat="1" ht="21" customHeight="1">
      <c r="A261" s="87"/>
      <c r="B261" s="102">
        <v>80195</v>
      </c>
      <c r="C261" s="87"/>
      <c r="D261" s="50" t="s">
        <v>6</v>
      </c>
      <c r="E261" s="101">
        <f>SUM(E262:E265)</f>
        <v>231670</v>
      </c>
    </row>
    <row r="262" spans="1:5" s="32" customFormat="1" ht="21" customHeight="1">
      <c r="A262" s="87"/>
      <c r="B262" s="102"/>
      <c r="C262" s="87">
        <v>4170</v>
      </c>
      <c r="D262" s="50" t="s">
        <v>208</v>
      </c>
      <c r="E262" s="101">
        <v>500</v>
      </c>
    </row>
    <row r="263" spans="1:5" s="32" customFormat="1" ht="21" customHeight="1">
      <c r="A263" s="87"/>
      <c r="B263" s="102"/>
      <c r="C263" s="87">
        <v>4210</v>
      </c>
      <c r="D263" s="50" t="s">
        <v>75</v>
      </c>
      <c r="E263" s="101">
        <v>1100</v>
      </c>
    </row>
    <row r="264" spans="1:5" s="32" customFormat="1" ht="21" customHeight="1">
      <c r="A264" s="87"/>
      <c r="B264" s="102"/>
      <c r="C264" s="87">
        <v>4300</v>
      </c>
      <c r="D264" s="16" t="s">
        <v>82</v>
      </c>
      <c r="E264" s="91">
        <f>50986+5000</f>
        <v>55986</v>
      </c>
    </row>
    <row r="265" spans="1:5" s="32" customFormat="1" ht="21" customHeight="1">
      <c r="A265" s="87"/>
      <c r="B265" s="102"/>
      <c r="C265" s="87">
        <v>4440</v>
      </c>
      <c r="D265" s="50" t="s">
        <v>91</v>
      </c>
      <c r="E265" s="101">
        <v>174084</v>
      </c>
    </row>
    <row r="266" spans="1:5" s="8" customFormat="1" ht="21" customHeight="1">
      <c r="A266" s="45" t="s">
        <v>121</v>
      </c>
      <c r="B266" s="46"/>
      <c r="C266" s="47"/>
      <c r="D266" s="48" t="s">
        <v>55</v>
      </c>
      <c r="E266" s="49">
        <f>SUM(E269,E278,E267)</f>
        <v>172408</v>
      </c>
    </row>
    <row r="267" spans="1:5" s="8" customFormat="1" ht="21" customHeight="1">
      <c r="A267" s="45"/>
      <c r="B267" s="107">
        <v>85153</v>
      </c>
      <c r="C267" s="106"/>
      <c r="D267" s="50" t="s">
        <v>248</v>
      </c>
      <c r="E267" s="101">
        <f>SUM(E268:E268)</f>
        <v>6360</v>
      </c>
    </row>
    <row r="268" spans="1:5" s="8" customFormat="1" ht="21" customHeight="1">
      <c r="A268" s="45"/>
      <c r="B268" s="107"/>
      <c r="C268" s="106">
        <v>4300</v>
      </c>
      <c r="D268" s="50" t="s">
        <v>82</v>
      </c>
      <c r="E268" s="101">
        <v>6360</v>
      </c>
    </row>
    <row r="269" spans="1:5" s="32" customFormat="1" ht="21" customHeight="1">
      <c r="A269" s="87"/>
      <c r="B269" s="102" t="s">
        <v>122</v>
      </c>
      <c r="C269" s="106"/>
      <c r="D269" s="50" t="s">
        <v>56</v>
      </c>
      <c r="E269" s="101">
        <f>SUM(E270:E277)</f>
        <v>156048</v>
      </c>
    </row>
    <row r="270" spans="1:5" s="32" customFormat="1" ht="22.5">
      <c r="A270" s="87"/>
      <c r="B270" s="107"/>
      <c r="C270" s="106">
        <v>2630</v>
      </c>
      <c r="D270" s="50" t="s">
        <v>473</v>
      </c>
      <c r="E270" s="101">
        <v>70000</v>
      </c>
    </row>
    <row r="271" spans="1:5" s="32" customFormat="1" ht="21" customHeight="1">
      <c r="A271" s="87"/>
      <c r="B271" s="107"/>
      <c r="C271" s="106">
        <v>4110</v>
      </c>
      <c r="D271" s="16" t="s">
        <v>89</v>
      </c>
      <c r="E271" s="101">
        <v>1758</v>
      </c>
    </row>
    <row r="272" spans="1:5" s="32" customFormat="1" ht="21" customHeight="1">
      <c r="A272" s="87"/>
      <c r="B272" s="107"/>
      <c r="C272" s="106">
        <v>4170</v>
      </c>
      <c r="D272" s="50" t="s">
        <v>208</v>
      </c>
      <c r="E272" s="101">
        <v>37800</v>
      </c>
    </row>
    <row r="273" spans="1:5" s="32" customFormat="1" ht="21" customHeight="1">
      <c r="A273" s="87"/>
      <c r="B273" s="107"/>
      <c r="C273" s="106">
        <v>4210</v>
      </c>
      <c r="D273" s="16" t="s">
        <v>95</v>
      </c>
      <c r="E273" s="101">
        <v>8000</v>
      </c>
    </row>
    <row r="274" spans="1:5" s="32" customFormat="1" ht="21" customHeight="1">
      <c r="A274" s="87"/>
      <c r="B274" s="107"/>
      <c r="C274" s="106">
        <v>4220</v>
      </c>
      <c r="D274" s="16" t="s">
        <v>190</v>
      </c>
      <c r="E274" s="101">
        <v>10000</v>
      </c>
    </row>
    <row r="275" spans="1:5" s="32" customFormat="1" ht="21" customHeight="1">
      <c r="A275" s="87"/>
      <c r="B275" s="107"/>
      <c r="C275" s="106">
        <v>4300</v>
      </c>
      <c r="D275" s="50" t="s">
        <v>82</v>
      </c>
      <c r="E275" s="101">
        <f>25240+850</f>
        <v>26090</v>
      </c>
    </row>
    <row r="276" spans="1:5" s="32" customFormat="1" ht="21" customHeight="1">
      <c r="A276" s="87"/>
      <c r="B276" s="107"/>
      <c r="C276" s="106">
        <v>4350</v>
      </c>
      <c r="D276" s="50" t="s">
        <v>225</v>
      </c>
      <c r="E276" s="101">
        <v>1200</v>
      </c>
    </row>
    <row r="277" spans="1:5" s="32" customFormat="1" ht="21" customHeight="1">
      <c r="A277" s="87"/>
      <c r="B277" s="107"/>
      <c r="C277" s="106">
        <v>4410</v>
      </c>
      <c r="D277" s="50" t="s">
        <v>93</v>
      </c>
      <c r="E277" s="101">
        <v>1200</v>
      </c>
    </row>
    <row r="278" spans="1:5" s="32" customFormat="1" ht="21" customHeight="1">
      <c r="A278" s="87"/>
      <c r="B278" s="107">
        <v>85195</v>
      </c>
      <c r="C278" s="106"/>
      <c r="D278" s="50" t="s">
        <v>6</v>
      </c>
      <c r="E278" s="101">
        <f>SUM(E279)</f>
        <v>10000</v>
      </c>
    </row>
    <row r="279" spans="1:5" s="32" customFormat="1" ht="21" customHeight="1">
      <c r="A279" s="87"/>
      <c r="B279" s="107"/>
      <c r="C279" s="106">
        <v>4430</v>
      </c>
      <c r="D279" s="50" t="s">
        <v>97</v>
      </c>
      <c r="E279" s="101">
        <v>10000</v>
      </c>
    </row>
    <row r="280" spans="1:5" s="8" customFormat="1" ht="24.75" customHeight="1">
      <c r="A280" s="80">
        <v>852</v>
      </c>
      <c r="B280" s="46"/>
      <c r="C280" s="47"/>
      <c r="D280" s="48" t="s">
        <v>200</v>
      </c>
      <c r="E280" s="49">
        <f>SUM(E281,E304,E306,E309,E311,E335,E337,)</f>
        <v>11465246</v>
      </c>
    </row>
    <row r="281" spans="1:5" s="32" customFormat="1" ht="33.75">
      <c r="A281" s="117"/>
      <c r="B281" s="66">
        <v>85212</v>
      </c>
      <c r="C281" s="99"/>
      <c r="D281" s="97" t="s">
        <v>247</v>
      </c>
      <c r="E281" s="91">
        <f>SUM(E282:E303)</f>
        <v>6568634</v>
      </c>
    </row>
    <row r="282" spans="1:5" s="32" customFormat="1" ht="21" customHeight="1">
      <c r="A282" s="117"/>
      <c r="B282" s="66"/>
      <c r="C282" s="99">
        <v>3020</v>
      </c>
      <c r="D282" s="50" t="s">
        <v>205</v>
      </c>
      <c r="E282" s="91">
        <v>1760</v>
      </c>
    </row>
    <row r="283" spans="1:5" s="32" customFormat="1" ht="21" customHeight="1">
      <c r="A283" s="117"/>
      <c r="B283" s="66"/>
      <c r="C283" s="99">
        <v>3110</v>
      </c>
      <c r="D283" s="97" t="s">
        <v>115</v>
      </c>
      <c r="E283" s="91">
        <f>6284727-51000</f>
        <v>6233727</v>
      </c>
    </row>
    <row r="284" spans="1:5" s="32" customFormat="1" ht="21" customHeight="1">
      <c r="A284" s="117"/>
      <c r="B284" s="66"/>
      <c r="C284" s="66">
        <v>4010</v>
      </c>
      <c r="D284" s="16" t="s">
        <v>87</v>
      </c>
      <c r="E284" s="91">
        <f>153581+24502</f>
        <v>178083</v>
      </c>
    </row>
    <row r="285" spans="1:5" s="32" customFormat="1" ht="21" customHeight="1">
      <c r="A285" s="117"/>
      <c r="B285" s="66"/>
      <c r="C285" s="66">
        <v>4040</v>
      </c>
      <c r="D285" s="16" t="s">
        <v>88</v>
      </c>
      <c r="E285" s="91">
        <v>12000</v>
      </c>
    </row>
    <row r="286" spans="1:5" s="32" customFormat="1" ht="21" customHeight="1">
      <c r="A286" s="117"/>
      <c r="B286" s="66"/>
      <c r="C286" s="66">
        <v>4110</v>
      </c>
      <c r="D286" s="16" t="s">
        <v>89</v>
      </c>
      <c r="E286" s="91">
        <f>20612+7904+51000</f>
        <v>79516</v>
      </c>
    </row>
    <row r="287" spans="1:5" s="32" customFormat="1" ht="21" customHeight="1">
      <c r="A287" s="117"/>
      <c r="B287" s="66"/>
      <c r="C287" s="66">
        <v>4120</v>
      </c>
      <c r="D287" s="16" t="s">
        <v>90</v>
      </c>
      <c r="E287" s="91">
        <f>3305+1268</f>
        <v>4573</v>
      </c>
    </row>
    <row r="288" spans="1:5" s="32" customFormat="1" ht="21" customHeight="1">
      <c r="A288" s="117"/>
      <c r="B288" s="98"/>
      <c r="C288" s="66">
        <v>4170</v>
      </c>
      <c r="D288" s="50" t="s">
        <v>208</v>
      </c>
      <c r="E288" s="91">
        <v>3000</v>
      </c>
    </row>
    <row r="289" spans="1:5" s="32" customFormat="1" ht="21" customHeight="1">
      <c r="A289" s="117"/>
      <c r="B289" s="98"/>
      <c r="C289" s="66">
        <v>4210</v>
      </c>
      <c r="D289" s="16" t="s">
        <v>95</v>
      </c>
      <c r="E289" s="91">
        <v>6980</v>
      </c>
    </row>
    <row r="290" spans="1:5" s="32" customFormat="1" ht="21" customHeight="1">
      <c r="A290" s="117"/>
      <c r="B290" s="98"/>
      <c r="C290" s="66">
        <v>4260</v>
      </c>
      <c r="D290" s="50" t="s">
        <v>98</v>
      </c>
      <c r="E290" s="91">
        <v>8400</v>
      </c>
    </row>
    <row r="291" spans="1:5" s="32" customFormat="1" ht="21" customHeight="1">
      <c r="A291" s="117"/>
      <c r="B291" s="98"/>
      <c r="C291" s="66">
        <v>4270</v>
      </c>
      <c r="D291" s="50" t="s">
        <v>81</v>
      </c>
      <c r="E291" s="91">
        <v>2000</v>
      </c>
    </row>
    <row r="292" spans="1:5" s="32" customFormat="1" ht="21" customHeight="1">
      <c r="A292" s="117"/>
      <c r="B292" s="98"/>
      <c r="C292" s="66">
        <v>4280</v>
      </c>
      <c r="D292" s="50" t="s">
        <v>216</v>
      </c>
      <c r="E292" s="91">
        <v>960</v>
      </c>
    </row>
    <row r="293" spans="1:5" s="32" customFormat="1" ht="21" customHeight="1">
      <c r="A293" s="117"/>
      <c r="B293" s="98"/>
      <c r="C293" s="66">
        <v>4300</v>
      </c>
      <c r="D293" s="16" t="s">
        <v>82</v>
      </c>
      <c r="E293" s="91">
        <v>6700</v>
      </c>
    </row>
    <row r="294" spans="1:5" s="32" customFormat="1" ht="21" customHeight="1">
      <c r="A294" s="117"/>
      <c r="B294" s="98"/>
      <c r="C294" s="66">
        <v>4350</v>
      </c>
      <c r="D294" s="50" t="s">
        <v>225</v>
      </c>
      <c r="E294" s="91">
        <v>3000</v>
      </c>
    </row>
    <row r="295" spans="1:5" s="32" customFormat="1" ht="22.5">
      <c r="A295" s="117"/>
      <c r="B295" s="98"/>
      <c r="C295" s="66">
        <v>4360</v>
      </c>
      <c r="D295" s="50" t="s">
        <v>253</v>
      </c>
      <c r="E295" s="91">
        <v>960</v>
      </c>
    </row>
    <row r="296" spans="1:5" s="32" customFormat="1" ht="22.5">
      <c r="A296" s="117"/>
      <c r="B296" s="98"/>
      <c r="C296" s="66">
        <v>4370</v>
      </c>
      <c r="D296" s="50" t="s">
        <v>253</v>
      </c>
      <c r="E296" s="91">
        <v>2000</v>
      </c>
    </row>
    <row r="297" spans="1:5" s="32" customFormat="1" ht="21" customHeight="1">
      <c r="A297" s="117"/>
      <c r="B297" s="98"/>
      <c r="C297" s="66">
        <v>4410</v>
      </c>
      <c r="D297" s="50" t="s">
        <v>93</v>
      </c>
      <c r="E297" s="91">
        <v>4000</v>
      </c>
    </row>
    <row r="298" spans="1:5" s="32" customFormat="1" ht="21" customHeight="1">
      <c r="A298" s="117"/>
      <c r="B298" s="98"/>
      <c r="C298" s="66">
        <v>4430</v>
      </c>
      <c r="D298" s="50" t="s">
        <v>97</v>
      </c>
      <c r="E298" s="91">
        <v>7800</v>
      </c>
    </row>
    <row r="299" spans="1:5" s="32" customFormat="1" ht="21" customHeight="1">
      <c r="A299" s="117"/>
      <c r="B299" s="98"/>
      <c r="C299" s="66">
        <v>4440</v>
      </c>
      <c r="D299" s="16" t="s">
        <v>91</v>
      </c>
      <c r="E299" s="91">
        <v>4875</v>
      </c>
    </row>
    <row r="300" spans="1:5" s="32" customFormat="1" ht="21" customHeight="1">
      <c r="A300" s="117"/>
      <c r="B300" s="98"/>
      <c r="C300" s="66">
        <v>4610</v>
      </c>
      <c r="D300" s="50" t="s">
        <v>193</v>
      </c>
      <c r="E300" s="91">
        <v>1000</v>
      </c>
    </row>
    <row r="301" spans="1:5" s="32" customFormat="1" ht="22.5">
      <c r="A301" s="117"/>
      <c r="B301" s="98"/>
      <c r="C301" s="66">
        <v>4700</v>
      </c>
      <c r="D301" s="50" t="s">
        <v>323</v>
      </c>
      <c r="E301" s="91">
        <v>3300</v>
      </c>
    </row>
    <row r="302" spans="1:5" s="32" customFormat="1" ht="22.5">
      <c r="A302" s="117"/>
      <c r="B302" s="98"/>
      <c r="C302" s="66">
        <v>4740</v>
      </c>
      <c r="D302" s="50" t="s">
        <v>254</v>
      </c>
      <c r="E302" s="91">
        <v>2000</v>
      </c>
    </row>
    <row r="303" spans="1:5" s="32" customFormat="1" ht="22.5">
      <c r="A303" s="117"/>
      <c r="B303" s="98"/>
      <c r="C303" s="66">
        <v>4750</v>
      </c>
      <c r="D303" s="50" t="s">
        <v>347</v>
      </c>
      <c r="E303" s="91">
        <v>2000</v>
      </c>
    </row>
    <row r="304" spans="1:5" s="32" customFormat="1" ht="45">
      <c r="A304" s="87"/>
      <c r="B304" s="107">
        <v>85213</v>
      </c>
      <c r="C304" s="106"/>
      <c r="D304" s="97" t="s">
        <v>453</v>
      </c>
      <c r="E304" s="101">
        <f>SUM(E305)</f>
        <v>59100</v>
      </c>
    </row>
    <row r="305" spans="1:5" s="32" customFormat="1" ht="21" customHeight="1">
      <c r="A305" s="87"/>
      <c r="B305" s="107"/>
      <c r="C305" s="106">
        <v>4130</v>
      </c>
      <c r="D305" s="50" t="s">
        <v>123</v>
      </c>
      <c r="E305" s="91">
        <v>59100</v>
      </c>
    </row>
    <row r="306" spans="1:5" s="32" customFormat="1" ht="22.5">
      <c r="A306" s="87"/>
      <c r="B306" s="102">
        <v>85214</v>
      </c>
      <c r="C306" s="106"/>
      <c r="D306" s="50" t="s">
        <v>224</v>
      </c>
      <c r="E306" s="101">
        <f>SUM(E307:E308)</f>
        <v>1686100</v>
      </c>
    </row>
    <row r="307" spans="1:5" s="32" customFormat="1" ht="21" customHeight="1">
      <c r="A307" s="87"/>
      <c r="B307" s="102"/>
      <c r="C307" s="106">
        <v>3110</v>
      </c>
      <c r="D307" s="50" t="s">
        <v>115</v>
      </c>
      <c r="E307" s="101">
        <f>466900+656100+562000</f>
        <v>1685000</v>
      </c>
    </row>
    <row r="308" spans="1:5" s="32" customFormat="1" ht="21" customHeight="1">
      <c r="A308" s="87"/>
      <c r="B308" s="102"/>
      <c r="C308" s="66">
        <v>4110</v>
      </c>
      <c r="D308" s="16" t="s">
        <v>89</v>
      </c>
      <c r="E308" s="101">
        <v>1100</v>
      </c>
    </row>
    <row r="309" spans="1:5" s="32" customFormat="1" ht="21" customHeight="1">
      <c r="A309" s="87"/>
      <c r="B309" s="102">
        <v>85215</v>
      </c>
      <c r="C309" s="106"/>
      <c r="D309" s="50" t="s">
        <v>59</v>
      </c>
      <c r="E309" s="101">
        <f>SUM(E310)</f>
        <v>900000</v>
      </c>
    </row>
    <row r="310" spans="1:5" s="32" customFormat="1" ht="21" customHeight="1">
      <c r="A310" s="87"/>
      <c r="B310" s="102"/>
      <c r="C310" s="106">
        <v>3110</v>
      </c>
      <c r="D310" s="50" t="s">
        <v>115</v>
      </c>
      <c r="E310" s="101">
        <v>900000</v>
      </c>
    </row>
    <row r="311" spans="1:5" s="32" customFormat="1" ht="21" customHeight="1">
      <c r="A311" s="87"/>
      <c r="B311" s="102">
        <v>85219</v>
      </c>
      <c r="C311" s="106"/>
      <c r="D311" s="50" t="s">
        <v>60</v>
      </c>
      <c r="E311" s="101">
        <f>SUM(E312:E334)</f>
        <v>1337592</v>
      </c>
    </row>
    <row r="312" spans="1:5" s="32" customFormat="1" ht="21" customHeight="1">
      <c r="A312" s="87"/>
      <c r="B312" s="102"/>
      <c r="C312" s="106">
        <v>3020</v>
      </c>
      <c r="D312" s="50" t="s">
        <v>231</v>
      </c>
      <c r="E312" s="101">
        <v>3218</v>
      </c>
    </row>
    <row r="313" spans="1:5" s="32" customFormat="1" ht="21" customHeight="1">
      <c r="A313" s="87"/>
      <c r="B313" s="102"/>
      <c r="C313" s="106">
        <v>4010</v>
      </c>
      <c r="D313" s="50" t="s">
        <v>87</v>
      </c>
      <c r="E313" s="101">
        <f>28577+467500+141137+61197</f>
        <v>698411</v>
      </c>
    </row>
    <row r="314" spans="1:5" s="32" customFormat="1" ht="21" customHeight="1">
      <c r="A314" s="87"/>
      <c r="B314" s="102"/>
      <c r="C314" s="106">
        <v>4040</v>
      </c>
      <c r="D314" s="50" t="s">
        <v>88</v>
      </c>
      <c r="E314" s="101">
        <f>2774+32000+12500+4300</f>
        <v>51574</v>
      </c>
    </row>
    <row r="315" spans="1:5" s="32" customFormat="1" ht="21" customHeight="1">
      <c r="A315" s="87"/>
      <c r="B315" s="102"/>
      <c r="C315" s="106">
        <v>4110</v>
      </c>
      <c r="D315" s="50" t="s">
        <v>89</v>
      </c>
      <c r="E315" s="101">
        <f>5234+72050+29130+10129</f>
        <v>116543</v>
      </c>
    </row>
    <row r="316" spans="1:5" s="32" customFormat="1" ht="21" customHeight="1">
      <c r="A316" s="87"/>
      <c r="B316" s="102"/>
      <c r="C316" s="106">
        <v>4120</v>
      </c>
      <c r="D316" s="50" t="s">
        <v>90</v>
      </c>
      <c r="E316" s="101">
        <f>768+11250+4399+1578</f>
        <v>17995</v>
      </c>
    </row>
    <row r="317" spans="1:5" s="32" customFormat="1" ht="21" customHeight="1">
      <c r="A317" s="87"/>
      <c r="B317" s="102"/>
      <c r="C317" s="106">
        <v>4170</v>
      </c>
      <c r="D317" s="50" t="s">
        <v>208</v>
      </c>
      <c r="E317" s="101">
        <f>13200+6240</f>
        <v>19440</v>
      </c>
    </row>
    <row r="318" spans="1:5" s="32" customFormat="1" ht="21" customHeight="1">
      <c r="A318" s="87"/>
      <c r="B318" s="102"/>
      <c r="C318" s="106">
        <v>4210</v>
      </c>
      <c r="D318" s="50" t="s">
        <v>95</v>
      </c>
      <c r="E318" s="101">
        <f>2800+22500+11100</f>
        <v>36400</v>
      </c>
    </row>
    <row r="319" spans="1:5" s="32" customFormat="1" ht="21" customHeight="1">
      <c r="A319" s="87"/>
      <c r="B319" s="102"/>
      <c r="C319" s="106">
        <v>4220</v>
      </c>
      <c r="D319" s="50" t="s">
        <v>190</v>
      </c>
      <c r="E319" s="101">
        <v>150000</v>
      </c>
    </row>
    <row r="320" spans="1:5" s="32" customFormat="1" ht="21" customHeight="1">
      <c r="A320" s="87"/>
      <c r="B320" s="102"/>
      <c r="C320" s="106">
        <v>4260</v>
      </c>
      <c r="D320" s="50" t="s">
        <v>98</v>
      </c>
      <c r="E320" s="101">
        <f>4700+9855</f>
        <v>14555</v>
      </c>
    </row>
    <row r="321" spans="1:5" s="32" customFormat="1" ht="21" customHeight="1">
      <c r="A321" s="87"/>
      <c r="B321" s="102"/>
      <c r="C321" s="106">
        <v>4270</v>
      </c>
      <c r="D321" s="50" t="s">
        <v>81</v>
      </c>
      <c r="E321" s="101">
        <f>2000+2000</f>
        <v>4000</v>
      </c>
    </row>
    <row r="322" spans="1:5" s="32" customFormat="1" ht="21" customHeight="1">
      <c r="A322" s="87"/>
      <c r="B322" s="102"/>
      <c r="C322" s="106">
        <v>4280</v>
      </c>
      <c r="D322" s="50" t="s">
        <v>216</v>
      </c>
      <c r="E322" s="101">
        <f>1000+350</f>
        <v>1350</v>
      </c>
    </row>
    <row r="323" spans="1:5" s="32" customFormat="1" ht="21" customHeight="1">
      <c r="A323" s="87"/>
      <c r="B323" s="102"/>
      <c r="C323" s="106">
        <v>4300</v>
      </c>
      <c r="D323" s="50" t="s">
        <v>82</v>
      </c>
      <c r="E323" s="101">
        <f>42600+32639+10790</f>
        <v>86029</v>
      </c>
    </row>
    <row r="324" spans="1:5" s="32" customFormat="1" ht="21" customHeight="1">
      <c r="A324" s="87"/>
      <c r="B324" s="102"/>
      <c r="C324" s="106">
        <v>4350</v>
      </c>
      <c r="D324" s="50" t="s">
        <v>225</v>
      </c>
      <c r="E324" s="101">
        <f>550+627</f>
        <v>1177</v>
      </c>
    </row>
    <row r="325" spans="1:5" s="32" customFormat="1" ht="27" customHeight="1">
      <c r="A325" s="87"/>
      <c r="B325" s="102"/>
      <c r="C325" s="106">
        <v>4360</v>
      </c>
      <c r="D325" s="50" t="s">
        <v>253</v>
      </c>
      <c r="E325" s="101">
        <v>732</v>
      </c>
    </row>
    <row r="326" spans="1:5" s="32" customFormat="1" ht="27" customHeight="1">
      <c r="A326" s="87"/>
      <c r="B326" s="102"/>
      <c r="C326" s="106">
        <v>4370</v>
      </c>
      <c r="D326" s="50" t="s">
        <v>253</v>
      </c>
      <c r="E326" s="101">
        <f>2500+7800+480</f>
        <v>10780</v>
      </c>
    </row>
    <row r="327" spans="1:5" s="32" customFormat="1" ht="27" customHeight="1">
      <c r="A327" s="87"/>
      <c r="B327" s="102"/>
      <c r="C327" s="106">
        <v>4400</v>
      </c>
      <c r="D327" s="50" t="s">
        <v>314</v>
      </c>
      <c r="E327" s="101">
        <f>2104+58671+12501</f>
        <v>73276</v>
      </c>
    </row>
    <row r="328" spans="1:5" s="32" customFormat="1" ht="21" customHeight="1">
      <c r="A328" s="87"/>
      <c r="B328" s="102"/>
      <c r="C328" s="106">
        <v>4410</v>
      </c>
      <c r="D328" s="50" t="s">
        <v>93</v>
      </c>
      <c r="E328" s="101">
        <f>447+11015</f>
        <v>11462</v>
      </c>
    </row>
    <row r="329" spans="1:5" s="32" customFormat="1" ht="21" customHeight="1">
      <c r="A329" s="87"/>
      <c r="B329" s="102"/>
      <c r="C329" s="106">
        <v>4430</v>
      </c>
      <c r="D329" s="50" t="s">
        <v>97</v>
      </c>
      <c r="E329" s="101">
        <f>2430</f>
        <v>2430</v>
      </c>
    </row>
    <row r="330" spans="1:5" s="32" customFormat="1" ht="21" customHeight="1">
      <c r="A330" s="87"/>
      <c r="B330" s="102"/>
      <c r="C330" s="106">
        <v>4440</v>
      </c>
      <c r="D330" s="50" t="s">
        <v>91</v>
      </c>
      <c r="E330" s="101">
        <f>1138+15000+5171+3007</f>
        <v>24316</v>
      </c>
    </row>
    <row r="331" spans="1:5" s="32" customFormat="1" ht="21" customHeight="1">
      <c r="A331" s="87"/>
      <c r="B331" s="102"/>
      <c r="C331" s="106">
        <v>4610</v>
      </c>
      <c r="D331" s="50" t="s">
        <v>193</v>
      </c>
      <c r="E331" s="101">
        <v>800</v>
      </c>
    </row>
    <row r="332" spans="1:5" s="32" customFormat="1" ht="27" customHeight="1">
      <c r="A332" s="87"/>
      <c r="B332" s="102"/>
      <c r="C332" s="106">
        <v>4700</v>
      </c>
      <c r="D332" s="50" t="s">
        <v>323</v>
      </c>
      <c r="E332" s="101">
        <v>6000</v>
      </c>
    </row>
    <row r="333" spans="1:5" s="32" customFormat="1" ht="27" customHeight="1">
      <c r="A333" s="87"/>
      <c r="B333" s="102"/>
      <c r="C333" s="106">
        <v>4740</v>
      </c>
      <c r="D333" s="50" t="s">
        <v>254</v>
      </c>
      <c r="E333" s="101">
        <f>300+1804</f>
        <v>2104</v>
      </c>
    </row>
    <row r="334" spans="1:5" s="32" customFormat="1" ht="22.5">
      <c r="A334" s="87"/>
      <c r="B334" s="102"/>
      <c r="C334" s="106">
        <v>4750</v>
      </c>
      <c r="D334" s="50" t="s">
        <v>347</v>
      </c>
      <c r="E334" s="101">
        <v>5000</v>
      </c>
    </row>
    <row r="335" spans="1:5" s="32" customFormat="1" ht="21" customHeight="1">
      <c r="A335" s="87"/>
      <c r="B335" s="102">
        <v>85228</v>
      </c>
      <c r="C335" s="106"/>
      <c r="D335" s="50" t="s">
        <v>124</v>
      </c>
      <c r="E335" s="101">
        <f>SUM(E336)</f>
        <v>150000</v>
      </c>
    </row>
    <row r="336" spans="1:5" s="32" customFormat="1" ht="21" customHeight="1">
      <c r="A336" s="87"/>
      <c r="B336" s="102"/>
      <c r="C336" s="106">
        <v>4300</v>
      </c>
      <c r="D336" s="50" t="s">
        <v>82</v>
      </c>
      <c r="E336" s="101">
        <v>150000</v>
      </c>
    </row>
    <row r="337" spans="1:5" s="32" customFormat="1" ht="21" customHeight="1">
      <c r="A337" s="87"/>
      <c r="B337" s="102" t="s">
        <v>167</v>
      </c>
      <c r="C337" s="106"/>
      <c r="D337" s="50" t="s">
        <v>6</v>
      </c>
      <c r="E337" s="101">
        <f>SUM(E338:E339)</f>
        <v>763820</v>
      </c>
    </row>
    <row r="338" spans="1:5" s="32" customFormat="1" ht="21" customHeight="1">
      <c r="A338" s="87"/>
      <c r="B338" s="102"/>
      <c r="C338" s="106">
        <v>3110</v>
      </c>
      <c r="D338" s="50" t="s">
        <v>115</v>
      </c>
      <c r="E338" s="91">
        <f>541300+217000</f>
        <v>758300</v>
      </c>
    </row>
    <row r="339" spans="1:5" s="32" customFormat="1" ht="21" customHeight="1">
      <c r="A339" s="87"/>
      <c r="B339" s="102"/>
      <c r="C339" s="106">
        <v>4430</v>
      </c>
      <c r="D339" s="50" t="s">
        <v>97</v>
      </c>
      <c r="E339" s="101">
        <v>5520</v>
      </c>
    </row>
    <row r="340" spans="1:5" s="301" customFormat="1" ht="21" customHeight="1">
      <c r="A340" s="296">
        <v>853</v>
      </c>
      <c r="B340" s="297"/>
      <c r="C340" s="298"/>
      <c r="D340" s="299" t="s">
        <v>434</v>
      </c>
      <c r="E340" s="300">
        <f>E341</f>
        <v>10800</v>
      </c>
    </row>
    <row r="341" spans="1:5" s="32" customFormat="1" ht="21" customHeight="1">
      <c r="A341" s="87"/>
      <c r="B341" s="102">
        <v>85311</v>
      </c>
      <c r="C341" s="106"/>
      <c r="D341" s="50" t="s">
        <v>435</v>
      </c>
      <c r="E341" s="101">
        <f>E342</f>
        <v>10800</v>
      </c>
    </row>
    <row r="342" spans="1:5" s="32" customFormat="1" ht="33.75">
      <c r="A342" s="87"/>
      <c r="B342" s="102"/>
      <c r="C342" s="106">
        <v>2710</v>
      </c>
      <c r="D342" s="50" t="s">
        <v>472</v>
      </c>
      <c r="E342" s="101">
        <v>10800</v>
      </c>
    </row>
    <row r="343" spans="1:5" s="9" customFormat="1" ht="21" customHeight="1">
      <c r="A343" s="45" t="s">
        <v>125</v>
      </c>
      <c r="B343" s="46"/>
      <c r="C343" s="47"/>
      <c r="D343" s="48" t="s">
        <v>61</v>
      </c>
      <c r="E343" s="49">
        <f>SUM(E344,E354,E363,E361,E359)</f>
        <v>995031</v>
      </c>
    </row>
    <row r="344" spans="1:5" s="32" customFormat="1" ht="21" customHeight="1">
      <c r="A344" s="87"/>
      <c r="B344" s="102">
        <v>85401</v>
      </c>
      <c r="C344" s="106"/>
      <c r="D344" s="50" t="s">
        <v>62</v>
      </c>
      <c r="E344" s="101">
        <f>SUM(E345:E353)</f>
        <v>522477</v>
      </c>
    </row>
    <row r="345" spans="1:5" s="32" customFormat="1" ht="21" customHeight="1">
      <c r="A345" s="87"/>
      <c r="B345" s="102"/>
      <c r="C345" s="106">
        <v>3020</v>
      </c>
      <c r="D345" s="50" t="s">
        <v>231</v>
      </c>
      <c r="E345" s="101">
        <v>10339</v>
      </c>
    </row>
    <row r="346" spans="1:5" s="32" customFormat="1" ht="21" customHeight="1">
      <c r="A346" s="87"/>
      <c r="B346" s="102"/>
      <c r="C346" s="106">
        <v>4010</v>
      </c>
      <c r="D346" s="50" t="s">
        <v>87</v>
      </c>
      <c r="E346" s="101">
        <v>371545</v>
      </c>
    </row>
    <row r="347" spans="1:5" s="32" customFormat="1" ht="21" customHeight="1">
      <c r="A347" s="87"/>
      <c r="B347" s="102"/>
      <c r="C347" s="106">
        <v>4040</v>
      </c>
      <c r="D347" s="50" t="s">
        <v>88</v>
      </c>
      <c r="E347" s="101">
        <v>23840</v>
      </c>
    </row>
    <row r="348" spans="1:5" s="32" customFormat="1" ht="21" customHeight="1">
      <c r="A348" s="87"/>
      <c r="B348" s="102"/>
      <c r="C348" s="106">
        <v>4110</v>
      </c>
      <c r="D348" s="50" t="s">
        <v>89</v>
      </c>
      <c r="E348" s="101">
        <v>58485</v>
      </c>
    </row>
    <row r="349" spans="1:5" s="32" customFormat="1" ht="21" customHeight="1">
      <c r="A349" s="87"/>
      <c r="B349" s="102"/>
      <c r="C349" s="106">
        <v>4120</v>
      </c>
      <c r="D349" s="50" t="s">
        <v>90</v>
      </c>
      <c r="E349" s="101">
        <v>10075</v>
      </c>
    </row>
    <row r="350" spans="1:5" s="32" customFormat="1" ht="21" customHeight="1">
      <c r="A350" s="87"/>
      <c r="B350" s="102"/>
      <c r="C350" s="106">
        <v>4210</v>
      </c>
      <c r="D350" s="50" t="s">
        <v>95</v>
      </c>
      <c r="E350" s="101">
        <v>9950</v>
      </c>
    </row>
    <row r="351" spans="1:5" s="32" customFormat="1" ht="21" customHeight="1">
      <c r="A351" s="87"/>
      <c r="B351" s="102"/>
      <c r="C351" s="106">
        <v>4240</v>
      </c>
      <c r="D351" s="50" t="s">
        <v>126</v>
      </c>
      <c r="E351" s="101">
        <v>8000</v>
      </c>
    </row>
    <row r="352" spans="1:5" s="32" customFormat="1" ht="21" customHeight="1">
      <c r="A352" s="87"/>
      <c r="B352" s="102"/>
      <c r="C352" s="106">
        <v>4280</v>
      </c>
      <c r="D352" s="50" t="s">
        <v>216</v>
      </c>
      <c r="E352" s="101">
        <v>600</v>
      </c>
    </row>
    <row r="353" spans="1:5" s="32" customFormat="1" ht="21" customHeight="1">
      <c r="A353" s="87"/>
      <c r="B353" s="102"/>
      <c r="C353" s="106">
        <v>4440</v>
      </c>
      <c r="D353" s="50" t="s">
        <v>91</v>
      </c>
      <c r="E353" s="101">
        <v>29643</v>
      </c>
    </row>
    <row r="354" spans="1:5" s="32" customFormat="1" ht="22.5">
      <c r="A354" s="87"/>
      <c r="B354" s="102" t="s">
        <v>129</v>
      </c>
      <c r="C354" s="106"/>
      <c r="D354" s="50" t="s">
        <v>168</v>
      </c>
      <c r="E354" s="101">
        <f>SUM(E355:E358)</f>
        <v>140890</v>
      </c>
    </row>
    <row r="355" spans="1:5" s="32" customFormat="1" ht="22.5">
      <c r="A355" s="87"/>
      <c r="B355" s="102"/>
      <c r="C355" s="106">
        <v>2630</v>
      </c>
      <c r="D355" s="50" t="s">
        <v>473</v>
      </c>
      <c r="E355" s="101">
        <v>65000</v>
      </c>
    </row>
    <row r="356" spans="1:5" s="32" customFormat="1" ht="21" customHeight="1">
      <c r="A356" s="87"/>
      <c r="B356" s="102"/>
      <c r="C356" s="106">
        <v>4210</v>
      </c>
      <c r="D356" s="50" t="s">
        <v>95</v>
      </c>
      <c r="E356" s="101">
        <v>2390</v>
      </c>
    </row>
    <row r="357" spans="1:5" s="32" customFormat="1" ht="21" customHeight="1">
      <c r="A357" s="106"/>
      <c r="B357" s="107"/>
      <c r="C357" s="106">
        <v>4300</v>
      </c>
      <c r="D357" s="50" t="s">
        <v>82</v>
      </c>
      <c r="E357" s="101">
        <v>7500</v>
      </c>
    </row>
    <row r="358" spans="1:5" s="32" customFormat="1" ht="21" customHeight="1">
      <c r="A358" s="106"/>
      <c r="B358" s="107"/>
      <c r="C358" s="106">
        <v>6050</v>
      </c>
      <c r="D358" s="50" t="s">
        <v>76</v>
      </c>
      <c r="E358" s="101">
        <f>50000+16000</f>
        <v>66000</v>
      </c>
    </row>
    <row r="359" spans="1:5" s="32" customFormat="1" ht="21" customHeight="1">
      <c r="A359" s="106"/>
      <c r="B359" s="107">
        <v>85415</v>
      </c>
      <c r="C359" s="106"/>
      <c r="D359" s="50" t="s">
        <v>257</v>
      </c>
      <c r="E359" s="101">
        <f>SUM(E360)</f>
        <v>100000</v>
      </c>
    </row>
    <row r="360" spans="1:5" s="32" customFormat="1" ht="21" customHeight="1">
      <c r="A360" s="106"/>
      <c r="B360" s="107"/>
      <c r="C360" s="106">
        <v>3240</v>
      </c>
      <c r="D360" s="50" t="s">
        <v>258</v>
      </c>
      <c r="E360" s="101">
        <v>100000</v>
      </c>
    </row>
    <row r="361" spans="1:5" s="32" customFormat="1" ht="21" customHeight="1">
      <c r="A361" s="106"/>
      <c r="B361" s="107">
        <v>85446</v>
      </c>
      <c r="C361" s="106"/>
      <c r="D361" s="50" t="s">
        <v>157</v>
      </c>
      <c r="E361" s="101">
        <f>SUM(E362:E362)</f>
        <v>3813</v>
      </c>
    </row>
    <row r="362" spans="1:5" s="32" customFormat="1" ht="21" customHeight="1">
      <c r="A362" s="106"/>
      <c r="B362" s="107"/>
      <c r="C362" s="106">
        <v>4300</v>
      </c>
      <c r="D362" s="50" t="s">
        <v>82</v>
      </c>
      <c r="E362" s="101">
        <v>3813</v>
      </c>
    </row>
    <row r="363" spans="1:5" s="32" customFormat="1" ht="21" customHeight="1">
      <c r="A363" s="106"/>
      <c r="B363" s="107">
        <v>85495</v>
      </c>
      <c r="C363" s="106"/>
      <c r="D363" s="50" t="s">
        <v>6</v>
      </c>
      <c r="E363" s="101">
        <f>SUM(E364:E364)</f>
        <v>227851</v>
      </c>
    </row>
    <row r="364" spans="1:5" s="32" customFormat="1" ht="33.75">
      <c r="A364" s="106"/>
      <c r="B364" s="107"/>
      <c r="C364" s="106">
        <v>2320</v>
      </c>
      <c r="D364" s="50" t="s">
        <v>160</v>
      </c>
      <c r="E364" s="101">
        <v>227851</v>
      </c>
    </row>
    <row r="365" spans="1:5" s="9" customFormat="1" ht="21" customHeight="1">
      <c r="A365" s="45" t="s">
        <v>131</v>
      </c>
      <c r="B365" s="46"/>
      <c r="C365" s="47"/>
      <c r="D365" s="48" t="s">
        <v>63</v>
      </c>
      <c r="E365" s="49">
        <f>SUM(E366,E371,E373,E377,E379,E384,E369)</f>
        <v>5872910</v>
      </c>
    </row>
    <row r="366" spans="1:5" s="32" customFormat="1" ht="21" customHeight="1">
      <c r="A366" s="87"/>
      <c r="B366" s="102" t="s">
        <v>132</v>
      </c>
      <c r="C366" s="106"/>
      <c r="D366" s="50" t="s">
        <v>64</v>
      </c>
      <c r="E366" s="101">
        <f>SUM(E367:E368)</f>
        <v>2615000</v>
      </c>
    </row>
    <row r="367" spans="1:5" s="32" customFormat="1" ht="21" customHeight="1">
      <c r="A367" s="87"/>
      <c r="B367" s="102"/>
      <c r="C367" s="87">
        <v>4300</v>
      </c>
      <c r="D367" s="50" t="s">
        <v>82</v>
      </c>
      <c r="E367" s="101">
        <v>145000</v>
      </c>
    </row>
    <row r="368" spans="1:5" s="32" customFormat="1" ht="21" customHeight="1">
      <c r="A368" s="87"/>
      <c r="B368" s="102"/>
      <c r="C368" s="87">
        <v>6050</v>
      </c>
      <c r="D368" s="50" t="s">
        <v>76</v>
      </c>
      <c r="E368" s="101">
        <v>2470000</v>
      </c>
    </row>
    <row r="369" spans="1:5" s="32" customFormat="1" ht="21" customHeight="1">
      <c r="A369" s="87"/>
      <c r="B369" s="102">
        <v>90002</v>
      </c>
      <c r="C369" s="87"/>
      <c r="D369" s="50" t="s">
        <v>433</v>
      </c>
      <c r="E369" s="101">
        <f>SUM(E370)</f>
        <v>90000</v>
      </c>
    </row>
    <row r="370" spans="1:5" s="32" customFormat="1" ht="21" customHeight="1">
      <c r="A370" s="87"/>
      <c r="B370" s="102"/>
      <c r="C370" s="87">
        <v>6050</v>
      </c>
      <c r="D370" s="50" t="s">
        <v>76</v>
      </c>
      <c r="E370" s="101">
        <v>90000</v>
      </c>
    </row>
    <row r="371" spans="1:5" s="32" customFormat="1" ht="21" customHeight="1">
      <c r="A371" s="87"/>
      <c r="B371" s="102" t="s">
        <v>133</v>
      </c>
      <c r="C371" s="106"/>
      <c r="D371" s="50" t="s">
        <v>134</v>
      </c>
      <c r="E371" s="101">
        <f>SUM(E372:E372)</f>
        <v>744670</v>
      </c>
    </row>
    <row r="372" spans="1:5" s="32" customFormat="1" ht="21" customHeight="1">
      <c r="A372" s="87"/>
      <c r="B372" s="102"/>
      <c r="C372" s="106">
        <v>4300</v>
      </c>
      <c r="D372" s="110" t="s">
        <v>82</v>
      </c>
      <c r="E372" s="101">
        <f>2240+742430</f>
        <v>744670</v>
      </c>
    </row>
    <row r="373" spans="1:5" s="32" customFormat="1" ht="21" customHeight="1">
      <c r="A373" s="87"/>
      <c r="B373" s="102" t="s">
        <v>135</v>
      </c>
      <c r="C373" s="106"/>
      <c r="D373" s="50" t="s">
        <v>162</v>
      </c>
      <c r="E373" s="101">
        <f>SUM(E374:E376)</f>
        <v>249240</v>
      </c>
    </row>
    <row r="374" spans="1:5" s="32" customFormat="1" ht="21" customHeight="1">
      <c r="A374" s="87"/>
      <c r="B374" s="102"/>
      <c r="C374" s="87">
        <v>4210</v>
      </c>
      <c r="D374" s="50" t="s">
        <v>95</v>
      </c>
      <c r="E374" s="101">
        <f>26220+18000+6000+12000</f>
        <v>62220</v>
      </c>
    </row>
    <row r="375" spans="1:5" s="32" customFormat="1" ht="21" customHeight="1">
      <c r="A375" s="87"/>
      <c r="B375" s="102"/>
      <c r="C375" s="87">
        <v>4270</v>
      </c>
      <c r="D375" s="50" t="s">
        <v>81</v>
      </c>
      <c r="E375" s="101">
        <v>5000</v>
      </c>
    </row>
    <row r="376" spans="1:5" s="32" customFormat="1" ht="21" customHeight="1">
      <c r="A376" s="87"/>
      <c r="B376" s="102"/>
      <c r="C376" s="87">
        <v>4300</v>
      </c>
      <c r="D376" s="50" t="s">
        <v>82</v>
      </c>
      <c r="E376" s="101">
        <f>6200+92820+32000+11000+20000+20000</f>
        <v>182020</v>
      </c>
    </row>
    <row r="377" spans="1:5" s="32" customFormat="1" ht="21" customHeight="1">
      <c r="A377" s="87"/>
      <c r="B377" s="102" t="s">
        <v>136</v>
      </c>
      <c r="C377" s="106"/>
      <c r="D377" s="50" t="s">
        <v>137</v>
      </c>
      <c r="E377" s="101">
        <f>SUM(E378)</f>
        <v>100000</v>
      </c>
    </row>
    <row r="378" spans="1:5" s="32" customFormat="1" ht="21" customHeight="1">
      <c r="A378" s="87"/>
      <c r="B378" s="102"/>
      <c r="C378" s="106">
        <v>4300</v>
      </c>
      <c r="D378" s="110" t="s">
        <v>82</v>
      </c>
      <c r="E378" s="101">
        <v>100000</v>
      </c>
    </row>
    <row r="379" spans="1:5" s="32" customFormat="1" ht="21" customHeight="1">
      <c r="A379" s="87"/>
      <c r="B379" s="102" t="s">
        <v>138</v>
      </c>
      <c r="C379" s="106"/>
      <c r="D379" s="50" t="s">
        <v>139</v>
      </c>
      <c r="E379" s="101">
        <f>SUM(E380:E383)</f>
        <v>1986000</v>
      </c>
    </row>
    <row r="380" spans="1:5" s="32" customFormat="1" ht="21" customHeight="1">
      <c r="A380" s="87"/>
      <c r="B380" s="107"/>
      <c r="C380" s="87">
        <v>4260</v>
      </c>
      <c r="D380" s="50" t="s">
        <v>98</v>
      </c>
      <c r="E380" s="101">
        <v>750000</v>
      </c>
    </row>
    <row r="381" spans="1:5" s="32" customFormat="1" ht="21" customHeight="1">
      <c r="A381" s="87"/>
      <c r="B381" s="107"/>
      <c r="C381" s="87">
        <v>4270</v>
      </c>
      <c r="D381" s="50" t="s">
        <v>81</v>
      </c>
      <c r="E381" s="101">
        <v>210000</v>
      </c>
    </row>
    <row r="382" spans="1:5" s="32" customFormat="1" ht="21" customHeight="1">
      <c r="A382" s="87"/>
      <c r="B382" s="107"/>
      <c r="C382" s="87">
        <v>4300</v>
      </c>
      <c r="D382" s="50" t="s">
        <v>82</v>
      </c>
      <c r="E382" s="101">
        <f>3000+50000</f>
        <v>53000</v>
      </c>
    </row>
    <row r="383" spans="1:5" s="32" customFormat="1" ht="21" customHeight="1">
      <c r="A383" s="87"/>
      <c r="B383" s="107"/>
      <c r="C383" s="87">
        <v>6050</v>
      </c>
      <c r="D383" s="50" t="s">
        <v>76</v>
      </c>
      <c r="E383" s="101">
        <v>973000</v>
      </c>
    </row>
    <row r="384" spans="1:5" s="32" customFormat="1" ht="21" customHeight="1">
      <c r="A384" s="87"/>
      <c r="B384" s="102" t="s">
        <v>140</v>
      </c>
      <c r="C384" s="106"/>
      <c r="D384" s="50" t="s">
        <v>6</v>
      </c>
      <c r="E384" s="101">
        <f>SUM(E385:E387)</f>
        <v>88000</v>
      </c>
    </row>
    <row r="385" spans="1:5" s="32" customFormat="1" ht="21" customHeight="1">
      <c r="A385" s="87"/>
      <c r="B385" s="107"/>
      <c r="C385" s="87">
        <v>4260</v>
      </c>
      <c r="D385" s="50" t="s">
        <v>98</v>
      </c>
      <c r="E385" s="101">
        <v>7000</v>
      </c>
    </row>
    <row r="386" spans="1:5" s="32" customFormat="1" ht="21" customHeight="1">
      <c r="A386" s="87"/>
      <c r="B386" s="107"/>
      <c r="C386" s="106">
        <v>4300</v>
      </c>
      <c r="D386" s="110" t="s">
        <v>82</v>
      </c>
      <c r="E386" s="101">
        <f>45000+8000+26000</f>
        <v>79000</v>
      </c>
    </row>
    <row r="387" spans="1:5" s="32" customFormat="1" ht="21" customHeight="1">
      <c r="A387" s="87"/>
      <c r="B387" s="107"/>
      <c r="C387" s="106">
        <v>4390</v>
      </c>
      <c r="D387" s="50" t="s">
        <v>359</v>
      </c>
      <c r="E387" s="101">
        <v>2000</v>
      </c>
    </row>
    <row r="388" spans="1:5" s="8" customFormat="1" ht="25.5" customHeight="1">
      <c r="A388" s="45" t="s">
        <v>65</v>
      </c>
      <c r="B388" s="46"/>
      <c r="C388" s="47"/>
      <c r="D388" s="48" t="s">
        <v>141</v>
      </c>
      <c r="E388" s="49">
        <f>SUM(E389,E396,E398,E400,E402)</f>
        <v>2653147</v>
      </c>
    </row>
    <row r="389" spans="1:5" s="32" customFormat="1" ht="21.75" customHeight="1">
      <c r="A389" s="87"/>
      <c r="B389" s="102" t="s">
        <v>142</v>
      </c>
      <c r="C389" s="106"/>
      <c r="D389" s="50" t="s">
        <v>161</v>
      </c>
      <c r="E389" s="101">
        <f>SUM(E390:E395)</f>
        <v>838410</v>
      </c>
    </row>
    <row r="390" spans="1:5" s="32" customFormat="1" ht="22.5">
      <c r="A390" s="87"/>
      <c r="B390" s="102"/>
      <c r="C390" s="106">
        <v>2480</v>
      </c>
      <c r="D390" s="50" t="s">
        <v>204</v>
      </c>
      <c r="E390" s="101">
        <v>725435</v>
      </c>
    </row>
    <row r="391" spans="1:5" s="32" customFormat="1" ht="21" customHeight="1">
      <c r="A391" s="87"/>
      <c r="B391" s="102"/>
      <c r="C391" s="87">
        <v>4210</v>
      </c>
      <c r="D391" s="50" t="s">
        <v>95</v>
      </c>
      <c r="E391" s="101">
        <v>33580</v>
      </c>
    </row>
    <row r="392" spans="1:5" s="32" customFormat="1" ht="21" customHeight="1">
      <c r="A392" s="87"/>
      <c r="B392" s="102"/>
      <c r="C392" s="87">
        <v>4260</v>
      </c>
      <c r="D392" s="50" t="s">
        <v>98</v>
      </c>
      <c r="E392" s="101">
        <v>12650</v>
      </c>
    </row>
    <row r="393" spans="1:5" s="32" customFormat="1" ht="21" customHeight="1">
      <c r="A393" s="87"/>
      <c r="B393" s="102"/>
      <c r="C393" s="87">
        <v>4270</v>
      </c>
      <c r="D393" s="50" t="s">
        <v>81</v>
      </c>
      <c r="E393" s="101">
        <v>56770</v>
      </c>
    </row>
    <row r="394" spans="1:5" s="32" customFormat="1" ht="21" customHeight="1">
      <c r="A394" s="87"/>
      <c r="B394" s="102"/>
      <c r="C394" s="106">
        <v>4300</v>
      </c>
      <c r="D394" s="110" t="s">
        <v>82</v>
      </c>
      <c r="E394" s="101">
        <v>8340</v>
      </c>
    </row>
    <row r="395" spans="1:5" s="32" customFormat="1" ht="21" customHeight="1">
      <c r="A395" s="87"/>
      <c r="B395" s="102"/>
      <c r="C395" s="106">
        <v>4430</v>
      </c>
      <c r="D395" s="110" t="s">
        <v>97</v>
      </c>
      <c r="E395" s="101">
        <v>1635</v>
      </c>
    </row>
    <row r="396" spans="1:5" s="32" customFormat="1" ht="21" customHeight="1">
      <c r="A396" s="87"/>
      <c r="B396" s="102" t="s">
        <v>66</v>
      </c>
      <c r="C396" s="106"/>
      <c r="D396" s="50" t="s">
        <v>67</v>
      </c>
      <c r="E396" s="101">
        <f>E397</f>
        <v>1091087</v>
      </c>
    </row>
    <row r="397" spans="1:5" s="32" customFormat="1" ht="22.5">
      <c r="A397" s="87"/>
      <c r="B397" s="102"/>
      <c r="C397" s="106">
        <v>2480</v>
      </c>
      <c r="D397" s="50" t="s">
        <v>204</v>
      </c>
      <c r="E397" s="101">
        <f>60000+1031087</f>
        <v>1091087</v>
      </c>
    </row>
    <row r="398" spans="1:5" s="32" customFormat="1" ht="21" customHeight="1">
      <c r="A398" s="87"/>
      <c r="B398" s="102" t="s">
        <v>144</v>
      </c>
      <c r="C398" s="106"/>
      <c r="D398" s="50" t="s">
        <v>145</v>
      </c>
      <c r="E398" s="101">
        <f>E399</f>
        <v>686000</v>
      </c>
    </row>
    <row r="399" spans="1:5" s="32" customFormat="1" ht="22.5">
      <c r="A399" s="87"/>
      <c r="B399" s="102"/>
      <c r="C399" s="106">
        <v>2480</v>
      </c>
      <c r="D399" s="50" t="s">
        <v>204</v>
      </c>
      <c r="E399" s="101">
        <v>686000</v>
      </c>
    </row>
    <row r="400" spans="1:5" s="32" customFormat="1" ht="21" customHeight="1">
      <c r="A400" s="87"/>
      <c r="B400" s="102">
        <v>92120</v>
      </c>
      <c r="C400" s="106"/>
      <c r="D400" s="50" t="s">
        <v>436</v>
      </c>
      <c r="E400" s="101">
        <f>SUM(E401)</f>
        <v>22650</v>
      </c>
    </row>
    <row r="401" spans="1:5" s="32" customFormat="1" ht="45">
      <c r="A401" s="87"/>
      <c r="B401" s="102"/>
      <c r="C401" s="106">
        <v>2720</v>
      </c>
      <c r="D401" s="50" t="s">
        <v>437</v>
      </c>
      <c r="E401" s="101">
        <v>22650</v>
      </c>
    </row>
    <row r="402" spans="1:5" s="32" customFormat="1" ht="21" customHeight="1">
      <c r="A402" s="87"/>
      <c r="B402" s="102">
        <v>92195</v>
      </c>
      <c r="C402" s="106"/>
      <c r="D402" s="50" t="s">
        <v>6</v>
      </c>
      <c r="E402" s="101">
        <f>SUM(E403)</f>
        <v>15000</v>
      </c>
    </row>
    <row r="403" spans="1:5" s="32" customFormat="1" ht="21" customHeight="1">
      <c r="A403" s="87"/>
      <c r="B403" s="102"/>
      <c r="C403" s="106">
        <v>4300</v>
      </c>
      <c r="D403" s="110" t="s">
        <v>82</v>
      </c>
      <c r="E403" s="101">
        <v>15000</v>
      </c>
    </row>
    <row r="404" spans="1:5" s="8" customFormat="1" ht="21" customHeight="1">
      <c r="A404" s="45" t="s">
        <v>146</v>
      </c>
      <c r="B404" s="46"/>
      <c r="C404" s="47"/>
      <c r="D404" s="48" t="s">
        <v>68</v>
      </c>
      <c r="E404" s="49">
        <f>SUM(E411,E407,E405)</f>
        <v>1388290</v>
      </c>
    </row>
    <row r="405" spans="1:5" s="32" customFormat="1" ht="21" customHeight="1">
      <c r="A405" s="87"/>
      <c r="B405" s="107">
        <v>92601</v>
      </c>
      <c r="C405" s="106"/>
      <c r="D405" s="50" t="s">
        <v>322</v>
      </c>
      <c r="E405" s="101">
        <f>SUM(E406)</f>
        <v>50000</v>
      </c>
    </row>
    <row r="406" spans="1:5" s="32" customFormat="1" ht="21" customHeight="1">
      <c r="A406" s="87"/>
      <c r="B406" s="107"/>
      <c r="C406" s="106">
        <v>4270</v>
      </c>
      <c r="D406" s="50" t="s">
        <v>81</v>
      </c>
      <c r="E406" s="101">
        <v>50000</v>
      </c>
    </row>
    <row r="407" spans="1:5" s="32" customFormat="1" ht="21.75" customHeight="1">
      <c r="A407" s="87"/>
      <c r="B407" s="107">
        <v>92604</v>
      </c>
      <c r="C407" s="106"/>
      <c r="D407" s="50" t="s">
        <v>214</v>
      </c>
      <c r="E407" s="101">
        <f>SUM(E408:E410)</f>
        <v>910000</v>
      </c>
    </row>
    <row r="408" spans="1:5" s="32" customFormat="1" ht="21" customHeight="1">
      <c r="A408" s="87"/>
      <c r="B408" s="107"/>
      <c r="C408" s="106">
        <v>4270</v>
      </c>
      <c r="D408" s="50" t="s">
        <v>81</v>
      </c>
      <c r="E408" s="101">
        <v>10000</v>
      </c>
    </row>
    <row r="409" spans="1:5" s="32" customFormat="1" ht="21" customHeight="1">
      <c r="A409" s="87"/>
      <c r="B409" s="107"/>
      <c r="C409" s="106">
        <v>4300</v>
      </c>
      <c r="D409" s="110" t="s">
        <v>82</v>
      </c>
      <c r="E409" s="101">
        <f>20000+80000</f>
        <v>100000</v>
      </c>
    </row>
    <row r="410" spans="1:5" s="32" customFormat="1" ht="45">
      <c r="A410" s="87"/>
      <c r="B410" s="107"/>
      <c r="C410" s="106">
        <v>6010</v>
      </c>
      <c r="D410" s="50" t="s">
        <v>439</v>
      </c>
      <c r="E410" s="101">
        <v>800000</v>
      </c>
    </row>
    <row r="411" spans="1:5" s="32" customFormat="1" ht="20.25" customHeight="1">
      <c r="A411" s="106"/>
      <c r="B411" s="109">
        <v>92605</v>
      </c>
      <c r="C411" s="106"/>
      <c r="D411" s="50" t="s">
        <v>69</v>
      </c>
      <c r="E411" s="101">
        <f>SUM(E412:E419)</f>
        <v>428290</v>
      </c>
    </row>
    <row r="412" spans="1:5" s="32" customFormat="1" ht="25.5" customHeight="1">
      <c r="A412" s="106"/>
      <c r="B412" s="109"/>
      <c r="C412" s="106">
        <v>2630</v>
      </c>
      <c r="D412" s="50" t="s">
        <v>473</v>
      </c>
      <c r="E412" s="101">
        <v>300000</v>
      </c>
    </row>
    <row r="413" spans="1:5" s="32" customFormat="1" ht="24.75" customHeight="1">
      <c r="A413" s="106"/>
      <c r="B413" s="109"/>
      <c r="C413" s="106">
        <v>3250</v>
      </c>
      <c r="D413" s="50" t="s">
        <v>440</v>
      </c>
      <c r="E413" s="101">
        <v>50000</v>
      </c>
    </row>
    <row r="414" spans="1:5" s="32" customFormat="1" ht="21" customHeight="1">
      <c r="A414" s="106"/>
      <c r="B414" s="109"/>
      <c r="C414" s="106">
        <v>4110</v>
      </c>
      <c r="D414" s="50" t="s">
        <v>89</v>
      </c>
      <c r="E414" s="101">
        <v>1000</v>
      </c>
    </row>
    <row r="415" spans="1:5" s="32" customFormat="1" ht="21" customHeight="1">
      <c r="A415" s="106"/>
      <c r="B415" s="109"/>
      <c r="C415" s="106">
        <v>4120</v>
      </c>
      <c r="D415" s="50" t="s">
        <v>90</v>
      </c>
      <c r="E415" s="101">
        <v>100</v>
      </c>
    </row>
    <row r="416" spans="1:5" s="32" customFormat="1" ht="21" customHeight="1">
      <c r="A416" s="106"/>
      <c r="B416" s="109"/>
      <c r="C416" s="106">
        <v>4170</v>
      </c>
      <c r="D416" s="50" t="s">
        <v>211</v>
      </c>
      <c r="E416" s="101">
        <f>35000+5000-1000-100</f>
        <v>38900</v>
      </c>
    </row>
    <row r="417" spans="1:5" s="32" customFormat="1" ht="21" customHeight="1">
      <c r="A417" s="106"/>
      <c r="B417" s="102"/>
      <c r="C417" s="87">
        <v>4210</v>
      </c>
      <c r="D417" s="50" t="s">
        <v>95</v>
      </c>
      <c r="E417" s="101">
        <f>9590+11500</f>
        <v>21090</v>
      </c>
    </row>
    <row r="418" spans="1:5" s="32" customFormat="1" ht="21" customHeight="1">
      <c r="A418" s="106"/>
      <c r="B418" s="102"/>
      <c r="C418" s="87">
        <v>4260</v>
      </c>
      <c r="D418" s="50" t="s">
        <v>98</v>
      </c>
      <c r="E418" s="101">
        <v>1100</v>
      </c>
    </row>
    <row r="419" spans="1:5" s="32" customFormat="1" ht="21" customHeight="1">
      <c r="A419" s="106"/>
      <c r="B419" s="102"/>
      <c r="C419" s="106">
        <v>4300</v>
      </c>
      <c r="D419" s="110" t="s">
        <v>82</v>
      </c>
      <c r="E419" s="101">
        <f>4600+11500</f>
        <v>16100</v>
      </c>
    </row>
    <row r="420" spans="1:5" s="9" customFormat="1" ht="24.75" customHeight="1">
      <c r="A420" s="12"/>
      <c r="B420" s="12"/>
      <c r="C420" s="12"/>
      <c r="D420" s="47" t="s">
        <v>70</v>
      </c>
      <c r="E420" s="49">
        <f>SUM(E404,E388,E365,E343,E280,E266,E172,E168,E165,E155,E121,E115,E42,E35,E17,E10,E7,E340)</f>
        <v>68037776</v>
      </c>
    </row>
    <row r="421" spans="1:5" ht="12.75">
      <c r="A421" s="75"/>
      <c r="B421" s="75"/>
      <c r="C421" s="75"/>
      <c r="D421" s="75"/>
      <c r="E421" s="148"/>
    </row>
    <row r="422" spans="4:5" ht="12.75">
      <c r="D422" s="75"/>
      <c r="E422" s="148"/>
    </row>
    <row r="423" spans="4:5" ht="12.75">
      <c r="D423" s="75"/>
      <c r="E423" s="148"/>
    </row>
    <row r="424" spans="4:5" ht="12.75">
      <c r="D424" s="75"/>
      <c r="E424" s="148"/>
    </row>
    <row r="425" spans="4:5" ht="12.75">
      <c r="D425" s="75"/>
      <c r="E425" s="236"/>
    </row>
    <row r="426" spans="4:5" ht="12.75">
      <c r="D426" s="75"/>
      <c r="E426" s="236"/>
    </row>
    <row r="427" spans="4:5" ht="12.75">
      <c r="D427" s="75"/>
      <c r="E427" s="280"/>
    </row>
    <row r="428" spans="4:5" ht="12.75">
      <c r="D428" s="75"/>
      <c r="E428" s="236"/>
    </row>
    <row r="429" spans="4:5" ht="12.75">
      <c r="D429" s="75"/>
      <c r="E429" s="236"/>
    </row>
    <row r="430" spans="4:5" ht="12.75">
      <c r="D430" s="75"/>
      <c r="E430" s="236"/>
    </row>
    <row r="431" spans="4:5" ht="12.75">
      <c r="D431" s="75"/>
      <c r="E431" s="236"/>
    </row>
    <row r="432" spans="4:5" ht="12.75">
      <c r="D432" s="75"/>
      <c r="E432" s="236"/>
    </row>
    <row r="433" spans="4:5" ht="12.75">
      <c r="D433" s="75"/>
      <c r="E433" s="236"/>
    </row>
    <row r="434" spans="4:5" ht="12.75">
      <c r="D434" s="75"/>
      <c r="E434" s="280"/>
    </row>
    <row r="435" spans="4:5" ht="12.75">
      <c r="D435" s="75"/>
      <c r="E435" s="280"/>
    </row>
    <row r="436" spans="4:5" ht="12.75">
      <c r="D436" s="75"/>
      <c r="E436" s="280"/>
    </row>
    <row r="437" spans="4:5" ht="12.75">
      <c r="D437" s="75"/>
      <c r="E437" s="236"/>
    </row>
    <row r="438" spans="4:5" ht="12.75">
      <c r="D438" s="75"/>
      <c r="E438" s="280"/>
    </row>
    <row r="439" spans="4:5" ht="12.75">
      <c r="D439" s="75"/>
      <c r="E439" s="280"/>
    </row>
    <row r="440" spans="4:5" ht="12.75">
      <c r="D440" s="75"/>
      <c r="E440" s="280"/>
    </row>
    <row r="441" spans="4:5" ht="12.75">
      <c r="D441" s="75"/>
      <c r="E441" s="236"/>
    </row>
    <row r="442" spans="4:5" ht="12.75">
      <c r="D442" s="75"/>
      <c r="E442" s="236"/>
    </row>
    <row r="443" spans="4:5" ht="12.75">
      <c r="D443" s="75"/>
      <c r="E443" s="236"/>
    </row>
    <row r="444" spans="4:5" ht="12.75">
      <c r="D444" s="75"/>
      <c r="E444" s="236"/>
    </row>
    <row r="445" spans="4:5" ht="12.75">
      <c r="D445" s="75"/>
      <c r="E445" s="236"/>
    </row>
    <row r="446" spans="4:5" ht="12.75">
      <c r="D446" s="75"/>
      <c r="E446" s="236"/>
    </row>
    <row r="447" spans="4:5" ht="12.75">
      <c r="D447" s="75"/>
      <c r="E447" s="148"/>
    </row>
    <row r="448" spans="4:5" ht="12.75">
      <c r="D448" s="75"/>
      <c r="E448" s="148"/>
    </row>
    <row r="449" spans="1:5" s="29" customFormat="1" ht="19.5" customHeight="1">
      <c r="A449" s="31"/>
      <c r="B449" s="31"/>
      <c r="C449" s="31"/>
      <c r="D449" s="31"/>
      <c r="E449" s="30"/>
    </row>
    <row r="450" spans="1:5" s="29" customFormat="1" ht="12.75">
      <c r="A450" s="31"/>
      <c r="B450" s="31"/>
      <c r="C450" s="31"/>
      <c r="D450" s="31"/>
      <c r="E450" s="30"/>
    </row>
    <row r="451" spans="1:5" s="29" customFormat="1" ht="12.75">
      <c r="A451" s="31"/>
      <c r="B451" s="31"/>
      <c r="C451" s="31"/>
      <c r="D451" s="31"/>
      <c r="E451" s="30"/>
    </row>
    <row r="452" spans="1:5" s="29" customFormat="1" ht="12.75">
      <c r="A452" s="31"/>
      <c r="B452" s="31"/>
      <c r="C452" s="31"/>
      <c r="D452" s="31"/>
      <c r="E452" s="30"/>
    </row>
    <row r="453" spans="1:5" s="29" customFormat="1" ht="12.75">
      <c r="A453" s="31"/>
      <c r="B453" s="31"/>
      <c r="C453" s="31"/>
      <c r="D453" s="31"/>
      <c r="E453" s="30"/>
    </row>
    <row r="454" spans="1:5" s="29" customFormat="1" ht="12.75">
      <c r="A454" s="31"/>
      <c r="B454" s="31"/>
      <c r="C454" s="31"/>
      <c r="D454" s="31"/>
      <c r="E454" s="30"/>
    </row>
    <row r="455" spans="1:5" s="29" customFormat="1" ht="12.75">
      <c r="A455" s="31"/>
      <c r="B455" s="31"/>
      <c r="C455" s="31"/>
      <c r="D455" s="31"/>
      <c r="E455" s="30"/>
    </row>
    <row r="456" spans="1:5" s="29" customFormat="1" ht="12.75">
      <c r="A456" s="31"/>
      <c r="B456" s="31"/>
      <c r="C456" s="31"/>
      <c r="D456" s="31"/>
      <c r="E456" s="30"/>
    </row>
    <row r="457" spans="1:5" s="29" customFormat="1" ht="12.75">
      <c r="A457" s="31"/>
      <c r="B457" s="31"/>
      <c r="C457" s="31"/>
      <c r="D457" s="31"/>
      <c r="E457" s="30"/>
    </row>
    <row r="458" spans="1:5" s="29" customFormat="1" ht="12.75">
      <c r="A458" s="31"/>
      <c r="B458" s="31"/>
      <c r="C458" s="31"/>
      <c r="D458" s="31"/>
      <c r="E458" s="30"/>
    </row>
    <row r="459" spans="1:5" s="29" customFormat="1" ht="12.75">
      <c r="A459" s="31"/>
      <c r="B459" s="31"/>
      <c r="C459" s="31"/>
      <c r="D459" s="31"/>
      <c r="E459" s="30"/>
    </row>
    <row r="460" spans="1:5" s="29" customFormat="1" ht="12.75">
      <c r="A460" s="31"/>
      <c r="B460" s="31"/>
      <c r="C460" s="31"/>
      <c r="D460" s="31"/>
      <c r="E460" s="30"/>
    </row>
    <row r="461" spans="1:5" s="29" customFormat="1" ht="12.75">
      <c r="A461" s="31"/>
      <c r="B461" s="31"/>
      <c r="C461" s="31"/>
      <c r="D461" s="31"/>
      <c r="E461" s="30"/>
    </row>
    <row r="462" spans="1:5" s="29" customFormat="1" ht="12.75">
      <c r="A462" s="31"/>
      <c r="B462" s="31"/>
      <c r="C462" s="31"/>
      <c r="D462" s="31"/>
      <c r="E462" s="30"/>
    </row>
    <row r="463" spans="1:5" s="29" customFormat="1" ht="12.75">
      <c r="A463" s="31"/>
      <c r="B463" s="31"/>
      <c r="C463" s="31"/>
      <c r="D463" s="31"/>
      <c r="E463" s="30"/>
    </row>
    <row r="464" spans="1:5" s="29" customFormat="1" ht="12.75">
      <c r="A464" s="31"/>
      <c r="B464" s="31"/>
      <c r="C464" s="31"/>
      <c r="D464" s="31"/>
      <c r="E464" s="30"/>
    </row>
    <row r="465" spans="1:5" s="29" customFormat="1" ht="12.75">
      <c r="A465" s="31"/>
      <c r="B465" s="31"/>
      <c r="C465" s="31"/>
      <c r="D465" s="31"/>
      <c r="E465" s="30"/>
    </row>
    <row r="466" spans="1:5" s="29" customFormat="1" ht="12.75">
      <c r="A466" s="31"/>
      <c r="B466" s="31"/>
      <c r="C466" s="31"/>
      <c r="D466" s="31"/>
      <c r="E466" s="30"/>
    </row>
    <row r="467" spans="1:5" s="29" customFormat="1" ht="12.75">
      <c r="A467" s="31"/>
      <c r="B467" s="31"/>
      <c r="C467" s="31"/>
      <c r="D467" s="31"/>
      <c r="E467" s="30"/>
    </row>
    <row r="468" spans="1:5" s="29" customFormat="1" ht="12.75">
      <c r="A468" s="31"/>
      <c r="B468" s="31"/>
      <c r="C468" s="31"/>
      <c r="D468" s="31"/>
      <c r="E468" s="30"/>
    </row>
    <row r="469" spans="1:5" s="29" customFormat="1" ht="12.75">
      <c r="A469" s="31"/>
      <c r="B469" s="31"/>
      <c r="C469" s="31"/>
      <c r="D469" s="31"/>
      <c r="E469" s="30"/>
    </row>
    <row r="470" spans="1:5" s="29" customFormat="1" ht="12.75">
      <c r="A470" s="31"/>
      <c r="B470" s="31"/>
      <c r="C470" s="31"/>
      <c r="D470" s="31"/>
      <c r="E470" s="30"/>
    </row>
    <row r="471" spans="1:5" s="29" customFormat="1" ht="12.75">
      <c r="A471" s="31"/>
      <c r="B471" s="31"/>
      <c r="C471" s="31"/>
      <c r="D471" s="31"/>
      <c r="E471" s="30"/>
    </row>
    <row r="472" spans="1:5" s="29" customFormat="1" ht="12.75">
      <c r="A472" s="31"/>
      <c r="B472" s="31"/>
      <c r="C472" s="31"/>
      <c r="D472" s="31"/>
      <c r="E472" s="30"/>
    </row>
    <row r="473" spans="1:5" s="29" customFormat="1" ht="12.75">
      <c r="A473" s="31"/>
      <c r="B473" s="31"/>
      <c r="C473" s="31"/>
      <c r="D473" s="31"/>
      <c r="E473" s="30"/>
    </row>
    <row r="474" spans="1:5" s="29" customFormat="1" ht="12.75">
      <c r="A474" s="31"/>
      <c r="B474" s="31"/>
      <c r="C474" s="31"/>
      <c r="D474" s="31"/>
      <c r="E474" s="30"/>
    </row>
    <row r="475" spans="1:5" s="29" customFormat="1" ht="12.75">
      <c r="A475" s="31"/>
      <c r="B475" s="31"/>
      <c r="C475" s="31"/>
      <c r="D475" s="31"/>
      <c r="E475" s="30"/>
    </row>
    <row r="476" spans="1:5" s="29" customFormat="1" ht="12.75">
      <c r="A476" s="31"/>
      <c r="B476" s="31"/>
      <c r="C476" s="31"/>
      <c r="D476" s="31"/>
      <c r="E476" s="30"/>
    </row>
    <row r="477" spans="1:5" s="29" customFormat="1" ht="12.75">
      <c r="A477" s="31"/>
      <c r="B477" s="31"/>
      <c r="C477" s="31"/>
      <c r="D477" s="31"/>
      <c r="E477" s="30"/>
    </row>
    <row r="478" spans="1:5" s="29" customFormat="1" ht="12.75">
      <c r="A478" s="31"/>
      <c r="B478" s="31"/>
      <c r="C478" s="31"/>
      <c r="D478" s="31"/>
      <c r="E478" s="30"/>
    </row>
    <row r="479" spans="1:5" s="29" customFormat="1" ht="12.75">
      <c r="A479" s="31"/>
      <c r="B479" s="31"/>
      <c r="C479" s="31"/>
      <c r="D479" s="31"/>
      <c r="E479" s="30"/>
    </row>
    <row r="480" spans="1:5" s="29" customFormat="1" ht="12.75">
      <c r="A480" s="31"/>
      <c r="B480" s="31"/>
      <c r="C480" s="31"/>
      <c r="D480" s="31"/>
      <c r="E480" s="30"/>
    </row>
    <row r="481" spans="1:5" s="29" customFormat="1" ht="12.75">
      <c r="A481" s="31"/>
      <c r="B481" s="31"/>
      <c r="C481" s="31"/>
      <c r="D481" s="31"/>
      <c r="E481" s="30"/>
    </row>
    <row r="482" spans="1:5" s="29" customFormat="1" ht="12.75">
      <c r="A482" s="31"/>
      <c r="B482" s="31"/>
      <c r="C482" s="31"/>
      <c r="D482" s="31"/>
      <c r="E482" s="30"/>
    </row>
    <row r="483" spans="1:5" s="29" customFormat="1" ht="12.75">
      <c r="A483" s="31"/>
      <c r="B483" s="31"/>
      <c r="C483" s="31"/>
      <c r="D483" s="31"/>
      <c r="E483" s="30"/>
    </row>
    <row r="484" spans="1:5" s="29" customFormat="1" ht="12.75">
      <c r="A484" s="31"/>
      <c r="B484" s="31"/>
      <c r="C484" s="31"/>
      <c r="D484" s="31"/>
      <c r="E484" s="30"/>
    </row>
    <row r="485" spans="1:5" s="29" customFormat="1" ht="12.75">
      <c r="A485" s="31"/>
      <c r="B485" s="31"/>
      <c r="C485" s="31"/>
      <c r="D485" s="31"/>
      <c r="E485" s="30"/>
    </row>
    <row r="486" spans="1:5" s="29" customFormat="1" ht="12.75">
      <c r="A486" s="31"/>
      <c r="B486" s="31"/>
      <c r="C486" s="31"/>
      <c r="D486" s="31"/>
      <c r="E486" s="30"/>
    </row>
    <row r="487" spans="1:5" s="29" customFormat="1" ht="12.75">
      <c r="A487" s="31"/>
      <c r="B487" s="31"/>
      <c r="C487" s="31"/>
      <c r="D487" s="31"/>
      <c r="E487" s="30"/>
    </row>
    <row r="488" spans="1:5" s="29" customFormat="1" ht="12.75">
      <c r="A488" s="31"/>
      <c r="B488" s="31"/>
      <c r="C488" s="31"/>
      <c r="D488" s="31"/>
      <c r="E488" s="30"/>
    </row>
    <row r="489" spans="1:5" s="29" customFormat="1" ht="12.75">
      <c r="A489" s="31"/>
      <c r="B489" s="31"/>
      <c r="C489" s="31"/>
      <c r="D489" s="31"/>
      <c r="E489" s="30"/>
    </row>
    <row r="490" spans="1:5" s="29" customFormat="1" ht="12.75">
      <c r="A490" s="31"/>
      <c r="B490" s="31"/>
      <c r="C490" s="31"/>
      <c r="D490" s="31"/>
      <c r="E490" s="30"/>
    </row>
    <row r="491" spans="1:5" s="29" customFormat="1" ht="12.75">
      <c r="A491" s="31"/>
      <c r="B491" s="31"/>
      <c r="C491" s="31"/>
      <c r="D491" s="31"/>
      <c r="E491" s="30"/>
    </row>
    <row r="492" spans="1:5" s="29" customFormat="1" ht="12.75">
      <c r="A492" s="31"/>
      <c r="B492" s="31"/>
      <c r="C492" s="31"/>
      <c r="D492" s="31"/>
      <c r="E492" s="30"/>
    </row>
    <row r="493" spans="1:5" s="29" customFormat="1" ht="12.75">
      <c r="A493" s="31"/>
      <c r="B493" s="31"/>
      <c r="C493" s="31"/>
      <c r="D493" s="31"/>
      <c r="E493" s="30"/>
    </row>
    <row r="494" spans="1:5" s="29" customFormat="1" ht="12.75">
      <c r="A494" s="31"/>
      <c r="B494" s="31"/>
      <c r="C494" s="31"/>
      <c r="D494" s="31"/>
      <c r="E494" s="30"/>
    </row>
    <row r="495" spans="1:5" s="29" customFormat="1" ht="12.75">
      <c r="A495" s="31"/>
      <c r="B495" s="31"/>
      <c r="C495" s="31"/>
      <c r="D495" s="31"/>
      <c r="E495" s="30"/>
    </row>
    <row r="496" spans="1:5" s="29" customFormat="1" ht="12.75">
      <c r="A496" s="31"/>
      <c r="B496" s="31"/>
      <c r="C496" s="31"/>
      <c r="D496" s="31"/>
      <c r="E496" s="30"/>
    </row>
    <row r="497" spans="1:5" s="29" customFormat="1" ht="12.75">
      <c r="A497" s="31"/>
      <c r="B497" s="31"/>
      <c r="C497" s="31"/>
      <c r="D497" s="31"/>
      <c r="E497" s="30"/>
    </row>
    <row r="498" spans="1:5" s="29" customFormat="1" ht="12.75">
      <c r="A498" s="31"/>
      <c r="B498" s="31"/>
      <c r="C498" s="31"/>
      <c r="D498" s="31"/>
      <c r="E498" s="30"/>
    </row>
    <row r="499" spans="1:5" s="29" customFormat="1" ht="12.75">
      <c r="A499" s="31"/>
      <c r="B499" s="31"/>
      <c r="C499" s="31"/>
      <c r="D499" s="31"/>
      <c r="E499" s="30"/>
    </row>
    <row r="500" spans="1:5" s="29" customFormat="1" ht="12.75">
      <c r="A500" s="31"/>
      <c r="B500" s="31"/>
      <c r="C500" s="31"/>
      <c r="D500" s="31"/>
      <c r="E500" s="30"/>
    </row>
    <row r="501" spans="1:5" s="29" customFormat="1" ht="12.75">
      <c r="A501" s="31"/>
      <c r="B501" s="31"/>
      <c r="C501" s="31"/>
      <c r="D501" s="31"/>
      <c r="E501" s="30"/>
    </row>
    <row r="502" spans="1:5" s="29" customFormat="1" ht="12.75">
      <c r="A502" s="31"/>
      <c r="B502" s="31"/>
      <c r="C502" s="31"/>
      <c r="D502" s="31"/>
      <c r="E502" s="30"/>
    </row>
    <row r="503" spans="1:5" s="29" customFormat="1" ht="12.75">
      <c r="A503" s="31"/>
      <c r="B503" s="31"/>
      <c r="C503" s="31"/>
      <c r="D503" s="31"/>
      <c r="E503" s="30"/>
    </row>
    <row r="504" spans="1:5" s="29" customFormat="1" ht="12.75">
      <c r="A504" s="31"/>
      <c r="B504" s="31"/>
      <c r="C504" s="31"/>
      <c r="D504" s="31"/>
      <c r="E504" s="30"/>
    </row>
    <row r="505" spans="1:5" s="29" customFormat="1" ht="12.75">
      <c r="A505" s="31"/>
      <c r="B505" s="31"/>
      <c r="C505" s="31"/>
      <c r="D505" s="31"/>
      <c r="E505" s="30"/>
    </row>
    <row r="506" spans="1:5" s="29" customFormat="1" ht="12.75">
      <c r="A506" s="31"/>
      <c r="B506" s="31"/>
      <c r="C506" s="31"/>
      <c r="D506" s="31"/>
      <c r="E506" s="30"/>
    </row>
    <row r="507" spans="1:5" s="29" customFormat="1" ht="12.75">
      <c r="A507" s="31"/>
      <c r="B507" s="31"/>
      <c r="C507" s="31"/>
      <c r="D507" s="31"/>
      <c r="E507" s="30"/>
    </row>
    <row r="508" spans="1:5" s="29" customFormat="1" ht="12.75">
      <c r="A508" s="31"/>
      <c r="B508" s="31"/>
      <c r="C508" s="31"/>
      <c r="D508" s="31"/>
      <c r="E508" s="30"/>
    </row>
    <row r="509" spans="1:5" s="29" customFormat="1" ht="12.75">
      <c r="A509" s="31"/>
      <c r="B509" s="31"/>
      <c r="C509" s="31"/>
      <c r="D509" s="31"/>
      <c r="E509" s="30"/>
    </row>
    <row r="510" spans="1:5" s="29" customFormat="1" ht="12.75">
      <c r="A510" s="31"/>
      <c r="B510" s="31"/>
      <c r="C510" s="31"/>
      <c r="D510" s="31"/>
      <c r="E510" s="30"/>
    </row>
    <row r="511" spans="1:5" s="29" customFormat="1" ht="12.75">
      <c r="A511" s="31"/>
      <c r="B511" s="31"/>
      <c r="C511" s="31"/>
      <c r="D511" s="31"/>
      <c r="E511" s="30"/>
    </row>
    <row r="512" spans="1:5" s="29" customFormat="1" ht="12.75">
      <c r="A512" s="31"/>
      <c r="B512" s="31"/>
      <c r="C512" s="31"/>
      <c r="D512" s="31"/>
      <c r="E512" s="30"/>
    </row>
    <row r="513" spans="1:5" s="29" customFormat="1" ht="12.75">
      <c r="A513" s="31"/>
      <c r="B513" s="31"/>
      <c r="C513" s="31"/>
      <c r="D513" s="31"/>
      <c r="E513" s="30"/>
    </row>
    <row r="514" spans="1:5" s="29" customFormat="1" ht="12.75">
      <c r="A514" s="31"/>
      <c r="B514" s="31"/>
      <c r="C514" s="31"/>
      <c r="D514" s="31"/>
      <c r="E514" s="30"/>
    </row>
    <row r="515" spans="1:5" s="29" customFormat="1" ht="12.75">
      <c r="A515" s="31"/>
      <c r="B515" s="31"/>
      <c r="C515" s="31"/>
      <c r="D515" s="31"/>
      <c r="E515" s="30"/>
    </row>
    <row r="516" spans="1:5" s="29" customFormat="1" ht="12.75">
      <c r="A516" s="31"/>
      <c r="B516" s="31"/>
      <c r="C516" s="31"/>
      <c r="D516" s="31"/>
      <c r="E516" s="30"/>
    </row>
    <row r="517" spans="1:5" s="29" customFormat="1" ht="12.75">
      <c r="A517" s="31"/>
      <c r="B517" s="31"/>
      <c r="C517" s="31"/>
      <c r="D517" s="31"/>
      <c r="E517" s="30"/>
    </row>
    <row r="518" spans="1:5" s="29" customFormat="1" ht="12.75">
      <c r="A518" s="31"/>
      <c r="B518" s="31"/>
      <c r="C518" s="31"/>
      <c r="D518" s="31"/>
      <c r="E518" s="30"/>
    </row>
    <row r="519" spans="1:5" s="29" customFormat="1" ht="12.75">
      <c r="A519" s="31"/>
      <c r="B519" s="31"/>
      <c r="C519" s="31"/>
      <c r="D519" s="31"/>
      <c r="E519" s="30"/>
    </row>
    <row r="520" spans="1:5" s="29" customFormat="1" ht="12.75">
      <c r="A520" s="31"/>
      <c r="B520" s="31"/>
      <c r="C520" s="31"/>
      <c r="D520" s="31"/>
      <c r="E520" s="30"/>
    </row>
    <row r="521" spans="1:5" s="29" customFormat="1" ht="12.75">
      <c r="A521" s="31"/>
      <c r="B521" s="31"/>
      <c r="C521" s="31"/>
      <c r="D521" s="31"/>
      <c r="E521" s="30"/>
    </row>
    <row r="522" spans="1:5" s="29" customFormat="1" ht="12.75">
      <c r="A522" s="31"/>
      <c r="B522" s="31"/>
      <c r="C522" s="31"/>
      <c r="D522" s="31"/>
      <c r="E522" s="30"/>
    </row>
    <row r="523" spans="1:5" s="29" customFormat="1" ht="12.75">
      <c r="A523" s="31"/>
      <c r="B523" s="31"/>
      <c r="C523" s="31"/>
      <c r="D523" s="31"/>
      <c r="E523" s="30"/>
    </row>
    <row r="524" spans="1:5" s="29" customFormat="1" ht="12.75">
      <c r="A524" s="31"/>
      <c r="B524" s="31"/>
      <c r="C524" s="31"/>
      <c r="D524" s="31"/>
      <c r="E524" s="30"/>
    </row>
    <row r="525" spans="1:5" s="29" customFormat="1" ht="12.75">
      <c r="A525" s="31"/>
      <c r="B525" s="31"/>
      <c r="C525" s="31"/>
      <c r="D525" s="31"/>
      <c r="E525" s="30"/>
    </row>
    <row r="526" spans="1:5" s="29" customFormat="1" ht="12.75">
      <c r="A526" s="31"/>
      <c r="B526" s="31"/>
      <c r="C526" s="31"/>
      <c r="D526" s="31"/>
      <c r="E526" s="30"/>
    </row>
    <row r="527" spans="1:5" s="29" customFormat="1" ht="12.75">
      <c r="A527" s="31"/>
      <c r="B527" s="31"/>
      <c r="C527" s="31"/>
      <c r="D527" s="31"/>
      <c r="E527" s="30"/>
    </row>
    <row r="528" spans="1:5" s="29" customFormat="1" ht="12.75">
      <c r="A528" s="31"/>
      <c r="B528" s="31"/>
      <c r="C528" s="31"/>
      <c r="D528" s="31"/>
      <c r="E528" s="30"/>
    </row>
    <row r="529" spans="1:5" s="29" customFormat="1" ht="12.75">
      <c r="A529" s="31"/>
      <c r="B529" s="31"/>
      <c r="C529" s="31"/>
      <c r="D529" s="31"/>
      <c r="E529" s="30"/>
    </row>
    <row r="530" spans="1:5" s="29" customFormat="1" ht="12.75">
      <c r="A530" s="31"/>
      <c r="B530" s="31"/>
      <c r="C530" s="31"/>
      <c r="D530" s="31"/>
      <c r="E530" s="30"/>
    </row>
    <row r="531" spans="1:5" s="29" customFormat="1" ht="12.75">
      <c r="A531" s="31"/>
      <c r="B531" s="31"/>
      <c r="C531" s="31"/>
      <c r="D531" s="31"/>
      <c r="E531" s="30"/>
    </row>
    <row r="532" spans="1:5" s="29" customFormat="1" ht="12.75">
      <c r="A532" s="31"/>
      <c r="B532" s="31"/>
      <c r="C532" s="31"/>
      <c r="D532" s="31"/>
      <c r="E532" s="30"/>
    </row>
    <row r="533" spans="1:5" s="29" customFormat="1" ht="12.75">
      <c r="A533" s="31"/>
      <c r="B533" s="31"/>
      <c r="C533" s="31"/>
      <c r="D533" s="31"/>
      <c r="E533" s="30"/>
    </row>
    <row r="534" spans="1:5" s="29" customFormat="1" ht="12.75">
      <c r="A534" s="31"/>
      <c r="B534" s="31"/>
      <c r="C534" s="31"/>
      <c r="D534" s="31"/>
      <c r="E534" s="30"/>
    </row>
    <row r="535" spans="1:5" s="29" customFormat="1" ht="12.75">
      <c r="A535" s="31"/>
      <c r="B535" s="31"/>
      <c r="C535" s="31"/>
      <c r="D535" s="31"/>
      <c r="E535" s="30"/>
    </row>
    <row r="536" spans="1:5" s="29" customFormat="1" ht="12.75">
      <c r="A536" s="31"/>
      <c r="B536" s="31"/>
      <c r="C536" s="31"/>
      <c r="D536" s="31"/>
      <c r="E536" s="30"/>
    </row>
    <row r="537" spans="1:5" s="29" customFormat="1" ht="12.75">
      <c r="A537" s="31"/>
      <c r="B537" s="31"/>
      <c r="C537" s="31"/>
      <c r="D537" s="31"/>
      <c r="E537" s="30"/>
    </row>
    <row r="538" spans="1:5" s="29" customFormat="1" ht="12.75">
      <c r="A538" s="31"/>
      <c r="B538" s="31"/>
      <c r="C538" s="31"/>
      <c r="D538" s="31"/>
      <c r="E538" s="30"/>
    </row>
    <row r="539" spans="1:5" s="29" customFormat="1" ht="12.75">
      <c r="A539" s="31"/>
      <c r="B539" s="31"/>
      <c r="C539" s="31"/>
      <c r="D539" s="31"/>
      <c r="E539" s="30"/>
    </row>
    <row r="540" spans="1:5" s="29" customFormat="1" ht="12.75">
      <c r="A540" s="31"/>
      <c r="B540" s="31"/>
      <c r="C540" s="31"/>
      <c r="D540" s="31"/>
      <c r="E540" s="30"/>
    </row>
    <row r="541" spans="1:5" s="29" customFormat="1" ht="12.75">
      <c r="A541" s="31"/>
      <c r="B541" s="31"/>
      <c r="C541" s="31"/>
      <c r="D541" s="31"/>
      <c r="E541" s="30"/>
    </row>
    <row r="542" spans="1:5" s="29" customFormat="1" ht="12.75">
      <c r="A542" s="31"/>
      <c r="B542" s="31"/>
      <c r="C542" s="31"/>
      <c r="D542" s="31"/>
      <c r="E542" s="30"/>
    </row>
    <row r="543" spans="1:5" s="29" customFormat="1" ht="12.75">
      <c r="A543" s="31"/>
      <c r="B543" s="31"/>
      <c r="C543" s="31"/>
      <c r="D543" s="31"/>
      <c r="E543" s="30"/>
    </row>
    <row r="544" spans="1:5" s="29" customFormat="1" ht="12.75">
      <c r="A544" s="31"/>
      <c r="B544" s="31"/>
      <c r="C544" s="31"/>
      <c r="D544" s="31"/>
      <c r="E544" s="30"/>
    </row>
    <row r="545" spans="1:5" s="29" customFormat="1" ht="12.75">
      <c r="A545" s="31"/>
      <c r="B545" s="31"/>
      <c r="C545" s="31"/>
      <c r="D545" s="31"/>
      <c r="E545" s="30"/>
    </row>
    <row r="546" spans="1:5" s="29" customFormat="1" ht="12.75">
      <c r="A546" s="31"/>
      <c r="B546" s="31"/>
      <c r="C546" s="31"/>
      <c r="D546" s="31"/>
      <c r="E546" s="30"/>
    </row>
    <row r="547" spans="1:5" s="29" customFormat="1" ht="12.75">
      <c r="A547" s="31"/>
      <c r="B547" s="31"/>
      <c r="C547" s="31"/>
      <c r="D547" s="31"/>
      <c r="E547" s="30"/>
    </row>
    <row r="548" spans="1:5" s="29" customFormat="1" ht="12.75">
      <c r="A548" s="31"/>
      <c r="B548" s="31"/>
      <c r="C548" s="31"/>
      <c r="D548" s="31"/>
      <c r="E548" s="30"/>
    </row>
    <row r="549" spans="1:5" s="29" customFormat="1" ht="12.75">
      <c r="A549" s="31"/>
      <c r="B549" s="31"/>
      <c r="C549" s="31"/>
      <c r="D549" s="31"/>
      <c r="E549" s="30"/>
    </row>
    <row r="550" spans="1:5" s="29" customFormat="1" ht="12.75">
      <c r="A550" s="31"/>
      <c r="B550" s="31"/>
      <c r="C550" s="31"/>
      <c r="D550" s="31"/>
      <c r="E550" s="30"/>
    </row>
    <row r="551" spans="1:5" s="29" customFormat="1" ht="12.75">
      <c r="A551" s="31"/>
      <c r="B551" s="31"/>
      <c r="C551" s="31"/>
      <c r="D551" s="31"/>
      <c r="E551" s="30"/>
    </row>
    <row r="552" spans="1:5" s="29" customFormat="1" ht="12.75">
      <c r="A552" s="31"/>
      <c r="B552" s="31"/>
      <c r="C552" s="31"/>
      <c r="D552" s="31"/>
      <c r="E552" s="30"/>
    </row>
    <row r="553" spans="1:5" s="29" customFormat="1" ht="12.75">
      <c r="A553" s="31"/>
      <c r="B553" s="31"/>
      <c r="C553" s="31"/>
      <c r="D553" s="31"/>
      <c r="E553" s="30"/>
    </row>
    <row r="554" spans="1:5" s="29" customFormat="1" ht="12.75">
      <c r="A554" s="31"/>
      <c r="B554" s="31"/>
      <c r="C554" s="31"/>
      <c r="D554" s="31"/>
      <c r="E554" s="30"/>
    </row>
    <row r="555" spans="1:5" s="29" customFormat="1" ht="12.75">
      <c r="A555" s="31"/>
      <c r="B555" s="31"/>
      <c r="C555" s="31"/>
      <c r="D555" s="31"/>
      <c r="E555" s="30"/>
    </row>
    <row r="556" spans="1:5" s="29" customFormat="1" ht="12.75">
      <c r="A556" s="31"/>
      <c r="B556" s="31"/>
      <c r="C556" s="31"/>
      <c r="D556" s="31"/>
      <c r="E556" s="30"/>
    </row>
    <row r="557" spans="1:5" s="29" customFormat="1" ht="12.75">
      <c r="A557" s="31"/>
      <c r="B557" s="31"/>
      <c r="C557" s="31"/>
      <c r="D557" s="31"/>
      <c r="E557" s="30"/>
    </row>
    <row r="558" spans="1:5" s="29" customFormat="1" ht="12.75">
      <c r="A558" s="31"/>
      <c r="B558" s="31"/>
      <c r="C558" s="31"/>
      <c r="D558" s="31"/>
      <c r="E558" s="30"/>
    </row>
    <row r="559" spans="1:5" s="29" customFormat="1" ht="12.75">
      <c r="A559" s="31"/>
      <c r="B559" s="31"/>
      <c r="C559" s="31"/>
      <c r="D559" s="31"/>
      <c r="E559" s="30"/>
    </row>
    <row r="560" spans="1:5" s="29" customFormat="1" ht="12.75">
      <c r="A560" s="31"/>
      <c r="B560" s="31"/>
      <c r="C560" s="31"/>
      <c r="D560" s="31"/>
      <c r="E560" s="30"/>
    </row>
    <row r="561" spans="1:5" s="29" customFormat="1" ht="12.75">
      <c r="A561" s="31"/>
      <c r="B561" s="31"/>
      <c r="C561" s="31"/>
      <c r="D561" s="31"/>
      <c r="E561" s="30"/>
    </row>
    <row r="562" spans="1:5" s="29" customFormat="1" ht="12.75">
      <c r="A562" s="31"/>
      <c r="B562" s="31"/>
      <c r="C562" s="31"/>
      <c r="D562" s="31"/>
      <c r="E562" s="30"/>
    </row>
    <row r="563" spans="1:5" s="29" customFormat="1" ht="12.75">
      <c r="A563" s="31"/>
      <c r="B563" s="31"/>
      <c r="C563" s="31"/>
      <c r="D563" s="31"/>
      <c r="E563" s="30"/>
    </row>
    <row r="564" spans="1:5" s="29" customFormat="1" ht="12.75">
      <c r="A564" s="31"/>
      <c r="B564" s="31"/>
      <c r="C564" s="31"/>
      <c r="D564" s="31"/>
      <c r="E564" s="30"/>
    </row>
    <row r="565" spans="1:5" s="29" customFormat="1" ht="12.75">
      <c r="A565" s="31"/>
      <c r="B565" s="31"/>
      <c r="C565" s="31"/>
      <c r="D565" s="31"/>
      <c r="E565" s="30"/>
    </row>
    <row r="566" spans="1:5" s="29" customFormat="1" ht="12.75">
      <c r="A566" s="31"/>
      <c r="B566" s="31"/>
      <c r="C566" s="31"/>
      <c r="D566" s="31"/>
      <c r="E566" s="30"/>
    </row>
    <row r="567" spans="1:5" s="29" customFormat="1" ht="12.75">
      <c r="A567" s="31"/>
      <c r="B567" s="31"/>
      <c r="C567" s="31"/>
      <c r="D567" s="31"/>
      <c r="E567" s="30"/>
    </row>
    <row r="568" spans="1:5" s="29" customFormat="1" ht="12.75">
      <c r="A568" s="31"/>
      <c r="B568" s="31"/>
      <c r="C568" s="31"/>
      <c r="D568" s="31"/>
      <c r="E568" s="30"/>
    </row>
    <row r="569" spans="1:5" s="29" customFormat="1" ht="12.75">
      <c r="A569" s="31"/>
      <c r="B569" s="31"/>
      <c r="C569" s="31"/>
      <c r="D569" s="31"/>
      <c r="E569" s="30"/>
    </row>
    <row r="570" spans="1:5" s="29" customFormat="1" ht="12.75">
      <c r="A570" s="31"/>
      <c r="B570" s="31"/>
      <c r="C570" s="31"/>
      <c r="D570" s="31"/>
      <c r="E570" s="30"/>
    </row>
    <row r="571" spans="1:5" s="29" customFormat="1" ht="12.75">
      <c r="A571" s="31"/>
      <c r="B571" s="31"/>
      <c r="C571" s="31"/>
      <c r="D571" s="31"/>
      <c r="E571" s="30"/>
    </row>
    <row r="572" spans="1:5" s="29" customFormat="1" ht="12.75">
      <c r="A572" s="31"/>
      <c r="B572" s="31"/>
      <c r="C572" s="31"/>
      <c r="D572" s="31"/>
      <c r="E572" s="30"/>
    </row>
    <row r="573" spans="1:5" s="29" customFormat="1" ht="12.75">
      <c r="A573" s="31"/>
      <c r="B573" s="31"/>
      <c r="C573" s="31"/>
      <c r="D573" s="31"/>
      <c r="E573" s="30"/>
    </row>
    <row r="574" spans="1:5" s="29" customFormat="1" ht="12.75">
      <c r="A574" s="31"/>
      <c r="B574" s="31"/>
      <c r="C574" s="31"/>
      <c r="D574" s="31"/>
      <c r="E574" s="30"/>
    </row>
    <row r="575" spans="1:5" s="29" customFormat="1" ht="12.75">
      <c r="A575" s="31"/>
      <c r="B575" s="31"/>
      <c r="C575" s="31"/>
      <c r="D575" s="31"/>
      <c r="E575" s="30"/>
    </row>
    <row r="576" spans="1:5" s="29" customFormat="1" ht="12.75">
      <c r="A576" s="31"/>
      <c r="B576" s="31"/>
      <c r="C576" s="31"/>
      <c r="D576" s="31"/>
      <c r="E576" s="30"/>
    </row>
    <row r="577" spans="1:5" s="29" customFormat="1" ht="12.75">
      <c r="A577" s="31"/>
      <c r="B577" s="31"/>
      <c r="C577" s="31"/>
      <c r="D577" s="31"/>
      <c r="E577" s="30"/>
    </row>
    <row r="578" spans="1:5" s="29" customFormat="1" ht="12.75">
      <c r="A578" s="31"/>
      <c r="B578" s="31"/>
      <c r="C578" s="31"/>
      <c r="D578" s="31"/>
      <c r="E578" s="30"/>
    </row>
    <row r="579" spans="1:5" s="29" customFormat="1" ht="12.75">
      <c r="A579" s="31"/>
      <c r="B579" s="31"/>
      <c r="C579" s="31"/>
      <c r="D579" s="31"/>
      <c r="E579" s="30"/>
    </row>
    <row r="580" spans="1:5" s="29" customFormat="1" ht="12.75">
      <c r="A580" s="31"/>
      <c r="B580" s="31"/>
      <c r="C580" s="31"/>
      <c r="D580" s="31"/>
      <c r="E580" s="30"/>
    </row>
    <row r="581" spans="1:5" s="29" customFormat="1" ht="12.75">
      <c r="A581" s="31"/>
      <c r="B581" s="31"/>
      <c r="C581" s="31"/>
      <c r="D581" s="31"/>
      <c r="E581" s="30"/>
    </row>
    <row r="582" spans="1:5" s="29" customFormat="1" ht="12.75">
      <c r="A582" s="31"/>
      <c r="B582" s="31"/>
      <c r="C582" s="31"/>
      <c r="D582" s="31"/>
      <c r="E582" s="30"/>
    </row>
    <row r="583" spans="1:5" s="29" customFormat="1" ht="12.75">
      <c r="A583" s="31"/>
      <c r="B583" s="31"/>
      <c r="C583" s="31"/>
      <c r="D583" s="31"/>
      <c r="E583" s="30"/>
    </row>
    <row r="584" spans="1:5" s="29" customFormat="1" ht="12.75">
      <c r="A584" s="31"/>
      <c r="B584" s="31"/>
      <c r="C584" s="31"/>
      <c r="D584" s="31"/>
      <c r="E584" s="30"/>
    </row>
    <row r="585" spans="1:5" s="29" customFormat="1" ht="12.75">
      <c r="A585" s="31"/>
      <c r="B585" s="31"/>
      <c r="C585" s="31"/>
      <c r="D585" s="31"/>
      <c r="E585" s="30"/>
    </row>
    <row r="586" spans="1:5" s="29" customFormat="1" ht="12.75">
      <c r="A586" s="31"/>
      <c r="B586" s="31"/>
      <c r="C586" s="31"/>
      <c r="D586" s="31"/>
      <c r="E586" s="30"/>
    </row>
    <row r="587" spans="1:5" s="29" customFormat="1" ht="12.75">
      <c r="A587" s="31"/>
      <c r="B587" s="31"/>
      <c r="C587" s="31"/>
      <c r="D587" s="31"/>
      <c r="E587" s="30"/>
    </row>
    <row r="588" spans="1:5" s="29" customFormat="1" ht="12.75">
      <c r="A588" s="31"/>
      <c r="B588" s="31"/>
      <c r="C588" s="31"/>
      <c r="D588" s="31"/>
      <c r="E588" s="30"/>
    </row>
    <row r="589" spans="1:5" s="29" customFormat="1" ht="12.75">
      <c r="A589" s="31"/>
      <c r="B589" s="31"/>
      <c r="C589" s="31"/>
      <c r="D589" s="31"/>
      <c r="E589" s="30"/>
    </row>
    <row r="590" spans="1:5" s="29" customFormat="1" ht="12.75">
      <c r="A590" s="31"/>
      <c r="B590" s="31"/>
      <c r="C590" s="31"/>
      <c r="D590" s="31"/>
      <c r="E590" s="30"/>
    </row>
    <row r="591" spans="1:5" s="29" customFormat="1" ht="12.75">
      <c r="A591" s="31"/>
      <c r="B591" s="31"/>
      <c r="C591" s="31"/>
      <c r="D591" s="31"/>
      <c r="E591" s="30"/>
    </row>
    <row r="592" spans="1:5" s="29" customFormat="1" ht="12.75">
      <c r="A592" s="31"/>
      <c r="B592" s="31"/>
      <c r="C592" s="31"/>
      <c r="D592" s="31"/>
      <c r="E592" s="30"/>
    </row>
    <row r="593" spans="1:5" s="29" customFormat="1" ht="12.75">
      <c r="A593" s="31"/>
      <c r="B593" s="31"/>
      <c r="C593" s="31"/>
      <c r="D593" s="31"/>
      <c r="E593" s="30"/>
    </row>
    <row r="594" spans="1:5" s="29" customFormat="1" ht="12.75">
      <c r="A594" s="31"/>
      <c r="B594" s="31"/>
      <c r="C594" s="31"/>
      <c r="D594" s="31"/>
      <c r="E594" s="30"/>
    </row>
    <row r="595" spans="1:5" s="29" customFormat="1" ht="12.75">
      <c r="A595" s="31"/>
      <c r="B595" s="31"/>
      <c r="C595" s="31"/>
      <c r="D595" s="31"/>
      <c r="E595" s="30"/>
    </row>
    <row r="596" spans="1:5" s="29" customFormat="1" ht="12.75">
      <c r="A596" s="31"/>
      <c r="B596" s="31"/>
      <c r="C596" s="31"/>
      <c r="D596" s="31"/>
      <c r="E596" s="30"/>
    </row>
    <row r="597" spans="1:5" s="29" customFormat="1" ht="12.75">
      <c r="A597" s="31"/>
      <c r="B597" s="31"/>
      <c r="C597" s="31"/>
      <c r="D597" s="31"/>
      <c r="E597" s="30"/>
    </row>
    <row r="598" spans="1:5" s="29" customFormat="1" ht="12.75">
      <c r="A598" s="31"/>
      <c r="B598" s="31"/>
      <c r="C598" s="31"/>
      <c r="D598" s="31"/>
      <c r="E598" s="30"/>
    </row>
    <row r="599" spans="1:5" s="29" customFormat="1" ht="12.75">
      <c r="A599" s="31"/>
      <c r="B599" s="31"/>
      <c r="C599" s="31"/>
      <c r="D599" s="31"/>
      <c r="E599" s="30"/>
    </row>
    <row r="600" spans="1:5" s="29" customFormat="1" ht="12.75">
      <c r="A600" s="31"/>
      <c r="B600" s="31"/>
      <c r="C600" s="31"/>
      <c r="D600" s="31"/>
      <c r="E600" s="30"/>
    </row>
    <row r="601" spans="1:5" s="29" customFormat="1" ht="12.75">
      <c r="A601" s="31"/>
      <c r="B601" s="31"/>
      <c r="C601" s="31"/>
      <c r="D601" s="31"/>
      <c r="E601" s="30"/>
    </row>
    <row r="602" spans="1:5" s="29" customFormat="1" ht="12.75">
      <c r="A602" s="31"/>
      <c r="B602" s="31"/>
      <c r="C602" s="31"/>
      <c r="D602" s="31"/>
      <c r="E602" s="30"/>
    </row>
    <row r="603" spans="1:5" s="29" customFormat="1" ht="12.75">
      <c r="A603" s="31"/>
      <c r="B603" s="31"/>
      <c r="C603" s="31"/>
      <c r="D603" s="31"/>
      <c r="E603" s="30"/>
    </row>
    <row r="604" spans="1:5" s="29" customFormat="1" ht="12.75">
      <c r="A604" s="31"/>
      <c r="B604" s="31"/>
      <c r="C604" s="31"/>
      <c r="D604" s="31"/>
      <c r="E604" s="30"/>
    </row>
    <row r="605" spans="1:5" s="29" customFormat="1" ht="12.75">
      <c r="A605" s="31"/>
      <c r="B605" s="31"/>
      <c r="C605" s="31"/>
      <c r="D605" s="31"/>
      <c r="E605" s="30"/>
    </row>
    <row r="606" spans="1:5" s="29" customFormat="1" ht="12.75">
      <c r="A606" s="31"/>
      <c r="B606" s="31"/>
      <c r="C606" s="31"/>
      <c r="D606" s="31"/>
      <c r="E606" s="30"/>
    </row>
    <row r="607" spans="1:5" s="29" customFormat="1" ht="12.75">
      <c r="A607" s="31"/>
      <c r="B607" s="31"/>
      <c r="C607" s="31"/>
      <c r="D607" s="31"/>
      <c r="E607" s="30"/>
    </row>
    <row r="608" spans="1:5" s="29" customFormat="1" ht="12.75">
      <c r="A608" s="31"/>
      <c r="B608" s="31"/>
      <c r="C608" s="31"/>
      <c r="D608" s="31"/>
      <c r="E608" s="30"/>
    </row>
    <row r="609" spans="1:5" s="29" customFormat="1" ht="12.75">
      <c r="A609" s="31"/>
      <c r="B609" s="31"/>
      <c r="C609" s="31"/>
      <c r="D609" s="31"/>
      <c r="E609" s="30"/>
    </row>
    <row r="610" spans="1:5" s="29" customFormat="1" ht="12.75">
      <c r="A610" s="31"/>
      <c r="B610" s="31"/>
      <c r="C610" s="31"/>
      <c r="D610" s="31"/>
      <c r="E610" s="30"/>
    </row>
    <row r="611" spans="1:5" s="29" customFormat="1" ht="12.75">
      <c r="A611" s="31"/>
      <c r="B611" s="31"/>
      <c r="C611" s="31"/>
      <c r="D611" s="31"/>
      <c r="E611" s="30"/>
    </row>
    <row r="612" spans="1:5" s="29" customFormat="1" ht="12.75">
      <c r="A612" s="31"/>
      <c r="B612" s="31"/>
      <c r="C612" s="31"/>
      <c r="D612" s="31"/>
      <c r="E612" s="30"/>
    </row>
    <row r="613" spans="1:5" s="29" customFormat="1" ht="12.75">
      <c r="A613" s="31"/>
      <c r="B613" s="31"/>
      <c r="C613" s="31"/>
      <c r="D613" s="31"/>
      <c r="E613" s="30"/>
    </row>
    <row r="614" spans="1:5" s="29" customFormat="1" ht="12.75">
      <c r="A614" s="31"/>
      <c r="B614" s="31"/>
      <c r="C614" s="31"/>
      <c r="D614" s="31"/>
      <c r="E614" s="30"/>
    </row>
    <row r="615" spans="1:5" s="29" customFormat="1" ht="12.75">
      <c r="A615" s="31"/>
      <c r="B615" s="31"/>
      <c r="C615" s="31"/>
      <c r="D615" s="31"/>
      <c r="E615" s="30"/>
    </row>
    <row r="616" spans="1:5" s="29" customFormat="1" ht="12.75">
      <c r="A616" s="31"/>
      <c r="B616" s="31"/>
      <c r="C616" s="31"/>
      <c r="D616" s="31"/>
      <c r="E616" s="30"/>
    </row>
    <row r="617" spans="1:5" s="29" customFormat="1" ht="12.75">
      <c r="A617" s="31"/>
      <c r="B617" s="31"/>
      <c r="C617" s="31"/>
      <c r="D617" s="31"/>
      <c r="E617" s="30"/>
    </row>
    <row r="618" spans="1:5" s="29" customFormat="1" ht="12.75">
      <c r="A618" s="31"/>
      <c r="B618" s="31"/>
      <c r="C618" s="31"/>
      <c r="D618" s="31"/>
      <c r="E618" s="30"/>
    </row>
    <row r="619" spans="1:5" s="29" customFormat="1" ht="12.75">
      <c r="A619" s="31"/>
      <c r="B619" s="31"/>
      <c r="C619" s="31"/>
      <c r="D619" s="31"/>
      <c r="E619" s="30"/>
    </row>
    <row r="620" spans="1:5" s="29" customFormat="1" ht="12.75">
      <c r="A620" s="31"/>
      <c r="B620" s="31"/>
      <c r="C620" s="31"/>
      <c r="D620" s="31"/>
      <c r="E620" s="30"/>
    </row>
    <row r="621" spans="1:5" s="29" customFormat="1" ht="12.75">
      <c r="A621" s="31"/>
      <c r="B621" s="31"/>
      <c r="C621" s="31"/>
      <c r="D621" s="31"/>
      <c r="E621" s="30"/>
    </row>
    <row r="622" spans="1:5" s="29" customFormat="1" ht="12.75">
      <c r="A622" s="31"/>
      <c r="B622" s="31"/>
      <c r="C622" s="31"/>
      <c r="D622" s="31"/>
      <c r="E622" s="30"/>
    </row>
    <row r="623" spans="1:5" s="29" customFormat="1" ht="12.75">
      <c r="A623" s="31"/>
      <c r="B623" s="31"/>
      <c r="C623" s="31"/>
      <c r="D623" s="31"/>
      <c r="E623" s="30"/>
    </row>
    <row r="624" spans="1:5" s="29" customFormat="1" ht="12.75">
      <c r="A624" s="31"/>
      <c r="B624" s="31"/>
      <c r="C624" s="31"/>
      <c r="D624" s="31"/>
      <c r="E624" s="30"/>
    </row>
    <row r="625" spans="1:5" s="29" customFormat="1" ht="12.75">
      <c r="A625" s="31"/>
      <c r="B625" s="31"/>
      <c r="C625" s="31"/>
      <c r="D625" s="31"/>
      <c r="E625" s="30"/>
    </row>
    <row r="626" spans="1:5" s="29" customFormat="1" ht="12.75">
      <c r="A626" s="31"/>
      <c r="B626" s="31"/>
      <c r="C626" s="31"/>
      <c r="D626" s="31"/>
      <c r="E626" s="30"/>
    </row>
    <row r="627" spans="1:5" s="29" customFormat="1" ht="12.75">
      <c r="A627" s="31"/>
      <c r="B627" s="31"/>
      <c r="C627" s="31"/>
      <c r="D627" s="31"/>
      <c r="E627" s="30"/>
    </row>
    <row r="628" spans="1:5" s="29" customFormat="1" ht="12.75">
      <c r="A628" s="31"/>
      <c r="B628" s="31"/>
      <c r="C628" s="31"/>
      <c r="D628" s="31"/>
      <c r="E628" s="30"/>
    </row>
    <row r="629" spans="1:5" s="29" customFormat="1" ht="12.75">
      <c r="A629" s="31"/>
      <c r="B629" s="31"/>
      <c r="C629" s="31"/>
      <c r="D629" s="31"/>
      <c r="E629" s="30"/>
    </row>
    <row r="630" spans="1:5" s="29" customFormat="1" ht="12.75">
      <c r="A630" s="31"/>
      <c r="B630" s="31"/>
      <c r="C630" s="31"/>
      <c r="D630" s="31"/>
      <c r="E630" s="30"/>
    </row>
    <row r="631" spans="1:5" s="29" customFormat="1" ht="12.75">
      <c r="A631" s="31"/>
      <c r="B631" s="31"/>
      <c r="C631" s="31"/>
      <c r="D631" s="31"/>
      <c r="E631" s="30"/>
    </row>
    <row r="632" spans="1:5" s="29" customFormat="1" ht="12.75">
      <c r="A632" s="31"/>
      <c r="B632" s="31"/>
      <c r="C632" s="31"/>
      <c r="D632" s="31"/>
      <c r="E632" s="30"/>
    </row>
    <row r="633" spans="1:5" s="29" customFormat="1" ht="12.75">
      <c r="A633" s="31"/>
      <c r="B633" s="31"/>
      <c r="C633" s="31"/>
      <c r="D633" s="31"/>
      <c r="E633" s="30"/>
    </row>
    <row r="634" spans="1:5" s="29" customFormat="1" ht="12.75">
      <c r="A634" s="31"/>
      <c r="B634" s="31"/>
      <c r="C634" s="31"/>
      <c r="D634" s="31"/>
      <c r="E634" s="30"/>
    </row>
    <row r="635" spans="1:5" s="29" customFormat="1" ht="12.75">
      <c r="A635" s="31"/>
      <c r="B635" s="31"/>
      <c r="C635" s="31"/>
      <c r="D635" s="31"/>
      <c r="E635" s="30"/>
    </row>
    <row r="636" spans="1:5" s="29" customFormat="1" ht="12.75">
      <c r="A636" s="31"/>
      <c r="B636" s="31"/>
      <c r="C636" s="31"/>
      <c r="D636" s="31"/>
      <c r="E636" s="30"/>
    </row>
    <row r="637" spans="1:5" s="29" customFormat="1" ht="12.75">
      <c r="A637" s="31"/>
      <c r="B637" s="31"/>
      <c r="C637" s="31"/>
      <c r="D637" s="31"/>
      <c r="E637" s="30"/>
    </row>
    <row r="638" spans="1:5" s="29" customFormat="1" ht="12.75">
      <c r="A638" s="31"/>
      <c r="B638" s="31"/>
      <c r="C638" s="31"/>
      <c r="D638" s="31"/>
      <c r="E638" s="30"/>
    </row>
    <row r="639" spans="1:5" s="29" customFormat="1" ht="12.75">
      <c r="A639" s="31"/>
      <c r="B639" s="31"/>
      <c r="C639" s="31"/>
      <c r="D639" s="31"/>
      <c r="E639" s="30"/>
    </row>
    <row r="640" spans="1:5" s="29" customFormat="1" ht="12.75">
      <c r="A640" s="31"/>
      <c r="B640" s="31"/>
      <c r="C640" s="31"/>
      <c r="D640" s="31"/>
      <c r="E640" s="30"/>
    </row>
    <row r="641" spans="1:5" s="29" customFormat="1" ht="12.75">
      <c r="A641" s="31"/>
      <c r="B641" s="31"/>
      <c r="C641" s="31"/>
      <c r="D641" s="31"/>
      <c r="E641" s="30"/>
    </row>
    <row r="642" spans="1:5" s="29" customFormat="1" ht="12.75">
      <c r="A642" s="31"/>
      <c r="B642" s="31"/>
      <c r="C642" s="31"/>
      <c r="D642" s="31"/>
      <c r="E642" s="30"/>
    </row>
    <row r="643" spans="1:5" s="29" customFormat="1" ht="12.75">
      <c r="A643" s="31"/>
      <c r="B643" s="31"/>
      <c r="C643" s="31"/>
      <c r="D643" s="31"/>
      <c r="E643" s="30"/>
    </row>
    <row r="644" spans="1:5" s="29" customFormat="1" ht="12.75">
      <c r="A644" s="31"/>
      <c r="B644" s="31"/>
      <c r="C644" s="31"/>
      <c r="D644" s="31"/>
      <c r="E644" s="30"/>
    </row>
    <row r="645" spans="1:5" s="29" customFormat="1" ht="12.75">
      <c r="A645" s="31"/>
      <c r="B645" s="31"/>
      <c r="C645" s="31"/>
      <c r="D645" s="31"/>
      <c r="E645" s="30"/>
    </row>
    <row r="646" spans="1:5" s="29" customFormat="1" ht="12.75">
      <c r="A646" s="31"/>
      <c r="B646" s="31"/>
      <c r="C646" s="31"/>
      <c r="D646" s="31"/>
      <c r="E646" s="30"/>
    </row>
    <row r="647" spans="1:5" s="29" customFormat="1" ht="12.75">
      <c r="A647" s="31"/>
      <c r="B647" s="31"/>
      <c r="C647" s="31"/>
      <c r="D647" s="31"/>
      <c r="E647" s="30"/>
    </row>
    <row r="648" spans="1:5" s="29" customFormat="1" ht="12.75">
      <c r="A648" s="31"/>
      <c r="B648" s="31"/>
      <c r="C648" s="31"/>
      <c r="D648" s="31"/>
      <c r="E648" s="30"/>
    </row>
    <row r="649" spans="1:5" s="29" customFormat="1" ht="12.75">
      <c r="A649" s="31"/>
      <c r="B649" s="31"/>
      <c r="C649" s="31"/>
      <c r="D649" s="31"/>
      <c r="E649" s="30"/>
    </row>
  </sheetData>
  <sheetProtection/>
  <mergeCells count="1">
    <mergeCell ref="A5:E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1">
      <selection activeCell="D63" sqref="D63"/>
    </sheetView>
  </sheetViews>
  <sheetFormatPr defaultColWidth="9.00390625" defaultRowHeight="12.75"/>
  <cols>
    <col min="1" max="1" width="5.625" style="9" customWidth="1"/>
    <col min="2" max="2" width="7.875" style="9" customWidth="1"/>
    <col min="3" max="3" width="5.75390625" style="9" customWidth="1"/>
    <col min="4" max="4" width="48.00390625" style="9" customWidth="1"/>
    <col min="5" max="5" width="19.75390625" style="9" customWidth="1"/>
  </cols>
  <sheetData>
    <row r="1" spans="1:5" ht="12.75">
      <c r="A1" s="75"/>
      <c r="B1" s="75"/>
      <c r="C1" s="75"/>
      <c r="D1" s="75"/>
      <c r="E1" s="76" t="s">
        <v>203</v>
      </c>
    </row>
    <row r="2" spans="1:5" ht="12.75">
      <c r="A2" s="75"/>
      <c r="B2" s="75"/>
      <c r="C2" s="75"/>
      <c r="D2" s="75"/>
      <c r="E2" s="76" t="s">
        <v>249</v>
      </c>
    </row>
    <row r="3" spans="1:5" ht="12.75">
      <c r="A3" s="75"/>
      <c r="B3" s="75"/>
      <c r="C3" s="75"/>
      <c r="D3" s="75"/>
      <c r="E3" s="76" t="s">
        <v>155</v>
      </c>
    </row>
    <row r="4" spans="1:5" ht="12.75">
      <c r="A4" s="75"/>
      <c r="B4" s="75"/>
      <c r="C4" s="75"/>
      <c r="D4" s="75"/>
      <c r="E4" s="76" t="s">
        <v>250</v>
      </c>
    </row>
    <row r="5" spans="1:5" ht="27.75" customHeight="1">
      <c r="A5" s="350" t="s">
        <v>336</v>
      </c>
      <c r="B5" s="350"/>
      <c r="C5" s="350"/>
      <c r="D5" s="350"/>
      <c r="E5" s="350"/>
    </row>
    <row r="6" spans="1:5" s="9" customFormat="1" ht="28.5" customHeight="1">
      <c r="A6" s="80" t="s">
        <v>0</v>
      </c>
      <c r="B6" s="80" t="s">
        <v>1</v>
      </c>
      <c r="C6" s="116" t="s">
        <v>2</v>
      </c>
      <c r="D6" s="80" t="s">
        <v>3</v>
      </c>
      <c r="E6" s="128" t="s">
        <v>147</v>
      </c>
    </row>
    <row r="7" spans="1:5" s="9" customFormat="1" ht="24" customHeight="1">
      <c r="A7" s="45" t="s">
        <v>15</v>
      </c>
      <c r="B7" s="37"/>
      <c r="C7" s="74"/>
      <c r="D7" s="48" t="s">
        <v>16</v>
      </c>
      <c r="E7" s="83">
        <f>SUM(E8)</f>
        <v>156600</v>
      </c>
    </row>
    <row r="8" spans="1:5" s="32" customFormat="1" ht="21.75" customHeight="1">
      <c r="A8" s="87"/>
      <c r="B8" s="87">
        <v>75011</v>
      </c>
      <c r="C8" s="88"/>
      <c r="D8" s="50" t="s">
        <v>17</v>
      </c>
      <c r="E8" s="113">
        <f>E9</f>
        <v>156600</v>
      </c>
    </row>
    <row r="9" spans="1:5" s="32" customFormat="1" ht="33.75">
      <c r="A9" s="87"/>
      <c r="B9" s="106"/>
      <c r="C9" s="89" t="s">
        <v>189</v>
      </c>
      <c r="D9" s="50" t="s">
        <v>233</v>
      </c>
      <c r="E9" s="113">
        <v>156600</v>
      </c>
    </row>
    <row r="10" spans="1:5" s="9" customFormat="1" ht="40.5" customHeight="1">
      <c r="A10" s="45">
        <v>751</v>
      </c>
      <c r="B10" s="47"/>
      <c r="C10" s="84"/>
      <c r="D10" s="48" t="s">
        <v>20</v>
      </c>
      <c r="E10" s="85">
        <f>SUM(E11)</f>
        <v>3910</v>
      </c>
    </row>
    <row r="11" spans="1:5" s="32" customFormat="1" ht="22.5">
      <c r="A11" s="106"/>
      <c r="B11" s="87">
        <v>75101</v>
      </c>
      <c r="C11" s="88"/>
      <c r="D11" s="50" t="s">
        <v>21</v>
      </c>
      <c r="E11" s="114">
        <f>E12</f>
        <v>3910</v>
      </c>
    </row>
    <row r="12" spans="1:5" s="32" customFormat="1" ht="33.75">
      <c r="A12" s="106"/>
      <c r="B12" s="87"/>
      <c r="C12" s="89" t="s">
        <v>189</v>
      </c>
      <c r="D12" s="50" t="s">
        <v>238</v>
      </c>
      <c r="E12" s="114">
        <v>3910</v>
      </c>
    </row>
    <row r="13" spans="1:5" s="13" customFormat="1" ht="24.75" customHeight="1">
      <c r="A13" s="158" t="s">
        <v>112</v>
      </c>
      <c r="B13" s="159"/>
      <c r="C13" s="160"/>
      <c r="D13" s="161" t="s">
        <v>113</v>
      </c>
      <c r="E13" s="162">
        <f>SUM(E14,E16)</f>
        <v>55768</v>
      </c>
    </row>
    <row r="14" spans="1:5" s="32" customFormat="1" ht="24.75" customHeight="1">
      <c r="A14" s="87"/>
      <c r="B14" s="102" t="s">
        <v>114</v>
      </c>
      <c r="C14" s="106"/>
      <c r="D14" s="50" t="s">
        <v>53</v>
      </c>
      <c r="E14" s="113">
        <f>SUM(E15)</f>
        <v>4782</v>
      </c>
    </row>
    <row r="15" spans="1:5" s="32" customFormat="1" ht="33.75">
      <c r="A15" s="106"/>
      <c r="B15" s="87"/>
      <c r="C15" s="157">
        <v>2310</v>
      </c>
      <c r="D15" s="50" t="s">
        <v>259</v>
      </c>
      <c r="E15" s="91">
        <v>4782</v>
      </c>
    </row>
    <row r="16" spans="1:5" s="32" customFormat="1" ht="24" customHeight="1">
      <c r="A16" s="106"/>
      <c r="B16" s="87">
        <v>80195</v>
      </c>
      <c r="C16" s="157"/>
      <c r="D16" s="50" t="s">
        <v>6</v>
      </c>
      <c r="E16" s="91">
        <f>SUM(E17)</f>
        <v>50986</v>
      </c>
    </row>
    <row r="17" spans="1:5" s="32" customFormat="1" ht="33.75">
      <c r="A17" s="106"/>
      <c r="B17" s="87"/>
      <c r="C17" s="157">
        <v>2030</v>
      </c>
      <c r="D17" s="97" t="s">
        <v>220</v>
      </c>
      <c r="E17" s="91">
        <v>50986</v>
      </c>
    </row>
    <row r="18" spans="1:5" s="53" customFormat="1" ht="27" customHeight="1">
      <c r="A18" s="45" t="s">
        <v>164</v>
      </c>
      <c r="B18" s="47"/>
      <c r="C18" s="84"/>
      <c r="D18" s="48" t="s">
        <v>199</v>
      </c>
      <c r="E18" s="83">
        <f>SUM(E19,E21,E23,E26,E28,)</f>
        <v>8801400</v>
      </c>
    </row>
    <row r="19" spans="1:5" s="32" customFormat="1" ht="33.75">
      <c r="A19" s="87"/>
      <c r="B19" s="66">
        <v>85212</v>
      </c>
      <c r="C19" s="99"/>
      <c r="D19" s="97" t="s">
        <v>247</v>
      </c>
      <c r="E19" s="111">
        <f>SUM(E20)</f>
        <v>6479100</v>
      </c>
    </row>
    <row r="20" spans="1:5" s="32" customFormat="1" ht="33.75">
      <c r="A20" s="87"/>
      <c r="B20" s="66"/>
      <c r="C20" s="99">
        <v>2010</v>
      </c>
      <c r="D20" s="50" t="s">
        <v>233</v>
      </c>
      <c r="E20" s="111">
        <v>6479100</v>
      </c>
    </row>
    <row r="21" spans="1:5" s="32" customFormat="1" ht="56.25">
      <c r="A21" s="87"/>
      <c r="B21" s="106">
        <v>85213</v>
      </c>
      <c r="C21" s="88"/>
      <c r="D21" s="97" t="s">
        <v>346</v>
      </c>
      <c r="E21" s="111">
        <f>SUM(E22)</f>
        <v>59100</v>
      </c>
    </row>
    <row r="22" spans="1:5" s="32" customFormat="1" ht="33.75">
      <c r="A22" s="87"/>
      <c r="B22" s="106"/>
      <c r="C22" s="88">
        <v>2010</v>
      </c>
      <c r="D22" s="50" t="s">
        <v>233</v>
      </c>
      <c r="E22" s="111">
        <v>59100</v>
      </c>
    </row>
    <row r="23" spans="1:5" s="32" customFormat="1" ht="22.5">
      <c r="A23" s="87"/>
      <c r="B23" s="87" t="s">
        <v>165</v>
      </c>
      <c r="C23" s="88"/>
      <c r="D23" s="50" t="s">
        <v>246</v>
      </c>
      <c r="E23" s="113">
        <f>SUM(E24:E25)</f>
        <v>1124100</v>
      </c>
    </row>
    <row r="24" spans="1:5" s="32" customFormat="1" ht="33.75">
      <c r="A24" s="87"/>
      <c r="B24" s="87"/>
      <c r="C24" s="89" t="s">
        <v>189</v>
      </c>
      <c r="D24" s="50" t="s">
        <v>239</v>
      </c>
      <c r="E24" s="113">
        <v>468000</v>
      </c>
    </row>
    <row r="25" spans="1:5" s="32" customFormat="1" ht="22.5">
      <c r="A25" s="87"/>
      <c r="B25" s="87"/>
      <c r="C25" s="89">
        <v>2030</v>
      </c>
      <c r="D25" s="97" t="s">
        <v>234</v>
      </c>
      <c r="E25" s="113">
        <v>656100</v>
      </c>
    </row>
    <row r="26" spans="1:5" s="32" customFormat="1" ht="23.25" customHeight="1">
      <c r="A26" s="87"/>
      <c r="B26" s="87" t="s">
        <v>166</v>
      </c>
      <c r="C26" s="88"/>
      <c r="D26" s="50" t="s">
        <v>60</v>
      </c>
      <c r="E26" s="113">
        <f>E27</f>
        <v>597800</v>
      </c>
    </row>
    <row r="27" spans="1:5" s="32" customFormat="1" ht="33.75">
      <c r="A27" s="87"/>
      <c r="B27" s="87"/>
      <c r="C27" s="89">
        <v>2030</v>
      </c>
      <c r="D27" s="97" t="s">
        <v>220</v>
      </c>
      <c r="E27" s="113">
        <v>597800</v>
      </c>
    </row>
    <row r="28" spans="1:5" s="32" customFormat="1" ht="24" customHeight="1">
      <c r="A28" s="87"/>
      <c r="B28" s="87">
        <v>85295</v>
      </c>
      <c r="C28" s="89"/>
      <c r="D28" s="97" t="s">
        <v>6</v>
      </c>
      <c r="E28" s="113">
        <f>SUM(E29)</f>
        <v>541300</v>
      </c>
    </row>
    <row r="29" spans="1:5" s="32" customFormat="1" ht="22.5">
      <c r="A29" s="87"/>
      <c r="B29" s="87"/>
      <c r="C29" s="89">
        <v>2030</v>
      </c>
      <c r="D29" s="97" t="s">
        <v>234</v>
      </c>
      <c r="E29" s="113">
        <v>541300</v>
      </c>
    </row>
    <row r="30" spans="1:5" s="9" customFormat="1" ht="24.75" customHeight="1">
      <c r="A30" s="45" t="s">
        <v>65</v>
      </c>
      <c r="B30" s="37"/>
      <c r="C30" s="74"/>
      <c r="D30" s="48" t="s">
        <v>71</v>
      </c>
      <c r="E30" s="83">
        <f>SUM(E31)</f>
        <v>60000</v>
      </c>
    </row>
    <row r="31" spans="1:5" s="32" customFormat="1" ht="21.75" customHeight="1">
      <c r="A31" s="87"/>
      <c r="B31" s="87" t="s">
        <v>66</v>
      </c>
      <c r="C31" s="88"/>
      <c r="D31" s="50" t="s">
        <v>67</v>
      </c>
      <c r="E31" s="113">
        <f>E32</f>
        <v>60000</v>
      </c>
    </row>
    <row r="32" spans="1:5" s="32" customFormat="1" ht="33.75">
      <c r="A32" s="87"/>
      <c r="B32" s="87"/>
      <c r="C32" s="89">
        <v>2320</v>
      </c>
      <c r="D32" s="50" t="s">
        <v>235</v>
      </c>
      <c r="E32" s="113">
        <v>60000</v>
      </c>
    </row>
    <row r="33" spans="1:5" s="32" customFormat="1" ht="25.5" customHeight="1">
      <c r="A33" s="135"/>
      <c r="B33" s="136"/>
      <c r="C33" s="137"/>
      <c r="D33" s="118" t="s">
        <v>70</v>
      </c>
      <c r="E33" s="120">
        <f>SUM(E30,E18,E10,E7,E13,)</f>
        <v>9077678</v>
      </c>
    </row>
    <row r="34" spans="1:3" ht="12.75">
      <c r="A34" s="75"/>
      <c r="B34" s="75"/>
      <c r="C34" s="75"/>
    </row>
    <row r="37" ht="12.75">
      <c r="E37" s="122"/>
    </row>
  </sheetData>
  <sheetProtection/>
  <mergeCells count="1">
    <mergeCell ref="A5:E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D51" sqref="D51"/>
    </sheetView>
  </sheetViews>
  <sheetFormatPr defaultColWidth="9.00390625" defaultRowHeight="12.75"/>
  <cols>
    <col min="1" max="1" width="4.875" style="9" customWidth="1"/>
    <col min="2" max="2" width="6.875" style="9" customWidth="1"/>
    <col min="3" max="3" width="5.625" style="9" customWidth="1"/>
    <col min="4" max="4" width="51.00390625" style="9" customWidth="1"/>
    <col min="5" max="5" width="58.375" style="9" customWidth="1"/>
    <col min="6" max="6" width="19.25390625" style="9" customWidth="1"/>
  </cols>
  <sheetData>
    <row r="1" ht="12.75">
      <c r="F1" s="9" t="s">
        <v>290</v>
      </c>
    </row>
    <row r="2" ht="12.75">
      <c r="F2" s="9" t="s">
        <v>249</v>
      </c>
    </row>
    <row r="3" ht="12.75">
      <c r="F3" s="9" t="s">
        <v>155</v>
      </c>
    </row>
    <row r="4" ht="12.75">
      <c r="F4" s="9" t="s">
        <v>250</v>
      </c>
    </row>
    <row r="5" spans="1:6" ht="38.25" customHeight="1">
      <c r="A5" s="351" t="s">
        <v>337</v>
      </c>
      <c r="B5" s="351"/>
      <c r="C5" s="351"/>
      <c r="D5" s="351"/>
      <c r="E5" s="351"/>
      <c r="F5" s="351"/>
    </row>
    <row r="6" spans="1:6" ht="31.5" customHeight="1">
      <c r="A6" s="355" t="s">
        <v>474</v>
      </c>
      <c r="B6" s="355"/>
      <c r="C6" s="355"/>
      <c r="D6" s="355"/>
      <c r="E6" s="355"/>
      <c r="F6" s="355"/>
    </row>
    <row r="7" spans="1:6" s="147" customFormat="1" ht="29.25" customHeight="1">
      <c r="A7" s="6" t="s">
        <v>0</v>
      </c>
      <c r="B7" s="6" t="s">
        <v>1</v>
      </c>
      <c r="C7" s="6" t="s">
        <v>2</v>
      </c>
      <c r="D7" s="6" t="s">
        <v>291</v>
      </c>
      <c r="E7" s="6" t="s">
        <v>292</v>
      </c>
      <c r="F7" s="169" t="s">
        <v>293</v>
      </c>
    </row>
    <row r="8" spans="1:6" s="192" customFormat="1" ht="19.5" customHeight="1">
      <c r="A8" s="357" t="s">
        <v>352</v>
      </c>
      <c r="B8" s="357"/>
      <c r="C8" s="357"/>
      <c r="D8" s="357"/>
      <c r="E8" s="191"/>
      <c r="F8" s="21">
        <f>SUM(F9:F10)</f>
        <v>3368735</v>
      </c>
    </row>
    <row r="9" spans="1:6" s="193" customFormat="1" ht="19.5" customHeight="1">
      <c r="A9" s="3">
        <v>801</v>
      </c>
      <c r="B9" s="4">
        <v>80104</v>
      </c>
      <c r="C9" s="308">
        <v>2510</v>
      </c>
      <c r="D9" s="172" t="s">
        <v>294</v>
      </c>
      <c r="E9" s="172" t="s">
        <v>295</v>
      </c>
      <c r="F9" s="105">
        <v>3355048</v>
      </c>
    </row>
    <row r="10" spans="1:6" s="193" customFormat="1" ht="19.5" customHeight="1">
      <c r="A10" s="3">
        <v>801</v>
      </c>
      <c r="B10" s="3">
        <v>80146</v>
      </c>
      <c r="C10" s="4">
        <v>2510</v>
      </c>
      <c r="D10" s="309" t="s">
        <v>294</v>
      </c>
      <c r="E10" s="309" t="s">
        <v>296</v>
      </c>
      <c r="F10" s="310">
        <v>13687</v>
      </c>
    </row>
    <row r="11" spans="1:6" s="192" customFormat="1" ht="19.5" customHeight="1">
      <c r="A11" s="357" t="s">
        <v>353</v>
      </c>
      <c r="B11" s="357"/>
      <c r="C11" s="357"/>
      <c r="D11" s="357"/>
      <c r="E11" s="191"/>
      <c r="F11" s="21">
        <f>SUM(F12:F14)</f>
        <v>609792</v>
      </c>
    </row>
    <row r="12" spans="1:6" s="193" customFormat="1" ht="24">
      <c r="A12" s="3">
        <v>801</v>
      </c>
      <c r="B12" s="4">
        <v>80101</v>
      </c>
      <c r="C12" s="308">
        <v>2540</v>
      </c>
      <c r="D12" s="172" t="s">
        <v>297</v>
      </c>
      <c r="E12" s="172" t="s">
        <v>298</v>
      </c>
      <c r="F12" s="105">
        <v>447149</v>
      </c>
    </row>
    <row r="13" spans="1:6" s="193" customFormat="1" ht="24">
      <c r="A13" s="3">
        <v>801</v>
      </c>
      <c r="B13" s="311">
        <v>80103</v>
      </c>
      <c r="C13" s="4">
        <v>2540</v>
      </c>
      <c r="D13" s="194" t="s">
        <v>299</v>
      </c>
      <c r="E13" s="172" t="s">
        <v>300</v>
      </c>
      <c r="F13" s="105">
        <v>61433</v>
      </c>
    </row>
    <row r="14" spans="1:6" s="193" customFormat="1" ht="19.5" customHeight="1">
      <c r="A14" s="3">
        <v>801</v>
      </c>
      <c r="B14" s="311">
        <v>80110</v>
      </c>
      <c r="C14" s="4">
        <v>2590</v>
      </c>
      <c r="D14" s="194" t="s">
        <v>392</v>
      </c>
      <c r="E14" s="312" t="s">
        <v>393</v>
      </c>
      <c r="F14" s="105">
        <v>101210</v>
      </c>
    </row>
    <row r="15" spans="1:6" s="192" customFormat="1" ht="19.5" customHeight="1">
      <c r="A15" s="357" t="s">
        <v>354</v>
      </c>
      <c r="B15" s="357"/>
      <c r="C15" s="357"/>
      <c r="D15" s="357"/>
      <c r="E15" s="191"/>
      <c r="F15" s="21">
        <f>SUM(F16:F19)</f>
        <v>2502522</v>
      </c>
    </row>
    <row r="16" spans="1:6" s="193" customFormat="1" ht="19.5" customHeight="1">
      <c r="A16" s="3" t="s">
        <v>65</v>
      </c>
      <c r="B16" s="4">
        <v>92109</v>
      </c>
      <c r="C16" s="5">
        <v>2480</v>
      </c>
      <c r="D16" s="172" t="s">
        <v>301</v>
      </c>
      <c r="E16" s="172" t="s">
        <v>302</v>
      </c>
      <c r="F16" s="105">
        <v>725435</v>
      </c>
    </row>
    <row r="17" spans="1:6" s="193" customFormat="1" ht="24">
      <c r="A17" s="3">
        <v>921</v>
      </c>
      <c r="B17" s="3" t="s">
        <v>66</v>
      </c>
      <c r="C17" s="5">
        <v>2480</v>
      </c>
      <c r="D17" s="172" t="s">
        <v>303</v>
      </c>
      <c r="E17" s="172" t="s">
        <v>302</v>
      </c>
      <c r="F17" s="105">
        <v>1031087</v>
      </c>
    </row>
    <row r="18" spans="1:6" s="193" customFormat="1" ht="24">
      <c r="A18" s="3">
        <v>921</v>
      </c>
      <c r="B18" s="3" t="s">
        <v>66</v>
      </c>
      <c r="C18" s="5">
        <v>2480</v>
      </c>
      <c r="D18" s="172" t="s">
        <v>303</v>
      </c>
      <c r="E18" s="172" t="s">
        <v>304</v>
      </c>
      <c r="F18" s="310">
        <v>60000</v>
      </c>
    </row>
    <row r="19" spans="1:6" s="193" customFormat="1" ht="19.5" customHeight="1">
      <c r="A19" s="3">
        <v>921</v>
      </c>
      <c r="B19" s="3" t="s">
        <v>144</v>
      </c>
      <c r="C19" s="4">
        <v>2480</v>
      </c>
      <c r="D19" s="22" t="s">
        <v>305</v>
      </c>
      <c r="E19" s="172" t="s">
        <v>302</v>
      </c>
      <c r="F19" s="105">
        <v>686000</v>
      </c>
    </row>
    <row r="20" spans="1:6" s="192" customFormat="1" ht="19.5" customHeight="1">
      <c r="A20" s="357" t="s">
        <v>442</v>
      </c>
      <c r="B20" s="357"/>
      <c r="C20" s="357"/>
      <c r="D20" s="357"/>
      <c r="E20" s="191"/>
      <c r="F20" s="21">
        <f>SUM(F21:F26)</f>
        <v>467650</v>
      </c>
    </row>
    <row r="21" spans="1:6" s="302" customFormat="1" ht="19.5" customHeight="1">
      <c r="A21" s="313">
        <v>754</v>
      </c>
      <c r="B21" s="313">
        <v>75412</v>
      </c>
      <c r="C21" s="313">
        <v>2820</v>
      </c>
      <c r="D21" s="314" t="s">
        <v>443</v>
      </c>
      <c r="E21" s="315" t="s">
        <v>448</v>
      </c>
      <c r="F21" s="316">
        <v>10000</v>
      </c>
    </row>
    <row r="22" spans="1:6" s="319" customFormat="1" ht="19.5" customHeight="1">
      <c r="A22" s="317">
        <v>851</v>
      </c>
      <c r="B22" s="317">
        <v>85154</v>
      </c>
      <c r="C22" s="317">
        <v>2630</v>
      </c>
      <c r="D22" s="314" t="s">
        <v>306</v>
      </c>
      <c r="E22" s="318" t="s">
        <v>319</v>
      </c>
      <c r="F22" s="295">
        <v>60000</v>
      </c>
    </row>
    <row r="23" spans="1:6" s="319" customFormat="1" ht="12.75">
      <c r="A23" s="317">
        <v>851</v>
      </c>
      <c r="B23" s="317">
        <v>85154</v>
      </c>
      <c r="C23" s="317">
        <v>2630</v>
      </c>
      <c r="D23" s="314" t="s">
        <v>306</v>
      </c>
      <c r="E23" s="318" t="s">
        <v>307</v>
      </c>
      <c r="F23" s="295">
        <v>10000</v>
      </c>
    </row>
    <row r="24" spans="1:6" s="321" customFormat="1" ht="19.5" customHeight="1">
      <c r="A24" s="317">
        <v>854</v>
      </c>
      <c r="B24" s="317">
        <v>85412</v>
      </c>
      <c r="C24" s="317">
        <v>2630</v>
      </c>
      <c r="D24" s="314" t="s">
        <v>306</v>
      </c>
      <c r="E24" s="318" t="s">
        <v>308</v>
      </c>
      <c r="F24" s="320">
        <v>65000</v>
      </c>
    </row>
    <row r="25" spans="1:6" s="321" customFormat="1" ht="19.5" customHeight="1">
      <c r="A25" s="317">
        <v>926</v>
      </c>
      <c r="B25" s="317">
        <v>92605</v>
      </c>
      <c r="C25" s="317">
        <v>2630</v>
      </c>
      <c r="D25" s="314" t="s">
        <v>306</v>
      </c>
      <c r="E25" s="318" t="s">
        <v>69</v>
      </c>
      <c r="F25" s="320">
        <v>300000</v>
      </c>
    </row>
    <row r="26" spans="1:6" s="321" customFormat="1" ht="32.25" customHeight="1">
      <c r="A26" s="317">
        <v>921</v>
      </c>
      <c r="B26" s="317">
        <v>92120</v>
      </c>
      <c r="C26" s="317">
        <v>2720</v>
      </c>
      <c r="D26" s="322" t="s">
        <v>441</v>
      </c>
      <c r="E26" s="322" t="s">
        <v>475</v>
      </c>
      <c r="F26" s="323">
        <v>22650</v>
      </c>
    </row>
    <row r="27" spans="1:6" s="140" customFormat="1" ht="19.5" customHeight="1">
      <c r="A27" s="356" t="s">
        <v>355</v>
      </c>
      <c r="B27" s="356"/>
      <c r="C27" s="356"/>
      <c r="D27" s="356"/>
      <c r="E27" s="231"/>
      <c r="F27" s="230">
        <f>SUM(F28:F29)</f>
        <v>227851</v>
      </c>
    </row>
    <row r="28" spans="1:6" s="193" customFormat="1" ht="12">
      <c r="A28" s="324">
        <v>854</v>
      </c>
      <c r="B28" s="324">
        <v>85495</v>
      </c>
      <c r="C28" s="324">
        <v>2320</v>
      </c>
      <c r="D28" s="172" t="s">
        <v>309</v>
      </c>
      <c r="E28" s="325" t="s">
        <v>310</v>
      </c>
      <c r="F28" s="326">
        <v>199150</v>
      </c>
    </row>
    <row r="29" spans="1:6" s="195" customFormat="1" ht="19.5" customHeight="1">
      <c r="A29" s="324">
        <v>854</v>
      </c>
      <c r="B29" s="324">
        <v>85495</v>
      </c>
      <c r="C29" s="324">
        <v>2320</v>
      </c>
      <c r="D29" s="172" t="s">
        <v>311</v>
      </c>
      <c r="E29" s="172" t="s">
        <v>312</v>
      </c>
      <c r="F29" s="73">
        <v>28701</v>
      </c>
    </row>
    <row r="30" spans="1:6" s="195" customFormat="1" ht="19.5" customHeight="1">
      <c r="A30" s="358" t="s">
        <v>445</v>
      </c>
      <c r="B30" s="359"/>
      <c r="C30" s="359"/>
      <c r="D30" s="359"/>
      <c r="E30" s="194"/>
      <c r="F30" s="52">
        <f>SUM(F31)</f>
        <v>10800</v>
      </c>
    </row>
    <row r="31" spans="1:6" s="195" customFormat="1" ht="19.5" customHeight="1">
      <c r="A31" s="324">
        <v>853</v>
      </c>
      <c r="B31" s="324">
        <v>85311</v>
      </c>
      <c r="C31" s="324">
        <v>2710</v>
      </c>
      <c r="D31" s="172" t="s">
        <v>311</v>
      </c>
      <c r="E31" s="194" t="s">
        <v>444</v>
      </c>
      <c r="F31" s="73">
        <v>10800</v>
      </c>
    </row>
    <row r="32" spans="1:6" s="183" customFormat="1" ht="19.5" customHeight="1">
      <c r="A32" s="352" t="s">
        <v>70</v>
      </c>
      <c r="B32" s="353"/>
      <c r="C32" s="353"/>
      <c r="D32" s="353"/>
      <c r="E32" s="354"/>
      <c r="F32" s="55">
        <f>SUM(F27,F20,F15,F11,F8,F30)</f>
        <v>7187350</v>
      </c>
    </row>
  </sheetData>
  <sheetProtection/>
  <mergeCells count="9">
    <mergeCell ref="A8:D8"/>
    <mergeCell ref="A5:F5"/>
    <mergeCell ref="A32:E32"/>
    <mergeCell ref="A6:F6"/>
    <mergeCell ref="A27:D27"/>
    <mergeCell ref="A20:D20"/>
    <mergeCell ref="A15:D15"/>
    <mergeCell ref="A30:D30"/>
    <mergeCell ref="A11:D11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G51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9" customWidth="1"/>
    <col min="2" max="2" width="7.25390625" style="9" bestFit="1" customWidth="1"/>
    <col min="3" max="3" width="5.75390625" style="9" customWidth="1"/>
    <col min="4" max="4" width="46.375" style="9" customWidth="1"/>
    <col min="5" max="5" width="19.75390625" style="0" customWidth="1"/>
    <col min="6" max="6" width="11.75390625" style="0" bestFit="1" customWidth="1"/>
  </cols>
  <sheetData>
    <row r="1" spans="5:6" ht="12.75">
      <c r="E1" s="76" t="s">
        <v>242</v>
      </c>
      <c r="F1" s="134"/>
    </row>
    <row r="2" spans="4:6" ht="12.75">
      <c r="D2" s="9" t="s">
        <v>230</v>
      </c>
      <c r="E2" s="76" t="s">
        <v>249</v>
      </c>
      <c r="F2" s="134"/>
    </row>
    <row r="3" spans="4:6" ht="12.75">
      <c r="D3" s="9" t="s">
        <v>228</v>
      </c>
      <c r="E3" s="76" t="s">
        <v>155</v>
      </c>
      <c r="F3" s="134"/>
    </row>
    <row r="4" spans="5:6" ht="12.75">
      <c r="E4" s="76" t="s">
        <v>250</v>
      </c>
      <c r="F4" s="134"/>
    </row>
    <row r="5" spans="1:6" ht="44.25" customHeight="1">
      <c r="A5" s="351" t="s">
        <v>338</v>
      </c>
      <c r="B5" s="351"/>
      <c r="C5" s="351"/>
      <c r="D5" s="351"/>
      <c r="E5" s="351"/>
      <c r="F5" s="134"/>
    </row>
    <row r="6" spans="1:6" s="9" customFormat="1" ht="24.75" customHeight="1">
      <c r="A6" s="14" t="s">
        <v>0</v>
      </c>
      <c r="B6" s="14" t="s">
        <v>1</v>
      </c>
      <c r="C6" s="14" t="s">
        <v>2</v>
      </c>
      <c r="D6" s="20" t="s">
        <v>3</v>
      </c>
      <c r="E6" s="127" t="s">
        <v>147</v>
      </c>
      <c r="F6" s="75"/>
    </row>
    <row r="7" spans="1:6" s="32" customFormat="1" ht="21" customHeight="1">
      <c r="A7" s="43" t="s">
        <v>15</v>
      </c>
      <c r="B7" s="6"/>
      <c r="C7" s="28"/>
      <c r="D7" s="41" t="s">
        <v>16</v>
      </c>
      <c r="E7" s="55">
        <f>SUM(E8)</f>
        <v>156600</v>
      </c>
      <c r="F7" s="138"/>
    </row>
    <row r="8" spans="1:6" s="32" customFormat="1" ht="21" customHeight="1">
      <c r="A8" s="93"/>
      <c r="B8" s="93">
        <v>75011</v>
      </c>
      <c r="C8" s="100"/>
      <c r="D8" s="97" t="s">
        <v>17</v>
      </c>
      <c r="E8" s="112">
        <f>SUM(E9:E13)</f>
        <v>156600</v>
      </c>
      <c r="F8" s="138"/>
    </row>
    <row r="9" spans="1:6" s="32" customFormat="1" ht="21" customHeight="1">
      <c r="A9" s="93"/>
      <c r="B9" s="66"/>
      <c r="C9" s="94">
        <v>4010</v>
      </c>
      <c r="D9" s="97" t="s">
        <v>87</v>
      </c>
      <c r="E9" s="112">
        <v>112525</v>
      </c>
      <c r="F9" s="138"/>
    </row>
    <row r="10" spans="1:6" s="32" customFormat="1" ht="21" customHeight="1">
      <c r="A10" s="93"/>
      <c r="B10" s="66"/>
      <c r="C10" s="94">
        <v>4040</v>
      </c>
      <c r="D10" s="97" t="s">
        <v>88</v>
      </c>
      <c r="E10" s="112">
        <v>19000</v>
      </c>
      <c r="F10" s="138"/>
    </row>
    <row r="11" spans="1:6" s="32" customFormat="1" ht="21" customHeight="1">
      <c r="A11" s="93"/>
      <c r="B11" s="66"/>
      <c r="C11" s="94">
        <v>4110</v>
      </c>
      <c r="D11" s="97" t="s">
        <v>89</v>
      </c>
      <c r="E11" s="112">
        <v>13626</v>
      </c>
      <c r="F11" s="138"/>
    </row>
    <row r="12" spans="1:6" s="32" customFormat="1" ht="21" customHeight="1">
      <c r="A12" s="93"/>
      <c r="B12" s="66"/>
      <c r="C12" s="94">
        <v>4120</v>
      </c>
      <c r="D12" s="97" t="s">
        <v>90</v>
      </c>
      <c r="E12" s="112">
        <v>2186</v>
      </c>
      <c r="F12" s="138"/>
    </row>
    <row r="13" spans="1:6" s="32" customFormat="1" ht="21" customHeight="1">
      <c r="A13" s="93"/>
      <c r="B13" s="66"/>
      <c r="C13" s="95">
        <v>4440</v>
      </c>
      <c r="D13" s="97" t="s">
        <v>91</v>
      </c>
      <c r="E13" s="112">
        <v>9263</v>
      </c>
      <c r="F13" s="138"/>
    </row>
    <row r="14" spans="1:6" s="32" customFormat="1" ht="24">
      <c r="A14" s="43">
        <v>751</v>
      </c>
      <c r="B14" s="6"/>
      <c r="C14" s="28"/>
      <c r="D14" s="41" t="s">
        <v>20</v>
      </c>
      <c r="E14" s="55">
        <f>E15</f>
        <v>3910</v>
      </c>
      <c r="F14" s="138"/>
    </row>
    <row r="15" spans="1:6" s="32" customFormat="1" ht="22.5">
      <c r="A15" s="66"/>
      <c r="B15" s="93">
        <v>75101</v>
      </c>
      <c r="C15" s="100"/>
      <c r="D15" s="97" t="s">
        <v>21</v>
      </c>
      <c r="E15" s="112">
        <f>SUM(E16:E19)</f>
        <v>3910</v>
      </c>
      <c r="F15" s="138"/>
    </row>
    <row r="16" spans="1:6" s="32" customFormat="1" ht="21" customHeight="1">
      <c r="A16" s="66"/>
      <c r="B16" s="93"/>
      <c r="C16" s="94">
        <v>4210</v>
      </c>
      <c r="D16" s="97" t="s">
        <v>95</v>
      </c>
      <c r="E16" s="112">
        <v>1410</v>
      </c>
      <c r="F16" s="138"/>
    </row>
    <row r="17" spans="1:6" s="32" customFormat="1" ht="22.5">
      <c r="A17" s="66"/>
      <c r="B17" s="93"/>
      <c r="C17" s="94">
        <v>4700</v>
      </c>
      <c r="D17" s="50" t="s">
        <v>323</v>
      </c>
      <c r="E17" s="112">
        <v>500</v>
      </c>
      <c r="F17" s="138"/>
    </row>
    <row r="18" spans="1:6" s="32" customFormat="1" ht="22.5">
      <c r="A18" s="66"/>
      <c r="B18" s="93"/>
      <c r="C18" s="94">
        <v>4740</v>
      </c>
      <c r="D18" s="50" t="s">
        <v>254</v>
      </c>
      <c r="E18" s="112">
        <v>1000</v>
      </c>
      <c r="F18" s="138"/>
    </row>
    <row r="19" spans="1:6" s="32" customFormat="1" ht="21" customHeight="1">
      <c r="A19" s="66"/>
      <c r="B19" s="93"/>
      <c r="C19" s="94">
        <v>4750</v>
      </c>
      <c r="D19" s="50" t="s">
        <v>347</v>
      </c>
      <c r="E19" s="112">
        <v>1000</v>
      </c>
      <c r="F19" s="138"/>
    </row>
    <row r="20" spans="1:215" s="32" customFormat="1" ht="21" customHeight="1">
      <c r="A20" s="43">
        <v>852</v>
      </c>
      <c r="B20" s="6"/>
      <c r="C20" s="28"/>
      <c r="D20" s="41" t="s">
        <v>199</v>
      </c>
      <c r="E20" s="55">
        <f>SUM(E21,E28,E30,)</f>
        <v>7006200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</row>
    <row r="21" spans="1:215" s="32" customFormat="1" ht="33.75">
      <c r="A21" s="117"/>
      <c r="B21" s="66">
        <v>85212</v>
      </c>
      <c r="C21" s="99"/>
      <c r="D21" s="97" t="s">
        <v>247</v>
      </c>
      <c r="E21" s="112">
        <f>SUM(E22:E27)</f>
        <v>6479100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</row>
    <row r="22" spans="1:215" s="32" customFormat="1" ht="21" customHeight="1">
      <c r="A22" s="117"/>
      <c r="B22" s="66"/>
      <c r="C22" s="99">
        <v>3110</v>
      </c>
      <c r="D22" s="97" t="s">
        <v>115</v>
      </c>
      <c r="E22" s="91">
        <f>6284727-51000</f>
        <v>6233727</v>
      </c>
      <c r="F22" s="279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</row>
    <row r="23" spans="1:215" s="32" customFormat="1" ht="21" customHeight="1">
      <c r="A23" s="117"/>
      <c r="B23" s="66"/>
      <c r="C23" s="66">
        <v>4010</v>
      </c>
      <c r="D23" s="16" t="s">
        <v>87</v>
      </c>
      <c r="E23" s="91">
        <v>153581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</row>
    <row r="24" spans="1:215" s="32" customFormat="1" ht="21" customHeight="1">
      <c r="A24" s="117"/>
      <c r="B24" s="66"/>
      <c r="C24" s="66">
        <v>4040</v>
      </c>
      <c r="D24" s="16" t="s">
        <v>88</v>
      </c>
      <c r="E24" s="91">
        <v>12000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</row>
    <row r="25" spans="1:215" s="32" customFormat="1" ht="21" customHeight="1">
      <c r="A25" s="117"/>
      <c r="B25" s="66"/>
      <c r="C25" s="66">
        <v>4110</v>
      </c>
      <c r="D25" s="16" t="s">
        <v>89</v>
      </c>
      <c r="E25" s="91">
        <f>20612+51000</f>
        <v>71612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</row>
    <row r="26" spans="1:215" s="32" customFormat="1" ht="21" customHeight="1">
      <c r="A26" s="117"/>
      <c r="B26" s="66"/>
      <c r="C26" s="66">
        <v>4120</v>
      </c>
      <c r="D26" s="16" t="s">
        <v>90</v>
      </c>
      <c r="E26" s="91">
        <v>3305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</row>
    <row r="27" spans="1:215" s="32" customFormat="1" ht="21" customHeight="1">
      <c r="A27" s="117"/>
      <c r="B27" s="66"/>
      <c r="C27" s="66">
        <v>4440</v>
      </c>
      <c r="D27" s="16" t="s">
        <v>91</v>
      </c>
      <c r="E27" s="91">
        <v>4875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</row>
    <row r="28" spans="1:215" s="32" customFormat="1" ht="45">
      <c r="A28" s="93"/>
      <c r="B28" s="66">
        <v>85213</v>
      </c>
      <c r="C28" s="100"/>
      <c r="D28" s="97" t="s">
        <v>449</v>
      </c>
      <c r="E28" s="112">
        <f>SUM(E29)</f>
        <v>59100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</row>
    <row r="29" spans="1:215" s="32" customFormat="1" ht="21" customHeight="1">
      <c r="A29" s="93"/>
      <c r="B29" s="66"/>
      <c r="C29" s="100">
        <v>4130</v>
      </c>
      <c r="D29" s="97" t="s">
        <v>123</v>
      </c>
      <c r="E29" s="112">
        <v>59100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</row>
    <row r="30" spans="1:215" s="82" customFormat="1" ht="22.5">
      <c r="A30" s="87"/>
      <c r="B30" s="87">
        <v>85214</v>
      </c>
      <c r="C30" s="88"/>
      <c r="D30" s="86" t="s">
        <v>224</v>
      </c>
      <c r="E30" s="114">
        <f>SUM(E31:E32)</f>
        <v>468000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</row>
    <row r="31" spans="1:215" s="82" customFormat="1" ht="21" customHeight="1">
      <c r="A31" s="87"/>
      <c r="B31" s="106"/>
      <c r="C31" s="88">
        <v>3110</v>
      </c>
      <c r="D31" s="86" t="s">
        <v>115</v>
      </c>
      <c r="E31" s="114">
        <v>466900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</row>
    <row r="32" spans="1:215" s="82" customFormat="1" ht="21" customHeight="1">
      <c r="A32" s="87"/>
      <c r="B32" s="106"/>
      <c r="C32" s="106">
        <v>4110</v>
      </c>
      <c r="D32" s="16" t="s">
        <v>89</v>
      </c>
      <c r="E32" s="114">
        <v>1100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</row>
    <row r="33" spans="1:215" ht="21" customHeight="1">
      <c r="A33" s="12"/>
      <c r="B33" s="12"/>
      <c r="C33" s="12"/>
      <c r="D33" s="20" t="s">
        <v>70</v>
      </c>
      <c r="E33" s="55">
        <f>SUM(E20,E14,E7,)</f>
        <v>7166710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</row>
    <row r="35" ht="12.75">
      <c r="E35" s="32"/>
    </row>
    <row r="36" ht="12.75">
      <c r="E36" s="149"/>
    </row>
    <row r="37" spans="5:6" ht="12.75">
      <c r="E37" s="32"/>
      <c r="F37" s="68"/>
    </row>
    <row r="38" spans="5:6" ht="12.75">
      <c r="E38" s="149"/>
      <c r="F38" s="68"/>
    </row>
    <row r="39" spans="5:6" ht="12.75">
      <c r="E39" s="32"/>
      <c r="F39" s="68"/>
    </row>
    <row r="40" spans="5:6" ht="12.75">
      <c r="E40" s="149"/>
      <c r="F40" s="68"/>
    </row>
    <row r="41" spans="5:6" ht="12.75">
      <c r="E41" s="32"/>
      <c r="F41" s="237"/>
    </row>
    <row r="42" spans="5:6" ht="12.75">
      <c r="E42" s="149"/>
      <c r="F42" s="68"/>
    </row>
    <row r="43" ht="12.75">
      <c r="E43" s="149"/>
    </row>
    <row r="44" ht="12.75">
      <c r="E44" s="32"/>
    </row>
    <row r="45" ht="12.75">
      <c r="E45" s="32"/>
    </row>
    <row r="46" ht="12.75">
      <c r="E46" s="149"/>
    </row>
    <row r="47" ht="12.75">
      <c r="E47" s="32"/>
    </row>
    <row r="48" ht="12.75">
      <c r="E48" s="32"/>
    </row>
    <row r="49" ht="12.75">
      <c r="E49" s="32"/>
    </row>
    <row r="50" ht="12.75">
      <c r="E50" s="32"/>
    </row>
    <row r="51" ht="12.75">
      <c r="E51" s="32"/>
    </row>
  </sheetData>
  <sheetProtection/>
  <mergeCells count="1">
    <mergeCell ref="A5:E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73">
      <selection activeCell="H11" sqref="H11"/>
    </sheetView>
  </sheetViews>
  <sheetFormatPr defaultColWidth="9.00390625" defaultRowHeight="12.75"/>
  <cols>
    <col min="1" max="1" width="6.25390625" style="9" customWidth="1"/>
    <col min="2" max="2" width="8.625" style="9" customWidth="1"/>
    <col min="3" max="3" width="5.75390625" style="9" customWidth="1"/>
    <col min="4" max="4" width="52.00390625" style="9" customWidth="1"/>
    <col min="5" max="5" width="17.125" style="0" bestFit="1" customWidth="1"/>
  </cols>
  <sheetData>
    <row r="1" ht="12.75">
      <c r="E1" s="76" t="s">
        <v>260</v>
      </c>
    </row>
    <row r="2" ht="12.75">
      <c r="E2" s="76" t="s">
        <v>249</v>
      </c>
    </row>
    <row r="3" ht="12.75">
      <c r="E3" s="76" t="s">
        <v>155</v>
      </c>
    </row>
    <row r="4" ht="12.75">
      <c r="E4" s="76" t="s">
        <v>250</v>
      </c>
    </row>
    <row r="5" spans="1:4" ht="17.25" customHeight="1">
      <c r="A5" s="360" t="s">
        <v>351</v>
      </c>
      <c r="B5" s="360"/>
      <c r="C5" s="360"/>
      <c r="D5" s="360"/>
    </row>
    <row r="6" spans="1:5" s="9" customFormat="1" ht="24" customHeight="1">
      <c r="A6" s="7" t="s">
        <v>0</v>
      </c>
      <c r="B6" s="6" t="s">
        <v>1</v>
      </c>
      <c r="C6" s="28" t="s">
        <v>2</v>
      </c>
      <c r="D6" s="6" t="s">
        <v>3</v>
      </c>
      <c r="E6" s="127" t="s">
        <v>147</v>
      </c>
    </row>
    <row r="7" spans="1:5" s="8" customFormat="1" ht="21" customHeight="1">
      <c r="A7" s="40" t="s">
        <v>77</v>
      </c>
      <c r="B7" s="6"/>
      <c r="C7" s="28"/>
      <c r="D7" s="26" t="s">
        <v>78</v>
      </c>
      <c r="E7" s="52">
        <f>E8</f>
        <v>5160920</v>
      </c>
    </row>
    <row r="8" spans="1:5" s="32" customFormat="1" ht="21" customHeight="1">
      <c r="A8" s="92"/>
      <c r="B8" s="93" t="s">
        <v>79</v>
      </c>
      <c r="C8" s="100"/>
      <c r="D8" s="16" t="s">
        <v>80</v>
      </c>
      <c r="E8" s="73">
        <f>SUM(E9,E23)</f>
        <v>5160920</v>
      </c>
    </row>
    <row r="9" spans="1:5" s="32" customFormat="1" ht="21" customHeight="1">
      <c r="A9" s="98"/>
      <c r="B9" s="66"/>
      <c r="C9" s="100">
        <v>6050</v>
      </c>
      <c r="D9" s="16" t="s">
        <v>76</v>
      </c>
      <c r="E9" s="73">
        <f>SUM(E10:E22)</f>
        <v>5145920</v>
      </c>
    </row>
    <row r="10" spans="1:5" s="36" customFormat="1" ht="21" customHeight="1">
      <c r="A10" s="59"/>
      <c r="B10" s="60"/>
      <c r="C10" s="61"/>
      <c r="D10" s="64" t="s">
        <v>388</v>
      </c>
      <c r="E10" s="115">
        <v>14120</v>
      </c>
    </row>
    <row r="11" spans="1:5" s="36" customFormat="1" ht="21" customHeight="1">
      <c r="A11" s="59"/>
      <c r="B11" s="60"/>
      <c r="C11" s="61"/>
      <c r="D11" s="64" t="s">
        <v>389</v>
      </c>
      <c r="E11" s="115">
        <v>3800</v>
      </c>
    </row>
    <row r="12" spans="1:5" s="36" customFormat="1" ht="21" customHeight="1">
      <c r="A12" s="59"/>
      <c r="B12" s="60"/>
      <c r="C12" s="61"/>
      <c r="D12" s="64" t="s">
        <v>390</v>
      </c>
      <c r="E12" s="115">
        <v>18000</v>
      </c>
    </row>
    <row r="13" spans="1:5" s="36" customFormat="1" ht="21" customHeight="1">
      <c r="A13" s="59"/>
      <c r="B13" s="60"/>
      <c r="C13" s="61"/>
      <c r="D13" s="64" t="s">
        <v>407</v>
      </c>
      <c r="E13" s="115">
        <v>190000</v>
      </c>
    </row>
    <row r="14" spans="1:5" s="36" customFormat="1" ht="21" customHeight="1">
      <c r="A14" s="59"/>
      <c r="B14" s="60"/>
      <c r="C14" s="61"/>
      <c r="D14" s="64" t="s">
        <v>408</v>
      </c>
      <c r="E14" s="115">
        <v>810000</v>
      </c>
    </row>
    <row r="15" spans="1:5" s="36" customFormat="1" ht="21" customHeight="1">
      <c r="A15" s="59"/>
      <c r="B15" s="60"/>
      <c r="C15" s="61"/>
      <c r="D15" s="64" t="s">
        <v>487</v>
      </c>
      <c r="E15" s="115">
        <v>1500000</v>
      </c>
    </row>
    <row r="16" spans="1:5" s="36" customFormat="1" ht="21" customHeight="1">
      <c r="A16" s="59"/>
      <c r="B16" s="60"/>
      <c r="C16" s="61"/>
      <c r="D16" s="64" t="s">
        <v>409</v>
      </c>
      <c r="E16" s="115">
        <v>70000</v>
      </c>
    </row>
    <row r="17" spans="1:5" s="36" customFormat="1" ht="21" customHeight="1">
      <c r="A17" s="59"/>
      <c r="B17" s="60"/>
      <c r="C17" s="61"/>
      <c r="D17" s="64" t="s">
        <v>410</v>
      </c>
      <c r="E17" s="115">
        <v>1500000</v>
      </c>
    </row>
    <row r="18" spans="1:5" s="36" customFormat="1" ht="21" customHeight="1">
      <c r="A18" s="59"/>
      <c r="B18" s="60"/>
      <c r="C18" s="61"/>
      <c r="D18" s="64" t="s">
        <v>411</v>
      </c>
      <c r="E18" s="115">
        <v>340000</v>
      </c>
    </row>
    <row r="19" spans="1:5" s="36" customFormat="1" ht="21" customHeight="1">
      <c r="A19" s="59"/>
      <c r="B19" s="60"/>
      <c r="C19" s="61"/>
      <c r="D19" s="64" t="s">
        <v>412</v>
      </c>
      <c r="E19" s="115">
        <v>70000</v>
      </c>
    </row>
    <row r="20" spans="1:5" s="36" customFormat="1" ht="21" customHeight="1">
      <c r="A20" s="59"/>
      <c r="B20" s="60"/>
      <c r="C20" s="61"/>
      <c r="D20" s="64" t="s">
        <v>457</v>
      </c>
      <c r="E20" s="115">
        <v>70000</v>
      </c>
    </row>
    <row r="21" spans="1:5" s="36" customFormat="1" ht="21" customHeight="1">
      <c r="A21" s="59"/>
      <c r="B21" s="60"/>
      <c r="C21" s="61"/>
      <c r="D21" s="64" t="s">
        <v>456</v>
      </c>
      <c r="E21" s="115">
        <v>70000</v>
      </c>
    </row>
    <row r="22" spans="1:5" s="36" customFormat="1" ht="21" customHeight="1">
      <c r="A22" s="59"/>
      <c r="B22" s="60"/>
      <c r="C22" s="61"/>
      <c r="D22" s="64" t="s">
        <v>455</v>
      </c>
      <c r="E22" s="115">
        <v>490000</v>
      </c>
    </row>
    <row r="23" spans="1:5" s="32" customFormat="1" ht="21" customHeight="1">
      <c r="A23" s="98"/>
      <c r="B23" s="66"/>
      <c r="C23" s="100">
        <v>6060</v>
      </c>
      <c r="D23" s="16" t="s">
        <v>99</v>
      </c>
      <c r="E23" s="112">
        <f>SUM(E24)</f>
        <v>15000</v>
      </c>
    </row>
    <row r="24" spans="1:5" s="36" customFormat="1" ht="21" customHeight="1">
      <c r="A24" s="59"/>
      <c r="B24" s="60"/>
      <c r="C24" s="61"/>
      <c r="D24" s="64" t="s">
        <v>391</v>
      </c>
      <c r="E24" s="115">
        <v>15000</v>
      </c>
    </row>
    <row r="25" spans="1:5" s="13" customFormat="1" ht="21" customHeight="1">
      <c r="A25" s="40" t="s">
        <v>8</v>
      </c>
      <c r="B25" s="6"/>
      <c r="C25" s="28"/>
      <c r="D25" s="26" t="s">
        <v>9</v>
      </c>
      <c r="E25" s="21">
        <f>SUM(E30,E26)</f>
        <v>925000</v>
      </c>
    </row>
    <row r="26" spans="1:5" s="276" customFormat="1" ht="21" customHeight="1">
      <c r="A26" s="281"/>
      <c r="B26" s="292">
        <v>70005</v>
      </c>
      <c r="C26" s="303"/>
      <c r="D26" s="50" t="s">
        <v>158</v>
      </c>
      <c r="E26" s="295">
        <f>SUM(E27)</f>
        <v>125000</v>
      </c>
    </row>
    <row r="27" spans="1:5" s="276" customFormat="1" ht="21" customHeight="1">
      <c r="A27" s="281"/>
      <c r="B27" s="292"/>
      <c r="C27" s="303">
        <v>6050</v>
      </c>
      <c r="D27" s="16" t="s">
        <v>76</v>
      </c>
      <c r="E27" s="295">
        <f>SUM(E28:E29)</f>
        <v>125000</v>
      </c>
    </row>
    <row r="28" spans="1:5" s="307" customFormat="1" ht="21" customHeight="1">
      <c r="A28" s="304"/>
      <c r="B28" s="305"/>
      <c r="C28" s="306"/>
      <c r="D28" s="290" t="s">
        <v>476</v>
      </c>
      <c r="E28" s="291">
        <v>65000</v>
      </c>
    </row>
    <row r="29" spans="1:5" s="307" customFormat="1" ht="21" customHeight="1">
      <c r="A29" s="304"/>
      <c r="B29" s="305"/>
      <c r="C29" s="306"/>
      <c r="D29" s="290" t="s">
        <v>454</v>
      </c>
      <c r="E29" s="291">
        <v>60000</v>
      </c>
    </row>
    <row r="30" spans="1:5" s="32" customFormat="1" ht="21" customHeight="1">
      <c r="A30" s="92"/>
      <c r="B30" s="93">
        <v>70095</v>
      </c>
      <c r="C30" s="100"/>
      <c r="D30" s="16" t="s">
        <v>6</v>
      </c>
      <c r="E30" s="105">
        <f>SUM(E31,)</f>
        <v>800000</v>
      </c>
    </row>
    <row r="31" spans="1:5" s="32" customFormat="1" ht="21" customHeight="1">
      <c r="A31" s="92"/>
      <c r="B31" s="93"/>
      <c r="C31" s="94">
        <v>6050</v>
      </c>
      <c r="D31" s="16" t="s">
        <v>76</v>
      </c>
      <c r="E31" s="105">
        <f>SUM(E32:E32)</f>
        <v>800000</v>
      </c>
    </row>
    <row r="32" spans="1:5" s="32" customFormat="1" ht="21" customHeight="1">
      <c r="A32" s="62"/>
      <c r="B32" s="60"/>
      <c r="C32" s="63"/>
      <c r="D32" s="64" t="s">
        <v>413</v>
      </c>
      <c r="E32" s="115">
        <v>800000</v>
      </c>
    </row>
    <row r="33" spans="1:5" s="53" customFormat="1" ht="21" customHeight="1">
      <c r="A33" s="40">
        <v>750</v>
      </c>
      <c r="B33" s="6"/>
      <c r="C33" s="15"/>
      <c r="D33" s="26" t="s">
        <v>86</v>
      </c>
      <c r="E33" s="55">
        <f>E34</f>
        <v>135000</v>
      </c>
    </row>
    <row r="34" spans="1:5" s="32" customFormat="1" ht="21" customHeight="1">
      <c r="A34" s="92"/>
      <c r="B34" s="102" t="s">
        <v>18</v>
      </c>
      <c r="C34" s="106"/>
      <c r="D34" s="50" t="s">
        <v>19</v>
      </c>
      <c r="E34" s="112">
        <f>E35</f>
        <v>135000</v>
      </c>
    </row>
    <row r="35" spans="1:5" s="32" customFormat="1" ht="21" customHeight="1">
      <c r="A35" s="92"/>
      <c r="B35" s="66"/>
      <c r="C35" s="95">
        <v>6060</v>
      </c>
      <c r="D35" s="16" t="s">
        <v>99</v>
      </c>
      <c r="E35" s="112">
        <f>SUM(E36)</f>
        <v>135000</v>
      </c>
    </row>
    <row r="36" spans="1:5" s="36" customFormat="1" ht="21" customHeight="1">
      <c r="A36" s="62"/>
      <c r="B36" s="60"/>
      <c r="C36" s="63"/>
      <c r="D36" s="64" t="s">
        <v>477</v>
      </c>
      <c r="E36" s="115">
        <v>135000</v>
      </c>
    </row>
    <row r="37" spans="1:5" s="53" customFormat="1" ht="21" customHeight="1">
      <c r="A37" s="40">
        <v>758</v>
      </c>
      <c r="B37" s="6"/>
      <c r="C37" s="15"/>
      <c r="D37" s="26" t="s">
        <v>333</v>
      </c>
      <c r="E37" s="55">
        <f>SUM(E38)</f>
        <v>550000</v>
      </c>
    </row>
    <row r="38" spans="1:5" s="32" customFormat="1" ht="21" customHeight="1">
      <c r="A38" s="92"/>
      <c r="B38" s="66">
        <v>75818</v>
      </c>
      <c r="C38" s="95"/>
      <c r="D38" s="16" t="s">
        <v>110</v>
      </c>
      <c r="E38" s="112">
        <f>SUM(E39)</f>
        <v>550000</v>
      </c>
    </row>
    <row r="39" spans="1:5" s="32" customFormat="1" ht="21" customHeight="1">
      <c r="A39" s="92"/>
      <c r="B39" s="66"/>
      <c r="C39" s="95">
        <v>6800</v>
      </c>
      <c r="D39" s="16" t="s">
        <v>332</v>
      </c>
      <c r="E39" s="112">
        <f>SUM(E40:E41)</f>
        <v>550000</v>
      </c>
    </row>
    <row r="40" spans="1:5" s="36" customFormat="1" ht="22.5">
      <c r="A40" s="62"/>
      <c r="B40" s="60"/>
      <c r="C40" s="63"/>
      <c r="D40" s="64" t="s">
        <v>446</v>
      </c>
      <c r="E40" s="115">
        <v>150000</v>
      </c>
    </row>
    <row r="41" spans="1:5" s="36" customFormat="1" ht="21" customHeight="1">
      <c r="A41" s="62"/>
      <c r="B41" s="60"/>
      <c r="C41" s="63"/>
      <c r="D41" s="64" t="s">
        <v>478</v>
      </c>
      <c r="E41" s="115">
        <v>400000</v>
      </c>
    </row>
    <row r="42" spans="1:5" s="53" customFormat="1" ht="21" customHeight="1">
      <c r="A42" s="40">
        <v>801</v>
      </c>
      <c r="B42" s="6"/>
      <c r="C42" s="15"/>
      <c r="D42" s="26" t="s">
        <v>113</v>
      </c>
      <c r="E42" s="21">
        <f>SUM(,E45,E43)</f>
        <v>5820000</v>
      </c>
    </row>
    <row r="43" spans="1:5" s="276" customFormat="1" ht="21" customHeight="1">
      <c r="A43" s="281"/>
      <c r="B43" s="292">
        <v>80101</v>
      </c>
      <c r="C43" s="293"/>
      <c r="D43" s="294" t="s">
        <v>53</v>
      </c>
      <c r="E43" s="295">
        <f>SUM(E44)</f>
        <v>2100000</v>
      </c>
    </row>
    <row r="44" spans="1:5" s="276" customFormat="1" ht="21" customHeight="1">
      <c r="A44" s="281"/>
      <c r="B44" s="292"/>
      <c r="C44" s="290"/>
      <c r="D44" s="290" t="s">
        <v>415</v>
      </c>
      <c r="E44" s="291">
        <v>2100000</v>
      </c>
    </row>
    <row r="45" spans="1:5" s="32" customFormat="1" ht="21" customHeight="1">
      <c r="A45" s="92"/>
      <c r="B45" s="66">
        <v>80110</v>
      </c>
      <c r="C45" s="95"/>
      <c r="D45" s="16" t="s">
        <v>54</v>
      </c>
      <c r="E45" s="105">
        <f>SUM(E46)</f>
        <v>3720000</v>
      </c>
    </row>
    <row r="46" spans="1:5" s="32" customFormat="1" ht="21" customHeight="1">
      <c r="A46" s="92"/>
      <c r="B46" s="66"/>
      <c r="C46" s="95">
        <v>6050</v>
      </c>
      <c r="D46" s="16" t="s">
        <v>76</v>
      </c>
      <c r="E46" s="105">
        <f>SUM(E47:E48)</f>
        <v>3720000</v>
      </c>
    </row>
    <row r="47" spans="1:5" s="36" customFormat="1" ht="21" customHeight="1">
      <c r="A47" s="62"/>
      <c r="B47" s="60"/>
      <c r="C47" s="63"/>
      <c r="D47" s="64" t="s">
        <v>462</v>
      </c>
      <c r="E47" s="65">
        <v>1720000</v>
      </c>
    </row>
    <row r="48" spans="1:5" s="36" customFormat="1" ht="21" customHeight="1">
      <c r="A48" s="62"/>
      <c r="B48" s="60"/>
      <c r="C48" s="63"/>
      <c r="D48" s="64" t="s">
        <v>416</v>
      </c>
      <c r="E48" s="65">
        <v>2000000</v>
      </c>
    </row>
    <row r="49" spans="1:5" s="53" customFormat="1" ht="21" customHeight="1">
      <c r="A49" s="40">
        <v>854</v>
      </c>
      <c r="B49" s="6"/>
      <c r="C49" s="15"/>
      <c r="D49" s="26" t="s">
        <v>61</v>
      </c>
      <c r="E49" s="55">
        <f>SUM(E50,)</f>
        <v>66000</v>
      </c>
    </row>
    <row r="50" spans="1:5" s="32" customFormat="1" ht="22.5">
      <c r="A50" s="92"/>
      <c r="B50" s="66">
        <v>85412</v>
      </c>
      <c r="C50" s="95"/>
      <c r="D50" s="50" t="s">
        <v>168</v>
      </c>
      <c r="E50" s="112">
        <f>SUM(E51)</f>
        <v>66000</v>
      </c>
    </row>
    <row r="51" spans="1:5" s="32" customFormat="1" ht="21" customHeight="1">
      <c r="A51" s="92"/>
      <c r="B51" s="66"/>
      <c r="C51" s="95">
        <v>6050</v>
      </c>
      <c r="D51" s="16" t="s">
        <v>76</v>
      </c>
      <c r="E51" s="112">
        <f>SUM(E52:E53)</f>
        <v>66000</v>
      </c>
    </row>
    <row r="52" spans="1:5" s="36" customFormat="1" ht="21" customHeight="1">
      <c r="A52" s="62"/>
      <c r="B52" s="60"/>
      <c r="C52" s="63"/>
      <c r="D52" s="64" t="s">
        <v>417</v>
      </c>
      <c r="E52" s="115">
        <v>50000</v>
      </c>
    </row>
    <row r="53" spans="1:5" s="36" customFormat="1" ht="22.5">
      <c r="A53" s="62"/>
      <c r="B53" s="60"/>
      <c r="C53" s="331"/>
      <c r="D53" s="290" t="s">
        <v>447</v>
      </c>
      <c r="E53" s="332">
        <v>16000</v>
      </c>
    </row>
    <row r="54" spans="1:5" s="53" customFormat="1" ht="21" customHeight="1">
      <c r="A54" s="40" t="s">
        <v>131</v>
      </c>
      <c r="B54" s="6"/>
      <c r="C54" s="28"/>
      <c r="D54" s="26" t="s">
        <v>63</v>
      </c>
      <c r="E54" s="21">
        <f>SUM(E55,E68,E65)</f>
        <v>3533000</v>
      </c>
    </row>
    <row r="55" spans="1:5" s="32" customFormat="1" ht="21" customHeight="1">
      <c r="A55" s="92"/>
      <c r="B55" s="93" t="s">
        <v>132</v>
      </c>
      <c r="C55" s="100"/>
      <c r="D55" s="16" t="s">
        <v>64</v>
      </c>
      <c r="E55" s="105">
        <f>SUM(E56)</f>
        <v>2470000</v>
      </c>
    </row>
    <row r="56" spans="1:5" s="32" customFormat="1" ht="21" customHeight="1">
      <c r="A56" s="92"/>
      <c r="B56" s="93"/>
      <c r="C56" s="94">
        <v>6050</v>
      </c>
      <c r="D56" s="16" t="s">
        <v>76</v>
      </c>
      <c r="E56" s="112">
        <f>SUM(E57:E64)</f>
        <v>2470000</v>
      </c>
    </row>
    <row r="57" spans="1:5" s="36" customFormat="1" ht="21" customHeight="1">
      <c r="A57" s="62"/>
      <c r="B57" s="119"/>
      <c r="C57" s="129"/>
      <c r="D57" s="67" t="s">
        <v>418</v>
      </c>
      <c r="E57" s="115">
        <v>100000</v>
      </c>
    </row>
    <row r="58" spans="1:5" s="36" customFormat="1" ht="22.5">
      <c r="A58" s="62"/>
      <c r="B58" s="119"/>
      <c r="C58" s="129"/>
      <c r="D58" s="67" t="s">
        <v>419</v>
      </c>
      <c r="E58" s="115">
        <v>800000</v>
      </c>
    </row>
    <row r="59" spans="1:5" s="36" customFormat="1" ht="21" customHeight="1">
      <c r="A59" s="62"/>
      <c r="B59" s="119"/>
      <c r="C59" s="129"/>
      <c r="D59" s="67" t="s">
        <v>420</v>
      </c>
      <c r="E59" s="115">
        <v>290000</v>
      </c>
    </row>
    <row r="60" spans="1:5" s="36" customFormat="1" ht="21" customHeight="1">
      <c r="A60" s="62"/>
      <c r="B60" s="119"/>
      <c r="C60" s="129"/>
      <c r="D60" s="67" t="s">
        <v>421</v>
      </c>
      <c r="E60" s="115">
        <v>350000</v>
      </c>
    </row>
    <row r="61" spans="1:5" s="36" customFormat="1" ht="22.5">
      <c r="A61" s="62"/>
      <c r="B61" s="119"/>
      <c r="C61" s="129"/>
      <c r="D61" s="67" t="s">
        <v>422</v>
      </c>
      <c r="E61" s="115">
        <v>120000</v>
      </c>
    </row>
    <row r="62" spans="1:5" s="36" customFormat="1" ht="22.5">
      <c r="A62" s="62"/>
      <c r="B62" s="119"/>
      <c r="C62" s="129"/>
      <c r="D62" s="67" t="s">
        <v>479</v>
      </c>
      <c r="E62" s="115">
        <v>80000</v>
      </c>
    </row>
    <row r="63" spans="1:5" s="36" customFormat="1" ht="21" customHeight="1">
      <c r="A63" s="62"/>
      <c r="B63" s="119"/>
      <c r="C63" s="129"/>
      <c r="D63" s="67" t="s">
        <v>423</v>
      </c>
      <c r="E63" s="115">
        <v>450000</v>
      </c>
    </row>
    <row r="64" spans="1:5" s="36" customFormat="1" ht="21" customHeight="1">
      <c r="A64" s="62"/>
      <c r="B64" s="119"/>
      <c r="C64" s="129"/>
      <c r="D64" s="67" t="s">
        <v>424</v>
      </c>
      <c r="E64" s="115">
        <v>280000</v>
      </c>
    </row>
    <row r="65" spans="1:5" s="32" customFormat="1" ht="21" customHeight="1">
      <c r="A65" s="92"/>
      <c r="B65" s="93">
        <v>90002</v>
      </c>
      <c r="C65" s="94"/>
      <c r="D65" s="97" t="s">
        <v>425</v>
      </c>
      <c r="E65" s="112">
        <f>SUM(E66)</f>
        <v>90000</v>
      </c>
    </row>
    <row r="66" spans="1:5" s="32" customFormat="1" ht="21" customHeight="1">
      <c r="A66" s="92"/>
      <c r="B66" s="93"/>
      <c r="C66" s="94">
        <v>6050</v>
      </c>
      <c r="D66" s="16" t="s">
        <v>76</v>
      </c>
      <c r="E66" s="112">
        <f>SUM(E67)</f>
        <v>90000</v>
      </c>
    </row>
    <row r="67" spans="1:5" s="36" customFormat="1" ht="21" customHeight="1">
      <c r="A67" s="62"/>
      <c r="B67" s="119"/>
      <c r="C67" s="129"/>
      <c r="D67" s="67" t="s">
        <v>426</v>
      </c>
      <c r="E67" s="115">
        <v>90000</v>
      </c>
    </row>
    <row r="68" spans="1:5" s="32" customFormat="1" ht="21" customHeight="1">
      <c r="A68" s="92"/>
      <c r="B68" s="93" t="s">
        <v>138</v>
      </c>
      <c r="C68" s="100"/>
      <c r="D68" s="16" t="s">
        <v>139</v>
      </c>
      <c r="E68" s="105">
        <f>SUM(E69:E69)</f>
        <v>973000</v>
      </c>
    </row>
    <row r="69" spans="1:5" s="32" customFormat="1" ht="21" customHeight="1">
      <c r="A69" s="92"/>
      <c r="B69" s="66"/>
      <c r="C69" s="94">
        <v>6050</v>
      </c>
      <c r="D69" s="16" t="s">
        <v>76</v>
      </c>
      <c r="E69" s="105">
        <f>SUM(E70:E77)</f>
        <v>973000</v>
      </c>
    </row>
    <row r="70" spans="1:5" s="36" customFormat="1" ht="21" customHeight="1">
      <c r="A70" s="62"/>
      <c r="B70" s="60"/>
      <c r="C70" s="129"/>
      <c r="D70" s="64" t="s">
        <v>427</v>
      </c>
      <c r="E70" s="65">
        <v>115000</v>
      </c>
    </row>
    <row r="71" spans="1:5" s="36" customFormat="1" ht="21" customHeight="1">
      <c r="A71" s="62"/>
      <c r="B71" s="60"/>
      <c r="C71" s="129"/>
      <c r="D71" s="64" t="s">
        <v>428</v>
      </c>
      <c r="E71" s="65">
        <v>65000</v>
      </c>
    </row>
    <row r="72" spans="1:5" s="36" customFormat="1" ht="21" customHeight="1">
      <c r="A72" s="62"/>
      <c r="B72" s="60"/>
      <c r="C72" s="129"/>
      <c r="D72" s="64" t="s">
        <v>429</v>
      </c>
      <c r="E72" s="65">
        <v>520000</v>
      </c>
    </row>
    <row r="73" spans="1:5" s="36" customFormat="1" ht="21" customHeight="1">
      <c r="A73" s="62"/>
      <c r="B73" s="60"/>
      <c r="C73" s="129"/>
      <c r="D73" s="64" t="s">
        <v>430</v>
      </c>
      <c r="E73" s="115">
        <v>20000</v>
      </c>
    </row>
    <row r="74" spans="1:5" s="36" customFormat="1" ht="21" customHeight="1">
      <c r="A74" s="62"/>
      <c r="B74" s="60"/>
      <c r="C74" s="63"/>
      <c r="D74" s="64" t="s">
        <v>431</v>
      </c>
      <c r="E74" s="115">
        <v>50000</v>
      </c>
    </row>
    <row r="75" spans="1:5" s="36" customFormat="1" ht="21" customHeight="1">
      <c r="A75" s="62"/>
      <c r="B75" s="60"/>
      <c r="C75" s="63"/>
      <c r="D75" s="64" t="s">
        <v>432</v>
      </c>
      <c r="E75" s="115">
        <v>23000</v>
      </c>
    </row>
    <row r="76" spans="1:5" s="36" customFormat="1" ht="21" customHeight="1">
      <c r="A76" s="62"/>
      <c r="B76" s="60"/>
      <c r="C76" s="63"/>
      <c r="D76" s="64" t="s">
        <v>458</v>
      </c>
      <c r="E76" s="115">
        <v>50000</v>
      </c>
    </row>
    <row r="77" spans="1:5" s="36" customFormat="1" ht="21" customHeight="1">
      <c r="A77" s="62"/>
      <c r="B77" s="60"/>
      <c r="C77" s="63"/>
      <c r="D77" s="64" t="s">
        <v>459</v>
      </c>
      <c r="E77" s="115">
        <v>130000</v>
      </c>
    </row>
    <row r="78" spans="1:5" s="36" customFormat="1" ht="21" customHeight="1">
      <c r="A78" s="40">
        <v>926</v>
      </c>
      <c r="B78" s="6"/>
      <c r="C78" s="28"/>
      <c r="D78" s="26" t="s">
        <v>68</v>
      </c>
      <c r="E78" s="21">
        <f>SUM(,E79)</f>
        <v>800000</v>
      </c>
    </row>
    <row r="79" spans="1:5" s="32" customFormat="1" ht="21" customHeight="1">
      <c r="A79" s="93"/>
      <c r="B79" s="93">
        <v>92604</v>
      </c>
      <c r="C79" s="93"/>
      <c r="D79" s="164" t="s">
        <v>214</v>
      </c>
      <c r="E79" s="165">
        <f>SUM(E80)</f>
        <v>800000</v>
      </c>
    </row>
    <row r="80" spans="1:5" s="32" customFormat="1" ht="33.75">
      <c r="A80" s="93"/>
      <c r="B80" s="93"/>
      <c r="C80" s="93">
        <v>6010</v>
      </c>
      <c r="D80" s="16" t="s">
        <v>439</v>
      </c>
      <c r="E80" s="165">
        <f>SUM(E81:E81)</f>
        <v>800000</v>
      </c>
    </row>
    <row r="81" spans="1:5" s="36" customFormat="1" ht="21" customHeight="1">
      <c r="A81" s="119"/>
      <c r="B81" s="119"/>
      <c r="C81" s="119"/>
      <c r="D81" s="166" t="s">
        <v>438</v>
      </c>
      <c r="E81" s="167">
        <v>800000</v>
      </c>
    </row>
    <row r="82" spans="1:5" s="9" customFormat="1" ht="21" customHeight="1">
      <c r="A82" s="12"/>
      <c r="B82" s="12"/>
      <c r="C82" s="12"/>
      <c r="D82" s="139" t="s">
        <v>70</v>
      </c>
      <c r="E82" s="71">
        <f>SUM(E78,E54,E49,E42,E33,E25,E7,E37,)</f>
        <v>16989920</v>
      </c>
    </row>
    <row r="85" ht="12.75">
      <c r="E85" s="68"/>
    </row>
    <row r="94" ht="12.75">
      <c r="E94" t="s">
        <v>228</v>
      </c>
    </row>
    <row r="95" ht="12.75">
      <c r="E95" t="s">
        <v>229</v>
      </c>
    </row>
  </sheetData>
  <sheetProtection/>
  <mergeCells count="1">
    <mergeCell ref="A5:D5"/>
  </mergeCells>
  <printOptions horizontalCentered="1"/>
  <pageMargins left="0.33" right="0.4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6.75390625" style="9" customWidth="1"/>
    <col min="2" max="2" width="8.625" style="9" customWidth="1"/>
    <col min="3" max="3" width="5.875" style="9" customWidth="1"/>
    <col min="4" max="4" width="37.625" style="9" customWidth="1"/>
    <col min="5" max="5" width="20.125" style="9" customWidth="1"/>
    <col min="6" max="6" width="11.00390625" style="68" hidden="1" customWidth="1"/>
    <col min="7" max="7" width="11.625" style="68" hidden="1" customWidth="1"/>
    <col min="8" max="8" width="11.25390625" style="0" hidden="1" customWidth="1"/>
  </cols>
  <sheetData>
    <row r="1" spans="5:6" ht="12.75">
      <c r="E1" s="76" t="s">
        <v>243</v>
      </c>
      <c r="F1" s="76"/>
    </row>
    <row r="2" spans="5:6" ht="12.75">
      <c r="E2" s="76" t="s">
        <v>249</v>
      </c>
      <c r="F2" s="76"/>
    </row>
    <row r="3" spans="5:6" ht="12.75">
      <c r="E3" s="76" t="s">
        <v>155</v>
      </c>
      <c r="F3" s="76"/>
    </row>
    <row r="4" spans="5:6" ht="12.75">
      <c r="E4" s="76" t="s">
        <v>250</v>
      </c>
      <c r="F4" s="76"/>
    </row>
    <row r="5" spans="1:6" ht="58.5" customHeight="1">
      <c r="A5" s="361" t="s">
        <v>339</v>
      </c>
      <c r="B5" s="361"/>
      <c r="C5" s="361"/>
      <c r="D5" s="361"/>
      <c r="E5" s="361"/>
      <c r="F5" s="361"/>
    </row>
    <row r="6" spans="1:8" s="9" customFormat="1" ht="24.75" customHeight="1">
      <c r="A6" s="2" t="s">
        <v>0</v>
      </c>
      <c r="B6" s="2" t="s">
        <v>1</v>
      </c>
      <c r="C6" s="2" t="s">
        <v>2</v>
      </c>
      <c r="D6" s="2" t="s">
        <v>3</v>
      </c>
      <c r="E6" s="27" t="s">
        <v>147</v>
      </c>
      <c r="F6" s="24" t="s">
        <v>212</v>
      </c>
      <c r="G6" s="24" t="s">
        <v>213</v>
      </c>
      <c r="H6" s="127" t="s">
        <v>217</v>
      </c>
    </row>
    <row r="7" spans="1:8" s="9" customFormat="1" ht="21" customHeight="1">
      <c r="A7" s="2">
        <v>801</v>
      </c>
      <c r="B7" s="2"/>
      <c r="C7" s="2"/>
      <c r="D7" s="156" t="s">
        <v>113</v>
      </c>
      <c r="E7" s="155">
        <f>SUM(E8)</f>
        <v>4782</v>
      </c>
      <c r="F7" s="24"/>
      <c r="G7" s="24"/>
      <c r="H7" s="127"/>
    </row>
    <row r="8" spans="1:8" s="32" customFormat="1" ht="21" customHeight="1">
      <c r="A8" s="72"/>
      <c r="B8" s="72">
        <v>80101</v>
      </c>
      <c r="C8" s="72"/>
      <c r="D8" s="69" t="s">
        <v>53</v>
      </c>
      <c r="E8" s="214">
        <f>SUM(E9:E11)</f>
        <v>4782</v>
      </c>
      <c r="F8" s="215"/>
      <c r="G8" s="215"/>
      <c r="H8" s="216"/>
    </row>
    <row r="9" spans="1:8" s="32" customFormat="1" ht="21" customHeight="1">
      <c r="A9" s="72"/>
      <c r="B9" s="72"/>
      <c r="C9" s="106">
        <v>4010</v>
      </c>
      <c r="D9" s="50" t="s">
        <v>87</v>
      </c>
      <c r="E9" s="214">
        <v>4050</v>
      </c>
      <c r="F9" s="215"/>
      <c r="G9" s="215"/>
      <c r="H9" s="216"/>
    </row>
    <row r="10" spans="1:8" s="32" customFormat="1" ht="21" customHeight="1">
      <c r="A10" s="72"/>
      <c r="B10" s="72"/>
      <c r="C10" s="106">
        <v>4110</v>
      </c>
      <c r="D10" s="50" t="s">
        <v>89</v>
      </c>
      <c r="E10" s="214">
        <v>630</v>
      </c>
      <c r="F10" s="215"/>
      <c r="G10" s="215"/>
      <c r="H10" s="216"/>
    </row>
    <row r="11" spans="1:8" s="32" customFormat="1" ht="21" customHeight="1">
      <c r="A11" s="72"/>
      <c r="B11" s="72"/>
      <c r="C11" s="106">
        <v>4120</v>
      </c>
      <c r="D11" s="50" t="s">
        <v>90</v>
      </c>
      <c r="E11" s="214">
        <v>102</v>
      </c>
      <c r="F11" s="215"/>
      <c r="G11" s="215"/>
      <c r="H11" s="216"/>
    </row>
    <row r="12" spans="1:8" s="8" customFormat="1" ht="21" customHeight="1">
      <c r="A12" s="43" t="s">
        <v>65</v>
      </c>
      <c r="B12" s="6"/>
      <c r="C12" s="6"/>
      <c r="D12" s="26" t="s">
        <v>71</v>
      </c>
      <c r="E12" s="21">
        <f aca="true" t="shared" si="0" ref="E12:H13">E13</f>
        <v>60000</v>
      </c>
      <c r="F12" s="21">
        <f t="shared" si="0"/>
        <v>0</v>
      </c>
      <c r="G12" s="21">
        <f t="shared" si="0"/>
        <v>0</v>
      </c>
      <c r="H12" s="21">
        <f t="shared" si="0"/>
        <v>60000</v>
      </c>
    </row>
    <row r="13" spans="1:8" s="32" customFormat="1" ht="21" customHeight="1">
      <c r="A13" s="93"/>
      <c r="B13" s="93" t="s">
        <v>66</v>
      </c>
      <c r="C13" s="66"/>
      <c r="D13" s="16" t="s">
        <v>67</v>
      </c>
      <c r="E13" s="105">
        <f t="shared" si="0"/>
        <v>60000</v>
      </c>
      <c r="F13" s="105">
        <f t="shared" si="0"/>
        <v>0</v>
      </c>
      <c r="G13" s="105">
        <f t="shared" si="0"/>
        <v>0</v>
      </c>
      <c r="H13" s="105">
        <f t="shared" si="0"/>
        <v>60000</v>
      </c>
    </row>
    <row r="14" spans="1:8" s="32" customFormat="1" ht="21" customHeight="1">
      <c r="A14" s="93"/>
      <c r="B14" s="93"/>
      <c r="C14" s="66">
        <v>2480</v>
      </c>
      <c r="D14" s="16" t="s">
        <v>143</v>
      </c>
      <c r="E14" s="105">
        <v>60000</v>
      </c>
      <c r="F14" s="112"/>
      <c r="G14" s="112"/>
      <c r="H14" s="112">
        <f>SUM(E14+F14-G14)</f>
        <v>60000</v>
      </c>
    </row>
    <row r="15" spans="1:8" s="8" customFormat="1" ht="21" customHeight="1">
      <c r="A15" s="23"/>
      <c r="B15" s="23"/>
      <c r="C15" s="23"/>
      <c r="D15" s="6" t="s">
        <v>70</v>
      </c>
      <c r="E15" s="21">
        <f>SUM(E7,E12)</f>
        <v>64782</v>
      </c>
      <c r="F15" s="21">
        <f>F12</f>
        <v>0</v>
      </c>
      <c r="G15" s="21">
        <f>G12</f>
        <v>0</v>
      </c>
      <c r="H15" s="21">
        <f>H12</f>
        <v>60000</v>
      </c>
    </row>
    <row r="18" ht="12.75">
      <c r="E18" s="35"/>
    </row>
    <row r="19" ht="12.75">
      <c r="E19" s="35"/>
    </row>
    <row r="20" ht="12.75">
      <c r="E20" s="51"/>
    </row>
    <row r="21" ht="12.75">
      <c r="E21" s="35"/>
    </row>
    <row r="22" ht="12.75">
      <c r="E22" s="35"/>
    </row>
  </sheetData>
  <sheetProtection/>
  <mergeCells count="1">
    <mergeCell ref="A5:F5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6"/>
  <sheetViews>
    <sheetView zoomScalePageLayoutView="0" workbookViewId="0" topLeftCell="A1">
      <selection activeCell="A1" sqref="A1:E242"/>
    </sheetView>
  </sheetViews>
  <sheetFormatPr defaultColWidth="9.00390625" defaultRowHeight="12.75"/>
  <cols>
    <col min="1" max="1" width="7.125" style="0" customWidth="1"/>
    <col min="2" max="2" width="8.25390625" style="0" customWidth="1"/>
    <col min="3" max="3" width="7.25390625" style="0" customWidth="1"/>
    <col min="4" max="4" width="43.375" style="0" customWidth="1"/>
    <col min="5" max="5" width="17.75390625" style="0" customWidth="1"/>
  </cols>
  <sheetData>
    <row r="1" spans="1:5" s="8" customFormat="1" ht="15" customHeight="1">
      <c r="A1" s="238"/>
      <c r="B1" s="239"/>
      <c r="C1" s="239" t="s">
        <v>228</v>
      </c>
      <c r="D1" s="238" t="s">
        <v>360</v>
      </c>
      <c r="E1" s="76" t="s">
        <v>480</v>
      </c>
    </row>
    <row r="2" spans="1:5" s="8" customFormat="1" ht="15" customHeight="1">
      <c r="A2" s="238"/>
      <c r="B2" s="239"/>
      <c r="C2" s="239"/>
      <c r="D2" s="238"/>
      <c r="E2" s="76" t="s">
        <v>249</v>
      </c>
    </row>
    <row r="3" spans="1:5" s="8" customFormat="1" ht="15" customHeight="1">
      <c r="A3" s="238"/>
      <c r="B3" s="239"/>
      <c r="C3" s="239"/>
      <c r="D3" s="238"/>
      <c r="E3" s="76" t="s">
        <v>155</v>
      </c>
    </row>
    <row r="4" spans="1:5" s="8" customFormat="1" ht="15" customHeight="1">
      <c r="A4" s="238"/>
      <c r="B4" s="239"/>
      <c r="C4" s="239"/>
      <c r="D4" s="238"/>
      <c r="E4" s="76" t="s">
        <v>250</v>
      </c>
    </row>
    <row r="5" spans="1:5" ht="18">
      <c r="A5" s="240" t="s">
        <v>387</v>
      </c>
      <c r="B5" s="241"/>
      <c r="C5" s="241"/>
      <c r="D5" s="242"/>
      <c r="E5" s="243"/>
    </row>
    <row r="6" spans="1:5" s="32" customFormat="1" ht="21.75" customHeight="1">
      <c r="A6" s="244" t="s">
        <v>0</v>
      </c>
      <c r="B6" s="244" t="s">
        <v>1</v>
      </c>
      <c r="C6" s="244" t="s">
        <v>2</v>
      </c>
      <c r="D6" s="244" t="s">
        <v>3</v>
      </c>
      <c r="E6" s="245" t="s">
        <v>147</v>
      </c>
    </row>
    <row r="7" spans="1:5" s="9" customFormat="1" ht="21" customHeight="1">
      <c r="A7" s="246" t="s">
        <v>77</v>
      </c>
      <c r="B7" s="247"/>
      <c r="C7" s="247"/>
      <c r="D7" s="248" t="s">
        <v>78</v>
      </c>
      <c r="E7" s="249">
        <f>E8</f>
        <v>129925</v>
      </c>
    </row>
    <row r="8" spans="1:5" s="9" customFormat="1" ht="21" customHeight="1">
      <c r="A8" s="250"/>
      <c r="B8" s="250" t="s">
        <v>79</v>
      </c>
      <c r="C8" s="251"/>
      <c r="D8" s="252" t="s">
        <v>80</v>
      </c>
      <c r="E8" s="249">
        <f>SUM(E9,E22,E31,E35)</f>
        <v>129925</v>
      </c>
    </row>
    <row r="9" spans="1:5" s="32" customFormat="1" ht="21" customHeight="1">
      <c r="A9" s="253"/>
      <c r="B9" s="254"/>
      <c r="C9" s="253">
        <v>4210</v>
      </c>
      <c r="D9" s="255" t="s">
        <v>75</v>
      </c>
      <c r="E9" s="256">
        <f>SUM(E10:E21)</f>
        <v>57205</v>
      </c>
    </row>
    <row r="10" spans="1:5" s="32" customFormat="1" ht="21" customHeight="1">
      <c r="A10" s="257"/>
      <c r="B10" s="257"/>
      <c r="C10" s="253"/>
      <c r="D10" s="258" t="s">
        <v>361</v>
      </c>
      <c r="E10" s="259">
        <v>5480</v>
      </c>
    </row>
    <row r="11" spans="1:5" s="32" customFormat="1" ht="21" customHeight="1">
      <c r="A11" s="257"/>
      <c r="B11" s="257"/>
      <c r="C11" s="253"/>
      <c r="D11" s="258" t="s">
        <v>362</v>
      </c>
      <c r="E11" s="259">
        <v>1000</v>
      </c>
    </row>
    <row r="12" spans="1:5" s="32" customFormat="1" ht="21" customHeight="1">
      <c r="A12" s="257"/>
      <c r="B12" s="257"/>
      <c r="C12" s="253"/>
      <c r="D12" s="258" t="s">
        <v>363</v>
      </c>
      <c r="E12" s="259">
        <v>1100</v>
      </c>
    </row>
    <row r="13" spans="1:5" s="32" customFormat="1" ht="21" customHeight="1">
      <c r="A13" s="257"/>
      <c r="B13" s="257"/>
      <c r="C13" s="253"/>
      <c r="D13" s="258" t="s">
        <v>364</v>
      </c>
      <c r="E13" s="259">
        <v>6240</v>
      </c>
    </row>
    <row r="14" spans="1:5" s="32" customFormat="1" ht="21" customHeight="1">
      <c r="A14" s="257"/>
      <c r="B14" s="257"/>
      <c r="C14" s="253"/>
      <c r="D14" s="258" t="s">
        <v>365</v>
      </c>
      <c r="E14" s="259">
        <v>6000</v>
      </c>
    </row>
    <row r="15" spans="1:5" s="32" customFormat="1" ht="21" customHeight="1">
      <c r="A15" s="257"/>
      <c r="B15" s="257"/>
      <c r="C15" s="253"/>
      <c r="D15" s="258" t="s">
        <v>366</v>
      </c>
      <c r="E15" s="259">
        <v>1000</v>
      </c>
    </row>
    <row r="16" spans="1:5" s="32" customFormat="1" ht="21" customHeight="1">
      <c r="A16" s="257"/>
      <c r="B16" s="257"/>
      <c r="C16" s="253"/>
      <c r="D16" s="258" t="s">
        <v>367</v>
      </c>
      <c r="E16" s="259">
        <v>8745</v>
      </c>
    </row>
    <row r="17" spans="1:5" s="32" customFormat="1" ht="21" customHeight="1">
      <c r="A17" s="257"/>
      <c r="B17" s="257"/>
      <c r="C17" s="253"/>
      <c r="D17" s="258" t="s">
        <v>368</v>
      </c>
      <c r="E17" s="259">
        <v>5180</v>
      </c>
    </row>
    <row r="18" spans="1:5" s="32" customFormat="1" ht="21" customHeight="1">
      <c r="A18" s="257"/>
      <c r="B18" s="257"/>
      <c r="C18" s="253"/>
      <c r="D18" s="258" t="s">
        <v>369</v>
      </c>
      <c r="E18" s="259">
        <v>14500</v>
      </c>
    </row>
    <row r="19" spans="1:5" s="32" customFormat="1" ht="21" customHeight="1">
      <c r="A19" s="257"/>
      <c r="B19" s="257"/>
      <c r="C19" s="253"/>
      <c r="D19" s="258" t="s">
        <v>370</v>
      </c>
      <c r="E19" s="259">
        <v>1440</v>
      </c>
    </row>
    <row r="20" spans="1:5" s="32" customFormat="1" ht="21" customHeight="1">
      <c r="A20" s="257"/>
      <c r="B20" s="257"/>
      <c r="C20" s="253"/>
      <c r="D20" s="258" t="s">
        <v>371</v>
      </c>
      <c r="E20" s="259">
        <v>600</v>
      </c>
    </row>
    <row r="21" spans="1:5" s="32" customFormat="1" ht="21" customHeight="1">
      <c r="A21" s="257"/>
      <c r="B21" s="257"/>
      <c r="C21" s="253"/>
      <c r="D21" s="258" t="s">
        <v>378</v>
      </c>
      <c r="E21" s="259">
        <v>5920</v>
      </c>
    </row>
    <row r="22" spans="1:5" s="32" customFormat="1" ht="21" customHeight="1">
      <c r="A22" s="253"/>
      <c r="B22" s="254"/>
      <c r="C22" s="253">
        <v>4300</v>
      </c>
      <c r="D22" s="255" t="s">
        <v>82</v>
      </c>
      <c r="E22" s="256">
        <f>SUM(E23:E30)</f>
        <v>21800</v>
      </c>
    </row>
    <row r="23" spans="1:5" s="32" customFormat="1" ht="21" customHeight="1">
      <c r="A23" s="257"/>
      <c r="B23" s="257"/>
      <c r="C23" s="257"/>
      <c r="D23" s="258" t="s">
        <v>372</v>
      </c>
      <c r="E23" s="259">
        <v>6000</v>
      </c>
    </row>
    <row r="24" spans="1:5" s="138" customFormat="1" ht="21" customHeight="1">
      <c r="A24" s="260"/>
      <c r="B24" s="260"/>
      <c r="C24" s="260"/>
      <c r="D24" s="261" t="s">
        <v>362</v>
      </c>
      <c r="E24" s="259">
        <v>7000</v>
      </c>
    </row>
    <row r="25" spans="1:5" s="138" customFormat="1" ht="21" customHeight="1">
      <c r="A25" s="260"/>
      <c r="B25" s="260"/>
      <c r="C25" s="260"/>
      <c r="D25" s="261" t="s">
        <v>374</v>
      </c>
      <c r="E25" s="259">
        <v>3000</v>
      </c>
    </row>
    <row r="26" spans="1:5" s="138" customFormat="1" ht="21" customHeight="1">
      <c r="A26" s="260"/>
      <c r="B26" s="260"/>
      <c r="C26" s="260"/>
      <c r="D26" s="261" t="s">
        <v>363</v>
      </c>
      <c r="E26" s="259">
        <v>1000</v>
      </c>
    </row>
    <row r="27" spans="1:5" s="138" customFormat="1" ht="21" customHeight="1">
      <c r="A27" s="260"/>
      <c r="B27" s="260"/>
      <c r="C27" s="260"/>
      <c r="D27" s="261" t="s">
        <v>375</v>
      </c>
      <c r="E27" s="259">
        <v>2000</v>
      </c>
    </row>
    <row r="28" spans="1:5" s="138" customFormat="1" ht="21" customHeight="1">
      <c r="A28" s="260"/>
      <c r="B28" s="260"/>
      <c r="C28" s="260"/>
      <c r="D28" s="261" t="s">
        <v>370</v>
      </c>
      <c r="E28" s="259">
        <v>300</v>
      </c>
    </row>
    <row r="29" spans="1:5" s="138" customFormat="1" ht="21" customHeight="1">
      <c r="A29" s="260"/>
      <c r="B29" s="260"/>
      <c r="C29" s="260"/>
      <c r="D29" s="261" t="s">
        <v>376</v>
      </c>
      <c r="E29" s="259">
        <v>1500</v>
      </c>
    </row>
    <row r="30" spans="1:5" s="138" customFormat="1" ht="21" customHeight="1">
      <c r="A30" s="260"/>
      <c r="B30" s="260"/>
      <c r="C30" s="260"/>
      <c r="D30" s="261" t="s">
        <v>377</v>
      </c>
      <c r="E30" s="259">
        <v>1000</v>
      </c>
    </row>
    <row r="31" spans="1:5" s="32" customFormat="1" ht="21" customHeight="1">
      <c r="A31" s="253"/>
      <c r="B31" s="254"/>
      <c r="C31" s="253">
        <v>6050</v>
      </c>
      <c r="D31" s="255" t="s">
        <v>76</v>
      </c>
      <c r="E31" s="256">
        <f>SUM(E32:E34)</f>
        <v>35920</v>
      </c>
    </row>
    <row r="32" spans="1:5" s="32" customFormat="1" ht="21" customHeight="1">
      <c r="A32" s="257"/>
      <c r="B32" s="257"/>
      <c r="C32" s="257"/>
      <c r="D32" s="258" t="s">
        <v>372</v>
      </c>
      <c r="E32" s="259">
        <v>14120</v>
      </c>
    </row>
    <row r="33" spans="1:5" s="32" customFormat="1" ht="21" customHeight="1">
      <c r="A33" s="257"/>
      <c r="B33" s="257"/>
      <c r="C33" s="257"/>
      <c r="D33" s="258" t="s">
        <v>375</v>
      </c>
      <c r="E33" s="259">
        <v>3800</v>
      </c>
    </row>
    <row r="34" spans="1:5" s="32" customFormat="1" ht="21" customHeight="1">
      <c r="A34" s="257"/>
      <c r="B34" s="257"/>
      <c r="C34" s="257"/>
      <c r="D34" s="258" t="s">
        <v>369</v>
      </c>
      <c r="E34" s="259">
        <v>18000</v>
      </c>
    </row>
    <row r="35" spans="1:5" s="32" customFormat="1" ht="21" customHeight="1">
      <c r="A35" s="253"/>
      <c r="B35" s="254"/>
      <c r="C35" s="253">
        <v>6060</v>
      </c>
      <c r="D35" s="255" t="s">
        <v>99</v>
      </c>
      <c r="E35" s="256">
        <f>SUM(E36:E36)</f>
        <v>15000</v>
      </c>
    </row>
    <row r="36" spans="1:5" s="32" customFormat="1" ht="21" customHeight="1">
      <c r="A36" s="257"/>
      <c r="B36" s="257"/>
      <c r="C36" s="253"/>
      <c r="D36" s="258" t="s">
        <v>363</v>
      </c>
      <c r="E36" s="259">
        <v>15000</v>
      </c>
    </row>
    <row r="37" spans="1:5" s="9" customFormat="1" ht="21" customHeight="1">
      <c r="A37" s="246">
        <v>700</v>
      </c>
      <c r="B37" s="247"/>
      <c r="C37" s="247"/>
      <c r="D37" s="248" t="s">
        <v>9</v>
      </c>
      <c r="E37" s="249">
        <f>SUM(E38)</f>
        <v>580</v>
      </c>
    </row>
    <row r="38" spans="1:5" s="9" customFormat="1" ht="21" customHeight="1">
      <c r="A38" s="251"/>
      <c r="B38" s="250">
        <v>70095</v>
      </c>
      <c r="C38" s="251"/>
      <c r="D38" s="252" t="s">
        <v>6</v>
      </c>
      <c r="E38" s="249">
        <f>SUM(E39,E41)</f>
        <v>580</v>
      </c>
    </row>
    <row r="39" spans="1:5" s="32" customFormat="1" ht="21" customHeight="1">
      <c r="A39" s="254"/>
      <c r="B39" s="253"/>
      <c r="C39" s="253">
        <v>4260</v>
      </c>
      <c r="D39" s="255" t="s">
        <v>98</v>
      </c>
      <c r="E39" s="256">
        <f>SUM(E40)</f>
        <v>500</v>
      </c>
    </row>
    <row r="40" spans="1:5" s="32" customFormat="1" ht="21" customHeight="1">
      <c r="A40" s="257"/>
      <c r="B40" s="257"/>
      <c r="C40" s="257"/>
      <c r="D40" s="258" t="s">
        <v>376</v>
      </c>
      <c r="E40" s="259">
        <v>500</v>
      </c>
    </row>
    <row r="41" spans="1:5" s="32" customFormat="1" ht="21" customHeight="1">
      <c r="A41" s="262"/>
      <c r="B41" s="262"/>
      <c r="C41" s="253">
        <v>4300</v>
      </c>
      <c r="D41" s="255" t="s">
        <v>82</v>
      </c>
      <c r="E41" s="256">
        <f>SUM(E42)</f>
        <v>80</v>
      </c>
    </row>
    <row r="42" spans="1:5" s="32" customFormat="1" ht="21" customHeight="1">
      <c r="A42" s="257"/>
      <c r="B42" s="257"/>
      <c r="C42" s="257"/>
      <c r="D42" s="258" t="s">
        <v>376</v>
      </c>
      <c r="E42" s="259">
        <v>80</v>
      </c>
    </row>
    <row r="43" spans="1:5" s="9" customFormat="1" ht="21" customHeight="1">
      <c r="A43" s="246">
        <v>710</v>
      </c>
      <c r="B43" s="247"/>
      <c r="C43" s="247"/>
      <c r="D43" s="248" t="s">
        <v>83</v>
      </c>
      <c r="E43" s="249">
        <f>SUM(E44)</f>
        <v>500</v>
      </c>
    </row>
    <row r="44" spans="1:5" s="9" customFormat="1" ht="21" customHeight="1">
      <c r="A44" s="251"/>
      <c r="B44" s="250">
        <v>71035</v>
      </c>
      <c r="C44" s="251"/>
      <c r="D44" s="252" t="s">
        <v>14</v>
      </c>
      <c r="E44" s="249">
        <f>SUM(E45,)</f>
        <v>500</v>
      </c>
    </row>
    <row r="45" spans="1:5" s="32" customFormat="1" ht="21" customHeight="1">
      <c r="A45" s="254"/>
      <c r="B45" s="253"/>
      <c r="C45" s="253">
        <v>4260</v>
      </c>
      <c r="D45" s="255" t="s">
        <v>98</v>
      </c>
      <c r="E45" s="256">
        <f>SUM(E46:E47)</f>
        <v>500</v>
      </c>
    </row>
    <row r="46" spans="1:5" s="36" customFormat="1" ht="21" customHeight="1">
      <c r="A46" s="263"/>
      <c r="B46" s="264"/>
      <c r="C46" s="264"/>
      <c r="D46" s="258" t="s">
        <v>372</v>
      </c>
      <c r="E46" s="259">
        <v>200</v>
      </c>
    </row>
    <row r="47" spans="1:5" s="36" customFormat="1" ht="21" customHeight="1">
      <c r="A47" s="257"/>
      <c r="B47" s="257"/>
      <c r="C47" s="257"/>
      <c r="D47" s="258" t="s">
        <v>376</v>
      </c>
      <c r="E47" s="259">
        <v>300</v>
      </c>
    </row>
    <row r="48" spans="1:5" s="9" customFormat="1" ht="21" customHeight="1">
      <c r="A48" s="246" t="s">
        <v>15</v>
      </c>
      <c r="B48" s="247"/>
      <c r="C48" s="247"/>
      <c r="D48" s="248" t="s">
        <v>86</v>
      </c>
      <c r="E48" s="249">
        <f>SUM(E49)</f>
        <v>28480</v>
      </c>
    </row>
    <row r="49" spans="1:5" s="9" customFormat="1" ht="21" customHeight="1">
      <c r="A49" s="251"/>
      <c r="B49" s="250">
        <v>75095</v>
      </c>
      <c r="C49" s="251"/>
      <c r="D49" s="252" t="s">
        <v>6</v>
      </c>
      <c r="E49" s="249">
        <f>SUM(E50,E71)</f>
        <v>28480</v>
      </c>
    </row>
    <row r="50" spans="1:5" s="32" customFormat="1" ht="21" customHeight="1">
      <c r="A50" s="253"/>
      <c r="B50" s="253"/>
      <c r="C50" s="253" t="s">
        <v>379</v>
      </c>
      <c r="D50" s="255" t="s">
        <v>95</v>
      </c>
      <c r="E50" s="256">
        <f>SUM(E51:E70)</f>
        <v>22980</v>
      </c>
    </row>
    <row r="51" spans="1:5" s="32" customFormat="1" ht="21" customHeight="1">
      <c r="A51" s="257"/>
      <c r="B51" s="257"/>
      <c r="C51" s="257"/>
      <c r="D51" s="258" t="s">
        <v>372</v>
      </c>
      <c r="E51" s="259">
        <v>80</v>
      </c>
    </row>
    <row r="52" spans="1:5" s="32" customFormat="1" ht="21" customHeight="1">
      <c r="A52" s="257"/>
      <c r="B52" s="257"/>
      <c r="C52" s="257"/>
      <c r="D52" s="258" t="s">
        <v>373</v>
      </c>
      <c r="E52" s="259">
        <v>1800</v>
      </c>
    </row>
    <row r="53" spans="1:5" s="32" customFormat="1" ht="21" customHeight="1">
      <c r="A53" s="257"/>
      <c r="B53" s="257"/>
      <c r="C53" s="257"/>
      <c r="D53" s="258" t="s">
        <v>361</v>
      </c>
      <c r="E53" s="259">
        <v>880</v>
      </c>
    </row>
    <row r="54" spans="1:5" s="32" customFormat="1" ht="21" customHeight="1">
      <c r="A54" s="257"/>
      <c r="B54" s="257"/>
      <c r="C54" s="257"/>
      <c r="D54" s="258" t="s">
        <v>362</v>
      </c>
      <c r="E54" s="259">
        <v>1500</v>
      </c>
    </row>
    <row r="55" spans="1:5" s="32" customFormat="1" ht="21" customHeight="1">
      <c r="A55" s="257"/>
      <c r="B55" s="257"/>
      <c r="C55" s="257"/>
      <c r="D55" s="258" t="s">
        <v>374</v>
      </c>
      <c r="E55" s="259">
        <v>1800</v>
      </c>
    </row>
    <row r="56" spans="1:5" s="32" customFormat="1" ht="21" customHeight="1">
      <c r="A56" s="257"/>
      <c r="B56" s="257"/>
      <c r="C56" s="257"/>
      <c r="D56" s="258" t="s">
        <v>363</v>
      </c>
      <c r="E56" s="259">
        <v>80</v>
      </c>
    </row>
    <row r="57" spans="1:5" s="32" customFormat="1" ht="21" customHeight="1">
      <c r="A57" s="257"/>
      <c r="B57" s="257"/>
      <c r="C57" s="257"/>
      <c r="D57" s="258" t="s">
        <v>364</v>
      </c>
      <c r="E57" s="259">
        <v>2100</v>
      </c>
    </row>
    <row r="58" spans="1:5" s="32" customFormat="1" ht="21" customHeight="1">
      <c r="A58" s="257"/>
      <c r="B58" s="257"/>
      <c r="C58" s="257"/>
      <c r="D58" s="258" t="s">
        <v>365</v>
      </c>
      <c r="E58" s="259">
        <v>1180</v>
      </c>
    </row>
    <row r="59" spans="1:5" s="32" customFormat="1" ht="21" customHeight="1">
      <c r="A59" s="257"/>
      <c r="B59" s="257"/>
      <c r="C59" s="257"/>
      <c r="D59" s="258" t="s">
        <v>375</v>
      </c>
      <c r="E59" s="259">
        <v>2100</v>
      </c>
    </row>
    <row r="60" spans="1:5" s="32" customFormat="1" ht="21" customHeight="1">
      <c r="A60" s="257"/>
      <c r="B60" s="257"/>
      <c r="C60" s="257"/>
      <c r="D60" s="258" t="s">
        <v>366</v>
      </c>
      <c r="E60" s="259">
        <v>530</v>
      </c>
    </row>
    <row r="61" spans="1:5" s="32" customFormat="1" ht="21" customHeight="1">
      <c r="A61" s="257"/>
      <c r="B61" s="257"/>
      <c r="C61" s="257"/>
      <c r="D61" s="258" t="s">
        <v>367</v>
      </c>
      <c r="E61" s="259">
        <v>2730</v>
      </c>
    </row>
    <row r="62" spans="1:5" s="32" customFormat="1" ht="21" customHeight="1">
      <c r="A62" s="257"/>
      <c r="B62" s="257"/>
      <c r="C62" s="257"/>
      <c r="D62" s="258" t="s">
        <v>368</v>
      </c>
      <c r="E62" s="259">
        <v>80</v>
      </c>
    </row>
    <row r="63" spans="1:5" s="32" customFormat="1" ht="21" customHeight="1">
      <c r="A63" s="257"/>
      <c r="B63" s="257"/>
      <c r="C63" s="257"/>
      <c r="D63" s="258" t="s">
        <v>369</v>
      </c>
      <c r="E63" s="259">
        <v>1400</v>
      </c>
    </row>
    <row r="64" spans="1:5" s="32" customFormat="1" ht="21" customHeight="1">
      <c r="A64" s="257"/>
      <c r="B64" s="257"/>
      <c r="C64" s="257"/>
      <c r="D64" s="258" t="s">
        <v>370</v>
      </c>
      <c r="E64" s="259">
        <v>580</v>
      </c>
    </row>
    <row r="65" spans="1:5" s="32" customFormat="1" ht="21" customHeight="1">
      <c r="A65" s="257"/>
      <c r="B65" s="257"/>
      <c r="C65" s="257"/>
      <c r="D65" s="258" t="s">
        <v>376</v>
      </c>
      <c r="E65" s="259">
        <v>80</v>
      </c>
    </row>
    <row r="66" spans="1:5" s="32" customFormat="1" ht="21" customHeight="1">
      <c r="A66" s="257"/>
      <c r="B66" s="257"/>
      <c r="C66" s="257"/>
      <c r="D66" s="258" t="s">
        <v>377</v>
      </c>
      <c r="E66" s="259">
        <v>2080</v>
      </c>
    </row>
    <row r="67" spans="1:5" s="32" customFormat="1" ht="21" customHeight="1">
      <c r="A67" s="257"/>
      <c r="B67" s="257"/>
      <c r="C67" s="257"/>
      <c r="D67" s="258" t="s">
        <v>380</v>
      </c>
      <c r="E67" s="259">
        <v>3080</v>
      </c>
    </row>
    <row r="68" spans="1:5" s="32" customFormat="1" ht="21" customHeight="1">
      <c r="A68" s="257"/>
      <c r="B68" s="257"/>
      <c r="C68" s="257"/>
      <c r="D68" s="258" t="s">
        <v>371</v>
      </c>
      <c r="E68" s="259">
        <v>80</v>
      </c>
    </row>
    <row r="69" spans="1:5" s="32" customFormat="1" ht="21" customHeight="1">
      <c r="A69" s="257"/>
      <c r="B69" s="257"/>
      <c r="C69" s="257"/>
      <c r="D69" s="258" t="s">
        <v>378</v>
      </c>
      <c r="E69" s="259">
        <v>240</v>
      </c>
    </row>
    <row r="70" spans="1:5" s="32" customFormat="1" ht="21" customHeight="1">
      <c r="A70" s="257"/>
      <c r="B70" s="257"/>
      <c r="C70" s="257"/>
      <c r="D70" s="258" t="s">
        <v>381</v>
      </c>
      <c r="E70" s="259">
        <v>580</v>
      </c>
    </row>
    <row r="71" spans="1:5" s="32" customFormat="1" ht="21" customHeight="1">
      <c r="A71" s="253"/>
      <c r="B71" s="253"/>
      <c r="C71" s="253">
        <v>4300</v>
      </c>
      <c r="D71" s="255" t="s">
        <v>82</v>
      </c>
      <c r="E71" s="256">
        <f>SUM(E72:E75)</f>
        <v>5500</v>
      </c>
    </row>
    <row r="72" spans="1:5" s="32" customFormat="1" ht="21" customHeight="1">
      <c r="A72" s="244"/>
      <c r="B72" s="265"/>
      <c r="C72" s="257"/>
      <c r="D72" s="258" t="s">
        <v>375</v>
      </c>
      <c r="E72" s="259">
        <v>1500</v>
      </c>
    </row>
    <row r="73" spans="1:5" s="32" customFormat="1" ht="21" customHeight="1">
      <c r="A73" s="257"/>
      <c r="B73" s="257"/>
      <c r="C73" s="257"/>
      <c r="D73" s="258" t="s">
        <v>366</v>
      </c>
      <c r="E73" s="259">
        <v>2000</v>
      </c>
    </row>
    <row r="74" spans="1:5" s="32" customFormat="1" ht="21" customHeight="1">
      <c r="A74" s="257"/>
      <c r="B74" s="257"/>
      <c r="C74" s="257"/>
      <c r="D74" s="258" t="s">
        <v>367</v>
      </c>
      <c r="E74" s="259">
        <v>800</v>
      </c>
    </row>
    <row r="75" spans="1:5" s="32" customFormat="1" ht="21" customHeight="1">
      <c r="A75" s="244"/>
      <c r="B75" s="265"/>
      <c r="C75" s="257"/>
      <c r="D75" s="258" t="s">
        <v>369</v>
      </c>
      <c r="E75" s="259">
        <v>1200</v>
      </c>
    </row>
    <row r="76" spans="1:5" s="9" customFormat="1" ht="24">
      <c r="A76" s="246">
        <v>754</v>
      </c>
      <c r="B76" s="247"/>
      <c r="C76" s="247"/>
      <c r="D76" s="248" t="s">
        <v>23</v>
      </c>
      <c r="E76" s="249">
        <f>SUM(E77)</f>
        <v>9000</v>
      </c>
    </row>
    <row r="77" spans="1:5" s="9" customFormat="1" ht="21" customHeight="1">
      <c r="A77" s="250"/>
      <c r="B77" s="250">
        <v>75412</v>
      </c>
      <c r="C77" s="251"/>
      <c r="D77" s="252" t="s">
        <v>103</v>
      </c>
      <c r="E77" s="249">
        <f>SUM(E78)</f>
        <v>9000</v>
      </c>
    </row>
    <row r="78" spans="1:5" s="32" customFormat="1" ht="21" customHeight="1">
      <c r="A78" s="253"/>
      <c r="B78" s="254"/>
      <c r="C78" s="253">
        <v>4210</v>
      </c>
      <c r="D78" s="255" t="s">
        <v>382</v>
      </c>
      <c r="E78" s="256">
        <f>SUM(E79:E84)</f>
        <v>9000</v>
      </c>
    </row>
    <row r="79" spans="1:5" s="32" customFormat="1" ht="21" customHeight="1">
      <c r="A79" s="257"/>
      <c r="B79" s="257"/>
      <c r="C79" s="257"/>
      <c r="D79" s="258" t="s">
        <v>374</v>
      </c>
      <c r="E79" s="259">
        <v>3500</v>
      </c>
    </row>
    <row r="80" spans="1:5" s="32" customFormat="1" ht="21" customHeight="1">
      <c r="A80" s="257"/>
      <c r="B80" s="257"/>
      <c r="C80" s="257"/>
      <c r="D80" s="258" t="s">
        <v>363</v>
      </c>
      <c r="E80" s="259">
        <v>500</v>
      </c>
    </row>
    <row r="81" spans="1:5" s="32" customFormat="1" ht="21" customHeight="1">
      <c r="A81" s="257"/>
      <c r="B81" s="257"/>
      <c r="C81" s="257"/>
      <c r="D81" s="258" t="s">
        <v>366</v>
      </c>
      <c r="E81" s="259">
        <v>500</v>
      </c>
    </row>
    <row r="82" spans="1:5" s="32" customFormat="1" ht="21" customHeight="1">
      <c r="A82" s="257"/>
      <c r="B82" s="257"/>
      <c r="C82" s="257"/>
      <c r="D82" s="258" t="s">
        <v>367</v>
      </c>
      <c r="E82" s="259">
        <v>500</v>
      </c>
    </row>
    <row r="83" spans="1:5" s="32" customFormat="1" ht="21" customHeight="1">
      <c r="A83" s="257"/>
      <c r="B83" s="257"/>
      <c r="C83" s="257"/>
      <c r="D83" s="258" t="s">
        <v>376</v>
      </c>
      <c r="E83" s="259">
        <v>1000</v>
      </c>
    </row>
    <row r="84" spans="1:5" s="32" customFormat="1" ht="21" customHeight="1">
      <c r="A84" s="257"/>
      <c r="B84" s="257"/>
      <c r="C84" s="257"/>
      <c r="D84" s="258" t="s">
        <v>369</v>
      </c>
      <c r="E84" s="259">
        <v>3000</v>
      </c>
    </row>
    <row r="85" spans="1:5" s="9" customFormat="1" ht="21" customHeight="1">
      <c r="A85" s="246" t="s">
        <v>112</v>
      </c>
      <c r="B85" s="247"/>
      <c r="C85" s="247"/>
      <c r="D85" s="248" t="s">
        <v>113</v>
      </c>
      <c r="E85" s="249">
        <f>SUM(E86,E98,E103,E106)</f>
        <v>10500</v>
      </c>
    </row>
    <row r="86" spans="1:5" s="32" customFormat="1" ht="21" customHeight="1">
      <c r="A86" s="253"/>
      <c r="B86" s="253" t="s">
        <v>114</v>
      </c>
      <c r="C86" s="254"/>
      <c r="D86" s="255" t="s">
        <v>53</v>
      </c>
      <c r="E86" s="256">
        <f>SUM(E87,E96)</f>
        <v>7300</v>
      </c>
    </row>
    <row r="87" spans="1:5" s="32" customFormat="1" ht="21" customHeight="1">
      <c r="A87" s="265"/>
      <c r="B87" s="265"/>
      <c r="C87" s="253">
        <v>4210</v>
      </c>
      <c r="D87" s="255" t="s">
        <v>382</v>
      </c>
      <c r="E87" s="256">
        <f>SUM(E88:E95)</f>
        <v>6800</v>
      </c>
    </row>
    <row r="88" spans="1:5" s="32" customFormat="1" ht="21" customHeight="1">
      <c r="A88" s="265"/>
      <c r="B88" s="265"/>
      <c r="C88" s="253"/>
      <c r="D88" s="258" t="s">
        <v>373</v>
      </c>
      <c r="E88" s="256">
        <v>200</v>
      </c>
    </row>
    <row r="89" spans="1:5" s="32" customFormat="1" ht="21" customHeight="1">
      <c r="A89" s="265"/>
      <c r="B89" s="265"/>
      <c r="C89" s="253"/>
      <c r="D89" s="258" t="s">
        <v>361</v>
      </c>
      <c r="E89" s="256">
        <v>200</v>
      </c>
    </row>
    <row r="90" spans="1:5" s="32" customFormat="1" ht="21" customHeight="1">
      <c r="A90" s="265"/>
      <c r="B90" s="265"/>
      <c r="C90" s="257"/>
      <c r="D90" s="258" t="s">
        <v>362</v>
      </c>
      <c r="E90" s="259">
        <v>2000</v>
      </c>
    </row>
    <row r="91" spans="1:5" s="32" customFormat="1" ht="21" customHeight="1">
      <c r="A91" s="257"/>
      <c r="B91" s="257"/>
      <c r="C91" s="257"/>
      <c r="D91" s="258" t="s">
        <v>374</v>
      </c>
      <c r="E91" s="259">
        <v>2000</v>
      </c>
    </row>
    <row r="92" spans="1:5" s="32" customFormat="1" ht="21" customHeight="1">
      <c r="A92" s="257"/>
      <c r="B92" s="257"/>
      <c r="C92" s="257"/>
      <c r="D92" s="258" t="s">
        <v>363</v>
      </c>
      <c r="E92" s="259">
        <v>200</v>
      </c>
    </row>
    <row r="93" spans="1:5" s="32" customFormat="1" ht="21" customHeight="1">
      <c r="A93" s="257"/>
      <c r="B93" s="257"/>
      <c r="C93" s="257"/>
      <c r="D93" s="258" t="s">
        <v>364</v>
      </c>
      <c r="E93" s="259">
        <v>1000</v>
      </c>
    </row>
    <row r="94" spans="1:5" s="32" customFormat="1" ht="21" customHeight="1">
      <c r="A94" s="257"/>
      <c r="B94" s="257"/>
      <c r="C94" s="257"/>
      <c r="D94" s="258" t="s">
        <v>365</v>
      </c>
      <c r="E94" s="259">
        <v>200</v>
      </c>
    </row>
    <row r="95" spans="1:5" s="32" customFormat="1" ht="21" customHeight="1">
      <c r="A95" s="257"/>
      <c r="B95" s="257"/>
      <c r="C95" s="257"/>
      <c r="D95" s="258" t="s">
        <v>369</v>
      </c>
      <c r="E95" s="259">
        <v>1000</v>
      </c>
    </row>
    <row r="96" spans="1:5" s="276" customFormat="1" ht="21" customHeight="1">
      <c r="A96" s="274"/>
      <c r="B96" s="274"/>
      <c r="C96" s="274">
        <v>4240</v>
      </c>
      <c r="D96" s="50" t="s">
        <v>126</v>
      </c>
      <c r="E96" s="275">
        <f>E97</f>
        <v>500</v>
      </c>
    </row>
    <row r="97" spans="1:5" s="32" customFormat="1" ht="21" customHeight="1">
      <c r="A97" s="257"/>
      <c r="B97" s="257"/>
      <c r="C97" s="257"/>
      <c r="D97" s="258" t="s">
        <v>375</v>
      </c>
      <c r="E97" s="259">
        <v>500</v>
      </c>
    </row>
    <row r="98" spans="1:5" s="32" customFormat="1" ht="21" customHeight="1">
      <c r="A98" s="253"/>
      <c r="B98" s="253">
        <v>80103</v>
      </c>
      <c r="C98" s="254"/>
      <c r="D98" s="255" t="s">
        <v>222</v>
      </c>
      <c r="E98" s="256">
        <f>SUM(E99,)</f>
        <v>1700</v>
      </c>
    </row>
    <row r="99" spans="1:5" s="32" customFormat="1" ht="21" customHeight="1">
      <c r="A99" s="253"/>
      <c r="B99" s="253"/>
      <c r="C99" s="254">
        <v>4210</v>
      </c>
      <c r="D99" s="255" t="s">
        <v>95</v>
      </c>
      <c r="E99" s="256">
        <f>SUM(E100:E102)</f>
        <v>1700</v>
      </c>
    </row>
    <row r="100" spans="1:5" s="32" customFormat="1" ht="21" customHeight="1">
      <c r="A100" s="264"/>
      <c r="B100" s="264"/>
      <c r="C100" s="263"/>
      <c r="D100" s="258" t="s">
        <v>374</v>
      </c>
      <c r="E100" s="259">
        <v>1000</v>
      </c>
    </row>
    <row r="101" spans="1:5" s="32" customFormat="1" ht="21" customHeight="1">
      <c r="A101" s="264"/>
      <c r="B101" s="264"/>
      <c r="C101" s="263"/>
      <c r="D101" s="258" t="s">
        <v>363</v>
      </c>
      <c r="E101" s="259">
        <v>200</v>
      </c>
    </row>
    <row r="102" spans="1:5" s="32" customFormat="1" ht="21" customHeight="1">
      <c r="A102" s="264"/>
      <c r="B102" s="264"/>
      <c r="C102" s="263"/>
      <c r="D102" s="258" t="s">
        <v>375</v>
      </c>
      <c r="E102" s="259">
        <v>500</v>
      </c>
    </row>
    <row r="103" spans="1:5" s="32" customFormat="1" ht="21" customHeight="1">
      <c r="A103" s="253"/>
      <c r="B103" s="253">
        <v>80104</v>
      </c>
      <c r="C103" s="254"/>
      <c r="D103" s="255" t="s">
        <v>325</v>
      </c>
      <c r="E103" s="256">
        <f>SUM(E104)</f>
        <v>500</v>
      </c>
    </row>
    <row r="104" spans="1:5" s="32" customFormat="1" ht="21" customHeight="1">
      <c r="A104" s="253"/>
      <c r="B104" s="253"/>
      <c r="C104" s="254">
        <v>4210</v>
      </c>
      <c r="D104" s="255" t="s">
        <v>95</v>
      </c>
      <c r="E104" s="256">
        <f>SUM(E105:E105)</f>
        <v>500</v>
      </c>
    </row>
    <row r="105" spans="1:5" s="32" customFormat="1" ht="21" customHeight="1">
      <c r="A105" s="264"/>
      <c r="B105" s="264"/>
      <c r="C105" s="263"/>
      <c r="D105" s="258" t="s">
        <v>369</v>
      </c>
      <c r="E105" s="259">
        <v>500</v>
      </c>
    </row>
    <row r="106" spans="1:5" s="32" customFormat="1" ht="21" customHeight="1">
      <c r="A106" s="253"/>
      <c r="B106" s="253">
        <v>80110</v>
      </c>
      <c r="C106" s="254"/>
      <c r="D106" s="255" t="s">
        <v>54</v>
      </c>
      <c r="E106" s="256">
        <f>E107</f>
        <v>1000</v>
      </c>
    </row>
    <row r="107" spans="1:5" s="32" customFormat="1" ht="21" customHeight="1">
      <c r="A107" s="253"/>
      <c r="B107" s="253"/>
      <c r="C107" s="254">
        <v>4210</v>
      </c>
      <c r="D107" s="255" t="s">
        <v>95</v>
      </c>
      <c r="E107" s="256">
        <f>SUM(E108)</f>
        <v>1000</v>
      </c>
    </row>
    <row r="108" spans="1:5" s="32" customFormat="1" ht="21" customHeight="1">
      <c r="A108" s="264"/>
      <c r="B108" s="264"/>
      <c r="C108" s="263"/>
      <c r="D108" s="258" t="s">
        <v>369</v>
      </c>
      <c r="E108" s="259">
        <v>1000</v>
      </c>
    </row>
    <row r="109" spans="1:5" s="53" customFormat="1" ht="21" customHeight="1">
      <c r="A109" s="250">
        <v>851</v>
      </c>
      <c r="B109" s="250"/>
      <c r="C109" s="251"/>
      <c r="D109" s="252" t="s">
        <v>55</v>
      </c>
      <c r="E109" s="249">
        <f>SUM(E110)</f>
        <v>1200</v>
      </c>
    </row>
    <row r="110" spans="1:5" s="32" customFormat="1" ht="21" customHeight="1">
      <c r="A110" s="253"/>
      <c r="B110" s="253">
        <v>85154</v>
      </c>
      <c r="C110" s="254"/>
      <c r="D110" s="255" t="s">
        <v>56</v>
      </c>
      <c r="E110" s="256">
        <f>SUM(E111)</f>
        <v>1200</v>
      </c>
    </row>
    <row r="111" spans="1:5" s="32" customFormat="1" ht="21" customHeight="1">
      <c r="A111" s="253"/>
      <c r="B111" s="253"/>
      <c r="C111" s="254">
        <v>4350</v>
      </c>
      <c r="D111" s="255" t="s">
        <v>383</v>
      </c>
      <c r="E111" s="256">
        <f>SUM(E112)</f>
        <v>1200</v>
      </c>
    </row>
    <row r="112" spans="1:5" s="36" customFormat="1" ht="21" customHeight="1">
      <c r="A112" s="264"/>
      <c r="B112" s="264"/>
      <c r="C112" s="263"/>
      <c r="D112" s="258" t="s">
        <v>369</v>
      </c>
      <c r="E112" s="259">
        <v>1200</v>
      </c>
    </row>
    <row r="113" spans="1:5" s="9" customFormat="1" ht="21" customHeight="1">
      <c r="A113" s="246">
        <v>854</v>
      </c>
      <c r="B113" s="247"/>
      <c r="C113" s="247"/>
      <c r="D113" s="248" t="s">
        <v>61</v>
      </c>
      <c r="E113" s="249">
        <f>E114</f>
        <v>25890</v>
      </c>
    </row>
    <row r="114" spans="1:5" s="32" customFormat="1" ht="22.5">
      <c r="A114" s="253"/>
      <c r="B114" s="253">
        <v>85412</v>
      </c>
      <c r="C114" s="254"/>
      <c r="D114" s="255" t="s">
        <v>384</v>
      </c>
      <c r="E114" s="256">
        <f>SUM(E115,E119,E125)</f>
        <v>25890</v>
      </c>
    </row>
    <row r="115" spans="1:5" s="32" customFormat="1" ht="21" customHeight="1">
      <c r="A115" s="265"/>
      <c r="B115" s="265"/>
      <c r="C115" s="254">
        <v>4210</v>
      </c>
      <c r="D115" s="255" t="s">
        <v>95</v>
      </c>
      <c r="E115" s="256">
        <f>SUM(E116:E118)</f>
        <v>2390</v>
      </c>
    </row>
    <row r="116" spans="1:5" s="32" customFormat="1" ht="21" customHeight="1">
      <c r="A116" s="265"/>
      <c r="B116" s="265"/>
      <c r="C116" s="263"/>
      <c r="D116" s="258" t="s">
        <v>367</v>
      </c>
      <c r="E116" s="259">
        <v>2000</v>
      </c>
    </row>
    <row r="117" spans="1:5" s="32" customFormat="1" ht="21" customHeight="1">
      <c r="A117" s="265"/>
      <c r="B117" s="265"/>
      <c r="C117" s="263"/>
      <c r="D117" s="258" t="s">
        <v>369</v>
      </c>
      <c r="E117" s="259">
        <v>190</v>
      </c>
    </row>
    <row r="118" spans="1:5" s="32" customFormat="1" ht="21" customHeight="1">
      <c r="A118" s="265"/>
      <c r="B118" s="265"/>
      <c r="C118" s="263"/>
      <c r="D118" s="258" t="s">
        <v>370</v>
      </c>
      <c r="E118" s="259">
        <v>200</v>
      </c>
    </row>
    <row r="119" spans="1:5" s="32" customFormat="1" ht="21" customHeight="1">
      <c r="A119" s="253"/>
      <c r="B119" s="253"/>
      <c r="C119" s="254">
        <v>4300</v>
      </c>
      <c r="D119" s="255" t="s">
        <v>82</v>
      </c>
      <c r="E119" s="256">
        <f>SUM(E120:E124)</f>
        <v>7500</v>
      </c>
    </row>
    <row r="120" spans="1:5" s="36" customFormat="1" ht="21" customHeight="1">
      <c r="A120" s="264"/>
      <c r="B120" s="264"/>
      <c r="C120" s="263"/>
      <c r="D120" s="258" t="s">
        <v>363</v>
      </c>
      <c r="E120" s="259">
        <v>700</v>
      </c>
    </row>
    <row r="121" spans="1:5" s="36" customFormat="1" ht="21" customHeight="1">
      <c r="A121" s="264"/>
      <c r="B121" s="264"/>
      <c r="C121" s="263"/>
      <c r="D121" s="258" t="s">
        <v>366</v>
      </c>
      <c r="E121" s="259">
        <v>2000</v>
      </c>
    </row>
    <row r="122" spans="1:5" s="36" customFormat="1" ht="21" customHeight="1">
      <c r="A122" s="264"/>
      <c r="B122" s="264"/>
      <c r="C122" s="263"/>
      <c r="D122" s="258" t="s">
        <v>367</v>
      </c>
      <c r="E122" s="259">
        <v>2000</v>
      </c>
    </row>
    <row r="123" spans="1:5" s="36" customFormat="1" ht="21" customHeight="1">
      <c r="A123" s="264"/>
      <c r="B123" s="264"/>
      <c r="C123" s="263"/>
      <c r="D123" s="258" t="s">
        <v>370</v>
      </c>
      <c r="E123" s="259">
        <v>1500</v>
      </c>
    </row>
    <row r="124" spans="1:5" s="36" customFormat="1" ht="21" customHeight="1">
      <c r="A124" s="264"/>
      <c r="B124" s="264"/>
      <c r="C124" s="263"/>
      <c r="D124" s="258" t="s">
        <v>381</v>
      </c>
      <c r="E124" s="259">
        <v>1300</v>
      </c>
    </row>
    <row r="125" spans="1:5" s="32" customFormat="1" ht="21" customHeight="1">
      <c r="A125" s="253"/>
      <c r="B125" s="253"/>
      <c r="C125" s="254">
        <v>6050</v>
      </c>
      <c r="D125" s="266" t="s">
        <v>76</v>
      </c>
      <c r="E125" s="256">
        <f>E126</f>
        <v>16000</v>
      </c>
    </row>
    <row r="126" spans="1:5" s="36" customFormat="1" ht="21" customHeight="1">
      <c r="A126" s="264"/>
      <c r="B126" s="264"/>
      <c r="C126" s="263"/>
      <c r="D126" s="258" t="s">
        <v>376</v>
      </c>
      <c r="E126" s="259">
        <v>16000</v>
      </c>
    </row>
    <row r="127" spans="1:5" s="9" customFormat="1" ht="21" customHeight="1">
      <c r="A127" s="246" t="s">
        <v>131</v>
      </c>
      <c r="B127" s="247"/>
      <c r="C127" s="247"/>
      <c r="D127" s="248" t="s">
        <v>63</v>
      </c>
      <c r="E127" s="249">
        <f>SUM(E128,E136,E159,)</f>
        <v>37660</v>
      </c>
    </row>
    <row r="128" spans="1:5" s="32" customFormat="1" ht="21" customHeight="1">
      <c r="A128" s="253"/>
      <c r="B128" s="253" t="s">
        <v>133</v>
      </c>
      <c r="C128" s="254"/>
      <c r="D128" s="255" t="s">
        <v>134</v>
      </c>
      <c r="E128" s="256">
        <f>SUM(E129)</f>
        <v>2240</v>
      </c>
    </row>
    <row r="129" spans="1:5" s="32" customFormat="1" ht="21" customHeight="1">
      <c r="A129" s="253"/>
      <c r="B129" s="253"/>
      <c r="C129" s="254">
        <v>4300</v>
      </c>
      <c r="D129" s="267" t="s">
        <v>82</v>
      </c>
      <c r="E129" s="256">
        <f>SUM(E130:E135)</f>
        <v>2240</v>
      </c>
    </row>
    <row r="130" spans="1:5" s="32" customFormat="1" ht="21" customHeight="1">
      <c r="A130" s="257"/>
      <c r="B130" s="257"/>
      <c r="C130" s="257"/>
      <c r="D130" s="258" t="s">
        <v>361</v>
      </c>
      <c r="E130" s="259">
        <v>300</v>
      </c>
    </row>
    <row r="131" spans="1:5" s="32" customFormat="1" ht="21" customHeight="1">
      <c r="A131" s="257"/>
      <c r="B131" s="257"/>
      <c r="C131" s="257"/>
      <c r="D131" s="258" t="s">
        <v>363</v>
      </c>
      <c r="E131" s="259">
        <v>100</v>
      </c>
    </row>
    <row r="132" spans="1:5" s="32" customFormat="1" ht="21" customHeight="1">
      <c r="A132" s="257"/>
      <c r="B132" s="257"/>
      <c r="C132" s="257"/>
      <c r="D132" s="258" t="s">
        <v>375</v>
      </c>
      <c r="E132" s="259">
        <v>300</v>
      </c>
    </row>
    <row r="133" spans="1:5" s="32" customFormat="1" ht="21" customHeight="1">
      <c r="A133" s="257"/>
      <c r="B133" s="257"/>
      <c r="C133" s="257"/>
      <c r="D133" s="258" t="s">
        <v>367</v>
      </c>
      <c r="E133" s="259">
        <v>300</v>
      </c>
    </row>
    <row r="134" spans="1:5" s="32" customFormat="1" ht="21" customHeight="1">
      <c r="A134" s="257"/>
      <c r="B134" s="257"/>
      <c r="C134" s="257"/>
      <c r="D134" s="258" t="s">
        <v>369</v>
      </c>
      <c r="E134" s="259">
        <v>1000</v>
      </c>
    </row>
    <row r="135" spans="1:5" s="32" customFormat="1" ht="21" customHeight="1">
      <c r="A135" s="257"/>
      <c r="B135" s="257"/>
      <c r="C135" s="257"/>
      <c r="D135" s="258" t="s">
        <v>376</v>
      </c>
      <c r="E135" s="259">
        <v>240</v>
      </c>
    </row>
    <row r="136" spans="1:5" s="32" customFormat="1" ht="21" customHeight="1">
      <c r="A136" s="253"/>
      <c r="B136" s="253" t="s">
        <v>135</v>
      </c>
      <c r="C136" s="254"/>
      <c r="D136" s="255" t="s">
        <v>162</v>
      </c>
      <c r="E136" s="256">
        <f>SUM(E137,E153)</f>
        <v>32420</v>
      </c>
    </row>
    <row r="137" spans="1:5" s="32" customFormat="1" ht="21" customHeight="1">
      <c r="A137" s="253"/>
      <c r="B137" s="253"/>
      <c r="C137" s="253" t="s">
        <v>379</v>
      </c>
      <c r="D137" s="255" t="s">
        <v>95</v>
      </c>
      <c r="E137" s="256">
        <f>SUM(E138:E152)</f>
        <v>26220</v>
      </c>
    </row>
    <row r="138" spans="1:5" s="32" customFormat="1" ht="21" customHeight="1">
      <c r="A138" s="257"/>
      <c r="B138" s="257"/>
      <c r="C138" s="257"/>
      <c r="D138" s="258" t="s">
        <v>372</v>
      </c>
      <c r="E138" s="259">
        <v>100</v>
      </c>
    </row>
    <row r="139" spans="1:5" s="32" customFormat="1" ht="21" customHeight="1">
      <c r="A139" s="257"/>
      <c r="B139" s="257"/>
      <c r="C139" s="257"/>
      <c r="D139" s="258" t="s">
        <v>373</v>
      </c>
      <c r="E139" s="259">
        <v>300</v>
      </c>
    </row>
    <row r="140" spans="1:5" s="32" customFormat="1" ht="21" customHeight="1">
      <c r="A140" s="257"/>
      <c r="B140" s="257"/>
      <c r="C140" s="257"/>
      <c r="D140" s="258" t="s">
        <v>361</v>
      </c>
      <c r="E140" s="259">
        <v>700</v>
      </c>
    </row>
    <row r="141" spans="1:5" s="32" customFormat="1" ht="21" customHeight="1">
      <c r="A141" s="257"/>
      <c r="B141" s="257"/>
      <c r="C141" s="257"/>
      <c r="D141" s="258" t="s">
        <v>362</v>
      </c>
      <c r="E141" s="259">
        <v>1000</v>
      </c>
    </row>
    <row r="142" spans="1:5" s="32" customFormat="1" ht="21" customHeight="1">
      <c r="A142" s="257"/>
      <c r="B142" s="257"/>
      <c r="C142" s="257"/>
      <c r="D142" s="258" t="s">
        <v>374</v>
      </c>
      <c r="E142" s="259">
        <v>3500</v>
      </c>
    </row>
    <row r="143" spans="1:5" s="32" customFormat="1" ht="21" customHeight="1">
      <c r="A143" s="257"/>
      <c r="B143" s="257"/>
      <c r="C143" s="257"/>
      <c r="D143" s="258" t="s">
        <v>363</v>
      </c>
      <c r="E143" s="259">
        <v>700</v>
      </c>
    </row>
    <row r="144" spans="1:5" s="32" customFormat="1" ht="21" customHeight="1">
      <c r="A144" s="257"/>
      <c r="B144" s="257"/>
      <c r="C144" s="257"/>
      <c r="D144" s="258" t="s">
        <v>364</v>
      </c>
      <c r="E144" s="259">
        <v>500</v>
      </c>
    </row>
    <row r="145" spans="1:5" s="32" customFormat="1" ht="21" customHeight="1">
      <c r="A145" s="257"/>
      <c r="B145" s="257"/>
      <c r="C145" s="257"/>
      <c r="D145" s="258" t="s">
        <v>365</v>
      </c>
      <c r="E145" s="259">
        <v>500</v>
      </c>
    </row>
    <row r="146" spans="1:5" s="269" customFormat="1" ht="21" customHeight="1">
      <c r="A146" s="268"/>
      <c r="B146" s="268"/>
      <c r="C146" s="268"/>
      <c r="D146" s="258" t="s">
        <v>375</v>
      </c>
      <c r="E146" s="259">
        <v>3000</v>
      </c>
    </row>
    <row r="147" spans="1:5" s="32" customFormat="1" ht="21" customHeight="1">
      <c r="A147" s="257"/>
      <c r="B147" s="257"/>
      <c r="C147" s="257"/>
      <c r="D147" s="258" t="s">
        <v>366</v>
      </c>
      <c r="E147" s="259">
        <v>1500</v>
      </c>
    </row>
    <row r="148" spans="1:5" s="32" customFormat="1" ht="21" customHeight="1">
      <c r="A148" s="257"/>
      <c r="B148" s="257"/>
      <c r="C148" s="257"/>
      <c r="D148" s="258" t="s">
        <v>367</v>
      </c>
      <c r="E148" s="259">
        <v>3300</v>
      </c>
    </row>
    <row r="149" spans="1:5" s="32" customFormat="1" ht="21" customHeight="1">
      <c r="A149" s="257"/>
      <c r="B149" s="257"/>
      <c r="C149" s="257"/>
      <c r="D149" s="258" t="s">
        <v>369</v>
      </c>
      <c r="E149" s="259">
        <v>4320</v>
      </c>
    </row>
    <row r="150" spans="1:5" s="32" customFormat="1" ht="21" customHeight="1">
      <c r="A150" s="257"/>
      <c r="B150" s="257"/>
      <c r="C150" s="257"/>
      <c r="D150" s="258" t="s">
        <v>370</v>
      </c>
      <c r="E150" s="259">
        <v>2300</v>
      </c>
    </row>
    <row r="151" spans="1:5" s="32" customFormat="1" ht="21" customHeight="1">
      <c r="A151" s="257"/>
      <c r="B151" s="257"/>
      <c r="C151" s="257"/>
      <c r="D151" s="258" t="s">
        <v>376</v>
      </c>
      <c r="E151" s="259">
        <v>3000</v>
      </c>
    </row>
    <row r="152" spans="1:5" s="32" customFormat="1" ht="21" customHeight="1">
      <c r="A152" s="257"/>
      <c r="B152" s="257"/>
      <c r="C152" s="257"/>
      <c r="D152" s="258" t="s">
        <v>381</v>
      </c>
      <c r="E152" s="259">
        <v>1500</v>
      </c>
    </row>
    <row r="153" spans="1:5" s="32" customFormat="1" ht="21" customHeight="1">
      <c r="A153" s="253"/>
      <c r="B153" s="253"/>
      <c r="C153" s="253" t="s">
        <v>385</v>
      </c>
      <c r="D153" s="255" t="s">
        <v>82</v>
      </c>
      <c r="E153" s="256">
        <f>SUM(E154:E158)</f>
        <v>6200</v>
      </c>
    </row>
    <row r="154" spans="1:5" s="32" customFormat="1" ht="21" customHeight="1">
      <c r="A154" s="253"/>
      <c r="B154" s="253"/>
      <c r="C154" s="253"/>
      <c r="D154" s="258" t="s">
        <v>361</v>
      </c>
      <c r="E154" s="259">
        <v>300</v>
      </c>
    </row>
    <row r="155" spans="1:5" s="32" customFormat="1" ht="21" customHeight="1">
      <c r="A155" s="257"/>
      <c r="B155" s="257"/>
      <c r="C155" s="257"/>
      <c r="D155" s="258" t="s">
        <v>364</v>
      </c>
      <c r="E155" s="259">
        <v>1000</v>
      </c>
    </row>
    <row r="156" spans="1:5" s="32" customFormat="1" ht="21" customHeight="1">
      <c r="A156" s="257"/>
      <c r="B156" s="257"/>
      <c r="C156" s="257"/>
      <c r="D156" s="258" t="s">
        <v>365</v>
      </c>
      <c r="E156" s="259">
        <v>900</v>
      </c>
    </row>
    <row r="157" spans="1:5" s="32" customFormat="1" ht="21" customHeight="1">
      <c r="A157" s="257"/>
      <c r="B157" s="257"/>
      <c r="C157" s="257"/>
      <c r="D157" s="258" t="s">
        <v>366</v>
      </c>
      <c r="E157" s="259">
        <v>3000</v>
      </c>
    </row>
    <row r="158" spans="1:5" s="32" customFormat="1" ht="21" customHeight="1">
      <c r="A158" s="257"/>
      <c r="B158" s="257"/>
      <c r="C158" s="257"/>
      <c r="D158" s="258" t="s">
        <v>369</v>
      </c>
      <c r="E158" s="259">
        <v>1000</v>
      </c>
    </row>
    <row r="159" spans="1:5" s="32" customFormat="1" ht="21" customHeight="1">
      <c r="A159" s="253"/>
      <c r="B159" s="253" t="s">
        <v>138</v>
      </c>
      <c r="C159" s="254"/>
      <c r="D159" s="255" t="s">
        <v>139</v>
      </c>
      <c r="E159" s="256">
        <f>SUM(E160)</f>
        <v>3000</v>
      </c>
    </row>
    <row r="160" spans="1:5" s="32" customFormat="1" ht="21" customHeight="1">
      <c r="A160" s="253"/>
      <c r="B160" s="253"/>
      <c r="C160" s="254">
        <v>4300</v>
      </c>
      <c r="D160" s="270" t="s">
        <v>82</v>
      </c>
      <c r="E160" s="256">
        <f>SUM(E161:E162)</f>
        <v>3000</v>
      </c>
    </row>
    <row r="161" spans="1:5" s="32" customFormat="1" ht="21" customHeight="1">
      <c r="A161" s="253"/>
      <c r="B161" s="253"/>
      <c r="C161" s="254"/>
      <c r="D161" s="270" t="s">
        <v>362</v>
      </c>
      <c r="E161" s="256">
        <v>2000</v>
      </c>
    </row>
    <row r="162" spans="1:5" s="36" customFormat="1" ht="21" customHeight="1">
      <c r="A162" s="264"/>
      <c r="B162" s="264"/>
      <c r="C162" s="263"/>
      <c r="D162" s="258" t="s">
        <v>365</v>
      </c>
      <c r="E162" s="259">
        <v>1000</v>
      </c>
    </row>
    <row r="163" spans="1:5" s="9" customFormat="1" ht="21" customHeight="1">
      <c r="A163" s="246" t="s">
        <v>65</v>
      </c>
      <c r="B163" s="247"/>
      <c r="C163" s="247"/>
      <c r="D163" s="248" t="s">
        <v>141</v>
      </c>
      <c r="E163" s="249">
        <f>E164</f>
        <v>112975</v>
      </c>
    </row>
    <row r="164" spans="1:5" s="32" customFormat="1" ht="21" customHeight="1">
      <c r="A164" s="253"/>
      <c r="B164" s="253" t="s">
        <v>142</v>
      </c>
      <c r="C164" s="254"/>
      <c r="D164" s="255" t="s">
        <v>161</v>
      </c>
      <c r="E164" s="256">
        <f>SUM(E165,E179,E195,E201,E206,)</f>
        <v>112975</v>
      </c>
    </row>
    <row r="165" spans="1:5" s="32" customFormat="1" ht="21" customHeight="1">
      <c r="A165" s="253"/>
      <c r="B165" s="253"/>
      <c r="C165" s="253" t="s">
        <v>379</v>
      </c>
      <c r="D165" s="255" t="s">
        <v>95</v>
      </c>
      <c r="E165" s="256">
        <f>SUM(E166:E178)</f>
        <v>33580</v>
      </c>
    </row>
    <row r="166" spans="1:5" s="32" customFormat="1" ht="21" customHeight="1">
      <c r="A166" s="257"/>
      <c r="B166" s="257"/>
      <c r="C166" s="257"/>
      <c r="D166" s="258" t="s">
        <v>372</v>
      </c>
      <c r="E166" s="259">
        <v>500</v>
      </c>
    </row>
    <row r="167" spans="1:5" s="32" customFormat="1" ht="21" customHeight="1">
      <c r="A167" s="257"/>
      <c r="B167" s="257"/>
      <c r="C167" s="257"/>
      <c r="D167" s="258" t="s">
        <v>362</v>
      </c>
      <c r="E167" s="259">
        <v>3000</v>
      </c>
    </row>
    <row r="168" spans="1:5" s="32" customFormat="1" ht="21" customHeight="1">
      <c r="A168" s="257"/>
      <c r="B168" s="257"/>
      <c r="C168" s="257"/>
      <c r="D168" s="258" t="s">
        <v>374</v>
      </c>
      <c r="E168" s="259">
        <v>3520</v>
      </c>
    </row>
    <row r="169" spans="1:5" s="32" customFormat="1" ht="21" customHeight="1">
      <c r="A169" s="257"/>
      <c r="B169" s="257"/>
      <c r="C169" s="257"/>
      <c r="D169" s="258" t="s">
        <v>363</v>
      </c>
      <c r="E169" s="259">
        <v>1280</v>
      </c>
    </row>
    <row r="170" spans="1:5" s="32" customFormat="1" ht="21" customHeight="1">
      <c r="A170" s="257"/>
      <c r="B170" s="257"/>
      <c r="C170" s="257"/>
      <c r="D170" s="258" t="s">
        <v>364</v>
      </c>
      <c r="E170" s="259">
        <v>2600</v>
      </c>
    </row>
    <row r="171" spans="1:5" s="32" customFormat="1" ht="21" customHeight="1">
      <c r="A171" s="257"/>
      <c r="B171" s="257"/>
      <c r="C171" s="257"/>
      <c r="D171" s="258" t="s">
        <v>365</v>
      </c>
      <c r="E171" s="259">
        <v>5280</v>
      </c>
    </row>
    <row r="172" spans="1:5" s="269" customFormat="1" ht="21" customHeight="1">
      <c r="A172" s="268"/>
      <c r="B172" s="268"/>
      <c r="C172" s="268"/>
      <c r="D172" s="258" t="s">
        <v>375</v>
      </c>
      <c r="E172" s="259">
        <v>2450</v>
      </c>
    </row>
    <row r="173" spans="1:5" s="269" customFormat="1" ht="21" customHeight="1">
      <c r="A173" s="268"/>
      <c r="B173" s="268"/>
      <c r="C173" s="268"/>
      <c r="D173" s="258" t="s">
        <v>366</v>
      </c>
      <c r="E173" s="259">
        <v>4000</v>
      </c>
    </row>
    <row r="174" spans="1:5" s="269" customFormat="1" ht="21" customHeight="1">
      <c r="A174" s="268"/>
      <c r="B174" s="268"/>
      <c r="C174" s="268"/>
      <c r="D174" s="258" t="s">
        <v>369</v>
      </c>
      <c r="E174" s="259">
        <v>500</v>
      </c>
    </row>
    <row r="175" spans="1:5" s="32" customFormat="1" ht="21" customHeight="1">
      <c r="A175" s="257"/>
      <c r="B175" s="257"/>
      <c r="C175" s="257"/>
      <c r="D175" s="258" t="s">
        <v>376</v>
      </c>
      <c r="E175" s="259">
        <v>2250</v>
      </c>
    </row>
    <row r="176" spans="1:5" s="32" customFormat="1" ht="21" customHeight="1">
      <c r="A176" s="257"/>
      <c r="B176" s="257"/>
      <c r="C176" s="257"/>
      <c r="D176" s="258" t="s">
        <v>377</v>
      </c>
      <c r="E176" s="259">
        <v>3700</v>
      </c>
    </row>
    <row r="177" spans="1:5" s="32" customFormat="1" ht="21" customHeight="1">
      <c r="A177" s="257"/>
      <c r="B177" s="257"/>
      <c r="C177" s="257"/>
      <c r="D177" s="258" t="s">
        <v>371</v>
      </c>
      <c r="E177" s="259">
        <v>2000</v>
      </c>
    </row>
    <row r="178" spans="1:5" s="32" customFormat="1" ht="21" customHeight="1">
      <c r="A178" s="257"/>
      <c r="B178" s="257"/>
      <c r="C178" s="257"/>
      <c r="D178" s="258" t="s">
        <v>381</v>
      </c>
      <c r="E178" s="259">
        <v>2500</v>
      </c>
    </row>
    <row r="179" spans="1:5" s="32" customFormat="1" ht="21" customHeight="1">
      <c r="A179" s="253"/>
      <c r="B179" s="253"/>
      <c r="C179" s="253" t="s">
        <v>386</v>
      </c>
      <c r="D179" s="255" t="s">
        <v>98</v>
      </c>
      <c r="E179" s="256">
        <f>SUM(E180:E194)</f>
        <v>12650</v>
      </c>
    </row>
    <row r="180" spans="1:5" s="32" customFormat="1" ht="21" customHeight="1">
      <c r="A180" s="257"/>
      <c r="B180" s="257"/>
      <c r="C180" s="257"/>
      <c r="D180" s="258" t="s">
        <v>372</v>
      </c>
      <c r="E180" s="259">
        <v>800</v>
      </c>
    </row>
    <row r="181" spans="1:5" s="32" customFormat="1" ht="21" customHeight="1">
      <c r="A181" s="257"/>
      <c r="B181" s="257"/>
      <c r="C181" s="257"/>
      <c r="D181" s="258" t="s">
        <v>373</v>
      </c>
      <c r="E181" s="259">
        <v>500</v>
      </c>
    </row>
    <row r="182" spans="1:5" s="32" customFormat="1" ht="21" customHeight="1">
      <c r="A182" s="257"/>
      <c r="B182" s="257"/>
      <c r="C182" s="257"/>
      <c r="D182" s="258" t="s">
        <v>362</v>
      </c>
      <c r="E182" s="259">
        <v>2000</v>
      </c>
    </row>
    <row r="183" spans="1:5" s="32" customFormat="1" ht="21" customHeight="1">
      <c r="A183" s="257"/>
      <c r="B183" s="257"/>
      <c r="C183" s="257"/>
      <c r="D183" s="258" t="s">
        <v>374</v>
      </c>
      <c r="E183" s="259">
        <v>800</v>
      </c>
    </row>
    <row r="184" spans="1:5" s="32" customFormat="1" ht="21" customHeight="1">
      <c r="A184" s="257"/>
      <c r="B184" s="257"/>
      <c r="C184" s="257"/>
      <c r="D184" s="258" t="s">
        <v>363</v>
      </c>
      <c r="E184" s="259">
        <v>800</v>
      </c>
    </row>
    <row r="185" spans="1:5" s="32" customFormat="1" ht="21" customHeight="1">
      <c r="A185" s="257"/>
      <c r="B185" s="257"/>
      <c r="C185" s="257"/>
      <c r="D185" s="258" t="s">
        <v>364</v>
      </c>
      <c r="E185" s="259">
        <v>700</v>
      </c>
    </row>
    <row r="186" spans="1:5" s="32" customFormat="1" ht="21" customHeight="1">
      <c r="A186" s="257"/>
      <c r="B186" s="257"/>
      <c r="C186" s="257"/>
      <c r="D186" s="258" t="s">
        <v>365</v>
      </c>
      <c r="E186" s="259">
        <v>1100</v>
      </c>
    </row>
    <row r="187" spans="1:5" s="269" customFormat="1" ht="21" customHeight="1">
      <c r="A187" s="268"/>
      <c r="B187" s="268"/>
      <c r="C187" s="268"/>
      <c r="D187" s="258" t="s">
        <v>375</v>
      </c>
      <c r="E187" s="259">
        <v>500</v>
      </c>
    </row>
    <row r="188" spans="1:5" s="32" customFormat="1" ht="21" customHeight="1">
      <c r="A188" s="257"/>
      <c r="B188" s="257"/>
      <c r="C188" s="257"/>
      <c r="D188" s="258" t="s">
        <v>366</v>
      </c>
      <c r="E188" s="259">
        <v>600</v>
      </c>
    </row>
    <row r="189" spans="1:5" s="32" customFormat="1" ht="21" customHeight="1">
      <c r="A189" s="257"/>
      <c r="B189" s="257"/>
      <c r="C189" s="257"/>
      <c r="D189" s="258" t="s">
        <v>369</v>
      </c>
      <c r="E189" s="259">
        <v>1400</v>
      </c>
    </row>
    <row r="190" spans="1:5" s="32" customFormat="1" ht="21" customHeight="1">
      <c r="A190" s="257"/>
      <c r="B190" s="257"/>
      <c r="C190" s="257"/>
      <c r="D190" s="258" t="s">
        <v>376</v>
      </c>
      <c r="E190" s="259">
        <v>1000</v>
      </c>
    </row>
    <row r="191" spans="1:5" s="32" customFormat="1" ht="21" customHeight="1">
      <c r="A191" s="257"/>
      <c r="B191" s="257"/>
      <c r="C191" s="257"/>
      <c r="D191" s="258" t="s">
        <v>377</v>
      </c>
      <c r="E191" s="259">
        <v>1300</v>
      </c>
    </row>
    <row r="192" spans="1:5" s="32" customFormat="1" ht="21" customHeight="1">
      <c r="A192" s="257"/>
      <c r="B192" s="257"/>
      <c r="C192" s="257"/>
      <c r="D192" s="258" t="s">
        <v>380</v>
      </c>
      <c r="E192" s="259">
        <v>250</v>
      </c>
    </row>
    <row r="193" spans="1:5" s="32" customFormat="1" ht="21" customHeight="1">
      <c r="A193" s="257"/>
      <c r="B193" s="257"/>
      <c r="C193" s="257"/>
      <c r="D193" s="258" t="s">
        <v>371</v>
      </c>
      <c r="E193" s="259">
        <v>300</v>
      </c>
    </row>
    <row r="194" spans="1:5" s="32" customFormat="1" ht="21" customHeight="1">
      <c r="A194" s="257"/>
      <c r="B194" s="257"/>
      <c r="C194" s="257"/>
      <c r="D194" s="258" t="s">
        <v>381</v>
      </c>
      <c r="E194" s="259">
        <v>600</v>
      </c>
    </row>
    <row r="195" spans="1:5" s="32" customFormat="1" ht="21" customHeight="1">
      <c r="A195" s="253"/>
      <c r="B195" s="253"/>
      <c r="C195" s="254">
        <v>4270</v>
      </c>
      <c r="D195" s="267" t="s">
        <v>81</v>
      </c>
      <c r="E195" s="256">
        <f>SUM(E196:E200)</f>
        <v>56770</v>
      </c>
    </row>
    <row r="196" spans="1:5" s="36" customFormat="1" ht="21" customHeight="1">
      <c r="A196" s="264"/>
      <c r="B196" s="264"/>
      <c r="C196" s="263"/>
      <c r="D196" s="258" t="s">
        <v>372</v>
      </c>
      <c r="E196" s="259">
        <v>38400</v>
      </c>
    </row>
    <row r="197" spans="1:5" s="36" customFormat="1" ht="21" customHeight="1">
      <c r="A197" s="264"/>
      <c r="B197" s="264"/>
      <c r="C197" s="263"/>
      <c r="D197" s="258" t="s">
        <v>373</v>
      </c>
      <c r="E197" s="259">
        <v>8390</v>
      </c>
    </row>
    <row r="198" spans="1:5" s="36" customFormat="1" ht="21" customHeight="1">
      <c r="A198" s="257"/>
      <c r="B198" s="257"/>
      <c r="C198" s="257"/>
      <c r="D198" s="258" t="s">
        <v>366</v>
      </c>
      <c r="E198" s="259">
        <v>1990</v>
      </c>
    </row>
    <row r="199" spans="1:5" s="36" customFormat="1" ht="21" customHeight="1">
      <c r="A199" s="257"/>
      <c r="B199" s="257"/>
      <c r="C199" s="257"/>
      <c r="D199" s="258" t="s">
        <v>377</v>
      </c>
      <c r="E199" s="259">
        <v>4110</v>
      </c>
    </row>
    <row r="200" spans="1:5" s="36" customFormat="1" ht="21" customHeight="1">
      <c r="A200" s="257"/>
      <c r="B200" s="257"/>
      <c r="C200" s="257"/>
      <c r="D200" s="258" t="s">
        <v>381</v>
      </c>
      <c r="E200" s="259">
        <v>3880</v>
      </c>
    </row>
    <row r="201" spans="1:5" s="32" customFormat="1" ht="21" customHeight="1">
      <c r="A201" s="253"/>
      <c r="B201" s="253"/>
      <c r="C201" s="254">
        <v>4300</v>
      </c>
      <c r="D201" s="267" t="s">
        <v>82</v>
      </c>
      <c r="E201" s="256">
        <f>SUM(E202:E205)</f>
        <v>8340</v>
      </c>
    </row>
    <row r="202" spans="1:5" s="138" customFormat="1" ht="21" customHeight="1">
      <c r="A202" s="260"/>
      <c r="B202" s="260"/>
      <c r="C202" s="260"/>
      <c r="D202" s="258" t="s">
        <v>365</v>
      </c>
      <c r="E202" s="259">
        <v>220</v>
      </c>
    </row>
    <row r="203" spans="1:5" s="138" customFormat="1" ht="21" customHeight="1">
      <c r="A203" s="260"/>
      <c r="B203" s="260"/>
      <c r="C203" s="260"/>
      <c r="D203" s="261" t="s">
        <v>375</v>
      </c>
      <c r="E203" s="259">
        <v>4000</v>
      </c>
    </row>
    <row r="204" spans="1:5" s="138" customFormat="1" ht="21" customHeight="1">
      <c r="A204" s="260"/>
      <c r="B204" s="260"/>
      <c r="C204" s="260"/>
      <c r="D204" s="261" t="s">
        <v>380</v>
      </c>
      <c r="E204" s="259">
        <v>2000</v>
      </c>
    </row>
    <row r="205" spans="1:5" s="138" customFormat="1" ht="21" customHeight="1">
      <c r="A205" s="260"/>
      <c r="B205" s="260"/>
      <c r="C205" s="260"/>
      <c r="D205" s="261" t="s">
        <v>371</v>
      </c>
      <c r="E205" s="259">
        <v>2120</v>
      </c>
    </row>
    <row r="206" spans="1:5" s="32" customFormat="1" ht="21" customHeight="1">
      <c r="A206" s="253"/>
      <c r="B206" s="253"/>
      <c r="C206" s="254">
        <v>4430</v>
      </c>
      <c r="D206" s="267" t="s">
        <v>97</v>
      </c>
      <c r="E206" s="256">
        <f>SUM(E207:E222)</f>
        <v>1635</v>
      </c>
    </row>
    <row r="207" spans="1:5" s="32" customFormat="1" ht="21" customHeight="1">
      <c r="A207" s="257"/>
      <c r="B207" s="257"/>
      <c r="C207" s="257"/>
      <c r="D207" s="258" t="s">
        <v>372</v>
      </c>
      <c r="E207" s="259">
        <v>220</v>
      </c>
    </row>
    <row r="208" spans="1:5" s="32" customFormat="1" ht="21" customHeight="1">
      <c r="A208" s="257"/>
      <c r="B208" s="257"/>
      <c r="C208" s="257"/>
      <c r="D208" s="258" t="s">
        <v>373</v>
      </c>
      <c r="E208" s="259">
        <v>120</v>
      </c>
    </row>
    <row r="209" spans="1:5" s="32" customFormat="1" ht="21" customHeight="1">
      <c r="A209" s="257"/>
      <c r="B209" s="257"/>
      <c r="C209" s="257"/>
      <c r="D209" s="258" t="s">
        <v>362</v>
      </c>
      <c r="E209" s="259">
        <v>100</v>
      </c>
    </row>
    <row r="210" spans="1:5" s="32" customFormat="1" ht="21" customHeight="1">
      <c r="A210" s="257"/>
      <c r="B210" s="257"/>
      <c r="C210" s="257"/>
      <c r="D210" s="258" t="s">
        <v>374</v>
      </c>
      <c r="E210" s="259">
        <v>150</v>
      </c>
    </row>
    <row r="211" spans="1:5" s="32" customFormat="1" ht="21" customHeight="1">
      <c r="A211" s="257"/>
      <c r="B211" s="257"/>
      <c r="C211" s="257"/>
      <c r="D211" s="258" t="s">
        <v>363</v>
      </c>
      <c r="E211" s="259">
        <v>80</v>
      </c>
    </row>
    <row r="212" spans="1:5" s="32" customFormat="1" ht="21" customHeight="1">
      <c r="A212" s="257"/>
      <c r="B212" s="257"/>
      <c r="C212" s="257"/>
      <c r="D212" s="258" t="s">
        <v>364</v>
      </c>
      <c r="E212" s="259">
        <v>100</v>
      </c>
    </row>
    <row r="213" spans="1:5" s="32" customFormat="1" ht="21" customHeight="1">
      <c r="A213" s="257"/>
      <c r="B213" s="257"/>
      <c r="C213" s="257"/>
      <c r="D213" s="258" t="s">
        <v>365</v>
      </c>
      <c r="E213" s="259">
        <v>70</v>
      </c>
    </row>
    <row r="214" spans="1:5" s="32" customFormat="1" ht="21" customHeight="1">
      <c r="A214" s="257"/>
      <c r="B214" s="257"/>
      <c r="C214" s="257"/>
      <c r="D214" s="258" t="s">
        <v>375</v>
      </c>
      <c r="E214" s="259">
        <v>50</v>
      </c>
    </row>
    <row r="215" spans="1:5" s="32" customFormat="1" ht="21" customHeight="1">
      <c r="A215" s="257"/>
      <c r="B215" s="257"/>
      <c r="C215" s="257"/>
      <c r="D215" s="258" t="s">
        <v>366</v>
      </c>
      <c r="E215" s="259">
        <v>150</v>
      </c>
    </row>
    <row r="216" spans="1:5" s="32" customFormat="1" ht="21" customHeight="1">
      <c r="A216" s="257"/>
      <c r="B216" s="257"/>
      <c r="C216" s="257"/>
      <c r="D216" s="258" t="s">
        <v>367</v>
      </c>
      <c r="E216" s="259">
        <v>15</v>
      </c>
    </row>
    <row r="217" spans="1:5" s="32" customFormat="1" ht="21" customHeight="1">
      <c r="A217" s="257"/>
      <c r="B217" s="257"/>
      <c r="C217" s="257"/>
      <c r="D217" s="258" t="s">
        <v>369</v>
      </c>
      <c r="E217" s="259">
        <v>150</v>
      </c>
    </row>
    <row r="218" spans="1:5" s="32" customFormat="1" ht="21" customHeight="1">
      <c r="A218" s="257"/>
      <c r="B218" s="257"/>
      <c r="C218" s="257"/>
      <c r="D218" s="258" t="s">
        <v>376</v>
      </c>
      <c r="E218" s="277">
        <v>100</v>
      </c>
    </row>
    <row r="219" spans="1:5" s="32" customFormat="1" ht="21" customHeight="1">
      <c r="A219" s="257"/>
      <c r="B219" s="257"/>
      <c r="C219" s="257"/>
      <c r="D219" s="258" t="s">
        <v>377</v>
      </c>
      <c r="E219" s="259">
        <v>80</v>
      </c>
    </row>
    <row r="220" spans="1:5" s="32" customFormat="1" ht="21" customHeight="1">
      <c r="A220" s="257"/>
      <c r="B220" s="257"/>
      <c r="C220" s="257"/>
      <c r="D220" s="258" t="s">
        <v>380</v>
      </c>
      <c r="E220" s="259">
        <v>100</v>
      </c>
    </row>
    <row r="221" spans="1:5" s="32" customFormat="1" ht="21" customHeight="1">
      <c r="A221" s="257"/>
      <c r="B221" s="257"/>
      <c r="C221" s="257"/>
      <c r="D221" s="258" t="s">
        <v>371</v>
      </c>
      <c r="E221" s="259">
        <v>50</v>
      </c>
    </row>
    <row r="222" spans="1:5" s="32" customFormat="1" ht="21" customHeight="1">
      <c r="A222" s="257"/>
      <c r="B222" s="257"/>
      <c r="C222" s="257"/>
      <c r="D222" s="258" t="s">
        <v>381</v>
      </c>
      <c r="E222" s="259">
        <v>100</v>
      </c>
    </row>
    <row r="223" spans="1:5" s="9" customFormat="1" ht="21" customHeight="1">
      <c r="A223" s="246" t="s">
        <v>146</v>
      </c>
      <c r="B223" s="247"/>
      <c r="C223" s="247"/>
      <c r="D223" s="248" t="s">
        <v>68</v>
      </c>
      <c r="E223" s="249">
        <f>SUM(E224)</f>
        <v>15290</v>
      </c>
    </row>
    <row r="224" spans="1:5" s="32" customFormat="1" ht="21" customHeight="1">
      <c r="A224" s="254"/>
      <c r="B224" s="262">
        <v>92605</v>
      </c>
      <c r="C224" s="254"/>
      <c r="D224" s="255" t="s">
        <v>69</v>
      </c>
      <c r="E224" s="256">
        <f>SUM(E225,E233,E235)</f>
        <v>15290</v>
      </c>
    </row>
    <row r="225" spans="1:5" s="32" customFormat="1" ht="21" customHeight="1">
      <c r="A225" s="254"/>
      <c r="B225" s="253"/>
      <c r="C225" s="253" t="s">
        <v>379</v>
      </c>
      <c r="D225" s="255" t="s">
        <v>95</v>
      </c>
      <c r="E225" s="256">
        <f>SUM(E226:E232)</f>
        <v>9590</v>
      </c>
    </row>
    <row r="226" spans="1:5" s="32" customFormat="1" ht="21" customHeight="1">
      <c r="A226" s="257"/>
      <c r="B226" s="257"/>
      <c r="C226" s="257"/>
      <c r="D226" s="258" t="s">
        <v>374</v>
      </c>
      <c r="E226" s="259">
        <v>1300</v>
      </c>
    </row>
    <row r="227" spans="1:5" s="32" customFormat="1" ht="21" customHeight="1">
      <c r="A227" s="257"/>
      <c r="B227" s="257"/>
      <c r="C227" s="257"/>
      <c r="D227" s="258" t="s">
        <v>365</v>
      </c>
      <c r="E227" s="259">
        <v>170</v>
      </c>
    </row>
    <row r="228" spans="1:5" s="32" customFormat="1" ht="21" customHeight="1">
      <c r="A228" s="257"/>
      <c r="B228" s="257"/>
      <c r="C228" s="257"/>
      <c r="D228" s="258" t="s">
        <v>364</v>
      </c>
      <c r="E228" s="259">
        <v>1000</v>
      </c>
    </row>
    <row r="229" spans="1:5" s="32" customFormat="1" ht="21" customHeight="1">
      <c r="A229" s="257"/>
      <c r="B229" s="257"/>
      <c r="C229" s="257"/>
      <c r="D229" s="258" t="s">
        <v>375</v>
      </c>
      <c r="E229" s="259">
        <v>1000</v>
      </c>
    </row>
    <row r="230" spans="1:5" s="32" customFormat="1" ht="21" customHeight="1">
      <c r="A230" s="257"/>
      <c r="B230" s="257"/>
      <c r="C230" s="257"/>
      <c r="D230" s="258" t="s">
        <v>366</v>
      </c>
      <c r="E230" s="259">
        <v>1500</v>
      </c>
    </row>
    <row r="231" spans="1:5" s="32" customFormat="1" ht="21" customHeight="1">
      <c r="A231" s="257"/>
      <c r="B231" s="257"/>
      <c r="C231" s="257"/>
      <c r="D231" s="258" t="s">
        <v>376</v>
      </c>
      <c r="E231" s="259">
        <v>3090</v>
      </c>
    </row>
    <row r="232" spans="1:5" s="32" customFormat="1" ht="21" customHeight="1">
      <c r="A232" s="257"/>
      <c r="B232" s="257"/>
      <c r="C232" s="257"/>
      <c r="D232" s="258" t="s">
        <v>380</v>
      </c>
      <c r="E232" s="259">
        <v>1530</v>
      </c>
    </row>
    <row r="233" spans="1:5" s="32" customFormat="1" ht="21" customHeight="1">
      <c r="A233" s="253"/>
      <c r="B233" s="253"/>
      <c r="C233" s="253" t="s">
        <v>386</v>
      </c>
      <c r="D233" s="255" t="s">
        <v>98</v>
      </c>
      <c r="E233" s="256">
        <f>SUM(E234:E234)</f>
        <v>1100</v>
      </c>
    </row>
    <row r="234" spans="1:5" s="32" customFormat="1" ht="21" customHeight="1">
      <c r="A234" s="257"/>
      <c r="B234" s="257"/>
      <c r="C234" s="257"/>
      <c r="D234" s="258" t="s">
        <v>369</v>
      </c>
      <c r="E234" s="259">
        <v>1100</v>
      </c>
    </row>
    <row r="235" spans="1:5" s="32" customFormat="1" ht="21" customHeight="1">
      <c r="A235" s="254"/>
      <c r="B235" s="253"/>
      <c r="C235" s="254">
        <v>4300</v>
      </c>
      <c r="D235" s="267" t="s">
        <v>82</v>
      </c>
      <c r="E235" s="256">
        <f>SUM(E236:E241)</f>
        <v>4600</v>
      </c>
    </row>
    <row r="236" spans="1:5" s="32" customFormat="1" ht="21" customHeight="1">
      <c r="A236" s="257"/>
      <c r="B236" s="257"/>
      <c r="C236" s="257"/>
      <c r="D236" s="258" t="s">
        <v>372</v>
      </c>
      <c r="E236" s="259">
        <v>600</v>
      </c>
    </row>
    <row r="237" spans="1:5" s="32" customFormat="1" ht="21" customHeight="1">
      <c r="A237" s="257"/>
      <c r="B237" s="257"/>
      <c r="C237" s="257"/>
      <c r="D237" s="258" t="s">
        <v>374</v>
      </c>
      <c r="E237" s="259">
        <v>1200</v>
      </c>
    </row>
    <row r="238" spans="1:5" s="32" customFormat="1" ht="21" customHeight="1">
      <c r="A238" s="257"/>
      <c r="B238" s="257"/>
      <c r="C238" s="257"/>
      <c r="D238" s="258" t="s">
        <v>363</v>
      </c>
      <c r="E238" s="259">
        <v>300</v>
      </c>
    </row>
    <row r="239" spans="1:5" s="32" customFormat="1" ht="21" customHeight="1">
      <c r="A239" s="257"/>
      <c r="B239" s="257"/>
      <c r="C239" s="257"/>
      <c r="D239" s="258" t="s">
        <v>375</v>
      </c>
      <c r="E239" s="259">
        <v>600</v>
      </c>
    </row>
    <row r="240" spans="1:5" s="32" customFormat="1" ht="21" customHeight="1">
      <c r="A240" s="257"/>
      <c r="B240" s="257"/>
      <c r="C240" s="257"/>
      <c r="D240" s="258" t="s">
        <v>366</v>
      </c>
      <c r="E240" s="259">
        <v>1200</v>
      </c>
    </row>
    <row r="241" spans="1:5" s="32" customFormat="1" ht="21" customHeight="1">
      <c r="A241" s="257"/>
      <c r="B241" s="257"/>
      <c r="C241" s="257"/>
      <c r="D241" s="258" t="s">
        <v>376</v>
      </c>
      <c r="E241" s="259">
        <v>700</v>
      </c>
    </row>
    <row r="242" spans="1:5" s="9" customFormat="1" ht="21" customHeight="1">
      <c r="A242" s="271"/>
      <c r="B242" s="271"/>
      <c r="C242" s="271"/>
      <c r="D242" s="272" t="s">
        <v>70</v>
      </c>
      <c r="E242" s="249">
        <f>SUM(E7,E37,E43,E48,E76,E85,E113,E127,E163,E223,E109)</f>
        <v>372000</v>
      </c>
    </row>
    <row r="246" ht="12.75">
      <c r="E246" s="27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9">
      <selection activeCell="D38" sqref="D38"/>
    </sheetView>
  </sheetViews>
  <sheetFormatPr defaultColWidth="9.00390625" defaultRowHeight="12.75"/>
  <cols>
    <col min="1" max="1" width="7.25390625" style="9" customWidth="1"/>
    <col min="2" max="2" width="8.00390625" style="9" customWidth="1"/>
    <col min="3" max="3" width="6.375" style="9" customWidth="1"/>
    <col min="4" max="4" width="40.00390625" style="9" customWidth="1"/>
    <col min="5" max="5" width="22.25390625" style="9" customWidth="1"/>
    <col min="6" max="6" width="11.00390625" style="9" hidden="1" customWidth="1"/>
    <col min="7" max="7" width="11.625" style="9" hidden="1" customWidth="1"/>
    <col min="8" max="8" width="10.75390625" style="0" hidden="1" customWidth="1"/>
  </cols>
  <sheetData>
    <row r="1" spans="5:7" ht="12.75">
      <c r="E1" s="76" t="s">
        <v>262</v>
      </c>
      <c r="F1" s="76"/>
      <c r="G1" s="126"/>
    </row>
    <row r="2" spans="5:7" ht="12.75">
      <c r="E2" s="76" t="s">
        <v>249</v>
      </c>
      <c r="F2" s="76"/>
      <c r="G2" s="126"/>
    </row>
    <row r="3" spans="5:7" ht="12.75">
      <c r="E3" s="76" t="s">
        <v>155</v>
      </c>
      <c r="F3" s="76"/>
      <c r="G3" s="126"/>
    </row>
    <row r="4" spans="5:7" ht="12.75">
      <c r="E4" s="76" t="s">
        <v>340</v>
      </c>
      <c r="F4" s="76"/>
      <c r="G4" s="126"/>
    </row>
    <row r="5" spans="1:7" ht="30" customHeight="1">
      <c r="A5" s="364" t="s">
        <v>341</v>
      </c>
      <c r="B5" s="364"/>
      <c r="C5" s="364"/>
      <c r="D5" s="364"/>
      <c r="E5" s="364"/>
      <c r="F5"/>
      <c r="G5"/>
    </row>
    <row r="6" spans="1:7" ht="21" customHeight="1">
      <c r="A6" s="363" t="s">
        <v>263</v>
      </c>
      <c r="B6" s="363"/>
      <c r="C6" s="363"/>
      <c r="D6" s="363"/>
      <c r="E6" s="363"/>
      <c r="F6"/>
      <c r="G6"/>
    </row>
    <row r="7" spans="1:8" ht="21" customHeight="1">
      <c r="A7" s="14" t="s">
        <v>0</v>
      </c>
      <c r="B7" s="14" t="s">
        <v>1</v>
      </c>
      <c r="C7" s="14" t="s">
        <v>2</v>
      </c>
      <c r="D7" s="14" t="s">
        <v>3</v>
      </c>
      <c r="E7" s="169" t="s">
        <v>147</v>
      </c>
      <c r="F7" s="169" t="s">
        <v>212</v>
      </c>
      <c r="G7" s="169" t="s">
        <v>213</v>
      </c>
      <c r="H7" s="170" t="s">
        <v>264</v>
      </c>
    </row>
    <row r="8" spans="1:8" s="8" customFormat="1" ht="21" customHeight="1">
      <c r="A8" s="43" t="s">
        <v>131</v>
      </c>
      <c r="B8" s="7"/>
      <c r="C8" s="6"/>
      <c r="D8" s="26" t="s">
        <v>63</v>
      </c>
      <c r="E8" s="21">
        <f>SUM(E9)</f>
        <v>200000</v>
      </c>
      <c r="F8" s="21">
        <f>SUM(F9)</f>
        <v>0</v>
      </c>
      <c r="G8" s="21">
        <f>SUM(G9)</f>
        <v>0</v>
      </c>
      <c r="H8" s="42">
        <f>SUM(E8+F8-G8)</f>
        <v>200000</v>
      </c>
    </row>
    <row r="9" spans="1:8" s="8" customFormat="1" ht="24">
      <c r="A9" s="3"/>
      <c r="B9" s="171">
        <v>90011</v>
      </c>
      <c r="C9" s="4"/>
      <c r="D9" s="172" t="s">
        <v>265</v>
      </c>
      <c r="E9" s="168">
        <f>SUM(E10:E10)</f>
        <v>200000</v>
      </c>
      <c r="F9" s="168">
        <f>SUM(F10:F10)</f>
        <v>0</v>
      </c>
      <c r="G9" s="168">
        <f>SUM(G10:G10)</f>
        <v>0</v>
      </c>
      <c r="H9" s="11">
        <f>SUM(E9+F9-G9)</f>
        <v>200000</v>
      </c>
    </row>
    <row r="10" spans="1:8" s="9" customFormat="1" ht="21" customHeight="1">
      <c r="A10" s="3"/>
      <c r="B10" s="171"/>
      <c r="C10" s="177" t="s">
        <v>194</v>
      </c>
      <c r="D10" s="172" t="s">
        <v>152</v>
      </c>
      <c r="E10" s="168">
        <v>200000</v>
      </c>
      <c r="F10" s="168"/>
      <c r="G10" s="168"/>
      <c r="H10" s="11">
        <f>SUM(E10+F10-G10)</f>
        <v>200000</v>
      </c>
    </row>
    <row r="11" spans="1:8" ht="21" customHeight="1">
      <c r="A11" s="178"/>
      <c r="B11" s="23"/>
      <c r="C11" s="23"/>
      <c r="D11" s="14" t="s">
        <v>70</v>
      </c>
      <c r="E11" s="21">
        <f>SUM(E8)</f>
        <v>200000</v>
      </c>
      <c r="F11" s="21">
        <f>SUM(F8)</f>
        <v>0</v>
      </c>
      <c r="G11" s="21">
        <f>SUM(G8)</f>
        <v>0</v>
      </c>
      <c r="H11" s="42">
        <f>SUM(E11+F11-G11)</f>
        <v>200000</v>
      </c>
    </row>
    <row r="12" ht="21" customHeight="1"/>
    <row r="13" spans="1:7" ht="21" customHeight="1">
      <c r="A13" s="362" t="s">
        <v>266</v>
      </c>
      <c r="B13" s="362"/>
      <c r="C13" s="362"/>
      <c r="D13" s="362"/>
      <c r="E13" s="362"/>
      <c r="F13"/>
      <c r="G13"/>
    </row>
    <row r="14" spans="1:8" ht="21" customHeight="1">
      <c r="A14" s="14" t="s">
        <v>0</v>
      </c>
      <c r="B14" s="14" t="s">
        <v>1</v>
      </c>
      <c r="C14" s="14" t="s">
        <v>2</v>
      </c>
      <c r="D14" s="14" t="s">
        <v>3</v>
      </c>
      <c r="E14" s="169" t="s">
        <v>147</v>
      </c>
      <c r="F14" s="169" t="s">
        <v>212</v>
      </c>
      <c r="G14" s="169" t="s">
        <v>213</v>
      </c>
      <c r="H14" s="170" t="s">
        <v>264</v>
      </c>
    </row>
    <row r="15" spans="1:8" s="8" customFormat="1" ht="21" customHeight="1">
      <c r="A15" s="43" t="s">
        <v>131</v>
      </c>
      <c r="B15" s="7"/>
      <c r="C15" s="6"/>
      <c r="D15" s="26" t="s">
        <v>63</v>
      </c>
      <c r="E15" s="21">
        <f>SUM(E16)</f>
        <v>250000</v>
      </c>
      <c r="F15" s="21">
        <f>SUM(F16)</f>
        <v>0</v>
      </c>
      <c r="G15" s="21">
        <f>SUM(G16)</f>
        <v>0</v>
      </c>
      <c r="H15" s="42">
        <f>SUM(E15+F15-G15)</f>
        <v>250000</v>
      </c>
    </row>
    <row r="16" spans="1:8" s="8" customFormat="1" ht="24">
      <c r="A16" s="3"/>
      <c r="B16" s="171">
        <v>90011</v>
      </c>
      <c r="C16" s="4"/>
      <c r="D16" s="172" t="s">
        <v>265</v>
      </c>
      <c r="E16" s="168">
        <f>SUM(E17,E22)</f>
        <v>250000</v>
      </c>
      <c r="F16" s="168">
        <f>SUM(F17,F22,F21)</f>
        <v>0</v>
      </c>
      <c r="G16" s="168">
        <f>SUM(G17,G22,G21)</f>
        <v>0</v>
      </c>
      <c r="H16" s="168">
        <f>SUM(H17,H22,H21)</f>
        <v>253000</v>
      </c>
    </row>
    <row r="17" spans="1:8" s="9" customFormat="1" ht="21" customHeight="1">
      <c r="A17" s="3"/>
      <c r="B17" s="171"/>
      <c r="C17" s="4">
        <v>4210</v>
      </c>
      <c r="D17" s="172" t="s">
        <v>75</v>
      </c>
      <c r="E17" s="168">
        <f>SUM(E18:E21)</f>
        <v>19000</v>
      </c>
      <c r="F17" s="168">
        <f>SUM(F18:F20)</f>
        <v>0</v>
      </c>
      <c r="G17" s="168">
        <f>SUM(G18:G20)</f>
        <v>0</v>
      </c>
      <c r="H17" s="132">
        <f>SUM(E17+F17-G17)</f>
        <v>19000</v>
      </c>
    </row>
    <row r="18" spans="1:8" ht="21" customHeight="1">
      <c r="A18" s="173"/>
      <c r="B18" s="174"/>
      <c r="C18" s="179"/>
      <c r="D18" s="64" t="s">
        <v>394</v>
      </c>
      <c r="E18" s="65">
        <v>3000</v>
      </c>
      <c r="F18" s="65"/>
      <c r="G18" s="65"/>
      <c r="H18" s="176">
        <f>SUM(E18+F18-G18)</f>
        <v>3000</v>
      </c>
    </row>
    <row r="19" spans="1:8" ht="21" customHeight="1">
      <c r="A19" s="173"/>
      <c r="B19" s="174"/>
      <c r="C19" s="179"/>
      <c r="D19" s="64" t="s">
        <v>395</v>
      </c>
      <c r="E19" s="65">
        <v>10000</v>
      </c>
      <c r="F19" s="65"/>
      <c r="G19" s="65"/>
      <c r="H19" s="176"/>
    </row>
    <row r="20" spans="1:8" ht="21" customHeight="1">
      <c r="A20" s="173"/>
      <c r="B20" s="174"/>
      <c r="C20" s="179"/>
      <c r="D20" s="64" t="s">
        <v>396</v>
      </c>
      <c r="E20" s="65">
        <v>3000</v>
      </c>
      <c r="F20" s="65"/>
      <c r="G20" s="65"/>
      <c r="H20" s="176">
        <f>SUM(E20+F20-G20)</f>
        <v>3000</v>
      </c>
    </row>
    <row r="21" spans="1:8" ht="21" customHeight="1">
      <c r="A21" s="173"/>
      <c r="B21" s="174"/>
      <c r="C21" s="179"/>
      <c r="D21" s="64" t="s">
        <v>397</v>
      </c>
      <c r="E21" s="65">
        <v>3000</v>
      </c>
      <c r="F21" s="65"/>
      <c r="G21" s="65"/>
      <c r="H21" s="176">
        <f>SUM(E21+F21-G21)</f>
        <v>3000</v>
      </c>
    </row>
    <row r="22" spans="1:8" s="9" customFormat="1" ht="21" customHeight="1">
      <c r="A22" s="3"/>
      <c r="B22" s="171"/>
      <c r="C22" s="177">
        <v>4300</v>
      </c>
      <c r="D22" s="172" t="s">
        <v>82</v>
      </c>
      <c r="E22" s="168">
        <f>SUM(E23:E29)</f>
        <v>231000</v>
      </c>
      <c r="F22" s="168">
        <f>SUM(F23:F25)</f>
        <v>0</v>
      </c>
      <c r="G22" s="168">
        <f>SUM(G23:G25)</f>
        <v>0</v>
      </c>
      <c r="H22" s="132">
        <f>SUM(E22+F22-G22)</f>
        <v>231000</v>
      </c>
    </row>
    <row r="23" spans="1:8" ht="21" customHeight="1">
      <c r="A23" s="173"/>
      <c r="B23" s="174"/>
      <c r="C23" s="179"/>
      <c r="D23" s="64" t="s">
        <v>398</v>
      </c>
      <c r="E23" s="65">
        <v>163600</v>
      </c>
      <c r="F23" s="65"/>
      <c r="G23" s="65"/>
      <c r="H23" s="176">
        <f>SUM(E23+F23-G23)</f>
        <v>163600</v>
      </c>
    </row>
    <row r="24" spans="1:8" ht="21" customHeight="1">
      <c r="A24" s="173"/>
      <c r="B24" s="174"/>
      <c r="C24" s="179"/>
      <c r="D24" s="64" t="s">
        <v>399</v>
      </c>
      <c r="E24" s="65">
        <v>10000</v>
      </c>
      <c r="F24" s="65"/>
      <c r="G24" s="65"/>
      <c r="H24" s="176">
        <f aca="true" t="shared" si="0" ref="H24:H31">SUM(E24+F24-G24)</f>
        <v>10000</v>
      </c>
    </row>
    <row r="25" spans="1:8" ht="21" customHeight="1">
      <c r="A25" s="173"/>
      <c r="B25" s="175"/>
      <c r="C25" s="175"/>
      <c r="D25" s="64" t="s">
        <v>400</v>
      </c>
      <c r="E25" s="65">
        <v>15000</v>
      </c>
      <c r="F25" s="65"/>
      <c r="G25" s="65"/>
      <c r="H25" s="176">
        <f t="shared" si="0"/>
        <v>15000</v>
      </c>
    </row>
    <row r="26" spans="1:8" ht="21" customHeight="1">
      <c r="A26" s="173"/>
      <c r="B26" s="175"/>
      <c r="C26" s="175"/>
      <c r="D26" s="64" t="s">
        <v>401</v>
      </c>
      <c r="E26" s="65">
        <v>12000</v>
      </c>
      <c r="F26" s="65"/>
      <c r="G26" s="65"/>
      <c r="H26" s="176"/>
    </row>
    <row r="27" spans="1:8" ht="21" customHeight="1">
      <c r="A27" s="173"/>
      <c r="B27" s="175"/>
      <c r="C27" s="175"/>
      <c r="D27" s="64" t="s">
        <v>402</v>
      </c>
      <c r="E27" s="65">
        <v>10000</v>
      </c>
      <c r="F27" s="65"/>
      <c r="G27" s="65"/>
      <c r="H27" s="176"/>
    </row>
    <row r="28" spans="1:8" ht="21" customHeight="1">
      <c r="A28" s="173"/>
      <c r="B28" s="175"/>
      <c r="C28" s="175"/>
      <c r="D28" s="64" t="s">
        <v>403</v>
      </c>
      <c r="E28" s="65">
        <v>20000</v>
      </c>
      <c r="F28" s="65"/>
      <c r="G28" s="65"/>
      <c r="H28" s="176"/>
    </row>
    <row r="29" spans="1:8" ht="21" customHeight="1">
      <c r="A29" s="173"/>
      <c r="B29" s="175"/>
      <c r="C29" s="175"/>
      <c r="D29" s="64" t="s">
        <v>404</v>
      </c>
      <c r="E29" s="65">
        <v>400</v>
      </c>
      <c r="F29" s="65"/>
      <c r="G29" s="65"/>
      <c r="H29" s="176"/>
    </row>
    <row r="30" spans="1:8" ht="21" customHeight="1">
      <c r="A30" s="3"/>
      <c r="B30" s="4"/>
      <c r="C30" s="4"/>
      <c r="D30" s="14" t="s">
        <v>70</v>
      </c>
      <c r="E30" s="21">
        <f>SUM(E16)</f>
        <v>250000</v>
      </c>
      <c r="F30" s="21">
        <f>SUM(F16)</f>
        <v>0</v>
      </c>
      <c r="G30" s="21">
        <f>SUM(G16)</f>
        <v>0</v>
      </c>
      <c r="H30" s="42">
        <f t="shared" si="0"/>
        <v>250000</v>
      </c>
    </row>
    <row r="31" spans="1:8" ht="0.75" customHeight="1" hidden="1">
      <c r="A31" s="180"/>
      <c r="B31" s="181"/>
      <c r="C31" s="175"/>
      <c r="D31" s="182" t="s">
        <v>267</v>
      </c>
      <c r="E31" s="21">
        <f>SUM(E11-E30)</f>
        <v>-50000</v>
      </c>
      <c r="F31" s="21"/>
      <c r="G31" s="21"/>
      <c r="H31" s="42">
        <f t="shared" si="0"/>
        <v>-50000</v>
      </c>
    </row>
  </sheetData>
  <sheetProtection/>
  <mergeCells count="3">
    <mergeCell ref="A13:E13"/>
    <mergeCell ref="A6:E6"/>
    <mergeCell ref="A5:E5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izawalniak</cp:lastModifiedBy>
  <cp:lastPrinted>2008-11-17T13:35:19Z</cp:lastPrinted>
  <dcterms:created xsi:type="dcterms:W3CDTF">2002-10-21T08:56:44Z</dcterms:created>
  <dcterms:modified xsi:type="dcterms:W3CDTF">2008-11-18T09:53:51Z</dcterms:modified>
  <cp:category/>
  <cp:version/>
  <cp:contentType/>
  <cp:contentStatus/>
</cp:coreProperties>
</file>